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\OneDrive\DOCUME~1\Adulting\Jobs\AIDDAT~1\UNHABI~1\Report\INDIAB~1\"/>
    </mc:Choice>
  </mc:AlternateContent>
  <xr:revisionPtr revIDLastSave="0" documentId="8_{A6BF038A-8296-46C5-853A-9085A05097DC}" xr6:coauthVersionLast="44" xr6:coauthVersionMax="44" xr10:uidLastSave="{00000000-0000-0000-0000-000000000000}"/>
  <bookViews>
    <workbookView xWindow="28680" yWindow="-120" windowWidth="19440" windowHeight="15000" firstSheet="1" activeTab="1" xr2:uid="{00000000-000D-0000-FFFF-FFFF00000000}"/>
  </bookViews>
  <sheets>
    <sheet name="Summary Sheet - Transportation" sheetId="1" r:id="rId1"/>
    <sheet name="Cost Calculations" sheetId="2" r:id="rId2"/>
    <sheet name="Variables" sheetId="3" r:id="rId3"/>
    <sheet name="Area" sheetId="6" state="hidden" r:id="rId4"/>
    <sheet name="Population" sheetId="5" state="hidden" r:id="rId5"/>
    <sheet name="Household Information" sheetId="8" state="hidden" r:id="rId6"/>
    <sheet name="Urban road length (WDI)" sheetId="15" state="hidden" r:id="rId7"/>
    <sheet name="Existing Fleet" sheetId="16" r:id="rId8"/>
    <sheet name="% Urban Roads Surfaced (WDI)" sheetId="14" state="hidden" r:id="rId9"/>
    <sheet name="Standard bus O&amp;M" sheetId="4" state="hidden" r:id="rId10"/>
    <sheet name="Road Proportions" sheetId="7" state="hidden" r:id="rId11"/>
    <sheet name="CPI" sheetId="9" state="hidden" r:id="rId12"/>
  </sheets>
  <externalReferences>
    <externalReference r:id="rId13"/>
  </externalReferences>
  <definedNames>
    <definedName name="_xlnm._FilterDatabase" localSheetId="8" hidden="1">'% Urban Roads Surfaced (WDI)'!$A$1:$G$1</definedName>
    <definedName name="_xlnm._FilterDatabase" localSheetId="11" hidden="1">CPI!$A$1:$L$43</definedName>
    <definedName name="_xlnm._FilterDatabase" localSheetId="6" hidden="1">'Urban road length (WDI)'!$A$1:$F$1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4" roundtripDataSignature="AMtx7miFn+o3R8ag7fEgo61vxAfvuen6yA=="/>
    </ext>
  </extLst>
</workbook>
</file>

<file path=xl/calcChain.xml><?xml version="1.0" encoding="utf-8"?>
<calcChain xmlns="http://schemas.openxmlformats.org/spreadsheetml/2006/main">
  <c r="O43" i="5" l="1"/>
  <c r="D2" i="5"/>
  <c r="D27" i="5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4" i="2"/>
  <c r="AN4" i="2" l="1"/>
  <c r="AA43" i="2" l="1"/>
  <c r="AA44" i="2"/>
  <c r="AA33" i="2" l="1"/>
  <c r="E29" i="3" l="1"/>
  <c r="C24" i="16" l="1"/>
  <c r="C35" i="16" l="1"/>
  <c r="C34" i="16"/>
  <c r="C32" i="16" l="1"/>
  <c r="C20" i="16" l="1"/>
  <c r="F16" i="2" l="1"/>
  <c r="F28" i="2"/>
  <c r="F58" i="2"/>
  <c r="F70" i="2"/>
  <c r="F100" i="2"/>
  <c r="F112" i="2"/>
  <c r="F142" i="2"/>
  <c r="F154" i="2"/>
  <c r="F184" i="2"/>
  <c r="F196" i="2"/>
  <c r="F226" i="2"/>
  <c r="F238" i="2"/>
  <c r="F268" i="2"/>
  <c r="F280" i="2"/>
  <c r="F310" i="2"/>
  <c r="F322" i="2"/>
  <c r="F352" i="2"/>
  <c r="F364" i="2"/>
  <c r="F394" i="2"/>
  <c r="F406" i="2"/>
  <c r="F436" i="2"/>
  <c r="F448" i="2"/>
  <c r="F478" i="2"/>
  <c r="F490" i="2"/>
  <c r="AI5" i="2" l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" i="2"/>
  <c r="AA30" i="2"/>
  <c r="AA31" i="2"/>
  <c r="AA32" i="2"/>
  <c r="AA34" i="2"/>
  <c r="AA35" i="2"/>
  <c r="AA36" i="2"/>
  <c r="AA37" i="2"/>
  <c r="AA38" i="2"/>
  <c r="AA39" i="2"/>
  <c r="AA40" i="2"/>
  <c r="AA41" i="2"/>
  <c r="AA42" i="2"/>
  <c r="AA45" i="2"/>
  <c r="AA5" i="2"/>
  <c r="AA6" i="2"/>
  <c r="AA7" i="2"/>
  <c r="AA8" i="2"/>
  <c r="AA9" i="2"/>
  <c r="AA10" i="2"/>
  <c r="AA11" i="2"/>
  <c r="AA12" i="2"/>
  <c r="AA13" i="2"/>
  <c r="AA14" i="2"/>
  <c r="AA15" i="2"/>
  <c r="AA17" i="2"/>
  <c r="AA18" i="2"/>
  <c r="AA20" i="2"/>
  <c r="AA21" i="2"/>
  <c r="AA22" i="2"/>
  <c r="AA23" i="2"/>
  <c r="AA24" i="2"/>
  <c r="AA25" i="2"/>
  <c r="AA26" i="2"/>
  <c r="AA28" i="2"/>
  <c r="AA29" i="2"/>
  <c r="AA4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4" i="2"/>
  <c r="C25" i="16"/>
  <c r="AA27" i="2" s="1"/>
  <c r="C17" i="16"/>
  <c r="AA19" i="2" s="1"/>
  <c r="C14" i="16"/>
  <c r="AA16" i="2" s="1"/>
  <c r="E22" i="6" l="1"/>
  <c r="D22" i="6"/>
  <c r="O41" i="5" l="1"/>
  <c r="E2" i="5"/>
  <c r="D46" i="2" s="1"/>
  <c r="E46" i="2" s="1"/>
  <c r="F2" i="5"/>
  <c r="G2" i="5"/>
  <c r="H2" i="5"/>
  <c r="I2" i="5"/>
  <c r="J2" i="5"/>
  <c r="K2" i="5"/>
  <c r="L2" i="5"/>
  <c r="M2" i="5"/>
  <c r="N2" i="5"/>
  <c r="O2" i="5"/>
  <c r="E3" i="5"/>
  <c r="F3" i="5"/>
  <c r="G3" i="5"/>
  <c r="H3" i="5"/>
  <c r="I3" i="5"/>
  <c r="J3" i="5"/>
  <c r="K3" i="5"/>
  <c r="L3" i="5"/>
  <c r="M3" i="5"/>
  <c r="N3" i="5"/>
  <c r="O3" i="5"/>
  <c r="E4" i="5"/>
  <c r="D48" i="2" s="1"/>
  <c r="E48" i="2" s="1"/>
  <c r="F4" i="5"/>
  <c r="D90" i="2" s="1"/>
  <c r="E90" i="2" s="1"/>
  <c r="G4" i="5"/>
  <c r="H4" i="5"/>
  <c r="I4" i="5"/>
  <c r="J4" i="5"/>
  <c r="K4" i="5"/>
  <c r="L4" i="5"/>
  <c r="M4" i="5"/>
  <c r="N4" i="5"/>
  <c r="O4" i="5"/>
  <c r="E5" i="5"/>
  <c r="F5" i="5"/>
  <c r="G5" i="5"/>
  <c r="H5" i="5"/>
  <c r="I5" i="5"/>
  <c r="J5" i="5"/>
  <c r="K5" i="5"/>
  <c r="L5" i="5"/>
  <c r="M5" i="5"/>
  <c r="N5" i="5"/>
  <c r="O5" i="5"/>
  <c r="E6" i="5"/>
  <c r="F6" i="5"/>
  <c r="G6" i="5"/>
  <c r="H6" i="5"/>
  <c r="I6" i="5"/>
  <c r="J6" i="5"/>
  <c r="K6" i="5"/>
  <c r="L6" i="5"/>
  <c r="M6" i="5"/>
  <c r="N6" i="5"/>
  <c r="O6" i="5"/>
  <c r="E7" i="5"/>
  <c r="F7" i="5"/>
  <c r="G7" i="5"/>
  <c r="H7" i="5"/>
  <c r="I7" i="5"/>
  <c r="J7" i="5"/>
  <c r="K7" i="5"/>
  <c r="L7" i="5"/>
  <c r="M7" i="5"/>
  <c r="N7" i="5"/>
  <c r="O7" i="5"/>
  <c r="E8" i="5"/>
  <c r="F8" i="5"/>
  <c r="G8" i="5"/>
  <c r="H8" i="5"/>
  <c r="I8" i="5"/>
  <c r="J8" i="5"/>
  <c r="K8" i="5"/>
  <c r="L8" i="5"/>
  <c r="M8" i="5"/>
  <c r="N8" i="5"/>
  <c r="O8" i="5"/>
  <c r="E9" i="5"/>
  <c r="D53" i="2" s="1"/>
  <c r="E53" i="2" s="1"/>
  <c r="F9" i="5"/>
  <c r="G9" i="5"/>
  <c r="H9" i="5"/>
  <c r="I9" i="5"/>
  <c r="J9" i="5"/>
  <c r="K9" i="5"/>
  <c r="L9" i="5"/>
  <c r="M9" i="5"/>
  <c r="N9" i="5"/>
  <c r="O9" i="5"/>
  <c r="E10" i="5"/>
  <c r="F10" i="5"/>
  <c r="G10" i="5"/>
  <c r="H10" i="5"/>
  <c r="I10" i="5"/>
  <c r="J10" i="5"/>
  <c r="K10" i="5"/>
  <c r="L10" i="5"/>
  <c r="M10" i="5"/>
  <c r="N10" i="5"/>
  <c r="O10" i="5"/>
  <c r="E11" i="5"/>
  <c r="D55" i="2" s="1"/>
  <c r="E55" i="2" s="1"/>
  <c r="F11" i="5"/>
  <c r="G11" i="5"/>
  <c r="H11" i="5"/>
  <c r="I11" i="5"/>
  <c r="J11" i="5"/>
  <c r="K11" i="5"/>
  <c r="L11" i="5"/>
  <c r="M11" i="5"/>
  <c r="N11" i="5"/>
  <c r="O11" i="5"/>
  <c r="E12" i="5"/>
  <c r="D56" i="2" s="1"/>
  <c r="E56" i="2" s="1"/>
  <c r="F12" i="5"/>
  <c r="D98" i="2" s="1"/>
  <c r="E98" i="2" s="1"/>
  <c r="G12" i="5"/>
  <c r="H12" i="5"/>
  <c r="D182" i="2" s="1"/>
  <c r="E182" i="2" s="1"/>
  <c r="I12" i="5"/>
  <c r="J12" i="5"/>
  <c r="K12" i="5"/>
  <c r="L12" i="5"/>
  <c r="M12" i="5"/>
  <c r="N12" i="5"/>
  <c r="O12" i="5"/>
  <c r="E13" i="5"/>
  <c r="D57" i="2" s="1"/>
  <c r="E57" i="2" s="1"/>
  <c r="F13" i="5"/>
  <c r="G13" i="5"/>
  <c r="H13" i="5"/>
  <c r="I13" i="5"/>
  <c r="J13" i="5"/>
  <c r="K13" i="5"/>
  <c r="L13" i="5"/>
  <c r="M13" i="5"/>
  <c r="N13" i="5"/>
  <c r="O13" i="5"/>
  <c r="E14" i="5"/>
  <c r="F14" i="5"/>
  <c r="G14" i="5"/>
  <c r="H14" i="5"/>
  <c r="I14" i="5"/>
  <c r="J14" i="5"/>
  <c r="K14" i="5"/>
  <c r="L14" i="5"/>
  <c r="M14" i="5"/>
  <c r="N14" i="5"/>
  <c r="O14" i="5"/>
  <c r="E15" i="5"/>
  <c r="F15" i="5"/>
  <c r="G15" i="5"/>
  <c r="H15" i="5"/>
  <c r="I15" i="5"/>
  <c r="J15" i="5"/>
  <c r="K15" i="5"/>
  <c r="L15" i="5"/>
  <c r="M15" i="5"/>
  <c r="N15" i="5"/>
  <c r="O15" i="5"/>
  <c r="E16" i="5"/>
  <c r="D60" i="2" s="1"/>
  <c r="E60" i="2" s="1"/>
  <c r="F16" i="5"/>
  <c r="G16" i="5"/>
  <c r="H16" i="5"/>
  <c r="I16" i="5"/>
  <c r="J16" i="5"/>
  <c r="K16" i="5"/>
  <c r="L16" i="5"/>
  <c r="M16" i="5"/>
  <c r="N16" i="5"/>
  <c r="O16" i="5"/>
  <c r="E17" i="5"/>
  <c r="D61" i="2" s="1"/>
  <c r="E61" i="2" s="1"/>
  <c r="F17" i="5"/>
  <c r="G17" i="5"/>
  <c r="H17" i="5"/>
  <c r="I17" i="5"/>
  <c r="J17" i="5"/>
  <c r="K17" i="5"/>
  <c r="L17" i="5"/>
  <c r="M17" i="5"/>
  <c r="N17" i="5"/>
  <c r="O17" i="5"/>
  <c r="E18" i="5"/>
  <c r="F18" i="5"/>
  <c r="G18" i="5"/>
  <c r="H18" i="5"/>
  <c r="I18" i="5"/>
  <c r="J18" i="5"/>
  <c r="K18" i="5"/>
  <c r="L18" i="5"/>
  <c r="M18" i="5"/>
  <c r="N18" i="5"/>
  <c r="O18" i="5"/>
  <c r="E19" i="5"/>
  <c r="F19" i="5"/>
  <c r="G19" i="5"/>
  <c r="H19" i="5"/>
  <c r="I19" i="5"/>
  <c r="J19" i="5"/>
  <c r="K19" i="5"/>
  <c r="L19" i="5"/>
  <c r="M19" i="5"/>
  <c r="N19" i="5"/>
  <c r="O19" i="5"/>
  <c r="E20" i="5"/>
  <c r="F20" i="5"/>
  <c r="G20" i="5"/>
  <c r="H20" i="5"/>
  <c r="I20" i="5"/>
  <c r="J20" i="5"/>
  <c r="K20" i="5"/>
  <c r="L20" i="5"/>
  <c r="M20" i="5"/>
  <c r="N20" i="5"/>
  <c r="O20" i="5"/>
  <c r="E21" i="5"/>
  <c r="D65" i="2" s="1"/>
  <c r="E65" i="2" s="1"/>
  <c r="F21" i="5"/>
  <c r="G21" i="5"/>
  <c r="H21" i="5"/>
  <c r="I21" i="5"/>
  <c r="J21" i="5"/>
  <c r="K21" i="5"/>
  <c r="L21" i="5"/>
  <c r="M21" i="5"/>
  <c r="N21" i="5"/>
  <c r="O21" i="5"/>
  <c r="E22" i="5"/>
  <c r="F22" i="5"/>
  <c r="G22" i="5"/>
  <c r="H22" i="5"/>
  <c r="I22" i="5"/>
  <c r="J22" i="5"/>
  <c r="K22" i="5"/>
  <c r="L22" i="5"/>
  <c r="M22" i="5"/>
  <c r="N22" i="5"/>
  <c r="O22" i="5"/>
  <c r="E23" i="5"/>
  <c r="F23" i="5"/>
  <c r="G23" i="5"/>
  <c r="H23" i="5"/>
  <c r="I23" i="5"/>
  <c r="J23" i="5"/>
  <c r="K23" i="5"/>
  <c r="L23" i="5"/>
  <c r="M23" i="5"/>
  <c r="N23" i="5"/>
  <c r="O23" i="5"/>
  <c r="E24" i="5"/>
  <c r="D68" i="2" s="1"/>
  <c r="F24" i="5"/>
  <c r="D110" i="2" s="1"/>
  <c r="E110" i="2" s="1"/>
  <c r="G24" i="5"/>
  <c r="H24" i="5"/>
  <c r="I24" i="5"/>
  <c r="J24" i="5"/>
  <c r="K24" i="5"/>
  <c r="L24" i="5"/>
  <c r="M24" i="5"/>
  <c r="N24" i="5"/>
  <c r="O24" i="5"/>
  <c r="E25" i="5"/>
  <c r="D69" i="2" s="1"/>
  <c r="E69" i="2" s="1"/>
  <c r="F25" i="5"/>
  <c r="D111" i="2" s="1"/>
  <c r="E111" i="2" s="1"/>
  <c r="G25" i="5"/>
  <c r="H25" i="5"/>
  <c r="I25" i="5"/>
  <c r="J25" i="5"/>
  <c r="K25" i="5"/>
  <c r="L25" i="5"/>
  <c r="M25" i="5"/>
  <c r="N25" i="5"/>
  <c r="O25" i="5"/>
  <c r="E26" i="5"/>
  <c r="F26" i="5"/>
  <c r="G26" i="5"/>
  <c r="H26" i="5"/>
  <c r="I26" i="5"/>
  <c r="J26" i="5"/>
  <c r="K26" i="5"/>
  <c r="L26" i="5"/>
  <c r="M26" i="5"/>
  <c r="N26" i="5"/>
  <c r="O26" i="5"/>
  <c r="E27" i="5"/>
  <c r="F27" i="5"/>
  <c r="G27" i="5"/>
  <c r="H27" i="5"/>
  <c r="I27" i="5"/>
  <c r="J27" i="5"/>
  <c r="K27" i="5"/>
  <c r="L27" i="5"/>
  <c r="M27" i="5"/>
  <c r="N27" i="5"/>
  <c r="O27" i="5"/>
  <c r="E28" i="5"/>
  <c r="D72" i="2" s="1"/>
  <c r="E72" i="2" s="1"/>
  <c r="F28" i="5"/>
  <c r="G28" i="5"/>
  <c r="H28" i="5"/>
  <c r="D198" i="2" s="1"/>
  <c r="E198" i="2" s="1"/>
  <c r="I28" i="5"/>
  <c r="J28" i="5"/>
  <c r="K28" i="5"/>
  <c r="L28" i="5"/>
  <c r="M28" i="5"/>
  <c r="N28" i="5"/>
  <c r="O28" i="5"/>
  <c r="E29" i="5"/>
  <c r="F29" i="5"/>
  <c r="G29" i="5"/>
  <c r="H29" i="5"/>
  <c r="I29" i="5"/>
  <c r="J29" i="5"/>
  <c r="K29" i="5"/>
  <c r="L29" i="5"/>
  <c r="M29" i="5"/>
  <c r="N29" i="5"/>
  <c r="O29" i="5"/>
  <c r="E30" i="5"/>
  <c r="F30" i="5"/>
  <c r="G30" i="5"/>
  <c r="H30" i="5"/>
  <c r="I30" i="5"/>
  <c r="J30" i="5"/>
  <c r="K30" i="5"/>
  <c r="L30" i="5"/>
  <c r="M30" i="5"/>
  <c r="N30" i="5"/>
  <c r="O30" i="5"/>
  <c r="E31" i="5"/>
  <c r="F31" i="5"/>
  <c r="G31" i="5"/>
  <c r="H31" i="5"/>
  <c r="I31" i="5"/>
  <c r="J31" i="5"/>
  <c r="K31" i="5"/>
  <c r="L31" i="5"/>
  <c r="M31" i="5"/>
  <c r="N31" i="5"/>
  <c r="O31" i="5"/>
  <c r="E32" i="5"/>
  <c r="F32" i="5"/>
  <c r="G32" i="5"/>
  <c r="H32" i="5"/>
  <c r="I32" i="5"/>
  <c r="J32" i="5"/>
  <c r="K32" i="5"/>
  <c r="L32" i="5"/>
  <c r="M32" i="5"/>
  <c r="N32" i="5"/>
  <c r="O32" i="5"/>
  <c r="E33" i="5"/>
  <c r="F33" i="5"/>
  <c r="G33" i="5"/>
  <c r="H33" i="5"/>
  <c r="I33" i="5"/>
  <c r="J33" i="5"/>
  <c r="K33" i="5"/>
  <c r="L33" i="5"/>
  <c r="M33" i="5"/>
  <c r="N33" i="5"/>
  <c r="O33" i="5"/>
  <c r="E34" i="5"/>
  <c r="F34" i="5"/>
  <c r="G34" i="5"/>
  <c r="H34" i="5"/>
  <c r="I34" i="5"/>
  <c r="J34" i="5"/>
  <c r="K34" i="5"/>
  <c r="L34" i="5"/>
  <c r="M34" i="5"/>
  <c r="N34" i="5"/>
  <c r="O34" i="5"/>
  <c r="E35" i="5"/>
  <c r="D79" i="2" s="1"/>
  <c r="E79" i="2" s="1"/>
  <c r="F35" i="5"/>
  <c r="G35" i="5"/>
  <c r="H35" i="5"/>
  <c r="I35" i="5"/>
  <c r="J35" i="5"/>
  <c r="K35" i="5"/>
  <c r="L35" i="5"/>
  <c r="M35" i="5"/>
  <c r="N35" i="5"/>
  <c r="O35" i="5"/>
  <c r="E36" i="5"/>
  <c r="F36" i="5"/>
  <c r="G36" i="5"/>
  <c r="H36" i="5"/>
  <c r="I36" i="5"/>
  <c r="J36" i="5"/>
  <c r="K36" i="5"/>
  <c r="L36" i="5"/>
  <c r="M36" i="5"/>
  <c r="N36" i="5"/>
  <c r="O36" i="5"/>
  <c r="E37" i="5"/>
  <c r="F37" i="5"/>
  <c r="G37" i="5"/>
  <c r="H37" i="5"/>
  <c r="I37" i="5"/>
  <c r="J37" i="5"/>
  <c r="K37" i="5"/>
  <c r="L37" i="5"/>
  <c r="M37" i="5"/>
  <c r="N37" i="5"/>
  <c r="O37" i="5"/>
  <c r="E38" i="5"/>
  <c r="F38" i="5"/>
  <c r="G38" i="5"/>
  <c r="H38" i="5"/>
  <c r="I38" i="5"/>
  <c r="J38" i="5"/>
  <c r="K38" i="5"/>
  <c r="L38" i="5"/>
  <c r="M38" i="5"/>
  <c r="N38" i="5"/>
  <c r="O38" i="5"/>
  <c r="E39" i="5"/>
  <c r="F39" i="5"/>
  <c r="G39" i="5"/>
  <c r="H39" i="5"/>
  <c r="I39" i="5"/>
  <c r="J39" i="5"/>
  <c r="K39" i="5"/>
  <c r="L39" i="5"/>
  <c r="M39" i="5"/>
  <c r="N39" i="5"/>
  <c r="O39" i="5"/>
  <c r="E40" i="5"/>
  <c r="F40" i="5"/>
  <c r="D126" i="2" s="1"/>
  <c r="E126" i="2" s="1"/>
  <c r="G40" i="5"/>
  <c r="D168" i="2" s="1"/>
  <c r="E168" i="2" s="1"/>
  <c r="H40" i="5"/>
  <c r="I40" i="5"/>
  <c r="J40" i="5"/>
  <c r="K40" i="5"/>
  <c r="L40" i="5"/>
  <c r="M40" i="5"/>
  <c r="N40" i="5"/>
  <c r="O40" i="5"/>
  <c r="E41" i="5"/>
  <c r="F41" i="5"/>
  <c r="G41" i="5"/>
  <c r="H41" i="5"/>
  <c r="I41" i="5"/>
  <c r="J41" i="5"/>
  <c r="K41" i="5"/>
  <c r="L41" i="5"/>
  <c r="M41" i="5"/>
  <c r="N41" i="5"/>
  <c r="E42" i="5"/>
  <c r="F42" i="5"/>
  <c r="G42" i="5"/>
  <c r="H42" i="5"/>
  <c r="I42" i="5"/>
  <c r="J42" i="5"/>
  <c r="K42" i="5"/>
  <c r="L42" i="5"/>
  <c r="M42" i="5"/>
  <c r="N42" i="5"/>
  <c r="O42" i="5"/>
  <c r="E43" i="5"/>
  <c r="D87" i="2" s="1"/>
  <c r="E87" i="2" s="1"/>
  <c r="F43" i="5"/>
  <c r="G43" i="5"/>
  <c r="H43" i="5"/>
  <c r="I43" i="5"/>
  <c r="J43" i="5"/>
  <c r="K43" i="5"/>
  <c r="L43" i="5"/>
  <c r="M43" i="5"/>
  <c r="N43" i="5"/>
  <c r="D13" i="5"/>
  <c r="D15" i="2" s="1"/>
  <c r="E15" i="2" s="1"/>
  <c r="D3" i="5"/>
  <c r="D4" i="5"/>
  <c r="D5" i="5"/>
  <c r="D6" i="5"/>
  <c r="D8" i="2" s="1"/>
  <c r="E8" i="2" s="1"/>
  <c r="D7" i="5"/>
  <c r="D9" i="2" s="1"/>
  <c r="E9" i="2" s="1"/>
  <c r="D8" i="5"/>
  <c r="D10" i="2" s="1"/>
  <c r="E10" i="2" s="1"/>
  <c r="D9" i="5"/>
  <c r="D10" i="5"/>
  <c r="D11" i="5"/>
  <c r="D13" i="2" s="1"/>
  <c r="E13" i="2" s="1"/>
  <c r="D12" i="5"/>
  <c r="D14" i="5"/>
  <c r="E14" i="6" s="1"/>
  <c r="D15" i="5"/>
  <c r="D17" i="2" s="1"/>
  <c r="E17" i="2" s="1"/>
  <c r="D16" i="5"/>
  <c r="D17" i="5"/>
  <c r="D18" i="5"/>
  <c r="D19" i="5"/>
  <c r="D20" i="5"/>
  <c r="E20" i="6" s="1"/>
  <c r="D21" i="5"/>
  <c r="D22" i="5"/>
  <c r="D24" i="2" s="1"/>
  <c r="E24" i="2" s="1"/>
  <c r="D23" i="5"/>
  <c r="D24" i="5"/>
  <c r="D25" i="5"/>
  <c r="D26" i="5"/>
  <c r="D28" i="5"/>
  <c r="D30" i="2" s="1"/>
  <c r="E30" i="2" s="1"/>
  <c r="D29" i="5"/>
  <c r="D30" i="5"/>
  <c r="D31" i="5"/>
  <c r="D33" i="2" s="1"/>
  <c r="E33" i="2" s="1"/>
  <c r="D32" i="5"/>
  <c r="D33" i="5"/>
  <c r="D34" i="5"/>
  <c r="D35" i="5"/>
  <c r="D37" i="2" s="1"/>
  <c r="E37" i="2" s="1"/>
  <c r="D36" i="5"/>
  <c r="D38" i="2" s="1"/>
  <c r="E38" i="2" s="1"/>
  <c r="D37" i="5"/>
  <c r="D38" i="5"/>
  <c r="D39" i="5"/>
  <c r="D41" i="2" s="1"/>
  <c r="E41" i="2" s="1"/>
  <c r="D40" i="5"/>
  <c r="D41" i="5"/>
  <c r="D42" i="5"/>
  <c r="D44" i="2" s="1"/>
  <c r="E44" i="2" s="1"/>
  <c r="D43" i="5"/>
  <c r="D45" i="2" s="1"/>
  <c r="E45" i="2" s="1"/>
  <c r="D4" i="2"/>
  <c r="D270" i="2"/>
  <c r="E270" i="2" s="1"/>
  <c r="D144" i="2"/>
  <c r="E144" i="2" s="1"/>
  <c r="D89" i="2"/>
  <c r="E89" i="2" s="1"/>
  <c r="D6" i="2"/>
  <c r="E6" i="2" s="1"/>
  <c r="D140" i="2"/>
  <c r="E140" i="2" s="1"/>
  <c r="D145" i="2"/>
  <c r="E145" i="2" s="1"/>
  <c r="D152" i="2"/>
  <c r="E152" i="2" s="1"/>
  <c r="D102" i="2"/>
  <c r="E102" i="2" s="1"/>
  <c r="D47" i="2"/>
  <c r="E47" i="2" s="1"/>
  <c r="D7" i="2"/>
  <c r="E7" i="2" s="1"/>
  <c r="D19" i="2"/>
  <c r="E19" i="2" s="1"/>
  <c r="D23" i="2"/>
  <c r="E23" i="2" s="1"/>
  <c r="D35" i="2"/>
  <c r="E35" i="2" s="1"/>
  <c r="D39" i="2"/>
  <c r="E39" i="2" s="1"/>
  <c r="D40" i="2"/>
  <c r="E40" i="2" s="1"/>
  <c r="M49" i="8"/>
  <c r="M48" i="8"/>
  <c r="M47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K32" i="8"/>
  <c r="O32" i="8" s="1"/>
  <c r="O31" i="8"/>
  <c r="M31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L22" i="8"/>
  <c r="K22" i="8"/>
  <c r="O22" i="8" s="1"/>
  <c r="O21" i="8"/>
  <c r="M21" i="8"/>
  <c r="O20" i="8"/>
  <c r="M20" i="8"/>
  <c r="O19" i="8"/>
  <c r="M19" i="8"/>
  <c r="O18" i="8"/>
  <c r="M18" i="8"/>
  <c r="L17" i="8"/>
  <c r="K17" i="8"/>
  <c r="O17" i="8" s="1"/>
  <c r="O16" i="8"/>
  <c r="M16" i="8"/>
  <c r="O15" i="8"/>
  <c r="M15" i="8"/>
  <c r="K14" i="8"/>
  <c r="O14" i="8" s="1"/>
  <c r="O13" i="8"/>
  <c r="M13" i="8"/>
  <c r="O12" i="8"/>
  <c r="M12" i="8"/>
  <c r="M11" i="8"/>
  <c r="O10" i="8"/>
  <c r="M10" i="8"/>
  <c r="M9" i="8"/>
  <c r="O8" i="8"/>
  <c r="M8" i="8"/>
  <c r="O7" i="8"/>
  <c r="M7" i="8"/>
  <c r="O6" i="8"/>
  <c r="M6" i="8"/>
  <c r="O5" i="8"/>
  <c r="M5" i="8"/>
  <c r="O4" i="8"/>
  <c r="M4" i="8"/>
  <c r="O3" i="8"/>
  <c r="M3" i="8"/>
  <c r="O2" i="8"/>
  <c r="M2" i="8"/>
  <c r="F25" i="2" l="1"/>
  <c r="F109" i="2"/>
  <c r="F193" i="2"/>
  <c r="F277" i="2"/>
  <c r="F403" i="2"/>
  <c r="F487" i="2"/>
  <c r="F67" i="2"/>
  <c r="F151" i="2"/>
  <c r="F235" i="2"/>
  <c r="F319" i="2"/>
  <c r="F361" i="2"/>
  <c r="F445" i="2"/>
  <c r="F32" i="2"/>
  <c r="F116" i="2"/>
  <c r="F200" i="2"/>
  <c r="F284" i="2"/>
  <c r="F74" i="2"/>
  <c r="F158" i="2"/>
  <c r="F242" i="2"/>
  <c r="F326" i="2"/>
  <c r="F368" i="2"/>
  <c r="F452" i="2"/>
  <c r="F494" i="2"/>
  <c r="F410" i="2"/>
  <c r="F80" i="2"/>
  <c r="F164" i="2"/>
  <c r="F248" i="2"/>
  <c r="F332" i="2"/>
  <c r="F416" i="2"/>
  <c r="F500" i="2"/>
  <c r="F38" i="2"/>
  <c r="F122" i="2"/>
  <c r="F206" i="2"/>
  <c r="F290" i="2"/>
  <c r="F458" i="2"/>
  <c r="F374" i="2"/>
  <c r="F84" i="2"/>
  <c r="F168" i="2"/>
  <c r="F252" i="2"/>
  <c r="F336" i="2"/>
  <c r="F42" i="2"/>
  <c r="F126" i="2"/>
  <c r="F210" i="2"/>
  <c r="F294" i="2"/>
  <c r="F420" i="2"/>
  <c r="F504" i="2"/>
  <c r="F462" i="2"/>
  <c r="F378" i="2"/>
  <c r="F4" i="2"/>
  <c r="AO4" i="2" s="1"/>
  <c r="F88" i="2"/>
  <c r="F172" i="2"/>
  <c r="F256" i="2"/>
  <c r="F340" i="2"/>
  <c r="F424" i="2"/>
  <c r="F46" i="2"/>
  <c r="F130" i="2"/>
  <c r="F214" i="2"/>
  <c r="F298" i="2"/>
  <c r="F382" i="2"/>
  <c r="F466" i="2"/>
  <c r="F48" i="2"/>
  <c r="F132" i="2"/>
  <c r="F216" i="2"/>
  <c r="F300" i="2"/>
  <c r="F6" i="2"/>
  <c r="F90" i="2"/>
  <c r="F174" i="2"/>
  <c r="F258" i="2"/>
  <c r="F342" i="2"/>
  <c r="F384" i="2"/>
  <c r="F468" i="2"/>
  <c r="F426" i="2"/>
  <c r="F8" i="2"/>
  <c r="F92" i="2"/>
  <c r="F176" i="2"/>
  <c r="F260" i="2"/>
  <c r="F344" i="2"/>
  <c r="F50" i="2"/>
  <c r="F134" i="2"/>
  <c r="F218" i="2"/>
  <c r="F302" i="2"/>
  <c r="F428" i="2"/>
  <c r="F386" i="2"/>
  <c r="F470" i="2"/>
  <c r="F52" i="2"/>
  <c r="F136" i="2"/>
  <c r="F220" i="2"/>
  <c r="F304" i="2"/>
  <c r="F388" i="2"/>
  <c r="F472" i="2"/>
  <c r="F10" i="2"/>
  <c r="F94" i="2"/>
  <c r="F178" i="2"/>
  <c r="F262" i="2"/>
  <c r="F346" i="2"/>
  <c r="F430" i="2"/>
  <c r="F57" i="2"/>
  <c r="F141" i="2"/>
  <c r="F225" i="2"/>
  <c r="F309" i="2"/>
  <c r="F351" i="2"/>
  <c r="F435" i="2"/>
  <c r="F15" i="2"/>
  <c r="F99" i="2"/>
  <c r="F183" i="2"/>
  <c r="F267" i="2"/>
  <c r="F393" i="2"/>
  <c r="F477" i="2"/>
  <c r="F85" i="2"/>
  <c r="F169" i="2"/>
  <c r="F253" i="2"/>
  <c r="F337" i="2"/>
  <c r="F379" i="2"/>
  <c r="F463" i="2"/>
  <c r="F43" i="2"/>
  <c r="F127" i="2"/>
  <c r="F211" i="2"/>
  <c r="F295" i="2"/>
  <c r="F421" i="2"/>
  <c r="F505" i="2"/>
  <c r="F12" i="2"/>
  <c r="F96" i="2"/>
  <c r="F180" i="2"/>
  <c r="F264" i="2"/>
  <c r="F348" i="2"/>
  <c r="F432" i="2"/>
  <c r="F54" i="2"/>
  <c r="F138" i="2"/>
  <c r="F222" i="2"/>
  <c r="F306" i="2"/>
  <c r="F474" i="2"/>
  <c r="F390" i="2"/>
  <c r="F21" i="2"/>
  <c r="F105" i="2"/>
  <c r="F189" i="2"/>
  <c r="F273" i="2"/>
  <c r="F399" i="2"/>
  <c r="F483" i="2"/>
  <c r="F357" i="2"/>
  <c r="F441" i="2"/>
  <c r="F231" i="2"/>
  <c r="F147" i="2"/>
  <c r="F63" i="2"/>
  <c r="F315" i="2"/>
  <c r="F76" i="2"/>
  <c r="F160" i="2"/>
  <c r="F244" i="2"/>
  <c r="F328" i="2"/>
  <c r="F34" i="2"/>
  <c r="F118" i="2"/>
  <c r="F202" i="2"/>
  <c r="F286" i="2"/>
  <c r="F412" i="2"/>
  <c r="F496" i="2"/>
  <c r="F370" i="2"/>
  <c r="F454" i="2"/>
  <c r="F60" i="2"/>
  <c r="F144" i="2"/>
  <c r="F228" i="2"/>
  <c r="F312" i="2"/>
  <c r="F396" i="2"/>
  <c r="F480" i="2"/>
  <c r="F186" i="2"/>
  <c r="F270" i="2"/>
  <c r="F102" i="2"/>
  <c r="F354" i="2"/>
  <c r="F18" i="2"/>
  <c r="F438" i="2"/>
  <c r="F20" i="2"/>
  <c r="F104" i="2"/>
  <c r="F188" i="2"/>
  <c r="F272" i="2"/>
  <c r="F356" i="2"/>
  <c r="F440" i="2"/>
  <c r="F62" i="2"/>
  <c r="F146" i="2"/>
  <c r="F230" i="2"/>
  <c r="F314" i="2"/>
  <c r="F398" i="2"/>
  <c r="F482" i="2"/>
  <c r="F64" i="2"/>
  <c r="F148" i="2"/>
  <c r="F232" i="2"/>
  <c r="F316" i="2"/>
  <c r="F22" i="2"/>
  <c r="F106" i="2"/>
  <c r="F190" i="2"/>
  <c r="F274" i="2"/>
  <c r="F400" i="2"/>
  <c r="F484" i="2"/>
  <c r="F358" i="2"/>
  <c r="F442" i="2"/>
  <c r="F24" i="2"/>
  <c r="F108" i="2"/>
  <c r="F192" i="2"/>
  <c r="F276" i="2"/>
  <c r="F66" i="2"/>
  <c r="F150" i="2"/>
  <c r="F234" i="2"/>
  <c r="F318" i="2"/>
  <c r="F360" i="2"/>
  <c r="F444" i="2"/>
  <c r="F402" i="2"/>
  <c r="F486" i="2"/>
  <c r="F68" i="2"/>
  <c r="F152" i="2"/>
  <c r="F236" i="2"/>
  <c r="F320" i="2"/>
  <c r="F404" i="2"/>
  <c r="F488" i="2"/>
  <c r="F278" i="2"/>
  <c r="F446" i="2"/>
  <c r="F194" i="2"/>
  <c r="F362" i="2"/>
  <c r="F110" i="2"/>
  <c r="F26" i="2"/>
  <c r="F29" i="2"/>
  <c r="F113" i="2"/>
  <c r="F197" i="2"/>
  <c r="F281" i="2"/>
  <c r="F407" i="2"/>
  <c r="F491" i="2"/>
  <c r="F365" i="2"/>
  <c r="F449" i="2"/>
  <c r="F71" i="2"/>
  <c r="F323" i="2"/>
  <c r="F239" i="2"/>
  <c r="F155" i="2"/>
  <c r="F73" i="2"/>
  <c r="F157" i="2"/>
  <c r="F241" i="2"/>
  <c r="F325" i="2"/>
  <c r="F367" i="2"/>
  <c r="F451" i="2"/>
  <c r="F409" i="2"/>
  <c r="F493" i="2"/>
  <c r="F115" i="2"/>
  <c r="F31" i="2"/>
  <c r="F199" i="2"/>
  <c r="F283" i="2"/>
  <c r="F33" i="2"/>
  <c r="F117" i="2"/>
  <c r="F201" i="2"/>
  <c r="F285" i="2"/>
  <c r="F411" i="2"/>
  <c r="F495" i="2"/>
  <c r="F75" i="2"/>
  <c r="F159" i="2"/>
  <c r="F243" i="2"/>
  <c r="F327" i="2"/>
  <c r="F369" i="2"/>
  <c r="F453" i="2"/>
  <c r="F77" i="2"/>
  <c r="F161" i="2"/>
  <c r="F245" i="2"/>
  <c r="F329" i="2"/>
  <c r="F371" i="2"/>
  <c r="F455" i="2"/>
  <c r="F35" i="2"/>
  <c r="F119" i="2"/>
  <c r="F203" i="2"/>
  <c r="F287" i="2"/>
  <c r="F497" i="2"/>
  <c r="F413" i="2"/>
  <c r="F37" i="2"/>
  <c r="F121" i="2"/>
  <c r="F205" i="2"/>
  <c r="F289" i="2"/>
  <c r="F415" i="2"/>
  <c r="F499" i="2"/>
  <c r="F373" i="2"/>
  <c r="F457" i="2"/>
  <c r="F163" i="2"/>
  <c r="F79" i="2"/>
  <c r="F331" i="2"/>
  <c r="F247" i="2"/>
  <c r="F81" i="2"/>
  <c r="F165" i="2"/>
  <c r="F249" i="2"/>
  <c r="F333" i="2"/>
  <c r="F375" i="2"/>
  <c r="F459" i="2"/>
  <c r="F417" i="2"/>
  <c r="F207" i="2"/>
  <c r="F123" i="2"/>
  <c r="F291" i="2"/>
  <c r="F39" i="2"/>
  <c r="F501" i="2"/>
  <c r="F41" i="2"/>
  <c r="F125" i="2"/>
  <c r="F209" i="2"/>
  <c r="F293" i="2"/>
  <c r="F419" i="2"/>
  <c r="F503" i="2"/>
  <c r="F83" i="2"/>
  <c r="F167" i="2"/>
  <c r="F251" i="2"/>
  <c r="F335" i="2"/>
  <c r="F461" i="2"/>
  <c r="F377" i="2"/>
  <c r="F44" i="2"/>
  <c r="F128" i="2"/>
  <c r="F212" i="2"/>
  <c r="F296" i="2"/>
  <c r="F380" i="2"/>
  <c r="F464" i="2"/>
  <c r="F86" i="2"/>
  <c r="F170" i="2"/>
  <c r="F254" i="2"/>
  <c r="F338" i="2"/>
  <c r="F422" i="2"/>
  <c r="F506" i="2"/>
  <c r="F65" i="2"/>
  <c r="F149" i="2"/>
  <c r="F233" i="2"/>
  <c r="F317" i="2"/>
  <c r="F359" i="2"/>
  <c r="F443" i="2"/>
  <c r="F485" i="2"/>
  <c r="F23" i="2"/>
  <c r="F107" i="2"/>
  <c r="F191" i="2"/>
  <c r="F275" i="2"/>
  <c r="F401" i="2"/>
  <c r="F72" i="2"/>
  <c r="F156" i="2"/>
  <c r="F240" i="2"/>
  <c r="F324" i="2"/>
  <c r="F408" i="2"/>
  <c r="F492" i="2"/>
  <c r="F30" i="2"/>
  <c r="F114" i="2"/>
  <c r="F198" i="2"/>
  <c r="F282" i="2"/>
  <c r="F450" i="2"/>
  <c r="F366" i="2"/>
  <c r="F36" i="2"/>
  <c r="F120" i="2"/>
  <c r="F204" i="2"/>
  <c r="F288" i="2"/>
  <c r="F372" i="2"/>
  <c r="F456" i="2"/>
  <c r="F78" i="2"/>
  <c r="F162" i="2"/>
  <c r="F246" i="2"/>
  <c r="F330" i="2"/>
  <c r="F498" i="2"/>
  <c r="F414" i="2"/>
  <c r="F40" i="2"/>
  <c r="F124" i="2"/>
  <c r="F208" i="2"/>
  <c r="F292" i="2"/>
  <c r="F82" i="2"/>
  <c r="F166" i="2"/>
  <c r="F250" i="2"/>
  <c r="F334" i="2"/>
  <c r="F376" i="2"/>
  <c r="F460" i="2"/>
  <c r="F418" i="2"/>
  <c r="F502" i="2"/>
  <c r="F13" i="2"/>
  <c r="F97" i="2"/>
  <c r="F181" i="2"/>
  <c r="F265" i="2"/>
  <c r="F391" i="2"/>
  <c r="F475" i="2"/>
  <c r="F349" i="2"/>
  <c r="F433" i="2"/>
  <c r="F55" i="2"/>
  <c r="F307" i="2"/>
  <c r="F223" i="2"/>
  <c r="F139" i="2"/>
  <c r="F5" i="2"/>
  <c r="F89" i="2"/>
  <c r="F173" i="2"/>
  <c r="F257" i="2"/>
  <c r="F341" i="2"/>
  <c r="F383" i="2"/>
  <c r="F467" i="2"/>
  <c r="F425" i="2"/>
  <c r="F299" i="2"/>
  <c r="F47" i="2"/>
  <c r="F215" i="2"/>
  <c r="F131" i="2"/>
  <c r="F49" i="2"/>
  <c r="F133" i="2"/>
  <c r="F217" i="2"/>
  <c r="F301" i="2"/>
  <c r="F427" i="2"/>
  <c r="F469" i="2"/>
  <c r="F7" i="2"/>
  <c r="F91" i="2"/>
  <c r="F175" i="2"/>
  <c r="F259" i="2"/>
  <c r="F343" i="2"/>
  <c r="F385" i="2"/>
  <c r="F9" i="2"/>
  <c r="F93" i="2"/>
  <c r="F177" i="2"/>
  <c r="F261" i="2"/>
  <c r="F387" i="2"/>
  <c r="F471" i="2"/>
  <c r="F51" i="2"/>
  <c r="F135" i="2"/>
  <c r="F219" i="2"/>
  <c r="F303" i="2"/>
  <c r="F345" i="2"/>
  <c r="F429" i="2"/>
  <c r="F53" i="2"/>
  <c r="F137" i="2"/>
  <c r="F221" i="2"/>
  <c r="F305" i="2"/>
  <c r="F347" i="2"/>
  <c r="F431" i="2"/>
  <c r="F473" i="2"/>
  <c r="F389" i="2"/>
  <c r="F11" i="2"/>
  <c r="F263" i="2"/>
  <c r="F95" i="2"/>
  <c r="F179" i="2"/>
  <c r="F56" i="2"/>
  <c r="F140" i="2"/>
  <c r="F224" i="2"/>
  <c r="F308" i="2"/>
  <c r="F14" i="2"/>
  <c r="F98" i="2"/>
  <c r="F182" i="2"/>
  <c r="F266" i="2"/>
  <c r="F392" i="2"/>
  <c r="F476" i="2"/>
  <c r="F434" i="2"/>
  <c r="F350" i="2"/>
  <c r="F69" i="2"/>
  <c r="F153" i="2"/>
  <c r="F237" i="2"/>
  <c r="F321" i="2"/>
  <c r="F27" i="2"/>
  <c r="F111" i="2"/>
  <c r="F195" i="2"/>
  <c r="F279" i="2"/>
  <c r="F363" i="2"/>
  <c r="F447" i="2"/>
  <c r="F489" i="2"/>
  <c r="F405" i="2"/>
  <c r="F45" i="2"/>
  <c r="F129" i="2"/>
  <c r="F213" i="2"/>
  <c r="F297" i="2"/>
  <c r="F423" i="2"/>
  <c r="F507" i="2"/>
  <c r="F381" i="2"/>
  <c r="F465" i="2"/>
  <c r="F255" i="2"/>
  <c r="F339" i="2"/>
  <c r="F171" i="2"/>
  <c r="F87" i="2"/>
  <c r="AS4" i="2"/>
  <c r="Z4" i="2"/>
  <c r="E4" i="2"/>
  <c r="AD68" i="2"/>
  <c r="E68" i="2"/>
  <c r="G14" i="6"/>
  <c r="G20" i="6"/>
  <c r="D5" i="2"/>
  <c r="E5" i="2" s="1"/>
  <c r="D29" i="2"/>
  <c r="E29" i="2" s="1"/>
  <c r="D21" i="2"/>
  <c r="E21" i="2" s="1"/>
  <c r="D31" i="2"/>
  <c r="E31" i="2" s="1"/>
  <c r="E17" i="6"/>
  <c r="G17" i="6" s="1"/>
  <c r="H17" i="6" s="1"/>
  <c r="D11" i="2"/>
  <c r="E11" i="2" s="1"/>
  <c r="D25" i="2"/>
  <c r="E25" i="2" s="1"/>
  <c r="D66" i="2"/>
  <c r="E66" i="2" s="1"/>
  <c r="D97" i="2"/>
  <c r="E97" i="2" s="1"/>
  <c r="D20" i="2"/>
  <c r="D178" i="2"/>
  <c r="E178" i="2" s="1"/>
  <c r="D105" i="2"/>
  <c r="E105" i="2" s="1"/>
  <c r="D157" i="2"/>
  <c r="E157" i="2" s="1"/>
  <c r="D80" i="2"/>
  <c r="E80" i="2" s="1"/>
  <c r="D85" i="2"/>
  <c r="E85" i="2" s="1"/>
  <c r="D81" i="2"/>
  <c r="E81" i="2" s="1"/>
  <c r="D77" i="2"/>
  <c r="E77" i="2" s="1"/>
  <c r="D153" i="2"/>
  <c r="E153" i="2" s="1"/>
  <c r="D51" i="2"/>
  <c r="E51" i="2" s="1"/>
  <c r="D59" i="2"/>
  <c r="E59" i="2" s="1"/>
  <c r="D36" i="2"/>
  <c r="E36" i="2" s="1"/>
  <c r="D32" i="2"/>
  <c r="E32" i="2" s="1"/>
  <c r="D50" i="2"/>
  <c r="E50" i="2" s="1"/>
  <c r="D28" i="2"/>
  <c r="E28" i="2" s="1"/>
  <c r="D12" i="2"/>
  <c r="E12" i="2" s="1"/>
  <c r="D94" i="2"/>
  <c r="E94" i="2" s="1"/>
  <c r="D132" i="2"/>
  <c r="E132" i="2" s="1"/>
  <c r="D95" i="2"/>
  <c r="E95" i="2" s="1"/>
  <c r="D64" i="2"/>
  <c r="E64" i="2" s="1"/>
  <c r="D76" i="2"/>
  <c r="E76" i="2" s="1"/>
  <c r="D16" i="2"/>
  <c r="E16" i="2" s="1"/>
  <c r="D49" i="2"/>
  <c r="E49" i="2" s="1"/>
  <c r="D99" i="2"/>
  <c r="E99" i="2" s="1"/>
  <c r="D83" i="2"/>
  <c r="E83" i="2" s="1"/>
  <c r="D75" i="2"/>
  <c r="E75" i="2" s="1"/>
  <c r="D67" i="2"/>
  <c r="E67" i="2" s="1"/>
  <c r="D43" i="2"/>
  <c r="E43" i="2" s="1"/>
  <c r="D27" i="2"/>
  <c r="E27" i="2" s="1"/>
  <c r="D84" i="2"/>
  <c r="E84" i="2" s="1"/>
  <c r="D71" i="2"/>
  <c r="E71" i="2" s="1"/>
  <c r="D63" i="2"/>
  <c r="E63" i="2" s="1"/>
  <c r="D114" i="2"/>
  <c r="E114" i="2" s="1"/>
  <c r="D224" i="2"/>
  <c r="E224" i="2" s="1"/>
  <c r="D103" i="2"/>
  <c r="E103" i="2" s="1"/>
  <c r="H20" i="6"/>
  <c r="D137" i="2"/>
  <c r="E137" i="2" s="1"/>
  <c r="D194" i="2"/>
  <c r="E194" i="2" s="1"/>
  <c r="D73" i="2"/>
  <c r="E73" i="2" s="1"/>
  <c r="D115" i="2"/>
  <c r="E115" i="2" s="1"/>
  <c r="D155" i="2"/>
  <c r="E155" i="2" s="1"/>
  <c r="D197" i="2"/>
  <c r="E197" i="2" s="1"/>
  <c r="D229" i="2"/>
  <c r="E229" i="2" s="1"/>
  <c r="D187" i="2"/>
  <c r="E187" i="2" s="1"/>
  <c r="D228" i="2"/>
  <c r="E228" i="2" s="1"/>
  <c r="D113" i="2"/>
  <c r="E113" i="2" s="1"/>
  <c r="D199" i="2"/>
  <c r="E199" i="2" s="1"/>
  <c r="D186" i="2"/>
  <c r="E186" i="2" s="1"/>
  <c r="D233" i="2"/>
  <c r="E233" i="2" s="1"/>
  <c r="D281" i="2"/>
  <c r="E281" i="2" s="1"/>
  <c r="D308" i="2"/>
  <c r="E308" i="2" s="1"/>
  <c r="D52" i="2"/>
  <c r="E52" i="2" s="1"/>
  <c r="D156" i="2"/>
  <c r="E156" i="2" s="1"/>
  <c r="D136" i="2"/>
  <c r="E136" i="2" s="1"/>
  <c r="D240" i="2"/>
  <c r="E240" i="2" s="1"/>
  <c r="D282" i="2"/>
  <c r="E282" i="2" s="1"/>
  <c r="D324" i="2"/>
  <c r="E324" i="2" s="1"/>
  <c r="D312" i="2"/>
  <c r="E312" i="2" s="1"/>
  <c r="D149" i="2"/>
  <c r="E149" i="2" s="1"/>
  <c r="D220" i="2"/>
  <c r="E220" i="2" s="1"/>
  <c r="D107" i="2"/>
  <c r="E107" i="2" s="1"/>
  <c r="D191" i="2"/>
  <c r="E191" i="2" s="1"/>
  <c r="D239" i="2"/>
  <c r="E239" i="2" s="1"/>
  <c r="D266" i="2"/>
  <c r="E266" i="2" s="1"/>
  <c r="D271" i="2"/>
  <c r="E271" i="2" s="1"/>
  <c r="D42" i="2"/>
  <c r="E42" i="2" s="1"/>
  <c r="D34" i="2"/>
  <c r="E34" i="2" s="1"/>
  <c r="D26" i="2"/>
  <c r="D22" i="2"/>
  <c r="E22" i="2" s="1"/>
  <c r="D18" i="2"/>
  <c r="E18" i="2" s="1"/>
  <c r="D14" i="2"/>
  <c r="E14" i="2" s="1"/>
  <c r="M22" i="8"/>
  <c r="M17" i="8"/>
  <c r="F61" i="2" l="1"/>
  <c r="F145" i="2"/>
  <c r="F229" i="2"/>
  <c r="F313" i="2"/>
  <c r="F19" i="2"/>
  <c r="F103" i="2"/>
  <c r="F187" i="2"/>
  <c r="F271" i="2"/>
  <c r="F355" i="2"/>
  <c r="F439" i="2"/>
  <c r="F481" i="2"/>
  <c r="F397" i="2"/>
  <c r="F17" i="2"/>
  <c r="F101" i="2"/>
  <c r="F185" i="2"/>
  <c r="F269" i="2"/>
  <c r="F395" i="2"/>
  <c r="F479" i="2"/>
  <c r="F59" i="2"/>
  <c r="F143" i="2"/>
  <c r="F227" i="2"/>
  <c r="F311" i="2"/>
  <c r="F353" i="2"/>
  <c r="F437" i="2"/>
  <c r="AD26" i="2"/>
  <c r="E26" i="2"/>
  <c r="AD20" i="2"/>
  <c r="E20" i="2"/>
  <c r="I17" i="6"/>
  <c r="H103" i="2"/>
  <c r="AD103" i="2" s="1"/>
  <c r="I20" i="6"/>
  <c r="H148" i="2" s="1"/>
  <c r="H106" i="2"/>
  <c r="D117" i="2"/>
  <c r="E117" i="2" s="1"/>
  <c r="D58" i="2"/>
  <c r="E58" i="2" s="1"/>
  <c r="D127" i="2"/>
  <c r="E127" i="2" s="1"/>
  <c r="D62" i="2"/>
  <c r="D82" i="2"/>
  <c r="E82" i="2" s="1"/>
  <c r="D86" i="2"/>
  <c r="E86" i="2" s="1"/>
  <c r="D241" i="2"/>
  <c r="E241" i="2" s="1"/>
  <c r="D54" i="2"/>
  <c r="E54" i="2" s="1"/>
  <c r="H14" i="6"/>
  <c r="D129" i="2"/>
  <c r="E129" i="2" s="1"/>
  <c r="D109" i="2"/>
  <c r="E109" i="2" s="1"/>
  <c r="D125" i="2"/>
  <c r="E125" i="2" s="1"/>
  <c r="D91" i="2"/>
  <c r="E91" i="2" s="1"/>
  <c r="D106" i="2"/>
  <c r="E106" i="2" s="1"/>
  <c r="D174" i="2"/>
  <c r="E174" i="2" s="1"/>
  <c r="D92" i="2"/>
  <c r="E92" i="2" s="1"/>
  <c r="D195" i="2"/>
  <c r="E195" i="2" s="1"/>
  <c r="D123" i="2"/>
  <c r="E123" i="2" s="1"/>
  <c r="D141" i="2"/>
  <c r="E141" i="2" s="1"/>
  <c r="D70" i="2"/>
  <c r="E70" i="2" s="1"/>
  <c r="D101" i="2"/>
  <c r="E101" i="2" s="1"/>
  <c r="D161" i="2"/>
  <c r="E161" i="2" s="1"/>
  <c r="D139" i="2"/>
  <c r="E139" i="2" s="1"/>
  <c r="D119" i="2"/>
  <c r="E119" i="2" s="1"/>
  <c r="D121" i="2"/>
  <c r="E121" i="2" s="1"/>
  <c r="D118" i="2"/>
  <c r="E118" i="2" s="1"/>
  <c r="D74" i="2"/>
  <c r="E74" i="2" s="1"/>
  <c r="D78" i="2"/>
  <c r="E78" i="2" s="1"/>
  <c r="D93" i="2"/>
  <c r="E93" i="2" s="1"/>
  <c r="D122" i="2"/>
  <c r="E122" i="2" s="1"/>
  <c r="D147" i="2"/>
  <c r="E147" i="2" s="1"/>
  <c r="D108" i="2"/>
  <c r="E108" i="2" s="1"/>
  <c r="D210" i="2"/>
  <c r="E210" i="2" s="1"/>
  <c r="D88" i="2"/>
  <c r="D179" i="2"/>
  <c r="E179" i="2" s="1"/>
  <c r="D131" i="2"/>
  <c r="E131" i="2" s="1"/>
  <c r="D236" i="2"/>
  <c r="E236" i="2" s="1"/>
  <c r="D313" i="2"/>
  <c r="E313" i="2" s="1"/>
  <c r="D350" i="2"/>
  <c r="E350" i="2" s="1"/>
  <c r="D366" i="2"/>
  <c r="E366" i="2" s="1"/>
  <c r="D262" i="2"/>
  <c r="E262" i="2" s="1"/>
  <c r="D354" i="2"/>
  <c r="E354" i="2" s="1"/>
  <c r="D323" i="2"/>
  <c r="E323" i="2" s="1"/>
  <c r="D275" i="2"/>
  <c r="E275" i="2" s="1"/>
  <c r="AD62" i="2" l="1"/>
  <c r="E62" i="2"/>
  <c r="Z88" i="2"/>
  <c r="E88" i="2"/>
  <c r="AD106" i="2"/>
  <c r="I14" i="6"/>
  <c r="H142" i="2" s="1"/>
  <c r="H100" i="2"/>
  <c r="J17" i="6"/>
  <c r="H145" i="2"/>
  <c r="AD145" i="2" s="1"/>
  <c r="D135" i="2"/>
  <c r="E135" i="2" s="1"/>
  <c r="D143" i="2"/>
  <c r="E143" i="2" s="1"/>
  <c r="D183" i="2"/>
  <c r="E183" i="2" s="1"/>
  <c r="D134" i="2"/>
  <c r="E134" i="2" s="1"/>
  <c r="D150" i="2"/>
  <c r="D237" i="2"/>
  <c r="D167" i="2"/>
  <c r="E167" i="2" s="1"/>
  <c r="D171" i="2"/>
  <c r="E171" i="2" s="1"/>
  <c r="D283" i="2"/>
  <c r="E283" i="2" s="1"/>
  <c r="D124" i="2"/>
  <c r="D104" i="2"/>
  <c r="E104" i="2" s="1"/>
  <c r="D116" i="2"/>
  <c r="E116" i="2" s="1"/>
  <c r="D148" i="2"/>
  <c r="E148" i="2" s="1"/>
  <c r="D159" i="2"/>
  <c r="D164" i="2"/>
  <c r="D120" i="2"/>
  <c r="D203" i="2"/>
  <c r="E203" i="2" s="1"/>
  <c r="D112" i="2"/>
  <c r="E112" i="2" s="1"/>
  <c r="D216" i="2"/>
  <c r="D100" i="2"/>
  <c r="E100" i="2" s="1"/>
  <c r="D189" i="2"/>
  <c r="E189" i="2" s="1"/>
  <c r="D160" i="2"/>
  <c r="E160" i="2" s="1"/>
  <c r="D163" i="2"/>
  <c r="E163" i="2" s="1"/>
  <c r="D181" i="2"/>
  <c r="E181" i="2" s="1"/>
  <c r="D165" i="2"/>
  <c r="D133" i="2"/>
  <c r="D151" i="2"/>
  <c r="E151" i="2" s="1"/>
  <c r="D96" i="2"/>
  <c r="E96" i="2" s="1"/>
  <c r="D128" i="2"/>
  <c r="D169" i="2"/>
  <c r="J20" i="6"/>
  <c r="H190" i="2" s="1"/>
  <c r="D252" i="2"/>
  <c r="E252" i="2" s="1"/>
  <c r="D221" i="2"/>
  <c r="E221" i="2" s="1"/>
  <c r="D130" i="2"/>
  <c r="D278" i="2"/>
  <c r="D173" i="2"/>
  <c r="E173" i="2" s="1"/>
  <c r="D317" i="2"/>
  <c r="E317" i="2" s="1"/>
  <c r="D396" i="2"/>
  <c r="D408" i="2"/>
  <c r="E408" i="2" s="1"/>
  <c r="D304" i="2"/>
  <c r="E304" i="2" s="1"/>
  <c r="D365" i="2"/>
  <c r="E365" i="2" s="1"/>
  <c r="D392" i="2"/>
  <c r="D355" i="2"/>
  <c r="E355" i="2" s="1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N5" i="2"/>
  <c r="AN47" i="2" s="1"/>
  <c r="AN89" i="2" s="1"/>
  <c r="AN131" i="2" s="1"/>
  <c r="AN173" i="2" s="1"/>
  <c r="AN215" i="2" s="1"/>
  <c r="AN257" i="2" s="1"/>
  <c r="AN6" i="2"/>
  <c r="AN48" i="2" s="1"/>
  <c r="AN90" i="2" s="1"/>
  <c r="AN132" i="2" s="1"/>
  <c r="AN174" i="2" s="1"/>
  <c r="AN216" i="2" s="1"/>
  <c r="AN258" i="2" s="1"/>
  <c r="AN300" i="2" s="1"/>
  <c r="AN342" i="2" s="1"/>
  <c r="AN384" i="2" s="1"/>
  <c r="AN426" i="2" s="1"/>
  <c r="AN468" i="2" s="1"/>
  <c r="AN7" i="2"/>
  <c r="AN49" i="2" s="1"/>
  <c r="AN91" i="2" s="1"/>
  <c r="AN133" i="2" s="1"/>
  <c r="AN175" i="2" s="1"/>
  <c r="AN217" i="2" s="1"/>
  <c r="AN259" i="2" s="1"/>
  <c r="AN8" i="2"/>
  <c r="AN50" i="2" s="1"/>
  <c r="AN92" i="2" s="1"/>
  <c r="AN134" i="2" s="1"/>
  <c r="AN176" i="2" s="1"/>
  <c r="AN218" i="2" s="1"/>
  <c r="AN260" i="2" s="1"/>
  <c r="AN302" i="2" s="1"/>
  <c r="AN344" i="2" s="1"/>
  <c r="AN386" i="2" s="1"/>
  <c r="AN428" i="2" s="1"/>
  <c r="AN470" i="2" s="1"/>
  <c r="AN9" i="2"/>
  <c r="AN51" i="2" s="1"/>
  <c r="AN93" i="2" s="1"/>
  <c r="AN135" i="2" s="1"/>
  <c r="AN177" i="2" s="1"/>
  <c r="AN219" i="2" s="1"/>
  <c r="AN261" i="2" s="1"/>
  <c r="AN10" i="2"/>
  <c r="AN52" i="2" s="1"/>
  <c r="AN94" i="2" s="1"/>
  <c r="AN136" i="2" s="1"/>
  <c r="AN178" i="2" s="1"/>
  <c r="AN220" i="2" s="1"/>
  <c r="AN262" i="2" s="1"/>
  <c r="AN304" i="2" s="1"/>
  <c r="AN346" i="2" s="1"/>
  <c r="AN388" i="2" s="1"/>
  <c r="AN430" i="2" s="1"/>
  <c r="AN472" i="2" s="1"/>
  <c r="AN12" i="2"/>
  <c r="AN54" i="2" s="1"/>
  <c r="AO54" i="2" s="1"/>
  <c r="AN14" i="2"/>
  <c r="AN56" i="2" s="1"/>
  <c r="AN98" i="2" s="1"/>
  <c r="AN140" i="2" s="1"/>
  <c r="AN182" i="2" s="1"/>
  <c r="AN224" i="2" s="1"/>
  <c r="AN266" i="2" s="1"/>
  <c r="AN308" i="2" s="1"/>
  <c r="AN350" i="2" s="1"/>
  <c r="AN392" i="2" s="1"/>
  <c r="AN434" i="2" s="1"/>
  <c r="AN476" i="2" s="1"/>
  <c r="AN15" i="2"/>
  <c r="AO15" i="2" s="1"/>
  <c r="AN16" i="2"/>
  <c r="AN58" i="2" s="1"/>
  <c r="AN100" i="2" s="1"/>
  <c r="AN142" i="2" s="1"/>
  <c r="AN184" i="2" s="1"/>
  <c r="AN226" i="2" s="1"/>
  <c r="AN268" i="2" s="1"/>
  <c r="AN310" i="2" s="1"/>
  <c r="AN352" i="2" s="1"/>
  <c r="AN394" i="2" s="1"/>
  <c r="AN436" i="2" s="1"/>
  <c r="AN478" i="2" s="1"/>
  <c r="AN17" i="2"/>
  <c r="AN59" i="2" s="1"/>
  <c r="AN101" i="2" s="1"/>
  <c r="AN143" i="2" s="1"/>
  <c r="AN185" i="2" s="1"/>
  <c r="AN227" i="2" s="1"/>
  <c r="AN269" i="2" s="1"/>
  <c r="AN18" i="2"/>
  <c r="AN60" i="2" s="1"/>
  <c r="AN102" i="2" s="1"/>
  <c r="AN144" i="2" s="1"/>
  <c r="AN186" i="2" s="1"/>
  <c r="AN228" i="2" s="1"/>
  <c r="AN270" i="2" s="1"/>
  <c r="AN312" i="2" s="1"/>
  <c r="AN354" i="2" s="1"/>
  <c r="AN396" i="2" s="1"/>
  <c r="AN438" i="2" s="1"/>
  <c r="AN480" i="2" s="1"/>
  <c r="AN19" i="2"/>
  <c r="AN61" i="2" s="1"/>
  <c r="AN103" i="2" s="1"/>
  <c r="AN145" i="2" s="1"/>
  <c r="AN187" i="2" s="1"/>
  <c r="AN229" i="2" s="1"/>
  <c r="AN271" i="2" s="1"/>
  <c r="AN22" i="2"/>
  <c r="AN64" i="2" s="1"/>
  <c r="AN106" i="2" s="1"/>
  <c r="AN148" i="2" s="1"/>
  <c r="AN190" i="2" s="1"/>
  <c r="AN232" i="2" s="1"/>
  <c r="AN274" i="2" s="1"/>
  <c r="AN316" i="2" s="1"/>
  <c r="AN358" i="2" s="1"/>
  <c r="AN400" i="2" s="1"/>
  <c r="AN442" i="2" s="1"/>
  <c r="AN484" i="2" s="1"/>
  <c r="AN23" i="2"/>
  <c r="AN65" i="2" s="1"/>
  <c r="AN107" i="2" s="1"/>
  <c r="AN149" i="2" s="1"/>
  <c r="AN191" i="2" s="1"/>
  <c r="AN233" i="2" s="1"/>
  <c r="AN275" i="2" s="1"/>
  <c r="AN24" i="2"/>
  <c r="AN66" i="2" s="1"/>
  <c r="AN108" i="2" s="1"/>
  <c r="AN150" i="2" s="1"/>
  <c r="AN192" i="2" s="1"/>
  <c r="AN234" i="2" s="1"/>
  <c r="AN276" i="2" s="1"/>
  <c r="AN318" i="2" s="1"/>
  <c r="AN360" i="2" s="1"/>
  <c r="AN402" i="2" s="1"/>
  <c r="AN444" i="2" s="1"/>
  <c r="AN486" i="2" s="1"/>
  <c r="AN25" i="2"/>
  <c r="AO25" i="2" s="1"/>
  <c r="AN26" i="2"/>
  <c r="AN68" i="2" s="1"/>
  <c r="AN110" i="2" s="1"/>
  <c r="AN152" i="2" s="1"/>
  <c r="AN194" i="2" s="1"/>
  <c r="AN236" i="2" s="1"/>
  <c r="AN278" i="2" s="1"/>
  <c r="AN320" i="2" s="1"/>
  <c r="AN362" i="2" s="1"/>
  <c r="AN404" i="2" s="1"/>
  <c r="AN446" i="2" s="1"/>
  <c r="AN488" i="2" s="1"/>
  <c r="AN27" i="2"/>
  <c r="AN69" i="2" s="1"/>
  <c r="AN111" i="2" s="1"/>
  <c r="AN153" i="2" s="1"/>
  <c r="AN195" i="2" s="1"/>
  <c r="AN237" i="2" s="1"/>
  <c r="AN279" i="2" s="1"/>
  <c r="AN28" i="2"/>
  <c r="AN70" i="2" s="1"/>
  <c r="AN112" i="2" s="1"/>
  <c r="AN154" i="2" s="1"/>
  <c r="AN196" i="2" s="1"/>
  <c r="AN238" i="2" s="1"/>
  <c r="AN280" i="2" s="1"/>
  <c r="AN322" i="2" s="1"/>
  <c r="AN364" i="2" s="1"/>
  <c r="AN406" i="2" s="1"/>
  <c r="AN448" i="2" s="1"/>
  <c r="AN490" i="2" s="1"/>
  <c r="AN30" i="2"/>
  <c r="AN72" i="2" s="1"/>
  <c r="AN114" i="2" s="1"/>
  <c r="AN156" i="2" s="1"/>
  <c r="AN198" i="2" s="1"/>
  <c r="AN240" i="2" s="1"/>
  <c r="AN282" i="2" s="1"/>
  <c r="AN324" i="2" s="1"/>
  <c r="AN366" i="2" s="1"/>
  <c r="AN408" i="2" s="1"/>
  <c r="AN450" i="2" s="1"/>
  <c r="AN492" i="2" s="1"/>
  <c r="AN31" i="2"/>
  <c r="AN73" i="2" s="1"/>
  <c r="AN115" i="2" s="1"/>
  <c r="AN157" i="2" s="1"/>
  <c r="AN199" i="2" s="1"/>
  <c r="AN241" i="2" s="1"/>
  <c r="AN283" i="2" s="1"/>
  <c r="AN325" i="2" s="1"/>
  <c r="AO325" i="2" s="1"/>
  <c r="AN32" i="2"/>
  <c r="AN74" i="2" s="1"/>
  <c r="AN116" i="2" s="1"/>
  <c r="AN158" i="2" s="1"/>
  <c r="AN200" i="2" s="1"/>
  <c r="AN242" i="2" s="1"/>
  <c r="AN284" i="2" s="1"/>
  <c r="AN326" i="2" s="1"/>
  <c r="AN368" i="2" s="1"/>
  <c r="AN410" i="2" s="1"/>
  <c r="AN452" i="2" s="1"/>
  <c r="AN494" i="2" s="1"/>
  <c r="AN34" i="2"/>
  <c r="AN76" i="2" s="1"/>
  <c r="AN118" i="2" s="1"/>
  <c r="AN160" i="2" s="1"/>
  <c r="AN202" i="2" s="1"/>
  <c r="AN244" i="2" s="1"/>
  <c r="AN286" i="2" s="1"/>
  <c r="AN328" i="2" s="1"/>
  <c r="AN370" i="2" s="1"/>
  <c r="AN412" i="2" s="1"/>
  <c r="AN454" i="2" s="1"/>
  <c r="AN496" i="2" s="1"/>
  <c r="AN35" i="2"/>
  <c r="AN77" i="2" s="1"/>
  <c r="AN119" i="2" s="1"/>
  <c r="AN161" i="2" s="1"/>
  <c r="AN203" i="2" s="1"/>
  <c r="AN245" i="2" s="1"/>
  <c r="AN36" i="2"/>
  <c r="AN78" i="2" s="1"/>
  <c r="AN120" i="2" s="1"/>
  <c r="AN162" i="2" s="1"/>
  <c r="AN204" i="2" s="1"/>
  <c r="AN246" i="2" s="1"/>
  <c r="AN288" i="2" s="1"/>
  <c r="AN330" i="2" s="1"/>
  <c r="AN372" i="2" s="1"/>
  <c r="AN414" i="2" s="1"/>
  <c r="AN456" i="2" s="1"/>
  <c r="AN498" i="2" s="1"/>
  <c r="AN37" i="2"/>
  <c r="AN79" i="2" s="1"/>
  <c r="AN121" i="2" s="1"/>
  <c r="AN163" i="2" s="1"/>
  <c r="AN205" i="2" s="1"/>
  <c r="AN247" i="2" s="1"/>
  <c r="AN289" i="2" s="1"/>
  <c r="AN331" i="2" s="1"/>
  <c r="AN39" i="2"/>
  <c r="AN81" i="2" s="1"/>
  <c r="AN123" i="2" s="1"/>
  <c r="AN165" i="2" s="1"/>
  <c r="AN207" i="2" s="1"/>
  <c r="AN249" i="2" s="1"/>
  <c r="AN40" i="2"/>
  <c r="AN82" i="2" s="1"/>
  <c r="AN124" i="2" s="1"/>
  <c r="AN166" i="2" s="1"/>
  <c r="AN208" i="2" s="1"/>
  <c r="AN250" i="2" s="1"/>
  <c r="AN292" i="2" s="1"/>
  <c r="AN334" i="2" s="1"/>
  <c r="AN376" i="2" s="1"/>
  <c r="AN418" i="2" s="1"/>
  <c r="AN460" i="2" s="1"/>
  <c r="AN502" i="2" s="1"/>
  <c r="AN41" i="2"/>
  <c r="AN83" i="2" s="1"/>
  <c r="AN125" i="2" s="1"/>
  <c r="AN167" i="2" s="1"/>
  <c r="AN209" i="2" s="1"/>
  <c r="AN251" i="2" s="1"/>
  <c r="AN293" i="2" s="1"/>
  <c r="AO293" i="2" s="1"/>
  <c r="AN43" i="2"/>
  <c r="Z5" i="2"/>
  <c r="Z6" i="2"/>
  <c r="AB6" i="2" s="1"/>
  <c r="Z7" i="2"/>
  <c r="Z8" i="2"/>
  <c r="Z9" i="2"/>
  <c r="AB9" i="2" s="1"/>
  <c r="Z10" i="2"/>
  <c r="AB10" i="2" s="1"/>
  <c r="Z11" i="2"/>
  <c r="Z12" i="2"/>
  <c r="AB12" i="2" s="1"/>
  <c r="Z13" i="2"/>
  <c r="Z14" i="2"/>
  <c r="AB14" i="2" s="1"/>
  <c r="Z15" i="2"/>
  <c r="Z16" i="2"/>
  <c r="AB16" i="2" s="1"/>
  <c r="Z17" i="2"/>
  <c r="AB17" i="2" s="1"/>
  <c r="Z18" i="2"/>
  <c r="AB18" i="2" s="1"/>
  <c r="Z19" i="2"/>
  <c r="Z20" i="2"/>
  <c r="Z21" i="2"/>
  <c r="Z22" i="2"/>
  <c r="Z23" i="2"/>
  <c r="Z24" i="2"/>
  <c r="AB24" i="2" s="1"/>
  <c r="Z25" i="2"/>
  <c r="AB25" i="2" s="1"/>
  <c r="Z26" i="2"/>
  <c r="AB26" i="2" s="1"/>
  <c r="Z27" i="2"/>
  <c r="Z28" i="2"/>
  <c r="AB28" i="2" s="1"/>
  <c r="Z29" i="2"/>
  <c r="AB29" i="2" s="1"/>
  <c r="Z30" i="2"/>
  <c r="AB30" i="2" s="1"/>
  <c r="Z31" i="2"/>
  <c r="Z32" i="2"/>
  <c r="AB32" i="2" s="1"/>
  <c r="Z33" i="2"/>
  <c r="Z34" i="2"/>
  <c r="AB34" i="2" s="1"/>
  <c r="Z35" i="2"/>
  <c r="Z36" i="2"/>
  <c r="AB36" i="2" s="1"/>
  <c r="Z37" i="2"/>
  <c r="AB37" i="2" s="1"/>
  <c r="Z38" i="2"/>
  <c r="AB38" i="2" s="1"/>
  <c r="Z39" i="2"/>
  <c r="Z40" i="2"/>
  <c r="Z41" i="2"/>
  <c r="AB41" i="2" s="1"/>
  <c r="Z42" i="2"/>
  <c r="AB42" i="2" s="1"/>
  <c r="Z43" i="2"/>
  <c r="Z44" i="2"/>
  <c r="AB44" i="2" s="1"/>
  <c r="Z45" i="2"/>
  <c r="AB45" i="2" s="1"/>
  <c r="Z46" i="2"/>
  <c r="Z47" i="2"/>
  <c r="Z48" i="2"/>
  <c r="Z49" i="2"/>
  <c r="Z50" i="2"/>
  <c r="Z51" i="2"/>
  <c r="Z52" i="2"/>
  <c r="Z53" i="2"/>
  <c r="Z54" i="2"/>
  <c r="J55" i="2"/>
  <c r="X55" i="2" s="1"/>
  <c r="Z55" i="2"/>
  <c r="Z56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9" i="2"/>
  <c r="Z90" i="2"/>
  <c r="Z91" i="2"/>
  <c r="Z92" i="2"/>
  <c r="Z93" i="2"/>
  <c r="Z94" i="2"/>
  <c r="Z95" i="2"/>
  <c r="Z97" i="2"/>
  <c r="Z98" i="2"/>
  <c r="Z99" i="2"/>
  <c r="Z101" i="2"/>
  <c r="Z102" i="2"/>
  <c r="Z105" i="2"/>
  <c r="Z106" i="2"/>
  <c r="Z107" i="2"/>
  <c r="Z108" i="2"/>
  <c r="Z110" i="2"/>
  <c r="Z113" i="2"/>
  <c r="Z114" i="2"/>
  <c r="Z115" i="2"/>
  <c r="Z117" i="2"/>
  <c r="Z118" i="2"/>
  <c r="Z121" i="2"/>
  <c r="Z122" i="2"/>
  <c r="Z125" i="2"/>
  <c r="Z126" i="2"/>
  <c r="Z127" i="2"/>
  <c r="Z129" i="2"/>
  <c r="Z132" i="2"/>
  <c r="Z135" i="2"/>
  <c r="Z136" i="2"/>
  <c r="Z137" i="2"/>
  <c r="Z139" i="2"/>
  <c r="Z140" i="2"/>
  <c r="Z144" i="2"/>
  <c r="Z145" i="2"/>
  <c r="Z147" i="2"/>
  <c r="Z152" i="2"/>
  <c r="Z153" i="2"/>
  <c r="Z156" i="2"/>
  <c r="Z157" i="2"/>
  <c r="Z161" i="2"/>
  <c r="Z168" i="2"/>
  <c r="Z174" i="2"/>
  <c r="Z178" i="2"/>
  <c r="Z179" i="2"/>
  <c r="Z182" i="2"/>
  <c r="Z186" i="2"/>
  <c r="Z187" i="2"/>
  <c r="Z191" i="2"/>
  <c r="Z194" i="2"/>
  <c r="Z197" i="2"/>
  <c r="Z198" i="2"/>
  <c r="Z199" i="2"/>
  <c r="Z210" i="2"/>
  <c r="Z220" i="2"/>
  <c r="Z224" i="2"/>
  <c r="Z228" i="2"/>
  <c r="Z229" i="2"/>
  <c r="Z233" i="2"/>
  <c r="Z236" i="2"/>
  <c r="Z239" i="2"/>
  <c r="Z240" i="2"/>
  <c r="Z241" i="2"/>
  <c r="Z262" i="2"/>
  <c r="Z266" i="2"/>
  <c r="Z270" i="2"/>
  <c r="Z271" i="2"/>
  <c r="Z275" i="2"/>
  <c r="Z281" i="2"/>
  <c r="Z282" i="2"/>
  <c r="Z283" i="2"/>
  <c r="Z308" i="2"/>
  <c r="Z312" i="2"/>
  <c r="Z313" i="2"/>
  <c r="Z323" i="2"/>
  <c r="Z324" i="2"/>
  <c r="Z350" i="2"/>
  <c r="Z354" i="2"/>
  <c r="Z365" i="2"/>
  <c r="Z366" i="2"/>
  <c r="H9" i="2"/>
  <c r="AD9" i="2" s="1"/>
  <c r="H13" i="2"/>
  <c r="AD13" i="2" s="1"/>
  <c r="H16" i="2"/>
  <c r="AD16" i="2" s="1"/>
  <c r="H19" i="2"/>
  <c r="AF20" i="2"/>
  <c r="AE62" i="2" s="1"/>
  <c r="H22" i="2"/>
  <c r="H38" i="2"/>
  <c r="H39" i="2"/>
  <c r="H40" i="2"/>
  <c r="H41" i="2"/>
  <c r="H42" i="2"/>
  <c r="H43" i="2"/>
  <c r="H44" i="2"/>
  <c r="H45" i="2"/>
  <c r="H58" i="2"/>
  <c r="AD58" i="2" s="1"/>
  <c r="H61" i="2"/>
  <c r="AD61" i="2" s="1"/>
  <c r="H64" i="2"/>
  <c r="AD64" i="2" s="1"/>
  <c r="J4" i="2"/>
  <c r="X4" i="2" s="1"/>
  <c r="J5" i="2"/>
  <c r="X5" i="2" s="1"/>
  <c r="J6" i="2"/>
  <c r="X6" i="2" s="1"/>
  <c r="J7" i="2"/>
  <c r="X7" i="2" s="1"/>
  <c r="J8" i="2"/>
  <c r="X8" i="2" s="1"/>
  <c r="J9" i="2"/>
  <c r="X9" i="2" s="1"/>
  <c r="J10" i="2"/>
  <c r="X10" i="2" s="1"/>
  <c r="J11" i="2"/>
  <c r="X11" i="2" s="1"/>
  <c r="J12" i="2"/>
  <c r="X12" i="2" s="1"/>
  <c r="J13" i="2"/>
  <c r="X13" i="2" s="1"/>
  <c r="J14" i="2"/>
  <c r="X14" i="2" s="1"/>
  <c r="J15" i="2"/>
  <c r="X15" i="2" s="1"/>
  <c r="J16" i="2"/>
  <c r="X16" i="2" s="1"/>
  <c r="J17" i="2"/>
  <c r="X17" i="2" s="1"/>
  <c r="J18" i="2"/>
  <c r="X18" i="2" s="1"/>
  <c r="J19" i="2"/>
  <c r="X19" i="2" s="1"/>
  <c r="J20" i="2"/>
  <c r="X20" i="2" s="1"/>
  <c r="J21" i="2"/>
  <c r="X21" i="2" s="1"/>
  <c r="J22" i="2"/>
  <c r="X22" i="2" s="1"/>
  <c r="J23" i="2"/>
  <c r="X23" i="2" s="1"/>
  <c r="J24" i="2"/>
  <c r="X24" i="2" s="1"/>
  <c r="J25" i="2"/>
  <c r="X25" i="2" s="1"/>
  <c r="J26" i="2"/>
  <c r="X26" i="2" s="1"/>
  <c r="J27" i="2"/>
  <c r="X27" i="2" s="1"/>
  <c r="J28" i="2"/>
  <c r="X28" i="2" s="1"/>
  <c r="J29" i="2"/>
  <c r="X29" i="2" s="1"/>
  <c r="J30" i="2"/>
  <c r="X30" i="2" s="1"/>
  <c r="J31" i="2"/>
  <c r="X31" i="2" s="1"/>
  <c r="J32" i="2"/>
  <c r="X32" i="2" s="1"/>
  <c r="J33" i="2"/>
  <c r="X33" i="2" s="1"/>
  <c r="J34" i="2"/>
  <c r="X34" i="2" s="1"/>
  <c r="J35" i="2"/>
  <c r="X35" i="2" s="1"/>
  <c r="J36" i="2"/>
  <c r="X36" i="2" s="1"/>
  <c r="J37" i="2"/>
  <c r="X37" i="2" s="1"/>
  <c r="J38" i="2"/>
  <c r="X38" i="2" s="1"/>
  <c r="J39" i="2"/>
  <c r="X39" i="2" s="1"/>
  <c r="J40" i="2"/>
  <c r="X40" i="2" s="1"/>
  <c r="J41" i="2"/>
  <c r="X41" i="2" s="1"/>
  <c r="J42" i="2"/>
  <c r="X42" i="2" s="1"/>
  <c r="J43" i="2"/>
  <c r="X43" i="2" s="1"/>
  <c r="J44" i="2"/>
  <c r="X44" i="2" s="1"/>
  <c r="J45" i="2"/>
  <c r="X45" i="2" s="1"/>
  <c r="J46" i="2"/>
  <c r="X46" i="2" s="1"/>
  <c r="J47" i="2"/>
  <c r="X47" i="2" s="1"/>
  <c r="J48" i="2"/>
  <c r="X48" i="2" s="1"/>
  <c r="J49" i="2"/>
  <c r="X49" i="2" s="1"/>
  <c r="J50" i="2"/>
  <c r="X50" i="2" s="1"/>
  <c r="J51" i="2"/>
  <c r="X51" i="2" s="1"/>
  <c r="J52" i="2"/>
  <c r="X52" i="2" s="1"/>
  <c r="J53" i="2"/>
  <c r="X53" i="2" s="1"/>
  <c r="J54" i="2"/>
  <c r="X54" i="2" s="1"/>
  <c r="J56" i="2"/>
  <c r="X56" i="2" s="1"/>
  <c r="J58" i="2"/>
  <c r="X58" i="2" s="1"/>
  <c r="J59" i="2"/>
  <c r="X59" i="2" s="1"/>
  <c r="J60" i="2"/>
  <c r="X60" i="2" s="1"/>
  <c r="J61" i="2"/>
  <c r="X61" i="2" s="1"/>
  <c r="J62" i="2"/>
  <c r="X62" i="2" s="1"/>
  <c r="J63" i="2"/>
  <c r="X63" i="2" s="1"/>
  <c r="J64" i="2"/>
  <c r="X64" i="2" s="1"/>
  <c r="J65" i="2"/>
  <c r="X65" i="2" s="1"/>
  <c r="J66" i="2"/>
  <c r="X66" i="2" s="1"/>
  <c r="J67" i="2"/>
  <c r="X67" i="2" s="1"/>
  <c r="J68" i="2"/>
  <c r="X68" i="2" s="1"/>
  <c r="J69" i="2"/>
  <c r="X69" i="2" s="1"/>
  <c r="J70" i="2"/>
  <c r="X70" i="2" s="1"/>
  <c r="J72" i="2"/>
  <c r="X72" i="2" s="1"/>
  <c r="J73" i="2"/>
  <c r="X73" i="2" s="1"/>
  <c r="J75" i="2"/>
  <c r="X75" i="2" s="1"/>
  <c r="J76" i="2"/>
  <c r="X76" i="2" s="1"/>
  <c r="J77" i="2"/>
  <c r="X77" i="2" s="1"/>
  <c r="J78" i="2"/>
  <c r="X78" i="2" s="1"/>
  <c r="J79" i="2"/>
  <c r="X79" i="2" s="1"/>
  <c r="J80" i="2"/>
  <c r="X80" i="2" s="1"/>
  <c r="J81" i="2"/>
  <c r="X81" i="2" s="1"/>
  <c r="J82" i="2"/>
  <c r="X82" i="2" s="1"/>
  <c r="J83" i="2"/>
  <c r="X83" i="2" s="1"/>
  <c r="J84" i="2"/>
  <c r="X84" i="2" s="1"/>
  <c r="J85" i="2"/>
  <c r="X85" i="2" s="1"/>
  <c r="J86" i="2"/>
  <c r="X86" i="2" s="1"/>
  <c r="J87" i="2"/>
  <c r="X87" i="2" s="1"/>
  <c r="J88" i="2"/>
  <c r="X88" i="2" s="1"/>
  <c r="J89" i="2"/>
  <c r="X89" i="2" s="1"/>
  <c r="J90" i="2"/>
  <c r="X90" i="2" s="1"/>
  <c r="J91" i="2"/>
  <c r="X91" i="2" s="1"/>
  <c r="J92" i="2"/>
  <c r="X92" i="2" s="1"/>
  <c r="J93" i="2"/>
  <c r="X93" i="2" s="1"/>
  <c r="J94" i="2"/>
  <c r="X94" i="2" s="1"/>
  <c r="J95" i="2"/>
  <c r="X95" i="2" s="1"/>
  <c r="J97" i="2"/>
  <c r="X97" i="2" s="1"/>
  <c r="J98" i="2"/>
  <c r="X98" i="2" s="1"/>
  <c r="J99" i="2"/>
  <c r="X99" i="2" s="1"/>
  <c r="J101" i="2"/>
  <c r="X101" i="2" s="1"/>
  <c r="J102" i="2"/>
  <c r="X102" i="2" s="1"/>
  <c r="J105" i="2"/>
  <c r="X105" i="2" s="1"/>
  <c r="J106" i="2"/>
  <c r="X106" i="2" s="1"/>
  <c r="J107" i="2"/>
  <c r="X107" i="2" s="1"/>
  <c r="J108" i="2"/>
  <c r="X108" i="2" s="1"/>
  <c r="J110" i="2"/>
  <c r="X110" i="2" s="1"/>
  <c r="J113" i="2"/>
  <c r="X113" i="2" s="1"/>
  <c r="J114" i="2"/>
  <c r="X114" i="2" s="1"/>
  <c r="J115" i="2"/>
  <c r="X115" i="2" s="1"/>
  <c r="J117" i="2"/>
  <c r="X117" i="2" s="1"/>
  <c r="J118" i="2"/>
  <c r="X118" i="2" s="1"/>
  <c r="J121" i="2"/>
  <c r="X121" i="2" s="1"/>
  <c r="J125" i="2"/>
  <c r="X125" i="2" s="1"/>
  <c r="J126" i="2"/>
  <c r="X126" i="2" s="1"/>
  <c r="J127" i="2"/>
  <c r="X127" i="2" s="1"/>
  <c r="J128" i="2"/>
  <c r="X128" i="2" s="1"/>
  <c r="J129" i="2"/>
  <c r="X129" i="2" s="1"/>
  <c r="J132" i="2"/>
  <c r="X132" i="2" s="1"/>
  <c r="J136" i="2"/>
  <c r="X136" i="2" s="1"/>
  <c r="J137" i="2"/>
  <c r="X137" i="2" s="1"/>
  <c r="J139" i="2"/>
  <c r="X139" i="2" s="1"/>
  <c r="J140" i="2"/>
  <c r="X140" i="2" s="1"/>
  <c r="J144" i="2"/>
  <c r="X144" i="2" s="1"/>
  <c r="J145" i="2"/>
  <c r="X145" i="2" s="1"/>
  <c r="J147" i="2"/>
  <c r="X147" i="2" s="1"/>
  <c r="J150" i="2"/>
  <c r="X150" i="2" s="1"/>
  <c r="J153" i="2"/>
  <c r="X153" i="2" s="1"/>
  <c r="J156" i="2"/>
  <c r="X156" i="2" s="1"/>
  <c r="J157" i="2"/>
  <c r="X157" i="2" s="1"/>
  <c r="J161" i="2"/>
  <c r="X161" i="2" s="1"/>
  <c r="J168" i="2"/>
  <c r="X168" i="2" s="1"/>
  <c r="J174" i="2"/>
  <c r="X174" i="2" s="1"/>
  <c r="J178" i="2"/>
  <c r="X178" i="2" s="1"/>
  <c r="J179" i="2"/>
  <c r="X179" i="2" s="1"/>
  <c r="J182" i="2"/>
  <c r="X182" i="2" s="1"/>
  <c r="J186" i="2"/>
  <c r="X186" i="2" s="1"/>
  <c r="J187" i="2"/>
  <c r="X187" i="2" s="1"/>
  <c r="J191" i="2"/>
  <c r="X191" i="2" s="1"/>
  <c r="J194" i="2"/>
  <c r="X194" i="2" s="1"/>
  <c r="J197" i="2"/>
  <c r="X197" i="2" s="1"/>
  <c r="J198" i="2"/>
  <c r="X198" i="2" s="1"/>
  <c r="J199" i="2"/>
  <c r="X199" i="2" s="1"/>
  <c r="J210" i="2"/>
  <c r="X210" i="2" s="1"/>
  <c r="J220" i="2"/>
  <c r="X220" i="2" s="1"/>
  <c r="J224" i="2"/>
  <c r="X224" i="2" s="1"/>
  <c r="J228" i="2"/>
  <c r="X228" i="2" s="1"/>
  <c r="J233" i="2"/>
  <c r="X233" i="2" s="1"/>
  <c r="J236" i="2"/>
  <c r="X236" i="2" s="1"/>
  <c r="J239" i="2"/>
  <c r="X239" i="2" s="1"/>
  <c r="J240" i="2"/>
  <c r="X240" i="2" s="1"/>
  <c r="J241" i="2"/>
  <c r="X241" i="2" s="1"/>
  <c r="J262" i="2"/>
  <c r="X262" i="2" s="1"/>
  <c r="J266" i="2"/>
  <c r="X266" i="2" s="1"/>
  <c r="J270" i="2"/>
  <c r="X270" i="2" s="1"/>
  <c r="J271" i="2"/>
  <c r="X271" i="2" s="1"/>
  <c r="J275" i="2"/>
  <c r="X275" i="2" s="1"/>
  <c r="J281" i="2"/>
  <c r="X281" i="2" s="1"/>
  <c r="J282" i="2"/>
  <c r="X282" i="2" s="1"/>
  <c r="J308" i="2"/>
  <c r="X308" i="2" s="1"/>
  <c r="J312" i="2"/>
  <c r="X312" i="2" s="1"/>
  <c r="J313" i="2"/>
  <c r="X313" i="2" s="1"/>
  <c r="J323" i="2"/>
  <c r="X323" i="2" s="1"/>
  <c r="J324" i="2"/>
  <c r="X324" i="2" s="1"/>
  <c r="J350" i="2"/>
  <c r="X350" i="2" s="1"/>
  <c r="J354" i="2"/>
  <c r="X354" i="2" s="1"/>
  <c r="J366" i="2"/>
  <c r="X366" i="2" s="1"/>
  <c r="H20" i="2"/>
  <c r="G117" i="2"/>
  <c r="G241" i="2"/>
  <c r="G4" i="2"/>
  <c r="F3" i="15"/>
  <c r="K5" i="2" s="1"/>
  <c r="F4" i="15"/>
  <c r="K6" i="2" s="1"/>
  <c r="F5" i="15"/>
  <c r="K7" i="2" s="1"/>
  <c r="F6" i="15"/>
  <c r="K8" i="2" s="1"/>
  <c r="F7" i="15"/>
  <c r="K9" i="2" s="1"/>
  <c r="F8" i="15"/>
  <c r="K10" i="2" s="1"/>
  <c r="F9" i="15"/>
  <c r="K11" i="2" s="1"/>
  <c r="F10" i="15"/>
  <c r="K12" i="2" s="1"/>
  <c r="F11" i="15"/>
  <c r="K13" i="2" s="1"/>
  <c r="F12" i="15"/>
  <c r="K14" i="2" s="1"/>
  <c r="F13" i="15"/>
  <c r="K15" i="2" s="1"/>
  <c r="F14" i="15"/>
  <c r="K16" i="2" s="1"/>
  <c r="F15" i="15"/>
  <c r="K17" i="2" s="1"/>
  <c r="F16" i="15"/>
  <c r="K18" i="2" s="1"/>
  <c r="F17" i="15"/>
  <c r="K19" i="2" s="1"/>
  <c r="F18" i="15"/>
  <c r="K20" i="2" s="1"/>
  <c r="F19" i="15"/>
  <c r="K21" i="2" s="1"/>
  <c r="F20" i="15"/>
  <c r="K22" i="2" s="1"/>
  <c r="F21" i="15"/>
  <c r="K23" i="2" s="1"/>
  <c r="F22" i="15"/>
  <c r="K24" i="2" s="1"/>
  <c r="F23" i="15"/>
  <c r="K25" i="2" s="1"/>
  <c r="F24" i="15"/>
  <c r="K26" i="2" s="1"/>
  <c r="F25" i="15"/>
  <c r="K27" i="2" s="1"/>
  <c r="F26" i="15"/>
  <c r="K28" i="2" s="1"/>
  <c r="F27" i="15"/>
  <c r="K29" i="2" s="1"/>
  <c r="F28" i="15"/>
  <c r="K30" i="2" s="1"/>
  <c r="F29" i="15"/>
  <c r="K31" i="2" s="1"/>
  <c r="F30" i="15"/>
  <c r="K32" i="2" s="1"/>
  <c r="F31" i="15"/>
  <c r="K33" i="2" s="1"/>
  <c r="F32" i="15"/>
  <c r="K34" i="2" s="1"/>
  <c r="F33" i="15"/>
  <c r="K35" i="2" s="1"/>
  <c r="F34" i="15"/>
  <c r="K36" i="2" s="1"/>
  <c r="F35" i="15"/>
  <c r="K37" i="2" s="1"/>
  <c r="F36" i="15"/>
  <c r="K38" i="2" s="1"/>
  <c r="F37" i="15"/>
  <c r="K39" i="2" s="1"/>
  <c r="F38" i="15"/>
  <c r="K40" i="2" s="1"/>
  <c r="F39" i="15"/>
  <c r="K41" i="2" s="1"/>
  <c r="F40" i="15"/>
  <c r="K42" i="2" s="1"/>
  <c r="F41" i="15"/>
  <c r="K43" i="2" s="1"/>
  <c r="F42" i="15"/>
  <c r="K44" i="2" s="1"/>
  <c r="F2" i="15"/>
  <c r="K4" i="2" s="1"/>
  <c r="M4" i="2" s="1"/>
  <c r="F43" i="15"/>
  <c r="K45" i="2" s="1"/>
  <c r="G22" i="6"/>
  <c r="H22" i="6" s="1"/>
  <c r="C30" i="6"/>
  <c r="C31" i="6"/>
  <c r="C32" i="6"/>
  <c r="C33" i="6"/>
  <c r="C34" i="6"/>
  <c r="C35" i="6"/>
  <c r="E35" i="6" s="1"/>
  <c r="C36" i="6"/>
  <c r="G36" i="6" s="1"/>
  <c r="H36" i="6" s="1"/>
  <c r="C37" i="6"/>
  <c r="G37" i="6" s="1"/>
  <c r="H37" i="6" s="1"/>
  <c r="C38" i="6"/>
  <c r="G38" i="6" s="1"/>
  <c r="H38" i="6" s="1"/>
  <c r="C39" i="6"/>
  <c r="G39" i="6" s="1"/>
  <c r="H39" i="6" s="1"/>
  <c r="C40" i="6"/>
  <c r="G40" i="6" s="1"/>
  <c r="H40" i="6" s="1"/>
  <c r="C41" i="6"/>
  <c r="G41" i="6" s="1"/>
  <c r="H41" i="6" s="1"/>
  <c r="C42" i="6"/>
  <c r="G42" i="6" s="1"/>
  <c r="H42" i="6" s="1"/>
  <c r="C43" i="6"/>
  <c r="G43" i="6" s="1"/>
  <c r="H43" i="6" s="1"/>
  <c r="C29" i="6"/>
  <c r="C28" i="6"/>
  <c r="C27" i="6"/>
  <c r="C26" i="6"/>
  <c r="C25" i="6"/>
  <c r="C24" i="6"/>
  <c r="C23" i="6"/>
  <c r="C21" i="6"/>
  <c r="C19" i="6"/>
  <c r="C18" i="6"/>
  <c r="G18" i="6" s="1"/>
  <c r="H18" i="6" s="1"/>
  <c r="C16" i="6"/>
  <c r="C15" i="6"/>
  <c r="C13" i="6"/>
  <c r="C12" i="6"/>
  <c r="C11" i="6"/>
  <c r="G11" i="6" s="1"/>
  <c r="H11" i="6" s="1"/>
  <c r="C10" i="6"/>
  <c r="C9" i="6"/>
  <c r="C8" i="6"/>
  <c r="C7" i="6"/>
  <c r="G7" i="6" s="1"/>
  <c r="H7" i="6" s="1"/>
  <c r="C6" i="6"/>
  <c r="C5" i="6"/>
  <c r="E5" i="6" s="1"/>
  <c r="H7" i="2" s="1"/>
  <c r="AD7" i="2" s="1"/>
  <c r="C4" i="6"/>
  <c r="C3" i="6"/>
  <c r="C2" i="6"/>
  <c r="B6" i="4"/>
  <c r="C6" i="4" s="1"/>
  <c r="D6" i="4" s="1"/>
  <c r="E6" i="4" s="1"/>
  <c r="F6" i="4" s="1"/>
  <c r="E38" i="3" s="1"/>
  <c r="AL4" i="2" s="1"/>
  <c r="C43" i="3"/>
  <c r="E43" i="3" s="1"/>
  <c r="C42" i="3"/>
  <c r="E42" i="3" s="1"/>
  <c r="E41" i="3"/>
  <c r="C25" i="3"/>
  <c r="E25" i="3" s="1"/>
  <c r="M37" i="9"/>
  <c r="K37" i="9"/>
  <c r="L37" i="9" s="1"/>
  <c r="M36" i="9"/>
  <c r="K36" i="9"/>
  <c r="L36" i="9" s="1"/>
  <c r="M35" i="9"/>
  <c r="K35" i="9"/>
  <c r="L35" i="9"/>
  <c r="M34" i="9"/>
  <c r="K34" i="9"/>
  <c r="L34" i="9"/>
  <c r="M33" i="9"/>
  <c r="K33" i="9"/>
  <c r="L33" i="9" s="1"/>
  <c r="M32" i="9"/>
  <c r="K32" i="9"/>
  <c r="L32" i="9" s="1"/>
  <c r="M31" i="9"/>
  <c r="K31" i="9"/>
  <c r="L31" i="9"/>
  <c r="M30" i="9"/>
  <c r="K30" i="9"/>
  <c r="L30" i="9"/>
  <c r="M29" i="9"/>
  <c r="K29" i="9"/>
  <c r="L29" i="9" s="1"/>
  <c r="M28" i="9"/>
  <c r="K28" i="9"/>
  <c r="L28" i="9" s="1"/>
  <c r="M27" i="9"/>
  <c r="K27" i="9"/>
  <c r="L27" i="9"/>
  <c r="M26" i="9"/>
  <c r="K26" i="9"/>
  <c r="L26" i="9"/>
  <c r="M25" i="9"/>
  <c r="K25" i="9"/>
  <c r="L25" i="9" s="1"/>
  <c r="M24" i="9"/>
  <c r="K24" i="9"/>
  <c r="L24" i="9" s="1"/>
  <c r="M23" i="9"/>
  <c r="K23" i="9"/>
  <c r="L23" i="9"/>
  <c r="M22" i="9"/>
  <c r="K22" i="9"/>
  <c r="L22" i="9"/>
  <c r="M21" i="9"/>
  <c r="K21" i="9"/>
  <c r="L21" i="9" s="1"/>
  <c r="M20" i="9"/>
  <c r="K20" i="9"/>
  <c r="L20" i="9" s="1"/>
  <c r="M19" i="9"/>
  <c r="K19" i="9"/>
  <c r="L19" i="9"/>
  <c r="M18" i="9"/>
  <c r="K18" i="9"/>
  <c r="L18" i="9"/>
  <c r="M17" i="9"/>
  <c r="K17" i="9"/>
  <c r="L17" i="9" s="1"/>
  <c r="M16" i="9"/>
  <c r="K16" i="9"/>
  <c r="L16" i="9" s="1"/>
  <c r="M15" i="9"/>
  <c r="K15" i="9"/>
  <c r="L15" i="9"/>
  <c r="M14" i="9"/>
  <c r="K14" i="9"/>
  <c r="L14" i="9"/>
  <c r="M13" i="9"/>
  <c r="K13" i="9"/>
  <c r="L13" i="9" s="1"/>
  <c r="M12" i="9"/>
  <c r="K12" i="9"/>
  <c r="L12" i="9" s="1"/>
  <c r="M11" i="9"/>
  <c r="K11" i="9"/>
  <c r="L11" i="9"/>
  <c r="M10" i="9"/>
  <c r="K10" i="9"/>
  <c r="L10" i="9"/>
  <c r="M9" i="9"/>
  <c r="K9" i="9"/>
  <c r="L9" i="9" s="1"/>
  <c r="M8" i="9"/>
  <c r="K8" i="9"/>
  <c r="L8" i="9" s="1"/>
  <c r="M7" i="9"/>
  <c r="K7" i="9"/>
  <c r="L7" i="9"/>
  <c r="M6" i="9"/>
  <c r="K6" i="9"/>
  <c r="L6" i="9"/>
  <c r="M5" i="9"/>
  <c r="K5" i="9"/>
  <c r="L5" i="9" s="1"/>
  <c r="M4" i="9"/>
  <c r="K4" i="9"/>
  <c r="L4" i="9" s="1"/>
  <c r="M3" i="9"/>
  <c r="K3" i="9"/>
  <c r="L3" i="9"/>
  <c r="M2" i="9"/>
  <c r="K2" i="9"/>
  <c r="L2" i="9"/>
  <c r="C11" i="7"/>
  <c r="C24" i="3" s="1"/>
  <c r="C7" i="7"/>
  <c r="C10" i="7"/>
  <c r="C12" i="7"/>
  <c r="C9" i="7"/>
  <c r="C8" i="7"/>
  <c r="C38" i="3"/>
  <c r="C40" i="3"/>
  <c r="AH4" i="2" s="1"/>
  <c r="AS8" i="2"/>
  <c r="C23" i="3"/>
  <c r="E32" i="3"/>
  <c r="E31" i="3"/>
  <c r="C30" i="3"/>
  <c r="E30" i="3" s="1"/>
  <c r="E28" i="3"/>
  <c r="E27" i="3"/>
  <c r="E26" i="3"/>
  <c r="AS19" i="2"/>
  <c r="AS10" i="2"/>
  <c r="AS23" i="2"/>
  <c r="AS12" i="2"/>
  <c r="AS14" i="2"/>
  <c r="AS6" i="2"/>
  <c r="AS16" i="2"/>
  <c r="AS21" i="2"/>
  <c r="AS22" i="2"/>
  <c r="AS15" i="2"/>
  <c r="AS18" i="2"/>
  <c r="AS11" i="2"/>
  <c r="AS9" i="2"/>
  <c r="AS17" i="2"/>
  <c r="AS20" i="2"/>
  <c r="AS13" i="2"/>
  <c r="AS5" i="2"/>
  <c r="C21" i="3"/>
  <c r="C22" i="3"/>
  <c r="AS7" i="2"/>
  <c r="Z164" i="2" l="1"/>
  <c r="E164" i="2"/>
  <c r="Z396" i="2"/>
  <c r="E396" i="2"/>
  <c r="J169" i="2"/>
  <c r="X169" i="2" s="1"/>
  <c r="E169" i="2"/>
  <c r="J159" i="2"/>
  <c r="X159" i="2" s="1"/>
  <c r="E159" i="2"/>
  <c r="Z237" i="2"/>
  <c r="AL237" i="2" s="1"/>
  <c r="E237" i="2"/>
  <c r="Z128" i="2"/>
  <c r="E128" i="2"/>
  <c r="Z150" i="2"/>
  <c r="AL150" i="2" s="1"/>
  <c r="E150" i="2"/>
  <c r="J278" i="2"/>
  <c r="X278" i="2" s="1"/>
  <c r="E278" i="2"/>
  <c r="Z216" i="2"/>
  <c r="AL216" i="2" s="1"/>
  <c r="E216" i="2"/>
  <c r="AQ4" i="2"/>
  <c r="J392" i="2"/>
  <c r="X392" i="2" s="1"/>
  <c r="E392" i="2"/>
  <c r="Z130" i="2"/>
  <c r="AL130" i="2" s="1"/>
  <c r="E130" i="2"/>
  <c r="Z133" i="2"/>
  <c r="AL133" i="2" s="1"/>
  <c r="E133" i="2"/>
  <c r="Z124" i="2"/>
  <c r="AL124" i="2" s="1"/>
  <c r="E124" i="2"/>
  <c r="Z165" i="2"/>
  <c r="E165" i="2"/>
  <c r="Z120" i="2"/>
  <c r="AL120" i="2" s="1"/>
  <c r="E120" i="2"/>
  <c r="AC10" i="2"/>
  <c r="AD40" i="2"/>
  <c r="AF40" i="2" s="1"/>
  <c r="AD39" i="2"/>
  <c r="AF39" i="2" s="1"/>
  <c r="AD44" i="2"/>
  <c r="AF44" i="2" s="1"/>
  <c r="AD43" i="2"/>
  <c r="AF43" i="2" s="1"/>
  <c r="AO30" i="2"/>
  <c r="AD42" i="2"/>
  <c r="AF42" i="2" s="1"/>
  <c r="AD38" i="2"/>
  <c r="AF38" i="2" s="1"/>
  <c r="AE80" i="2" s="1"/>
  <c r="AD45" i="2"/>
  <c r="AF45" i="2" s="1"/>
  <c r="AD41" i="2"/>
  <c r="AF41" i="2" s="1"/>
  <c r="Z159" i="2"/>
  <c r="AL159" i="2" s="1"/>
  <c r="J237" i="2"/>
  <c r="X237" i="2" s="1"/>
  <c r="AN67" i="2"/>
  <c r="AN109" i="2" s="1"/>
  <c r="AN151" i="2" s="1"/>
  <c r="AN193" i="2" s="1"/>
  <c r="AN235" i="2" s="1"/>
  <c r="AN277" i="2" s="1"/>
  <c r="AN319" i="2" s="1"/>
  <c r="AO40" i="2"/>
  <c r="J133" i="2"/>
  <c r="X133" i="2" s="1"/>
  <c r="Z169" i="2"/>
  <c r="AH169" i="2" s="1"/>
  <c r="AN57" i="2"/>
  <c r="AN99" i="2" s="1"/>
  <c r="AN141" i="2" s="1"/>
  <c r="AN183" i="2" s="1"/>
  <c r="AN225" i="2" s="1"/>
  <c r="AN267" i="2" s="1"/>
  <c r="AO267" i="2" s="1"/>
  <c r="AO19" i="2"/>
  <c r="J164" i="2"/>
  <c r="X164" i="2" s="1"/>
  <c r="AO35" i="2"/>
  <c r="J124" i="2"/>
  <c r="X124" i="2" s="1"/>
  <c r="AO36" i="2"/>
  <c r="AO22" i="2"/>
  <c r="Z278" i="2"/>
  <c r="AL278" i="2" s="1"/>
  <c r="AO52" i="2"/>
  <c r="AH233" i="2"/>
  <c r="AO10" i="2"/>
  <c r="AH70" i="2"/>
  <c r="AC42" i="2"/>
  <c r="AC18" i="2"/>
  <c r="AC14" i="2"/>
  <c r="AC6" i="2"/>
  <c r="E2" i="6"/>
  <c r="H4" i="2" s="1"/>
  <c r="E10" i="6"/>
  <c r="H12" i="2" s="1"/>
  <c r="E15" i="6"/>
  <c r="H17" i="2" s="1"/>
  <c r="E21" i="6"/>
  <c r="H23" i="2" s="1"/>
  <c r="E26" i="6"/>
  <c r="H28" i="2" s="1"/>
  <c r="AD28" i="2" s="1"/>
  <c r="AF28" i="2" s="1"/>
  <c r="I39" i="6"/>
  <c r="H125" i="2"/>
  <c r="AD125" i="2" s="1"/>
  <c r="E31" i="6"/>
  <c r="H33" i="2" s="1"/>
  <c r="AD33" i="2" s="1"/>
  <c r="AF33" i="2" s="1"/>
  <c r="AH30" i="2"/>
  <c r="AJ30" i="2" s="1"/>
  <c r="AK30" i="2" s="1"/>
  <c r="Z317" i="2"/>
  <c r="AL317" i="2" s="1"/>
  <c r="Z148" i="2"/>
  <c r="AH148" i="2" s="1"/>
  <c r="AD148" i="2"/>
  <c r="I11" i="6"/>
  <c r="H97" i="2"/>
  <c r="AD97" i="2" s="1"/>
  <c r="E27" i="6"/>
  <c r="H29" i="2" s="1"/>
  <c r="AD29" i="2" s="1"/>
  <c r="AF29" i="2" s="1"/>
  <c r="J148" i="2"/>
  <c r="X148" i="2" s="1"/>
  <c r="AD19" i="2"/>
  <c r="AF19" i="2" s="1"/>
  <c r="J355" i="2"/>
  <c r="X355" i="2" s="1"/>
  <c r="Z173" i="2"/>
  <c r="AL173" i="2" s="1"/>
  <c r="Z252" i="2"/>
  <c r="AL252" i="2" s="1"/>
  <c r="AD100" i="2"/>
  <c r="J116" i="2"/>
  <c r="X116" i="2" s="1"/>
  <c r="E6" i="6"/>
  <c r="H8" i="2" s="1"/>
  <c r="AD8" i="2" s="1"/>
  <c r="AF8" i="2" s="1"/>
  <c r="I43" i="6"/>
  <c r="H129" i="2"/>
  <c r="AD129" i="2" s="1"/>
  <c r="J304" i="2"/>
  <c r="X304" i="2" s="1"/>
  <c r="Z221" i="2"/>
  <c r="AL221" i="2" s="1"/>
  <c r="Z203" i="2"/>
  <c r="AL203" i="2" s="1"/>
  <c r="J135" i="2"/>
  <c r="X135" i="2" s="1"/>
  <c r="E3" i="6"/>
  <c r="H5" i="2" s="1"/>
  <c r="E23" i="6"/>
  <c r="H25" i="2" s="1"/>
  <c r="AD25" i="2" s="1"/>
  <c r="AF25" i="2" s="1"/>
  <c r="I38" i="6"/>
  <c r="H166" i="2" s="1"/>
  <c r="H124" i="2"/>
  <c r="AD124" i="2" s="1"/>
  <c r="E34" i="6"/>
  <c r="H36" i="2" s="1"/>
  <c r="AD36" i="2" s="1"/>
  <c r="AF36" i="2" s="1"/>
  <c r="AG36" i="2" s="1"/>
  <c r="J165" i="2"/>
  <c r="X165" i="2" s="1"/>
  <c r="E4" i="6"/>
  <c r="H6" i="2" s="1"/>
  <c r="AD6" i="2" s="1"/>
  <c r="AF6" i="2" s="1"/>
  <c r="E8" i="6"/>
  <c r="H10" i="2" s="1"/>
  <c r="AD10" i="2" s="1"/>
  <c r="AF10" i="2" s="1"/>
  <c r="E12" i="6"/>
  <c r="H14" i="2" s="1"/>
  <c r="I18" i="6"/>
  <c r="H146" i="2" s="1"/>
  <c r="H104" i="2"/>
  <c r="E24" i="6"/>
  <c r="H26" i="2" s="1"/>
  <c r="E28" i="6"/>
  <c r="H30" i="2" s="1"/>
  <c r="AD30" i="2" s="1"/>
  <c r="AF30" i="2" s="1"/>
  <c r="AE72" i="2" s="1"/>
  <c r="I41" i="6"/>
  <c r="H127" i="2"/>
  <c r="AD127" i="2" s="1"/>
  <c r="I37" i="6"/>
  <c r="H123" i="2"/>
  <c r="AD123" i="2" s="1"/>
  <c r="E33" i="6"/>
  <c r="H35" i="2" s="1"/>
  <c r="AD35" i="2" s="1"/>
  <c r="AF35" i="2" s="1"/>
  <c r="AG35" i="2" s="1"/>
  <c r="I22" i="6"/>
  <c r="H108" i="2"/>
  <c r="AD108" i="2" s="1"/>
  <c r="AD22" i="2"/>
  <c r="AF22" i="2" s="1"/>
  <c r="AG22" i="2" s="1"/>
  <c r="AC44" i="2"/>
  <c r="AC12" i="2"/>
  <c r="AH8" i="2"/>
  <c r="AJ8" i="2" s="1"/>
  <c r="AI50" i="2" s="1"/>
  <c r="Z392" i="2"/>
  <c r="AL392" i="2" s="1"/>
  <c r="Z151" i="2"/>
  <c r="AL151" i="2" s="1"/>
  <c r="Z104" i="2"/>
  <c r="AL104" i="2" s="1"/>
  <c r="AD104" i="2"/>
  <c r="Z167" i="2"/>
  <c r="AL167" i="2" s="1"/>
  <c r="Z183" i="2"/>
  <c r="AH183" i="2" s="1"/>
  <c r="K17" i="6"/>
  <c r="H187" i="2"/>
  <c r="AD187" i="2" s="1"/>
  <c r="I7" i="6"/>
  <c r="H93" i="2"/>
  <c r="AD93" i="2" s="1"/>
  <c r="E16" i="6"/>
  <c r="H18" i="2" s="1"/>
  <c r="I42" i="6"/>
  <c r="H170" i="2" s="1"/>
  <c r="H128" i="2"/>
  <c r="AD128" i="2" s="1"/>
  <c r="E30" i="6"/>
  <c r="H32" i="2" s="1"/>
  <c r="AD32" i="2" s="1"/>
  <c r="AF32" i="2" s="1"/>
  <c r="AE74" i="2" s="1"/>
  <c r="J283" i="2"/>
  <c r="X283" i="2" s="1"/>
  <c r="E9" i="6"/>
  <c r="H11" i="2" s="1"/>
  <c r="E13" i="6"/>
  <c r="H15" i="2" s="1"/>
  <c r="E19" i="6"/>
  <c r="H21" i="2" s="1"/>
  <c r="E25" i="6"/>
  <c r="H27" i="2" s="1"/>
  <c r="AD27" i="2" s="1"/>
  <c r="AF27" i="2" s="1"/>
  <c r="AG27" i="2" s="1"/>
  <c r="E29" i="6"/>
  <c r="H31" i="2" s="1"/>
  <c r="AD31" i="2" s="1"/>
  <c r="AF31" i="2" s="1"/>
  <c r="I40" i="6"/>
  <c r="H126" i="2"/>
  <c r="AD126" i="2" s="1"/>
  <c r="I36" i="6"/>
  <c r="H122" i="2"/>
  <c r="AD122" i="2" s="1"/>
  <c r="E32" i="6"/>
  <c r="H34" i="2" s="1"/>
  <c r="AD34" i="2" s="1"/>
  <c r="AF34" i="2" s="1"/>
  <c r="Z304" i="2"/>
  <c r="AH304" i="2" s="1"/>
  <c r="J396" i="2"/>
  <c r="X396" i="2" s="1"/>
  <c r="Z160" i="2"/>
  <c r="AH160" i="2" s="1"/>
  <c r="Z143" i="2"/>
  <c r="AH143" i="2" s="1"/>
  <c r="AO23" i="2"/>
  <c r="AO247" i="2"/>
  <c r="AN367" i="2"/>
  <c r="AN409" i="2" s="1"/>
  <c r="AO409" i="2" s="1"/>
  <c r="AO27" i="2"/>
  <c r="AO41" i="2"/>
  <c r="AO32" i="2"/>
  <c r="AO26" i="2"/>
  <c r="AO6" i="2"/>
  <c r="AO289" i="2"/>
  <c r="AN96" i="2"/>
  <c r="AN138" i="2" s="1"/>
  <c r="AN180" i="2" s="1"/>
  <c r="AN222" i="2" s="1"/>
  <c r="AN264" i="2" s="1"/>
  <c r="AN306" i="2" s="1"/>
  <c r="AN348" i="2" s="1"/>
  <c r="AN390" i="2" s="1"/>
  <c r="AN432" i="2" s="1"/>
  <c r="AN474" i="2" s="1"/>
  <c r="AO474" i="2" s="1"/>
  <c r="L40" i="2"/>
  <c r="U40" i="2" s="1"/>
  <c r="AO31" i="2"/>
  <c r="AO16" i="2"/>
  <c r="AO58" i="2"/>
  <c r="J151" i="2"/>
  <c r="X151" i="2" s="1"/>
  <c r="AN335" i="2"/>
  <c r="AO335" i="2" s="1"/>
  <c r="AN313" i="2"/>
  <c r="AO271" i="2"/>
  <c r="AN299" i="2"/>
  <c r="AO257" i="2"/>
  <c r="AO249" i="2"/>
  <c r="AN291" i="2"/>
  <c r="AL239" i="2"/>
  <c r="AL194" i="2"/>
  <c r="AL182" i="2"/>
  <c r="AL153" i="2"/>
  <c r="AL129" i="2"/>
  <c r="AL117" i="2"/>
  <c r="AL98" i="2"/>
  <c r="AL85" i="2"/>
  <c r="AL68" i="2"/>
  <c r="Z96" i="2"/>
  <c r="AH96" i="2" s="1"/>
  <c r="J96" i="2"/>
  <c r="X96" i="2" s="1"/>
  <c r="Z100" i="2"/>
  <c r="AL100" i="2" s="1"/>
  <c r="J100" i="2"/>
  <c r="X100" i="2" s="1"/>
  <c r="AO14" i="2"/>
  <c r="AO50" i="2"/>
  <c r="AL323" i="2"/>
  <c r="AL266" i="2"/>
  <c r="AL144" i="2"/>
  <c r="AL89" i="2"/>
  <c r="AL77" i="2"/>
  <c r="AL64" i="2"/>
  <c r="AL20" i="2"/>
  <c r="AB20" i="2"/>
  <c r="AA62" i="2" s="1"/>
  <c r="AH20" i="2"/>
  <c r="AJ20" i="2" s="1"/>
  <c r="AI62" i="2" s="1"/>
  <c r="AL8" i="2"/>
  <c r="AB8" i="2"/>
  <c r="AC8" i="2" s="1"/>
  <c r="AO245" i="2"/>
  <c r="AN287" i="2"/>
  <c r="AO34" i="2"/>
  <c r="AO28" i="2"/>
  <c r="AO24" i="2"/>
  <c r="AO18" i="2"/>
  <c r="AL210" i="2"/>
  <c r="AL93" i="2"/>
  <c r="AL73" i="2"/>
  <c r="AL52" i="2"/>
  <c r="AB40" i="2"/>
  <c r="AC40" i="2" s="1"/>
  <c r="AH40" i="2"/>
  <c r="AJ40" i="2" s="1"/>
  <c r="AK40" i="2" s="1"/>
  <c r="AC16" i="2"/>
  <c r="AA58" i="2"/>
  <c r="AB58" i="2" s="1"/>
  <c r="AC58" i="2" s="1"/>
  <c r="AB4" i="2"/>
  <c r="AA46" i="2" s="1"/>
  <c r="AB46" i="2" s="1"/>
  <c r="AA88" i="2" s="1"/>
  <c r="AB88" i="2" s="1"/>
  <c r="AJ4" i="2"/>
  <c r="AK4" i="2" s="1"/>
  <c r="AN46" i="2"/>
  <c r="AN88" i="2" s="1"/>
  <c r="AN130" i="2" s="1"/>
  <c r="AN172" i="2" s="1"/>
  <c r="AN214" i="2" s="1"/>
  <c r="AN256" i="2" s="1"/>
  <c r="AN298" i="2" s="1"/>
  <c r="AN340" i="2" s="1"/>
  <c r="AN382" i="2" s="1"/>
  <c r="AN424" i="2" s="1"/>
  <c r="AN466" i="2" s="1"/>
  <c r="AO466" i="2" s="1"/>
  <c r="AO39" i="2"/>
  <c r="AO8" i="2"/>
  <c r="AO261" i="2"/>
  <c r="AN303" i="2"/>
  <c r="AL354" i="2"/>
  <c r="AL283" i="2"/>
  <c r="AL275" i="2"/>
  <c r="AL262" i="2"/>
  <c r="AL199" i="2"/>
  <c r="AL179" i="2"/>
  <c r="AL168" i="2"/>
  <c r="AL140" i="2"/>
  <c r="AL135" i="2"/>
  <c r="AL122" i="2"/>
  <c r="AL102" i="2"/>
  <c r="AL97" i="2"/>
  <c r="AL92" i="2"/>
  <c r="AL88" i="2"/>
  <c r="AL59" i="2"/>
  <c r="AL51" i="2"/>
  <c r="AL43" i="2"/>
  <c r="AB43" i="2"/>
  <c r="AL39" i="2"/>
  <c r="AB39" i="2"/>
  <c r="AL35" i="2"/>
  <c r="AB35" i="2"/>
  <c r="AA77" i="2" s="1"/>
  <c r="AL31" i="2"/>
  <c r="AB31" i="2"/>
  <c r="AL27" i="2"/>
  <c r="AB27" i="2"/>
  <c r="AL23" i="2"/>
  <c r="AB23" i="2"/>
  <c r="AL19" i="2"/>
  <c r="AB19" i="2"/>
  <c r="AL15" i="2"/>
  <c r="AB15" i="2"/>
  <c r="AL11" i="2"/>
  <c r="AB11" i="2"/>
  <c r="AL7" i="2"/>
  <c r="AB7" i="2"/>
  <c r="AL350" i="2"/>
  <c r="AL282" i="2"/>
  <c r="AL271" i="2"/>
  <c r="AL198" i="2"/>
  <c r="AL187" i="2"/>
  <c r="AL165" i="2"/>
  <c r="AL157" i="2"/>
  <c r="AL126" i="2"/>
  <c r="AL121" i="2"/>
  <c r="AL114" i="2"/>
  <c r="AL107" i="2"/>
  <c r="AL101" i="2"/>
  <c r="AH75" i="2"/>
  <c r="AL70" i="2"/>
  <c r="AL58" i="2"/>
  <c r="AL54" i="2"/>
  <c r="AB22" i="2"/>
  <c r="AL281" i="2"/>
  <c r="AL270" i="2"/>
  <c r="AL233" i="2"/>
  <c r="AL164" i="2"/>
  <c r="AL156" i="2"/>
  <c r="AL137" i="2"/>
  <c r="AL132" i="2"/>
  <c r="AL125" i="2"/>
  <c r="AL118" i="2"/>
  <c r="AL106" i="2"/>
  <c r="AL94" i="2"/>
  <c r="AL82" i="2"/>
  <c r="AL78" i="2"/>
  <c r="AL69" i="2"/>
  <c r="AL65" i="2"/>
  <c r="AL61" i="2"/>
  <c r="AL53" i="2"/>
  <c r="AL49" i="2"/>
  <c r="AL33" i="2"/>
  <c r="AB33" i="2"/>
  <c r="AC33" i="2" s="1"/>
  <c r="AL21" i="2"/>
  <c r="AB21" i="2"/>
  <c r="AL13" i="2"/>
  <c r="AB13" i="2"/>
  <c r="AA55" i="2" s="1"/>
  <c r="AL5" i="2"/>
  <c r="AB5" i="2"/>
  <c r="AC5" i="2" s="1"/>
  <c r="AO275" i="2"/>
  <c r="AN317" i="2"/>
  <c r="AN373" i="2"/>
  <c r="AO331" i="2"/>
  <c r="AO279" i="2"/>
  <c r="AN321" i="2"/>
  <c r="AN311" i="2"/>
  <c r="AO269" i="2"/>
  <c r="AO259" i="2"/>
  <c r="AN301" i="2"/>
  <c r="AL313" i="2"/>
  <c r="AH313" i="2"/>
  <c r="AL91" i="2"/>
  <c r="AH91" i="2"/>
  <c r="AL87" i="2"/>
  <c r="AH87" i="2"/>
  <c r="AL66" i="2"/>
  <c r="AH66" i="2"/>
  <c r="AL42" i="2"/>
  <c r="AH42" i="2"/>
  <c r="AJ42" i="2" s="1"/>
  <c r="AK42" i="2" s="1"/>
  <c r="AL10" i="2"/>
  <c r="AH10" i="2"/>
  <c r="AJ10" i="2" s="1"/>
  <c r="AK10" i="2" s="1"/>
  <c r="E45" i="3"/>
  <c r="AN44" i="2" s="1"/>
  <c r="AN85" i="2"/>
  <c r="AN127" i="2" s="1"/>
  <c r="AN169" i="2" s="1"/>
  <c r="AN211" i="2" s="1"/>
  <c r="AN253" i="2" s="1"/>
  <c r="AO17" i="2"/>
  <c r="Z116" i="2"/>
  <c r="AL116" i="2" s="1"/>
  <c r="AO43" i="2"/>
  <c r="AO12" i="2"/>
  <c r="AO283" i="2"/>
  <c r="AO251" i="2"/>
  <c r="AO56" i="2"/>
  <c r="AO48" i="2"/>
  <c r="J120" i="2"/>
  <c r="X120" i="2" s="1"/>
  <c r="J173" i="2"/>
  <c r="X173" i="2" s="1"/>
  <c r="AO37" i="2"/>
  <c r="AO241" i="2"/>
  <c r="G5" i="6"/>
  <c r="H5" i="6" s="1"/>
  <c r="H91" i="2" s="1"/>
  <c r="AD91" i="2" s="1"/>
  <c r="H84" i="2"/>
  <c r="AD84" i="2" s="1"/>
  <c r="H80" i="2"/>
  <c r="AD80" i="2" s="1"/>
  <c r="G35" i="6"/>
  <c r="H35" i="6" s="1"/>
  <c r="H62" i="2"/>
  <c r="H87" i="2"/>
  <c r="AD87" i="2" s="1"/>
  <c r="H83" i="2"/>
  <c r="AD83" i="2" s="1"/>
  <c r="H86" i="2"/>
  <c r="AD86" i="2" s="1"/>
  <c r="H82" i="2"/>
  <c r="AD82" i="2" s="1"/>
  <c r="H85" i="2"/>
  <c r="AD85" i="2" s="1"/>
  <c r="H81" i="2"/>
  <c r="H55" i="2"/>
  <c r="AD55" i="2" s="1"/>
  <c r="H51" i="2"/>
  <c r="AD51" i="2" s="1"/>
  <c r="Z355" i="2"/>
  <c r="J143" i="2"/>
  <c r="X143" i="2" s="1"/>
  <c r="AH187" i="2"/>
  <c r="J216" i="2"/>
  <c r="X216" i="2" s="1"/>
  <c r="J130" i="2"/>
  <c r="X130" i="2" s="1"/>
  <c r="J104" i="2"/>
  <c r="X104" i="2" s="1"/>
  <c r="AH59" i="2"/>
  <c r="J252" i="2"/>
  <c r="X252" i="2" s="1"/>
  <c r="J203" i="2"/>
  <c r="X203" i="2" s="1"/>
  <c r="J183" i="2"/>
  <c r="X183" i="2" s="1"/>
  <c r="J167" i="2"/>
  <c r="X167" i="2" s="1"/>
  <c r="J160" i="2"/>
  <c r="X160" i="2" s="1"/>
  <c r="AH281" i="2"/>
  <c r="AH157" i="2"/>
  <c r="AL45" i="2"/>
  <c r="AH45" i="2"/>
  <c r="AJ45" i="2" s="1"/>
  <c r="AK45" i="2" s="1"/>
  <c r="AL9" i="2"/>
  <c r="AH9" i="2"/>
  <c r="AJ9" i="2" s="1"/>
  <c r="AI51" i="2" s="1"/>
  <c r="Z171" i="2"/>
  <c r="J171" i="2"/>
  <c r="X171" i="2" s="1"/>
  <c r="D193" i="2"/>
  <c r="D175" i="2"/>
  <c r="J112" i="2"/>
  <c r="X112" i="2" s="1"/>
  <c r="Z112" i="2"/>
  <c r="D206" i="2"/>
  <c r="E206" i="2" s="1"/>
  <c r="D190" i="2"/>
  <c r="D166" i="2"/>
  <c r="AF13" i="2"/>
  <c r="AE55" i="2" s="1"/>
  <c r="AF9" i="2"/>
  <c r="AE51" i="2" s="1"/>
  <c r="AF7" i="2"/>
  <c r="AG7" i="2" s="1"/>
  <c r="AL366" i="2"/>
  <c r="AH366" i="2"/>
  <c r="AL241" i="2"/>
  <c r="AH241" i="2"/>
  <c r="K20" i="6"/>
  <c r="AL41" i="2"/>
  <c r="AH41" i="2"/>
  <c r="AJ41" i="2" s="1"/>
  <c r="AI83" i="2" s="1"/>
  <c r="AL37" i="2"/>
  <c r="AH37" i="2"/>
  <c r="AJ37" i="2" s="1"/>
  <c r="AI79" i="2" s="1"/>
  <c r="AC37" i="2"/>
  <c r="AL29" i="2"/>
  <c r="AA71" i="2"/>
  <c r="AL25" i="2"/>
  <c r="AH25" i="2"/>
  <c r="AJ25" i="2" s="1"/>
  <c r="AI67" i="2" s="1"/>
  <c r="AL17" i="2"/>
  <c r="AH17" i="2"/>
  <c r="AJ17" i="2" s="1"/>
  <c r="AI59" i="2" s="1"/>
  <c r="AC17" i="2"/>
  <c r="AL178" i="2"/>
  <c r="AH178" i="2"/>
  <c r="Z134" i="2"/>
  <c r="J134" i="2"/>
  <c r="X134" i="2" s="1"/>
  <c r="D185" i="2"/>
  <c r="E185" i="2" s="1"/>
  <c r="D177" i="2"/>
  <c r="E177" i="2" s="1"/>
  <c r="D170" i="2"/>
  <c r="D205" i="2"/>
  <c r="D142" i="2"/>
  <c r="D258" i="2"/>
  <c r="E258" i="2" s="1"/>
  <c r="D154" i="2"/>
  <c r="D162" i="2"/>
  <c r="E162" i="2" s="1"/>
  <c r="D146" i="2"/>
  <c r="E146" i="2" s="1"/>
  <c r="D213" i="2"/>
  <c r="E213" i="2" s="1"/>
  <c r="D176" i="2"/>
  <c r="D211" i="2"/>
  <c r="E211" i="2" s="1"/>
  <c r="D202" i="2"/>
  <c r="D231" i="2"/>
  <c r="E231" i="2" s="1"/>
  <c r="D201" i="2"/>
  <c r="E201" i="2" s="1"/>
  <c r="D325" i="2"/>
  <c r="D209" i="2"/>
  <c r="E209" i="2" s="1"/>
  <c r="D279" i="2"/>
  <c r="D192" i="2"/>
  <c r="E192" i="2" s="1"/>
  <c r="D138" i="2"/>
  <c r="D207" i="2"/>
  <c r="D223" i="2"/>
  <c r="E223" i="2" s="1"/>
  <c r="D245" i="2"/>
  <c r="E245" i="2" s="1"/>
  <c r="D158" i="2"/>
  <c r="J14" i="6"/>
  <c r="D225" i="2"/>
  <c r="J221" i="2"/>
  <c r="X221" i="2" s="1"/>
  <c r="AH126" i="2"/>
  <c r="D263" i="2"/>
  <c r="E263" i="2" s="1"/>
  <c r="AH97" i="2"/>
  <c r="AH73" i="2"/>
  <c r="D215" i="2"/>
  <c r="E215" i="2" s="1"/>
  <c r="D320" i="2"/>
  <c r="D172" i="2"/>
  <c r="E172" i="2" s="1"/>
  <c r="D294" i="2"/>
  <c r="E294" i="2" s="1"/>
  <c r="AH98" i="2"/>
  <c r="AH165" i="2"/>
  <c r="D407" i="2"/>
  <c r="E407" i="2" s="1"/>
  <c r="D492" i="2"/>
  <c r="D450" i="2"/>
  <c r="D480" i="2"/>
  <c r="D438" i="2"/>
  <c r="J317" i="2"/>
  <c r="X317" i="2" s="1"/>
  <c r="AH129" i="2"/>
  <c r="AH78" i="2"/>
  <c r="AH69" i="2"/>
  <c r="AH49" i="2"/>
  <c r="D359" i="2"/>
  <c r="E359" i="2" s="1"/>
  <c r="D397" i="2"/>
  <c r="E397" i="2" s="1"/>
  <c r="D476" i="2"/>
  <c r="E476" i="2" s="1"/>
  <c r="D434" i="2"/>
  <c r="E434" i="2" s="1"/>
  <c r="AH198" i="2"/>
  <c r="AH122" i="2"/>
  <c r="AH88" i="2"/>
  <c r="D346" i="2"/>
  <c r="E346" i="2" s="1"/>
  <c r="AA52" i="2"/>
  <c r="AB52" i="2" s="1"/>
  <c r="AH11" i="2"/>
  <c r="AJ11" i="2" s="1"/>
  <c r="AI53" i="2" s="1"/>
  <c r="AH7" i="2"/>
  <c r="AJ7" i="2" s="1"/>
  <c r="AK7" i="2" s="1"/>
  <c r="L25" i="2"/>
  <c r="S25" i="2" s="1"/>
  <c r="AA83" i="2"/>
  <c r="AB83" i="2" s="1"/>
  <c r="AC25" i="2"/>
  <c r="AH29" i="2"/>
  <c r="AJ29" i="2" s="1"/>
  <c r="AI71" i="2" s="1"/>
  <c r="AH5" i="2"/>
  <c r="AJ5" i="2" s="1"/>
  <c r="AI47" i="2" s="1"/>
  <c r="AA56" i="2"/>
  <c r="AH33" i="2"/>
  <c r="AJ33" i="2" s="1"/>
  <c r="AI75" i="2" s="1"/>
  <c r="AH21" i="2"/>
  <c r="AJ21" i="2" s="1"/>
  <c r="AI63" i="2" s="1"/>
  <c r="AH13" i="2"/>
  <c r="AJ13" i="2" s="1"/>
  <c r="L17" i="2"/>
  <c r="U17" i="2" s="1"/>
  <c r="AA79" i="2"/>
  <c r="AH35" i="2"/>
  <c r="AJ35" i="2" s="1"/>
  <c r="AK35" i="2" s="1"/>
  <c r="AH23" i="2"/>
  <c r="AJ23" i="2" s="1"/>
  <c r="AK23" i="2" s="1"/>
  <c r="AH117" i="2"/>
  <c r="AH58" i="2"/>
  <c r="AH156" i="2"/>
  <c r="AH107" i="2"/>
  <c r="AH94" i="2"/>
  <c r="AH65" i="2"/>
  <c r="AH54" i="2"/>
  <c r="AH43" i="2"/>
  <c r="AJ43" i="2" s="1"/>
  <c r="AK43" i="2" s="1"/>
  <c r="AH39" i="2"/>
  <c r="AJ39" i="2" s="1"/>
  <c r="AK39" i="2" s="1"/>
  <c r="AH27" i="2"/>
  <c r="AJ27" i="2" s="1"/>
  <c r="AI69" i="2" s="1"/>
  <c r="AH15" i="2"/>
  <c r="AJ15" i="2" s="1"/>
  <c r="AS46" i="2"/>
  <c r="C16" i="1" s="1"/>
  <c r="AA60" i="2"/>
  <c r="AA54" i="2"/>
  <c r="AB54" i="2" s="1"/>
  <c r="AA48" i="2"/>
  <c r="AB48" i="2" s="1"/>
  <c r="AH102" i="2"/>
  <c r="AH82" i="2"/>
  <c r="AH61" i="2"/>
  <c r="AH31" i="2"/>
  <c r="AJ31" i="2" s="1"/>
  <c r="AK31" i="2" s="1"/>
  <c r="AH19" i="2"/>
  <c r="AJ19" i="2" s="1"/>
  <c r="AK19" i="2" s="1"/>
  <c r="AH350" i="2"/>
  <c r="AH182" i="2"/>
  <c r="AH150" i="2"/>
  <c r="AH271" i="2"/>
  <c r="AH199" i="2"/>
  <c r="AH266" i="2"/>
  <c r="AH210" i="2"/>
  <c r="AH135" i="2"/>
  <c r="AH121" i="2"/>
  <c r="AH101" i="2"/>
  <c r="AH93" i="2"/>
  <c r="AH270" i="2"/>
  <c r="AH283" i="2"/>
  <c r="AH323" i="2"/>
  <c r="AH282" i="2"/>
  <c r="AH275" i="2"/>
  <c r="AH179" i="2"/>
  <c r="AH168" i="2"/>
  <c r="AH164" i="2"/>
  <c r="AH144" i="2"/>
  <c r="AH132" i="2"/>
  <c r="AH125" i="2"/>
  <c r="AH85" i="2"/>
  <c r="AH77" i="2"/>
  <c r="AH64" i="2"/>
  <c r="AH140" i="2"/>
  <c r="AH133" i="2"/>
  <c r="AH92" i="2"/>
  <c r="AH51" i="2"/>
  <c r="AH354" i="2"/>
  <c r="AH262" i="2"/>
  <c r="AH239" i="2"/>
  <c r="AH194" i="2"/>
  <c r="AH153" i="2"/>
  <c r="AH137" i="2"/>
  <c r="AH118" i="2"/>
  <c r="AH89" i="2"/>
  <c r="AH68" i="2"/>
  <c r="AH53" i="2"/>
  <c r="AA59" i="2"/>
  <c r="AB59" i="2" s="1"/>
  <c r="AL99" i="2"/>
  <c r="AH99" i="2"/>
  <c r="AL95" i="2"/>
  <c r="AH95" i="2"/>
  <c r="AL84" i="2"/>
  <c r="AH84" i="2"/>
  <c r="AL80" i="2"/>
  <c r="AH80" i="2"/>
  <c r="AL76" i="2"/>
  <c r="AH76" i="2"/>
  <c r="AL72" i="2"/>
  <c r="AH72" i="2"/>
  <c r="AL63" i="2"/>
  <c r="AH63" i="2"/>
  <c r="AL38" i="2"/>
  <c r="AH38" i="2"/>
  <c r="AJ38" i="2" s="1"/>
  <c r="AI80" i="2" s="1"/>
  <c r="AL34" i="2"/>
  <c r="AH34" i="2"/>
  <c r="AJ34" i="2" s="1"/>
  <c r="AK34" i="2" s="1"/>
  <c r="AC34" i="2"/>
  <c r="AL30" i="2"/>
  <c r="AC30" i="2"/>
  <c r="AL26" i="2"/>
  <c r="AH26" i="2"/>
  <c r="AJ26" i="2" s="1"/>
  <c r="AC26" i="2"/>
  <c r="AL22" i="2"/>
  <c r="AH22" i="2"/>
  <c r="AJ22" i="2" s="1"/>
  <c r="AK22" i="2" s="1"/>
  <c r="AL18" i="2"/>
  <c r="AH18" i="2"/>
  <c r="AJ18" i="2" s="1"/>
  <c r="AL14" i="2"/>
  <c r="AH14" i="2"/>
  <c r="AJ14" i="2" s="1"/>
  <c r="AL6" i="2"/>
  <c r="AH6" i="2"/>
  <c r="AJ6" i="2" s="1"/>
  <c r="AI48" i="2" s="1"/>
  <c r="AL197" i="2"/>
  <c r="AH197" i="2"/>
  <c r="AL145" i="2"/>
  <c r="AH145" i="2"/>
  <c r="AL44" i="2"/>
  <c r="AH44" i="2"/>
  <c r="AJ44" i="2" s="1"/>
  <c r="AL40" i="2"/>
  <c r="AL36" i="2"/>
  <c r="AH36" i="2"/>
  <c r="AJ36" i="2" s="1"/>
  <c r="AK36" i="2" s="1"/>
  <c r="AL32" i="2"/>
  <c r="AA74" i="2"/>
  <c r="AB74" i="2" s="1"/>
  <c r="AH32" i="2"/>
  <c r="AJ32" i="2" s="1"/>
  <c r="AK32" i="2" s="1"/>
  <c r="AL28" i="2"/>
  <c r="AH28" i="2"/>
  <c r="AJ28" i="2" s="1"/>
  <c r="AK28" i="2" s="1"/>
  <c r="AA70" i="2"/>
  <c r="AB70" i="2" s="1"/>
  <c r="AL24" i="2"/>
  <c r="AC24" i="2"/>
  <c r="AH24" i="2"/>
  <c r="AJ24" i="2" s="1"/>
  <c r="AL16" i="2"/>
  <c r="AH16" i="2"/>
  <c r="AL12" i="2"/>
  <c r="AH12" i="2"/>
  <c r="AJ12" i="2" s="1"/>
  <c r="AF62" i="2"/>
  <c r="AE104" i="2" s="1"/>
  <c r="AL191" i="2"/>
  <c r="AH191" i="2"/>
  <c r="AL186" i="2"/>
  <c r="AH186" i="2"/>
  <c r="AL161" i="2"/>
  <c r="AH161" i="2"/>
  <c r="AL83" i="2"/>
  <c r="AH83" i="2"/>
  <c r="AL79" i="2"/>
  <c r="AH79" i="2"/>
  <c r="AL75" i="2"/>
  <c r="AA84" i="2"/>
  <c r="AB84" i="2" s="1"/>
  <c r="AF26" i="2"/>
  <c r="AG26" i="2" s="1"/>
  <c r="AA66" i="2"/>
  <c r="AA86" i="2"/>
  <c r="AA68" i="2"/>
  <c r="AC41" i="2"/>
  <c r="AA67" i="2"/>
  <c r="AB67" i="2" s="1"/>
  <c r="AC29" i="2"/>
  <c r="AG20" i="2"/>
  <c r="AF16" i="2"/>
  <c r="AL139" i="2"/>
  <c r="AH139" i="2"/>
  <c r="AL136" i="2"/>
  <c r="AH136" i="2"/>
  <c r="AL90" i="2"/>
  <c r="AH90" i="2"/>
  <c r="AL86" i="2"/>
  <c r="AH86" i="2"/>
  <c r="AL147" i="2"/>
  <c r="AH147" i="2"/>
  <c r="AL115" i="2"/>
  <c r="AH115" i="2"/>
  <c r="AL110" i="2"/>
  <c r="AH110" i="2"/>
  <c r="AL105" i="2"/>
  <c r="AH105" i="2"/>
  <c r="AL47" i="2"/>
  <c r="AH47" i="2"/>
  <c r="AL312" i="2"/>
  <c r="AH312" i="2"/>
  <c r="AL240" i="2"/>
  <c r="AH240" i="2"/>
  <c r="AL236" i="2"/>
  <c r="AH236" i="2"/>
  <c r="AL228" i="2"/>
  <c r="AH228" i="2"/>
  <c r="AL183" i="2"/>
  <c r="AL174" i="2"/>
  <c r="AH174" i="2"/>
  <c r="AL127" i="2"/>
  <c r="AH127" i="2"/>
  <c r="AL67" i="2"/>
  <c r="AH67" i="2"/>
  <c r="AL365" i="2"/>
  <c r="AH365" i="2"/>
  <c r="AL220" i="2"/>
  <c r="AH220" i="2"/>
  <c r="Z141" i="2"/>
  <c r="J141" i="2"/>
  <c r="X141" i="2" s="1"/>
  <c r="Z123" i="2"/>
  <c r="J123" i="2"/>
  <c r="X123" i="2" s="1"/>
  <c r="AL55" i="2"/>
  <c r="AH55" i="2"/>
  <c r="AL46" i="2"/>
  <c r="AL152" i="2"/>
  <c r="AH152" i="2"/>
  <c r="AL128" i="2"/>
  <c r="AH128" i="2"/>
  <c r="Z119" i="2"/>
  <c r="J119" i="2"/>
  <c r="X119" i="2" s="1"/>
  <c r="Z111" i="2"/>
  <c r="J111" i="2"/>
  <c r="X111" i="2" s="1"/>
  <c r="AL108" i="2"/>
  <c r="AH108" i="2"/>
  <c r="AL74" i="2"/>
  <c r="AH74" i="2"/>
  <c r="Z71" i="2"/>
  <c r="J71" i="2"/>
  <c r="X71" i="2" s="1"/>
  <c r="AL60" i="2"/>
  <c r="AH60" i="2"/>
  <c r="Z57" i="2"/>
  <c r="J57" i="2"/>
  <c r="X57" i="2" s="1"/>
  <c r="AH52" i="2"/>
  <c r="AL50" i="2"/>
  <c r="AH50" i="2"/>
  <c r="J152" i="2"/>
  <c r="X152" i="2" s="1"/>
  <c r="J122" i="2"/>
  <c r="X122" i="2" s="1"/>
  <c r="J74" i="2"/>
  <c r="X74" i="2" s="1"/>
  <c r="AH46" i="2"/>
  <c r="AL396" i="2"/>
  <c r="AH396" i="2"/>
  <c r="AL308" i="2"/>
  <c r="AH308" i="2"/>
  <c r="Z195" i="2"/>
  <c r="J195" i="2"/>
  <c r="X195" i="2" s="1"/>
  <c r="Z181" i="2"/>
  <c r="J181" i="2"/>
  <c r="X181" i="2" s="1"/>
  <c r="Z163" i="2"/>
  <c r="J163" i="2"/>
  <c r="X163" i="2" s="1"/>
  <c r="Z149" i="2"/>
  <c r="J149" i="2"/>
  <c r="X149" i="2" s="1"/>
  <c r="Z408" i="2"/>
  <c r="J408" i="2"/>
  <c r="X408" i="2" s="1"/>
  <c r="AL229" i="2"/>
  <c r="AH229" i="2"/>
  <c r="Z109" i="2"/>
  <c r="J109" i="2"/>
  <c r="X109" i="2" s="1"/>
  <c r="Z103" i="2"/>
  <c r="J103" i="2"/>
  <c r="X103" i="2" s="1"/>
  <c r="AL48" i="2"/>
  <c r="AH48" i="2"/>
  <c r="Z155" i="2"/>
  <c r="J155" i="2"/>
  <c r="X155" i="2" s="1"/>
  <c r="Z131" i="2"/>
  <c r="J131" i="2"/>
  <c r="X131" i="2" s="1"/>
  <c r="J365" i="2"/>
  <c r="X365" i="2" s="1"/>
  <c r="J229" i="2"/>
  <c r="X229" i="2" s="1"/>
  <c r="AH114" i="2"/>
  <c r="AH106" i="2"/>
  <c r="AL324" i="2"/>
  <c r="AH324" i="2"/>
  <c r="AL224" i="2"/>
  <c r="AH224" i="2"/>
  <c r="Z189" i="2"/>
  <c r="J189" i="2"/>
  <c r="X189" i="2" s="1"/>
  <c r="AL62" i="2"/>
  <c r="AH62" i="2"/>
  <c r="AL56" i="2"/>
  <c r="AH56" i="2"/>
  <c r="M39" i="2"/>
  <c r="L39" i="2"/>
  <c r="K81" i="2" s="1"/>
  <c r="M19" i="2"/>
  <c r="L19" i="2"/>
  <c r="K61" i="2" s="1"/>
  <c r="M24" i="2"/>
  <c r="L24" i="2"/>
  <c r="K66" i="2" s="1"/>
  <c r="M16" i="2"/>
  <c r="L16" i="2"/>
  <c r="K58" i="2" s="1"/>
  <c r="M35" i="2"/>
  <c r="L35" i="2"/>
  <c r="K77" i="2" s="1"/>
  <c r="M23" i="2"/>
  <c r="L23" i="2"/>
  <c r="K65" i="2" s="1"/>
  <c r="M15" i="2"/>
  <c r="L15" i="2"/>
  <c r="K57" i="2" s="1"/>
  <c r="M7" i="2"/>
  <c r="L7" i="2"/>
  <c r="K49" i="2" s="1"/>
  <c r="M43" i="2"/>
  <c r="L43" i="2"/>
  <c r="K85" i="2" s="1"/>
  <c r="M27" i="2"/>
  <c r="L27" i="2"/>
  <c r="K69" i="2" s="1"/>
  <c r="M11" i="2"/>
  <c r="L11" i="2"/>
  <c r="K53" i="2" s="1"/>
  <c r="M31" i="2"/>
  <c r="L4" i="2"/>
  <c r="K46" i="2" s="1"/>
  <c r="M42" i="2"/>
  <c r="L42" i="2"/>
  <c r="M38" i="2"/>
  <c r="L38" i="2"/>
  <c r="M34" i="2"/>
  <c r="L34" i="2"/>
  <c r="K76" i="2" s="1"/>
  <c r="M26" i="2"/>
  <c r="L26" i="2"/>
  <c r="K68" i="2" s="1"/>
  <c r="M22" i="2"/>
  <c r="L22" i="2"/>
  <c r="K64" i="2" s="1"/>
  <c r="M18" i="2"/>
  <c r="L18" i="2"/>
  <c r="K60" i="2" s="1"/>
  <c r="M14" i="2"/>
  <c r="L14" i="2"/>
  <c r="K56" i="2" s="1"/>
  <c r="M10" i="2"/>
  <c r="L10" i="2"/>
  <c r="K52" i="2" s="1"/>
  <c r="M6" i="2"/>
  <c r="L6" i="2"/>
  <c r="K48" i="2" s="1"/>
  <c r="M41" i="2"/>
  <c r="L41" i="2"/>
  <c r="K83" i="2" s="1"/>
  <c r="M37" i="2"/>
  <c r="L37" i="2"/>
  <c r="K79" i="2" s="1"/>
  <c r="L33" i="2"/>
  <c r="K75" i="2" s="1"/>
  <c r="M29" i="2"/>
  <c r="L29" i="2"/>
  <c r="M25" i="2"/>
  <c r="M21" i="2"/>
  <c r="L21" i="2"/>
  <c r="K63" i="2" s="1"/>
  <c r="M17" i="2"/>
  <c r="M13" i="2"/>
  <c r="L13" i="2"/>
  <c r="M9" i="2"/>
  <c r="L9" i="2"/>
  <c r="K51" i="2" s="1"/>
  <c r="M5" i="2"/>
  <c r="L5" i="2"/>
  <c r="M30" i="2"/>
  <c r="L31" i="2"/>
  <c r="H24" i="2"/>
  <c r="AD24" i="2" s="1"/>
  <c r="H37" i="2"/>
  <c r="M44" i="2"/>
  <c r="L44" i="2"/>
  <c r="M40" i="2"/>
  <c r="M36" i="2"/>
  <c r="L36" i="2"/>
  <c r="K78" i="2" s="1"/>
  <c r="M32" i="2"/>
  <c r="M28" i="2"/>
  <c r="L28" i="2"/>
  <c r="L30" i="2"/>
  <c r="M20" i="2"/>
  <c r="L20" i="2"/>
  <c r="M12" i="2"/>
  <c r="L12" i="2"/>
  <c r="K54" i="2" s="1"/>
  <c r="M8" i="2"/>
  <c r="L8" i="2"/>
  <c r="K50" i="2" s="1"/>
  <c r="L32" i="2"/>
  <c r="K74" i="2" s="1"/>
  <c r="M45" i="2"/>
  <c r="L45" i="2"/>
  <c r="AL113" i="2"/>
  <c r="AH113" i="2"/>
  <c r="AL81" i="2"/>
  <c r="AH81" i="2"/>
  <c r="G39" i="2"/>
  <c r="G43" i="2"/>
  <c r="G13" i="2"/>
  <c r="G6" i="2"/>
  <c r="G281" i="2"/>
  <c r="G31" i="2"/>
  <c r="G21" i="2"/>
  <c r="G313" i="2"/>
  <c r="G27" i="2"/>
  <c r="G17" i="2"/>
  <c r="G35" i="2"/>
  <c r="G365" i="2"/>
  <c r="G317" i="2"/>
  <c r="G41" i="2"/>
  <c r="G33" i="2"/>
  <c r="G25" i="2"/>
  <c r="AQ25" i="2" s="1"/>
  <c r="G19" i="2"/>
  <c r="G11" i="2"/>
  <c r="G8" i="2"/>
  <c r="G355" i="2"/>
  <c r="G323" i="2"/>
  <c r="G283" i="2"/>
  <c r="G275" i="2"/>
  <c r="G45" i="2"/>
  <c r="G37" i="2"/>
  <c r="G29" i="2"/>
  <c r="G15" i="2"/>
  <c r="AQ15" i="2" s="1"/>
  <c r="G271" i="2"/>
  <c r="AO9" i="2"/>
  <c r="G9" i="2"/>
  <c r="AO496" i="2"/>
  <c r="AO480" i="2"/>
  <c r="AO472" i="2"/>
  <c r="AO408" i="2"/>
  <c r="G408" i="2"/>
  <c r="AO392" i="2"/>
  <c r="G392" i="2"/>
  <c r="AO376" i="2"/>
  <c r="AO360" i="2"/>
  <c r="AO352" i="2"/>
  <c r="AO328" i="2"/>
  <c r="AO304" i="2"/>
  <c r="G304" i="2"/>
  <c r="G44" i="2"/>
  <c r="G42" i="2"/>
  <c r="G40" i="2"/>
  <c r="G38" i="2"/>
  <c r="G36" i="2"/>
  <c r="G34" i="2"/>
  <c r="G32" i="2"/>
  <c r="G30" i="2"/>
  <c r="G28" i="2"/>
  <c r="G26" i="2"/>
  <c r="G24" i="2"/>
  <c r="G22" i="2"/>
  <c r="G20" i="2"/>
  <c r="G18" i="2"/>
  <c r="G16" i="2"/>
  <c r="G14" i="2"/>
  <c r="G12" i="2"/>
  <c r="G10" i="2"/>
  <c r="AO5" i="2"/>
  <c r="G5" i="2"/>
  <c r="AO492" i="2"/>
  <c r="AO484" i="2"/>
  <c r="AO476" i="2"/>
  <c r="AO468" i="2"/>
  <c r="AO460" i="2"/>
  <c r="AO452" i="2"/>
  <c r="AO444" i="2"/>
  <c r="AO436" i="2"/>
  <c r="AO428" i="2"/>
  <c r="AO412" i="2"/>
  <c r="AO404" i="2"/>
  <c r="AO396" i="2"/>
  <c r="G396" i="2"/>
  <c r="AO388" i="2"/>
  <c r="AO372" i="2"/>
  <c r="AO364" i="2"/>
  <c r="AO324" i="2"/>
  <c r="G324" i="2"/>
  <c r="AO316" i="2"/>
  <c r="AO308" i="2"/>
  <c r="G308" i="2"/>
  <c r="AO300" i="2"/>
  <c r="AO292" i="2"/>
  <c r="AO284" i="2"/>
  <c r="AO276" i="2"/>
  <c r="AO268" i="2"/>
  <c r="AO260" i="2"/>
  <c r="G252" i="2"/>
  <c r="AO244" i="2"/>
  <c r="AO238" i="2"/>
  <c r="AO234" i="2"/>
  <c r="AO226" i="2"/>
  <c r="AO218" i="2"/>
  <c r="G210" i="2"/>
  <c r="AO202" i="2"/>
  <c r="AO198" i="2"/>
  <c r="G198" i="2"/>
  <c r="AO194" i="2"/>
  <c r="G194" i="2"/>
  <c r="AO190" i="2"/>
  <c r="AO186" i="2"/>
  <c r="G186" i="2"/>
  <c r="AO182" i="2"/>
  <c r="G182" i="2"/>
  <c r="AO178" i="2"/>
  <c r="G178" i="2"/>
  <c r="AO174" i="2"/>
  <c r="G174" i="2"/>
  <c r="AO166" i="2"/>
  <c r="AO162" i="2"/>
  <c r="AO158" i="2"/>
  <c r="AO154" i="2"/>
  <c r="AO150" i="2"/>
  <c r="G150" i="2"/>
  <c r="AO142" i="2"/>
  <c r="AO134" i="2"/>
  <c r="G134" i="2"/>
  <c r="G130" i="2"/>
  <c r="G126" i="2"/>
  <c r="G23" i="2"/>
  <c r="AO488" i="2"/>
  <c r="AO448" i="2"/>
  <c r="AO320" i="2"/>
  <c r="AO7" i="2"/>
  <c r="G7" i="2"/>
  <c r="AO502" i="2"/>
  <c r="AO494" i="2"/>
  <c r="AO486" i="2"/>
  <c r="AO478" i="2"/>
  <c r="AO470" i="2"/>
  <c r="AO454" i="2"/>
  <c r="AO446" i="2"/>
  <c r="AO438" i="2"/>
  <c r="AO430" i="2"/>
  <c r="AO414" i="2"/>
  <c r="AO406" i="2"/>
  <c r="AO366" i="2"/>
  <c r="G366" i="2"/>
  <c r="AO358" i="2"/>
  <c r="AO350" i="2"/>
  <c r="G350" i="2"/>
  <c r="AO342" i="2"/>
  <c r="AO334" i="2"/>
  <c r="AO326" i="2"/>
  <c r="AO318" i="2"/>
  <c r="AO310" i="2"/>
  <c r="AO302" i="2"/>
  <c r="AO286" i="2"/>
  <c r="AO278" i="2"/>
  <c r="G278" i="2"/>
  <c r="AO270" i="2"/>
  <c r="G270" i="2"/>
  <c r="AO262" i="2"/>
  <c r="G262" i="2"/>
  <c r="AO246" i="2"/>
  <c r="AO456" i="2"/>
  <c r="AO400" i="2"/>
  <c r="AO384" i="2"/>
  <c r="AO368" i="2"/>
  <c r="AO344" i="2"/>
  <c r="AO312" i="2"/>
  <c r="G312" i="2"/>
  <c r="AO288" i="2"/>
  <c r="AO280" i="2"/>
  <c r="AO498" i="2"/>
  <c r="AO490" i="2"/>
  <c r="AO450" i="2"/>
  <c r="AO442" i="2"/>
  <c r="AO434" i="2"/>
  <c r="AO426" i="2"/>
  <c r="AO418" i="2"/>
  <c r="AO410" i="2"/>
  <c r="AO402" i="2"/>
  <c r="AO394" i="2"/>
  <c r="AO386" i="2"/>
  <c r="AO370" i="2"/>
  <c r="AO362" i="2"/>
  <c r="AO354" i="2"/>
  <c r="G354" i="2"/>
  <c r="AO346" i="2"/>
  <c r="AO330" i="2"/>
  <c r="AO322" i="2"/>
  <c r="AO282" i="2"/>
  <c r="G282" i="2"/>
  <c r="AO274" i="2"/>
  <c r="AO266" i="2"/>
  <c r="G266" i="2"/>
  <c r="AO258" i="2"/>
  <c r="AO250" i="2"/>
  <c r="AO242" i="2"/>
  <c r="G239" i="2"/>
  <c r="AO227" i="2"/>
  <c r="AO219" i="2"/>
  <c r="AO215" i="2"/>
  <c r="AO207" i="2"/>
  <c r="AO203" i="2"/>
  <c r="G203" i="2"/>
  <c r="AO199" i="2"/>
  <c r="G199" i="2"/>
  <c r="AO195" i="2"/>
  <c r="G195" i="2"/>
  <c r="AO191" i="2"/>
  <c r="G191" i="2"/>
  <c r="AO187" i="2"/>
  <c r="G187" i="2"/>
  <c r="G183" i="2"/>
  <c r="G179" i="2"/>
  <c r="AO175" i="2"/>
  <c r="G171" i="2"/>
  <c r="AO167" i="2"/>
  <c r="G167" i="2"/>
  <c r="AO163" i="2"/>
  <c r="G163" i="2"/>
  <c r="G159" i="2"/>
  <c r="G155" i="2"/>
  <c r="G151" i="2"/>
  <c r="G147" i="2"/>
  <c r="AO143" i="2"/>
  <c r="G143" i="2"/>
  <c r="G139" i="2"/>
  <c r="AO135" i="2"/>
  <c r="G135" i="2"/>
  <c r="AO131" i="2"/>
  <c r="G131" i="2"/>
  <c r="G127" i="2"/>
  <c r="AO123" i="2"/>
  <c r="G123" i="2"/>
  <c r="AO119" i="2"/>
  <c r="G119" i="2"/>
  <c r="AO115" i="2"/>
  <c r="G115" i="2"/>
  <c r="AO111" i="2"/>
  <c r="G111" i="2"/>
  <c r="G122" i="2"/>
  <c r="AO118" i="2"/>
  <c r="G118" i="2"/>
  <c r="AO114" i="2"/>
  <c r="G114" i="2"/>
  <c r="AO110" i="2"/>
  <c r="G110" i="2"/>
  <c r="AO106" i="2"/>
  <c r="G106" i="2"/>
  <c r="AO102" i="2"/>
  <c r="G102" i="2"/>
  <c r="AO98" i="2"/>
  <c r="G98" i="2"/>
  <c r="AO94" i="2"/>
  <c r="G94" i="2"/>
  <c r="AO90" i="2"/>
  <c r="G90" i="2"/>
  <c r="G86" i="2"/>
  <c r="AO82" i="2"/>
  <c r="G82" i="2"/>
  <c r="AO78" i="2"/>
  <c r="G78" i="2"/>
  <c r="AO74" i="2"/>
  <c r="G74" i="2"/>
  <c r="AO70" i="2"/>
  <c r="G70" i="2"/>
  <c r="AO66" i="2"/>
  <c r="G66" i="2"/>
  <c r="G62" i="2"/>
  <c r="AO237" i="2"/>
  <c r="G237" i="2"/>
  <c r="AO233" i="2"/>
  <c r="G233" i="2"/>
  <c r="AO229" i="2"/>
  <c r="G229" i="2"/>
  <c r="G221" i="2"/>
  <c r="AO217" i="2"/>
  <c r="AO209" i="2"/>
  <c r="AO205" i="2"/>
  <c r="G197" i="2"/>
  <c r="G189" i="2"/>
  <c r="AO185" i="2"/>
  <c r="G181" i="2"/>
  <c r="AO177" i="2"/>
  <c r="AO173" i="2"/>
  <c r="G173" i="2"/>
  <c r="G169" i="2"/>
  <c r="AO165" i="2"/>
  <c r="G165" i="2"/>
  <c r="AO161" i="2"/>
  <c r="G161" i="2"/>
  <c r="AO157" i="2"/>
  <c r="G157" i="2"/>
  <c r="AO153" i="2"/>
  <c r="G153" i="2"/>
  <c r="AO149" i="2"/>
  <c r="G149" i="2"/>
  <c r="AO145" i="2"/>
  <c r="G145" i="2"/>
  <c r="AO141" i="2"/>
  <c r="G141" i="2"/>
  <c r="G137" i="2"/>
  <c r="AO133" i="2"/>
  <c r="G133" i="2"/>
  <c r="G129" i="2"/>
  <c r="AO125" i="2"/>
  <c r="G125" i="2"/>
  <c r="AO121" i="2"/>
  <c r="G121" i="2"/>
  <c r="G113" i="2"/>
  <c r="G109" i="2"/>
  <c r="G105" i="2"/>
  <c r="AO101" i="2"/>
  <c r="G101" i="2"/>
  <c r="G97" i="2"/>
  <c r="AO93" i="2"/>
  <c r="G93" i="2"/>
  <c r="AO89" i="2"/>
  <c r="G89" i="2"/>
  <c r="G85" i="2"/>
  <c r="AO81" i="2"/>
  <c r="G81" i="2"/>
  <c r="AO77" i="2"/>
  <c r="G77" i="2"/>
  <c r="AO73" i="2"/>
  <c r="G73" i="2"/>
  <c r="AO69" i="2"/>
  <c r="G69" i="2"/>
  <c r="AO65" i="2"/>
  <c r="G65" i="2"/>
  <c r="AO61" i="2"/>
  <c r="G61" i="2"/>
  <c r="G57" i="2"/>
  <c r="G53" i="2"/>
  <c r="AO49" i="2"/>
  <c r="G49" i="2"/>
  <c r="AO240" i="2"/>
  <c r="G240" i="2"/>
  <c r="AO236" i="2"/>
  <c r="G236" i="2"/>
  <c r="AO232" i="2"/>
  <c r="AO228" i="2"/>
  <c r="G228" i="2"/>
  <c r="AO224" i="2"/>
  <c r="G224" i="2"/>
  <c r="AO220" i="2"/>
  <c r="G220" i="2"/>
  <c r="AO216" i="2"/>
  <c r="G216" i="2"/>
  <c r="AO208" i="2"/>
  <c r="AO204" i="2"/>
  <c r="AO200" i="2"/>
  <c r="AO196" i="2"/>
  <c r="AO192" i="2"/>
  <c r="AO184" i="2"/>
  <c r="AO176" i="2"/>
  <c r="AO172" i="2"/>
  <c r="G168" i="2"/>
  <c r="G164" i="2"/>
  <c r="AO160" i="2"/>
  <c r="G160" i="2"/>
  <c r="AO156" i="2"/>
  <c r="G156" i="2"/>
  <c r="AO152" i="2"/>
  <c r="G152" i="2"/>
  <c r="AO148" i="2"/>
  <c r="G148" i="2"/>
  <c r="AO144" i="2"/>
  <c r="G144" i="2"/>
  <c r="AO140" i="2"/>
  <c r="G140" i="2"/>
  <c r="AO136" i="2"/>
  <c r="G136" i="2"/>
  <c r="AO132" i="2"/>
  <c r="G132" i="2"/>
  <c r="G128" i="2"/>
  <c r="AO124" i="2"/>
  <c r="G124" i="2"/>
  <c r="AO120" i="2"/>
  <c r="G120" i="2"/>
  <c r="AO116" i="2"/>
  <c r="G116" i="2"/>
  <c r="AO112" i="2"/>
  <c r="G112" i="2"/>
  <c r="AO108" i="2"/>
  <c r="G108" i="2"/>
  <c r="G104" i="2"/>
  <c r="AO100" i="2"/>
  <c r="G100" i="2"/>
  <c r="G96" i="2"/>
  <c r="AO92" i="2"/>
  <c r="G92" i="2"/>
  <c r="G88" i="2"/>
  <c r="G84" i="2"/>
  <c r="G80" i="2"/>
  <c r="AO76" i="2"/>
  <c r="G76" i="2"/>
  <c r="AO72" i="2"/>
  <c r="G72" i="2"/>
  <c r="AO68" i="2"/>
  <c r="G68" i="2"/>
  <c r="AO64" i="2"/>
  <c r="G64" i="2"/>
  <c r="AO60" i="2"/>
  <c r="G60" i="2"/>
  <c r="AO107" i="2"/>
  <c r="G107" i="2"/>
  <c r="AO103" i="2"/>
  <c r="G103" i="2"/>
  <c r="G99" i="2"/>
  <c r="G95" i="2"/>
  <c r="AO91" i="2"/>
  <c r="G91" i="2"/>
  <c r="G87" i="2"/>
  <c r="AO83" i="2"/>
  <c r="G83" i="2"/>
  <c r="AO79" i="2"/>
  <c r="G79" i="2"/>
  <c r="G75" i="2"/>
  <c r="G71" i="2"/>
  <c r="G67" i="2"/>
  <c r="G63" i="2"/>
  <c r="AO59" i="2"/>
  <c r="G59" i="2"/>
  <c r="G55" i="2"/>
  <c r="AO51" i="2"/>
  <c r="G51" i="2"/>
  <c r="AO47" i="2"/>
  <c r="G47" i="2"/>
  <c r="G58" i="2"/>
  <c r="AQ58" i="2" s="1"/>
  <c r="G56" i="2"/>
  <c r="G54" i="2"/>
  <c r="AQ54" i="2" s="1"/>
  <c r="G52" i="2"/>
  <c r="G50" i="2"/>
  <c r="G48" i="2"/>
  <c r="G46" i="2"/>
  <c r="AQ31" i="2" l="1"/>
  <c r="AQ35" i="2"/>
  <c r="AQ10" i="2"/>
  <c r="AH216" i="2"/>
  <c r="AH237" i="2"/>
  <c r="AH120" i="2"/>
  <c r="AQ22" i="2"/>
  <c r="AQ30" i="2"/>
  <c r="AH124" i="2"/>
  <c r="AL169" i="2"/>
  <c r="AH130" i="2"/>
  <c r="G207" i="2"/>
  <c r="AQ207" i="2" s="1"/>
  <c r="E207" i="2"/>
  <c r="G202" i="2"/>
  <c r="AQ202" i="2" s="1"/>
  <c r="E202" i="2"/>
  <c r="G142" i="2"/>
  <c r="AQ142" i="2" s="1"/>
  <c r="E142" i="2"/>
  <c r="AK8" i="2"/>
  <c r="G176" i="2"/>
  <c r="E176" i="2"/>
  <c r="G170" i="2"/>
  <c r="E170" i="2"/>
  <c r="G175" i="2"/>
  <c r="E175" i="2"/>
  <c r="G438" i="2"/>
  <c r="AQ438" i="2" s="1"/>
  <c r="E438" i="2"/>
  <c r="G225" i="2"/>
  <c r="E225" i="2"/>
  <c r="G279" i="2"/>
  <c r="AQ279" i="2" s="1"/>
  <c r="E279" i="2"/>
  <c r="G193" i="2"/>
  <c r="E193" i="2"/>
  <c r="G138" i="2"/>
  <c r="E138" i="2"/>
  <c r="G480" i="2"/>
  <c r="E480" i="2"/>
  <c r="Z320" i="2"/>
  <c r="E320" i="2"/>
  <c r="G450" i="2"/>
  <c r="E450" i="2"/>
  <c r="G158" i="2"/>
  <c r="AQ158" i="2" s="1"/>
  <c r="E158" i="2"/>
  <c r="G325" i="2"/>
  <c r="AQ325" i="2" s="1"/>
  <c r="E325" i="2"/>
  <c r="G166" i="2"/>
  <c r="AQ166" i="2" s="1"/>
  <c r="E166" i="2"/>
  <c r="AQ241" i="2"/>
  <c r="AD4" i="2"/>
  <c r="AF4" i="2" s="1"/>
  <c r="AE46" i="2" s="1"/>
  <c r="G492" i="2"/>
  <c r="AQ492" i="2" s="1"/>
  <c r="E492" i="2"/>
  <c r="G154" i="2"/>
  <c r="E154" i="2"/>
  <c r="AD190" i="2"/>
  <c r="E190" i="2"/>
  <c r="G205" i="2"/>
  <c r="AQ205" i="2" s="1"/>
  <c r="E205" i="2"/>
  <c r="AL304" i="2"/>
  <c r="AH159" i="2"/>
  <c r="AG41" i="2"/>
  <c r="AE83" i="2"/>
  <c r="AF83" i="2" s="1"/>
  <c r="AE125" i="2" s="1"/>
  <c r="AF125" i="2" s="1"/>
  <c r="AL160" i="2"/>
  <c r="AG44" i="2"/>
  <c r="AE86" i="2"/>
  <c r="AF86" i="2" s="1"/>
  <c r="AE128" i="2" s="1"/>
  <c r="AF128" i="2" s="1"/>
  <c r="AG128" i="2" s="1"/>
  <c r="AG42" i="2"/>
  <c r="AE84" i="2"/>
  <c r="AF84" i="2" s="1"/>
  <c r="AG84" i="2" s="1"/>
  <c r="AE81" i="2"/>
  <c r="AG39" i="2"/>
  <c r="AG43" i="2"/>
  <c r="AE85" i="2"/>
  <c r="AG45" i="2"/>
  <c r="AE87" i="2"/>
  <c r="AF87" i="2" s="1"/>
  <c r="AE129" i="2" s="1"/>
  <c r="AE82" i="2"/>
  <c r="AF82" i="2" s="1"/>
  <c r="AE124" i="2" s="1"/>
  <c r="AF124" i="2" s="1"/>
  <c r="AG124" i="2" s="1"/>
  <c r="AG40" i="2"/>
  <c r="AO235" i="2"/>
  <c r="AG38" i="2"/>
  <c r="AN309" i="2"/>
  <c r="AN351" i="2" s="1"/>
  <c r="AO67" i="2"/>
  <c r="AO99" i="2"/>
  <c r="AO225" i="2"/>
  <c r="AO183" i="2"/>
  <c r="AO424" i="2"/>
  <c r="AO130" i="2"/>
  <c r="AQ34" i="2"/>
  <c r="AQ40" i="2"/>
  <c r="AQ37" i="2"/>
  <c r="AO193" i="2"/>
  <c r="AO151" i="2"/>
  <c r="AO277" i="2"/>
  <c r="AQ56" i="2"/>
  <c r="AO109" i="2"/>
  <c r="AO57" i="2"/>
  <c r="S40" i="2"/>
  <c r="AH203" i="2"/>
  <c r="AH173" i="2"/>
  <c r="AH151" i="2"/>
  <c r="J38" i="6"/>
  <c r="K38" i="6" s="1"/>
  <c r="H250" i="2" s="1"/>
  <c r="AQ36" i="2"/>
  <c r="AQ275" i="2"/>
  <c r="S17" i="2"/>
  <c r="AH116" i="2"/>
  <c r="AQ19" i="2"/>
  <c r="AH167" i="2"/>
  <c r="AC4" i="2"/>
  <c r="AL148" i="2"/>
  <c r="AH252" i="2"/>
  <c r="AJ51" i="2"/>
  <c r="AK51" i="2" s="1"/>
  <c r="AK9" i="2"/>
  <c r="AQ52" i="2"/>
  <c r="AQ43" i="2"/>
  <c r="AH221" i="2"/>
  <c r="AH317" i="2"/>
  <c r="AN451" i="2"/>
  <c r="AN493" i="2" s="1"/>
  <c r="AO493" i="2" s="1"/>
  <c r="AL143" i="2"/>
  <c r="AH278" i="2"/>
  <c r="AO367" i="2"/>
  <c r="G8" i="6"/>
  <c r="H8" i="6" s="1"/>
  <c r="I8" i="6" s="1"/>
  <c r="AQ26" i="2"/>
  <c r="AI72" i="2"/>
  <c r="AJ72" i="2" s="1"/>
  <c r="AI114" i="2" s="1"/>
  <c r="AJ114" i="2" s="1"/>
  <c r="AK114" i="2" s="1"/>
  <c r="K82" i="2"/>
  <c r="V40" i="2"/>
  <c r="AH392" i="2"/>
  <c r="AI87" i="2"/>
  <c r="AJ87" i="2" s="1"/>
  <c r="G25" i="6"/>
  <c r="T40" i="2"/>
  <c r="AJ75" i="2"/>
  <c r="AK75" i="2" s="1"/>
  <c r="J42" i="6"/>
  <c r="K42" i="6" s="1"/>
  <c r="H254" i="2" s="1"/>
  <c r="J18" i="6"/>
  <c r="H188" i="2" s="1"/>
  <c r="G32" i="6"/>
  <c r="H32" i="6" s="1"/>
  <c r="I32" i="6" s="1"/>
  <c r="AQ27" i="2"/>
  <c r="AQ23" i="2"/>
  <c r="AQ8" i="2"/>
  <c r="AK11" i="2"/>
  <c r="AE64" i="2"/>
  <c r="AF64" i="2" s="1"/>
  <c r="AG64" i="2" s="1"/>
  <c r="AC13" i="2"/>
  <c r="AQ39" i="2"/>
  <c r="AI82" i="2"/>
  <c r="AJ82" i="2" s="1"/>
  <c r="AK82" i="2" s="1"/>
  <c r="AF80" i="2"/>
  <c r="AG80" i="2" s="1"/>
  <c r="AH104" i="2"/>
  <c r="AF85" i="2"/>
  <c r="AE127" i="2" s="1"/>
  <c r="AF127" i="2" s="1"/>
  <c r="AE169" i="2" s="1"/>
  <c r="H52" i="2"/>
  <c r="AD52" i="2" s="1"/>
  <c r="AQ14" i="2"/>
  <c r="G13" i="6"/>
  <c r="G28" i="6"/>
  <c r="H28" i="6" s="1"/>
  <c r="H114" i="2" s="1"/>
  <c r="AD114" i="2" s="1"/>
  <c r="AO390" i="2"/>
  <c r="AO432" i="2"/>
  <c r="AQ32" i="2"/>
  <c r="AG19" i="2"/>
  <c r="AE61" i="2"/>
  <c r="AF61" i="2" s="1"/>
  <c r="AG61" i="2" s="1"/>
  <c r="AJ16" i="2"/>
  <c r="AK16" i="2" s="1"/>
  <c r="G434" i="2"/>
  <c r="AQ434" i="2" s="1"/>
  <c r="K14" i="6"/>
  <c r="H226" i="2" s="1"/>
  <c r="H184" i="2"/>
  <c r="G231" i="2"/>
  <c r="G162" i="2"/>
  <c r="AQ162" i="2" s="1"/>
  <c r="G177" i="2"/>
  <c r="AQ177" i="2" s="1"/>
  <c r="AD81" i="2"/>
  <c r="I35" i="6"/>
  <c r="H121" i="2"/>
  <c r="AD121" i="2" s="1"/>
  <c r="H118" i="2"/>
  <c r="AD118" i="2" s="1"/>
  <c r="J40" i="6"/>
  <c r="H168" i="2"/>
  <c r="AD168" i="2" s="1"/>
  <c r="AD18" i="2"/>
  <c r="AF18" i="2" s="1"/>
  <c r="J22" i="6"/>
  <c r="H150" i="2"/>
  <c r="AD150" i="2" s="1"/>
  <c r="J37" i="6"/>
  <c r="H165" i="2"/>
  <c r="AD165" i="2" s="1"/>
  <c r="I28" i="6"/>
  <c r="AD23" i="2"/>
  <c r="AF23" i="2" s="1"/>
  <c r="AD12" i="2"/>
  <c r="AF12" i="2" s="1"/>
  <c r="AD37" i="2"/>
  <c r="AF37" i="2" s="1"/>
  <c r="J320" i="2"/>
  <c r="X320" i="2" s="1"/>
  <c r="G263" i="2"/>
  <c r="G192" i="2"/>
  <c r="AQ192" i="2" s="1"/>
  <c r="G213" i="2"/>
  <c r="L20" i="6"/>
  <c r="H274" i="2" s="1"/>
  <c r="H232" i="2"/>
  <c r="AO46" i="2"/>
  <c r="AD21" i="2"/>
  <c r="AF21" i="2" s="1"/>
  <c r="AD11" i="2"/>
  <c r="AF11" i="2" s="1"/>
  <c r="G30" i="6"/>
  <c r="G16" i="6"/>
  <c r="L17" i="6"/>
  <c r="H229" i="2"/>
  <c r="AD229" i="2" s="1"/>
  <c r="AD14" i="2"/>
  <c r="AF14" i="2" s="1"/>
  <c r="G34" i="6"/>
  <c r="G23" i="6"/>
  <c r="G6" i="6"/>
  <c r="G27" i="6"/>
  <c r="J39" i="6"/>
  <c r="H167" i="2"/>
  <c r="AD167" i="2" s="1"/>
  <c r="G21" i="6"/>
  <c r="G10" i="6"/>
  <c r="AI61" i="2"/>
  <c r="AJ61" i="2" s="1"/>
  <c r="AK61" i="2" s="1"/>
  <c r="G397" i="2"/>
  <c r="G294" i="2"/>
  <c r="G215" i="2"/>
  <c r="AQ215" i="2" s="1"/>
  <c r="G211" i="2"/>
  <c r="J146" i="2"/>
  <c r="X146" i="2" s="1"/>
  <c r="AD146" i="2"/>
  <c r="G185" i="2"/>
  <c r="AQ185" i="2" s="1"/>
  <c r="H208" i="2"/>
  <c r="AN377" i="2"/>
  <c r="AN419" i="2" s="1"/>
  <c r="AO419" i="2" s="1"/>
  <c r="J36" i="6"/>
  <c r="H164" i="2"/>
  <c r="AD164" i="2" s="1"/>
  <c r="G29" i="6"/>
  <c r="G19" i="6"/>
  <c r="G9" i="6"/>
  <c r="G33" i="6"/>
  <c r="J41" i="6"/>
  <c r="H169" i="2"/>
  <c r="AD169" i="2" s="1"/>
  <c r="G24" i="6"/>
  <c r="G12" i="6"/>
  <c r="G4" i="6"/>
  <c r="AD5" i="2"/>
  <c r="AF5" i="2" s="1"/>
  <c r="AD142" i="2"/>
  <c r="AD17" i="2"/>
  <c r="AF17" i="2" s="1"/>
  <c r="Z346" i="2"/>
  <c r="AL346" i="2" s="1"/>
  <c r="G359" i="2"/>
  <c r="G245" i="2"/>
  <c r="AQ245" i="2" s="1"/>
  <c r="Z279" i="2"/>
  <c r="AL279" i="2" s="1"/>
  <c r="H212" i="2"/>
  <c r="K18" i="6"/>
  <c r="H230" i="2" s="1"/>
  <c r="G258" i="2"/>
  <c r="AQ258" i="2" s="1"/>
  <c r="AC20" i="2"/>
  <c r="G206" i="2"/>
  <c r="AD15" i="2"/>
  <c r="AF15" i="2" s="1"/>
  <c r="AD170" i="2"/>
  <c r="J7" i="6"/>
  <c r="H135" i="2"/>
  <c r="AD135" i="2" s="1"/>
  <c r="AD166" i="2"/>
  <c r="G3" i="6"/>
  <c r="J43" i="6"/>
  <c r="H171" i="2"/>
  <c r="AD171" i="2" s="1"/>
  <c r="J11" i="6"/>
  <c r="H139" i="2"/>
  <c r="AD139" i="2" s="1"/>
  <c r="G31" i="6"/>
  <c r="G26" i="6"/>
  <c r="G15" i="6"/>
  <c r="G2" i="6"/>
  <c r="AI52" i="2"/>
  <c r="AJ52" i="2" s="1"/>
  <c r="AK52" i="2" s="1"/>
  <c r="AG9" i="2"/>
  <c r="AB71" i="2"/>
  <c r="AO180" i="2"/>
  <c r="AO169" i="2"/>
  <c r="AO306" i="2"/>
  <c r="AO138" i="2"/>
  <c r="AO222" i="2"/>
  <c r="AQ18" i="2"/>
  <c r="AQ48" i="2"/>
  <c r="AO96" i="2"/>
  <c r="AO264" i="2"/>
  <c r="AO348" i="2"/>
  <c r="AO127" i="2"/>
  <c r="AC84" i="2"/>
  <c r="AA126" i="2"/>
  <c r="AB126" i="2" s="1"/>
  <c r="AC126" i="2" s="1"/>
  <c r="AH100" i="2"/>
  <c r="AG13" i="2"/>
  <c r="AQ50" i="2"/>
  <c r="AO85" i="2"/>
  <c r="AQ41" i="2"/>
  <c r="AQ6" i="2"/>
  <c r="AA100" i="2"/>
  <c r="AB100" i="2" s="1"/>
  <c r="AC100" i="2" s="1"/>
  <c r="AI46" i="2"/>
  <c r="AJ46" i="2" s="1"/>
  <c r="AK20" i="2"/>
  <c r="AE49" i="2"/>
  <c r="AQ16" i="2"/>
  <c r="AO211" i="2"/>
  <c r="G146" i="2"/>
  <c r="AQ12" i="2"/>
  <c r="AQ28" i="2"/>
  <c r="AQ271" i="2"/>
  <c r="J279" i="2"/>
  <c r="X279" i="2" s="1"/>
  <c r="AJ83" i="2"/>
  <c r="AK83" i="2" s="1"/>
  <c r="AK41" i="2"/>
  <c r="AI84" i="2"/>
  <c r="AJ84" i="2" s="1"/>
  <c r="AK84" i="2" s="1"/>
  <c r="AN361" i="2"/>
  <c r="AO319" i="2"/>
  <c r="AB77" i="2"/>
  <c r="AC77" i="2" s="1"/>
  <c r="AL134" i="2"/>
  <c r="AO382" i="2"/>
  <c r="AQ24" i="2"/>
  <c r="AE78" i="2"/>
  <c r="AJ79" i="2"/>
  <c r="AK79" i="2" s="1"/>
  <c r="AJ59" i="2"/>
  <c r="AI101" i="2" s="1"/>
  <c r="AJ101" i="2" s="1"/>
  <c r="AK101" i="2" s="1"/>
  <c r="AB62" i="2"/>
  <c r="AC62" i="2" s="1"/>
  <c r="AN341" i="2"/>
  <c r="AO299" i="2"/>
  <c r="AC59" i="2"/>
  <c r="AC54" i="2"/>
  <c r="AO298" i="2"/>
  <c r="AO256" i="2"/>
  <c r="AO340" i="2"/>
  <c r="AI64" i="2"/>
  <c r="AJ64" i="2" s="1"/>
  <c r="AK64" i="2" s="1"/>
  <c r="AI49" i="2"/>
  <c r="AJ49" i="2" s="1"/>
  <c r="AK49" i="2" s="1"/>
  <c r="AK37" i="2"/>
  <c r="AA94" i="2"/>
  <c r="AB94" i="2" s="1"/>
  <c r="AC94" i="2" s="1"/>
  <c r="AA50" i="2"/>
  <c r="AB66" i="2"/>
  <c r="AC66" i="2" s="1"/>
  <c r="AN329" i="2"/>
  <c r="AO287" i="2"/>
  <c r="AB55" i="2"/>
  <c r="AC55" i="2" s="1"/>
  <c r="AN333" i="2"/>
  <c r="AO291" i="2"/>
  <c r="AL96" i="2"/>
  <c r="AO88" i="2"/>
  <c r="AO214" i="2"/>
  <c r="AC74" i="2"/>
  <c r="AH112" i="2"/>
  <c r="AL355" i="2"/>
  <c r="AB56" i="2"/>
  <c r="AA98" i="2" s="1"/>
  <c r="AB98" i="2" s="1"/>
  <c r="AC98" i="2" s="1"/>
  <c r="AB86" i="2"/>
  <c r="AC86" i="2" s="1"/>
  <c r="AB79" i="2"/>
  <c r="AC79" i="2" s="1"/>
  <c r="AO303" i="2"/>
  <c r="AN345" i="2"/>
  <c r="AB60" i="2"/>
  <c r="AC60" i="2" s="1"/>
  <c r="AB68" i="2"/>
  <c r="AC68" i="2" s="1"/>
  <c r="AN355" i="2"/>
  <c r="AO313" i="2"/>
  <c r="AN11" i="2"/>
  <c r="AN45" i="2"/>
  <c r="AN13" i="2"/>
  <c r="AN21" i="2"/>
  <c r="AN38" i="2"/>
  <c r="AN33" i="2"/>
  <c r="AN42" i="2"/>
  <c r="AQ17" i="2"/>
  <c r="AJ47" i="2"/>
  <c r="AK47" i="2" s="1"/>
  <c r="AK5" i="2"/>
  <c r="AN20" i="2"/>
  <c r="AN62" i="2" s="1"/>
  <c r="AN353" i="2"/>
  <c r="AO311" i="2"/>
  <c r="AN415" i="2"/>
  <c r="AO373" i="2"/>
  <c r="AN29" i="2"/>
  <c r="AO29" i="2" s="1"/>
  <c r="AN343" i="2"/>
  <c r="AO301" i="2"/>
  <c r="AN363" i="2"/>
  <c r="AO321" i="2"/>
  <c r="AN359" i="2"/>
  <c r="AO317" i="2"/>
  <c r="G320" i="2"/>
  <c r="AQ320" i="2" s="1"/>
  <c r="AQ283" i="2"/>
  <c r="V25" i="2"/>
  <c r="AL112" i="2"/>
  <c r="AI77" i="2"/>
  <c r="AJ77" i="2" s="1"/>
  <c r="AK77" i="2" s="1"/>
  <c r="AK25" i="2"/>
  <c r="AK17" i="2"/>
  <c r="AO253" i="2"/>
  <c r="AN295" i="2"/>
  <c r="AO44" i="2"/>
  <c r="AN86" i="2"/>
  <c r="AF24" i="2"/>
  <c r="AE66" i="2" s="1"/>
  <c r="AG30" i="2"/>
  <c r="H49" i="2"/>
  <c r="AD49" i="2" s="1"/>
  <c r="AF51" i="2"/>
  <c r="AE93" i="2" s="1"/>
  <c r="AF93" i="2" s="1"/>
  <c r="AG93" i="2" s="1"/>
  <c r="I5" i="6"/>
  <c r="AF55" i="2"/>
  <c r="AG55" i="2" s="1"/>
  <c r="Z146" i="2"/>
  <c r="AH134" i="2"/>
  <c r="AH355" i="2"/>
  <c r="D267" i="2"/>
  <c r="E267" i="2" s="1"/>
  <c r="Z223" i="2"/>
  <c r="J223" i="2"/>
  <c r="X223" i="2" s="1"/>
  <c r="D234" i="2"/>
  <c r="E234" i="2" s="1"/>
  <c r="J209" i="2"/>
  <c r="X209" i="2" s="1"/>
  <c r="Z209" i="2"/>
  <c r="J201" i="2"/>
  <c r="X201" i="2" s="1"/>
  <c r="Z201" i="2"/>
  <c r="D273" i="2"/>
  <c r="E273" i="2" s="1"/>
  <c r="Z190" i="2"/>
  <c r="J190" i="2"/>
  <c r="X190" i="2" s="1"/>
  <c r="D248" i="2"/>
  <c r="E248" i="2" s="1"/>
  <c r="G223" i="2"/>
  <c r="AE75" i="2"/>
  <c r="AG33" i="2"/>
  <c r="AI55" i="2"/>
  <c r="AJ55" i="2" s="1"/>
  <c r="AK55" i="2" s="1"/>
  <c r="AK13" i="2"/>
  <c r="AC21" i="2"/>
  <c r="AA63" i="2"/>
  <c r="AE71" i="2"/>
  <c r="AG29" i="2"/>
  <c r="AL171" i="2"/>
  <c r="AH171" i="2"/>
  <c r="AC45" i="2"/>
  <c r="AA87" i="2"/>
  <c r="G201" i="2"/>
  <c r="G190" i="2"/>
  <c r="AQ190" i="2" s="1"/>
  <c r="AC48" i="2"/>
  <c r="AA90" i="2"/>
  <c r="AB90" i="2" s="1"/>
  <c r="AC90" i="2" s="1"/>
  <c r="AK15" i="2"/>
  <c r="AI57" i="2"/>
  <c r="Z170" i="2"/>
  <c r="J170" i="2"/>
  <c r="X170" i="2" s="1"/>
  <c r="Z193" i="2"/>
  <c r="J193" i="2"/>
  <c r="X193" i="2" s="1"/>
  <c r="G209" i="2"/>
  <c r="AQ209" i="2" s="1"/>
  <c r="Z211" i="2"/>
  <c r="J211" i="2"/>
  <c r="X211" i="2" s="1"/>
  <c r="D218" i="2"/>
  <c r="E218" i="2" s="1"/>
  <c r="D204" i="2"/>
  <c r="E204" i="2" s="1"/>
  <c r="J258" i="2"/>
  <c r="X258" i="2" s="1"/>
  <c r="Z258" i="2"/>
  <c r="J205" i="2"/>
  <c r="X205" i="2" s="1"/>
  <c r="Z205" i="2"/>
  <c r="D287" i="2"/>
  <c r="E287" i="2" s="1"/>
  <c r="D265" i="2"/>
  <c r="E265" i="2" s="1"/>
  <c r="D251" i="2"/>
  <c r="E251" i="2" s="1"/>
  <c r="Z202" i="2"/>
  <c r="J202" i="2"/>
  <c r="X202" i="2" s="1"/>
  <c r="D253" i="2"/>
  <c r="E253" i="2" s="1"/>
  <c r="J213" i="2"/>
  <c r="X213" i="2" s="1"/>
  <c r="Z213" i="2"/>
  <c r="D188" i="2"/>
  <c r="Z154" i="2"/>
  <c r="J154" i="2"/>
  <c r="X154" i="2" s="1"/>
  <c r="D300" i="2"/>
  <c r="E300" i="2" s="1"/>
  <c r="D247" i="2"/>
  <c r="E247" i="2" s="1"/>
  <c r="Z185" i="2"/>
  <c r="J185" i="2"/>
  <c r="X185" i="2" s="1"/>
  <c r="M20" i="6"/>
  <c r="H316" i="2" s="1"/>
  <c r="D232" i="2"/>
  <c r="E232" i="2" s="1"/>
  <c r="Z158" i="2"/>
  <c r="J158" i="2"/>
  <c r="X158" i="2" s="1"/>
  <c r="J245" i="2"/>
  <c r="X245" i="2" s="1"/>
  <c r="Z245" i="2"/>
  <c r="Z207" i="2"/>
  <c r="J207" i="2"/>
  <c r="X207" i="2" s="1"/>
  <c r="Z138" i="2"/>
  <c r="J138" i="2"/>
  <c r="X138" i="2" s="1"/>
  <c r="Z325" i="2"/>
  <c r="J325" i="2"/>
  <c r="X325" i="2" s="1"/>
  <c r="D243" i="2"/>
  <c r="E243" i="2" s="1"/>
  <c r="D244" i="2"/>
  <c r="E244" i="2" s="1"/>
  <c r="D255" i="2"/>
  <c r="E255" i="2" s="1"/>
  <c r="Z142" i="2"/>
  <c r="J142" i="2"/>
  <c r="X142" i="2" s="1"/>
  <c r="D219" i="2"/>
  <c r="E219" i="2" s="1"/>
  <c r="D227" i="2"/>
  <c r="E227" i="2" s="1"/>
  <c r="Z166" i="2"/>
  <c r="J166" i="2"/>
  <c r="X166" i="2" s="1"/>
  <c r="Z175" i="2"/>
  <c r="J175" i="2"/>
  <c r="X175" i="2" s="1"/>
  <c r="D235" i="2"/>
  <c r="E235" i="2" s="1"/>
  <c r="AC9" i="2"/>
  <c r="AA51" i="2"/>
  <c r="Z225" i="2"/>
  <c r="J225" i="2"/>
  <c r="X225" i="2" s="1"/>
  <c r="D200" i="2"/>
  <c r="E200" i="2" s="1"/>
  <c r="D249" i="2"/>
  <c r="E249" i="2" s="1"/>
  <c r="D180" i="2"/>
  <c r="E180" i="2" s="1"/>
  <c r="J192" i="2"/>
  <c r="X192" i="2" s="1"/>
  <c r="Z192" i="2"/>
  <c r="D321" i="2"/>
  <c r="E321" i="2" s="1"/>
  <c r="D367" i="2"/>
  <c r="E367" i="2" s="1"/>
  <c r="J231" i="2"/>
  <c r="X231" i="2" s="1"/>
  <c r="Z231" i="2"/>
  <c r="Z176" i="2"/>
  <c r="J176" i="2"/>
  <c r="X176" i="2" s="1"/>
  <c r="Z162" i="2"/>
  <c r="J162" i="2"/>
  <c r="X162" i="2" s="1"/>
  <c r="D196" i="2"/>
  <c r="E196" i="2" s="1"/>
  <c r="D184" i="2"/>
  <c r="E184" i="2" s="1"/>
  <c r="D212" i="2"/>
  <c r="E212" i="2" s="1"/>
  <c r="Z177" i="2"/>
  <c r="J177" i="2"/>
  <c r="X177" i="2" s="1"/>
  <c r="D208" i="2"/>
  <c r="E208" i="2" s="1"/>
  <c r="Z206" i="2"/>
  <c r="J206" i="2"/>
  <c r="X206" i="2" s="1"/>
  <c r="D217" i="2"/>
  <c r="E217" i="2" s="1"/>
  <c r="D336" i="2"/>
  <c r="E336" i="2" s="1"/>
  <c r="J172" i="2"/>
  <c r="X172" i="2" s="1"/>
  <c r="Z172" i="2"/>
  <c r="D362" i="2"/>
  <c r="E362" i="2" s="1"/>
  <c r="D214" i="2"/>
  <c r="E214" i="2" s="1"/>
  <c r="J215" i="2"/>
  <c r="X215" i="2" s="1"/>
  <c r="Z215" i="2"/>
  <c r="J263" i="2"/>
  <c r="X263" i="2" s="1"/>
  <c r="Z263" i="2"/>
  <c r="D257" i="2"/>
  <c r="E257" i="2" s="1"/>
  <c r="G172" i="2"/>
  <c r="AQ172" i="2" s="1"/>
  <c r="J294" i="2"/>
  <c r="X294" i="2" s="1"/>
  <c r="Z294" i="2"/>
  <c r="D305" i="2"/>
  <c r="E305" i="2" s="1"/>
  <c r="Z476" i="2"/>
  <c r="J476" i="2"/>
  <c r="X476" i="2" s="1"/>
  <c r="J346" i="2"/>
  <c r="X346" i="2" s="1"/>
  <c r="D388" i="2"/>
  <c r="E388" i="2" s="1"/>
  <c r="Z397" i="2"/>
  <c r="J397" i="2"/>
  <c r="X397" i="2" s="1"/>
  <c r="Z359" i="2"/>
  <c r="J359" i="2"/>
  <c r="X359" i="2" s="1"/>
  <c r="Z480" i="2"/>
  <c r="J480" i="2"/>
  <c r="X480" i="2" s="1"/>
  <c r="D491" i="2"/>
  <c r="E491" i="2" s="1"/>
  <c r="D449" i="2"/>
  <c r="E449" i="2" s="1"/>
  <c r="G346" i="2"/>
  <c r="AQ346" i="2" s="1"/>
  <c r="G476" i="2"/>
  <c r="AQ476" i="2" s="1"/>
  <c r="AC46" i="2"/>
  <c r="D439" i="2"/>
  <c r="E439" i="2" s="1"/>
  <c r="D481" i="2"/>
  <c r="E481" i="2" s="1"/>
  <c r="Z450" i="2"/>
  <c r="J450" i="2"/>
  <c r="X450" i="2" s="1"/>
  <c r="D401" i="2"/>
  <c r="E401" i="2" s="1"/>
  <c r="J438" i="2"/>
  <c r="X438" i="2" s="1"/>
  <c r="Z438" i="2"/>
  <c r="Z407" i="2"/>
  <c r="J407" i="2"/>
  <c r="X407" i="2" s="1"/>
  <c r="G407" i="2"/>
  <c r="Z434" i="2"/>
  <c r="J434" i="2"/>
  <c r="X434" i="2" s="1"/>
  <c r="Z492" i="2"/>
  <c r="J492" i="2"/>
  <c r="X492" i="2" s="1"/>
  <c r="K59" i="2"/>
  <c r="L59" i="2" s="1"/>
  <c r="K101" i="2" s="1"/>
  <c r="K67" i="2"/>
  <c r="L67" i="2" s="1"/>
  <c r="K109" i="2" s="1"/>
  <c r="V17" i="2"/>
  <c r="T25" i="2"/>
  <c r="AJ62" i="2"/>
  <c r="AK62" i="2" s="1"/>
  <c r="AK21" i="2"/>
  <c r="AC28" i="2"/>
  <c r="T17" i="2"/>
  <c r="U25" i="2"/>
  <c r="AJ50" i="2"/>
  <c r="AK50" i="2" s="1"/>
  <c r="AJ67" i="2"/>
  <c r="AK67" i="2" s="1"/>
  <c r="AK27" i="2"/>
  <c r="AK29" i="2"/>
  <c r="AA75" i="2"/>
  <c r="AJ63" i="2"/>
  <c r="AK63" i="2" s="1"/>
  <c r="AA76" i="2"/>
  <c r="AC32" i="2"/>
  <c r="AG28" i="2"/>
  <c r="AE70" i="2"/>
  <c r="AI85" i="2"/>
  <c r="AJ85" i="2" s="1"/>
  <c r="AK85" i="2" s="1"/>
  <c r="AI76" i="2"/>
  <c r="AJ76" i="2" s="1"/>
  <c r="AK76" i="2" s="1"/>
  <c r="AI74" i="2"/>
  <c r="AJ74" i="2" s="1"/>
  <c r="AC35" i="2"/>
  <c r="AG32" i="2"/>
  <c r="AA101" i="2"/>
  <c r="AJ53" i="2"/>
  <c r="AK53" i="2" s="1"/>
  <c r="AK38" i="2"/>
  <c r="AA47" i="2"/>
  <c r="AB47" i="2" s="1"/>
  <c r="AK33" i="2"/>
  <c r="AJ69" i="2"/>
  <c r="AK69" i="2" s="1"/>
  <c r="AC52" i="2"/>
  <c r="AA96" i="2"/>
  <c r="AI65" i="2"/>
  <c r="AJ65" i="2" s="1"/>
  <c r="AK65" i="2" s="1"/>
  <c r="AI73" i="2"/>
  <c r="AJ73" i="2" s="1"/>
  <c r="AK73" i="2" s="1"/>
  <c r="AE67" i="2"/>
  <c r="AG25" i="2"/>
  <c r="AC27" i="2"/>
  <c r="AA69" i="2"/>
  <c r="AB69" i="2" s="1"/>
  <c r="AI70" i="2"/>
  <c r="AJ70" i="2" s="1"/>
  <c r="AK70" i="2" s="1"/>
  <c r="AE68" i="2"/>
  <c r="AF68" i="2" s="1"/>
  <c r="AG68" i="2" s="1"/>
  <c r="AC15" i="2"/>
  <c r="AA57" i="2"/>
  <c r="AB57" i="2" s="1"/>
  <c r="AC39" i="2"/>
  <c r="AA81" i="2"/>
  <c r="AC11" i="2"/>
  <c r="AA53" i="2"/>
  <c r="AB53" i="2" s="1"/>
  <c r="AJ48" i="2"/>
  <c r="AI90" i="2" s="1"/>
  <c r="AJ90" i="2" s="1"/>
  <c r="AK90" i="2" s="1"/>
  <c r="AI81" i="2"/>
  <c r="AJ81" i="2" s="1"/>
  <c r="AK81" i="2" s="1"/>
  <c r="AA82" i="2"/>
  <c r="AB82" i="2" s="1"/>
  <c r="AC19" i="2"/>
  <c r="AA61" i="2"/>
  <c r="AB61" i="2" s="1"/>
  <c r="AC31" i="2"/>
  <c r="AA73" i="2"/>
  <c r="AC43" i="2"/>
  <c r="AA85" i="2"/>
  <c r="AB85" i="2" s="1"/>
  <c r="AC7" i="2"/>
  <c r="AA49" i="2"/>
  <c r="AB49" i="2" s="1"/>
  <c r="AC23" i="2"/>
  <c r="AA65" i="2"/>
  <c r="AF104" i="2"/>
  <c r="AG104" i="2" s="1"/>
  <c r="AC70" i="2"/>
  <c r="AK18" i="2"/>
  <c r="AI60" i="2"/>
  <c r="AJ60" i="2" s="1"/>
  <c r="AK6" i="2"/>
  <c r="AI78" i="2"/>
  <c r="AJ78" i="2" s="1"/>
  <c r="AK78" i="2" s="1"/>
  <c r="AE76" i="2"/>
  <c r="AG34" i="2"/>
  <c r="AC36" i="2"/>
  <c r="AA78" i="2"/>
  <c r="AB78" i="2" s="1"/>
  <c r="AK44" i="2"/>
  <c r="AI86" i="2"/>
  <c r="AC38" i="2"/>
  <c r="AA80" i="2"/>
  <c r="AB80" i="2" s="1"/>
  <c r="AE50" i="2"/>
  <c r="AG8" i="2"/>
  <c r="AG62" i="2"/>
  <c r="AA72" i="2"/>
  <c r="AB72" i="2" s="1"/>
  <c r="AE77" i="2"/>
  <c r="AK14" i="2"/>
  <c r="AI56" i="2"/>
  <c r="AJ56" i="2" s="1"/>
  <c r="AC22" i="2"/>
  <c r="AA64" i="2"/>
  <c r="AB64" i="2" s="1"/>
  <c r="AK26" i="2"/>
  <c r="AI68" i="2"/>
  <c r="AJ80" i="2"/>
  <c r="AE52" i="2"/>
  <c r="AG10" i="2"/>
  <c r="AE48" i="2"/>
  <c r="AG6" i="2"/>
  <c r="AK12" i="2"/>
  <c r="AI54" i="2"/>
  <c r="AK24" i="2"/>
  <c r="AI66" i="2"/>
  <c r="AA125" i="2"/>
  <c r="AB125" i="2" s="1"/>
  <c r="AC83" i="2"/>
  <c r="AA116" i="2"/>
  <c r="AA109" i="2"/>
  <c r="AB109" i="2" s="1"/>
  <c r="AC67" i="2"/>
  <c r="AG16" i="2"/>
  <c r="AE58" i="2"/>
  <c r="AG31" i="2"/>
  <c r="AE73" i="2"/>
  <c r="AE69" i="2"/>
  <c r="AL155" i="2"/>
  <c r="AH155" i="2"/>
  <c r="AL109" i="2"/>
  <c r="AH109" i="2"/>
  <c r="AL181" i="2"/>
  <c r="AH181" i="2"/>
  <c r="AL195" i="2"/>
  <c r="AH195" i="2"/>
  <c r="AL320" i="2"/>
  <c r="AH320" i="2"/>
  <c r="AL111" i="2"/>
  <c r="AH111" i="2"/>
  <c r="AL119" i="2"/>
  <c r="AH119" i="2"/>
  <c r="AL123" i="2"/>
  <c r="AH123" i="2"/>
  <c r="AQ154" i="2"/>
  <c r="AL131" i="2"/>
  <c r="AH131" i="2"/>
  <c r="AL57" i="2"/>
  <c r="AH57" i="2"/>
  <c r="AL141" i="2"/>
  <c r="AH141" i="2"/>
  <c r="AL189" i="2"/>
  <c r="AH189" i="2"/>
  <c r="AL103" i="2"/>
  <c r="AH103" i="2"/>
  <c r="AL408" i="2"/>
  <c r="AH408" i="2"/>
  <c r="AH149" i="2"/>
  <c r="AL149" i="2"/>
  <c r="AL163" i="2"/>
  <c r="AH163" i="2"/>
  <c r="AL71" i="2"/>
  <c r="AH71" i="2"/>
  <c r="AJ71" i="2" s="1"/>
  <c r="L54" i="2"/>
  <c r="K96" i="2" s="1"/>
  <c r="L63" i="2"/>
  <c r="K105" i="2" s="1"/>
  <c r="N20" i="2"/>
  <c r="O20" i="2"/>
  <c r="P20" i="2"/>
  <c r="Q20" i="2"/>
  <c r="L64" i="2"/>
  <c r="K106" i="2" s="1"/>
  <c r="L76" i="2"/>
  <c r="K118" i="2" s="1"/>
  <c r="L85" i="2"/>
  <c r="K127" i="2" s="1"/>
  <c r="L49" i="2"/>
  <c r="K91" i="2" s="1"/>
  <c r="L50" i="2"/>
  <c r="K92" i="2" s="1"/>
  <c r="V12" i="2"/>
  <c r="T12" i="2"/>
  <c r="S12" i="2"/>
  <c r="U12" i="2"/>
  <c r="S36" i="2"/>
  <c r="U36" i="2"/>
  <c r="T36" i="2"/>
  <c r="V36" i="2"/>
  <c r="N40" i="2"/>
  <c r="O40" i="2"/>
  <c r="P40" i="2"/>
  <c r="Q40" i="2"/>
  <c r="H79" i="2"/>
  <c r="AD79" i="2" s="1"/>
  <c r="Q5" i="2"/>
  <c r="N5" i="2"/>
  <c r="O5" i="2"/>
  <c r="P5" i="2"/>
  <c r="S13" i="2"/>
  <c r="U13" i="2"/>
  <c r="T13" i="2"/>
  <c r="V13" i="2"/>
  <c r="K55" i="2"/>
  <c r="S21" i="2"/>
  <c r="U21" i="2"/>
  <c r="T21" i="2"/>
  <c r="V21" i="2"/>
  <c r="S29" i="2"/>
  <c r="U29" i="2"/>
  <c r="T29" i="2"/>
  <c r="V29" i="2"/>
  <c r="K71" i="2"/>
  <c r="L52" i="2"/>
  <c r="K94" i="2" s="1"/>
  <c r="L66" i="2"/>
  <c r="K108" i="2" s="1"/>
  <c r="T45" i="2"/>
  <c r="V45" i="2"/>
  <c r="S45" i="2"/>
  <c r="U45" i="2"/>
  <c r="V28" i="2"/>
  <c r="T28" i="2"/>
  <c r="S28" i="2"/>
  <c r="U28" i="2"/>
  <c r="K70" i="2"/>
  <c r="L78" i="2"/>
  <c r="K120" i="2" s="1"/>
  <c r="S44" i="2"/>
  <c r="U44" i="2"/>
  <c r="T44" i="2"/>
  <c r="V44" i="2"/>
  <c r="K86" i="2"/>
  <c r="V31" i="2"/>
  <c r="T31" i="2"/>
  <c r="S31" i="2"/>
  <c r="U31" i="2"/>
  <c r="K73" i="2"/>
  <c r="L51" i="2"/>
  <c r="K93" i="2" s="1"/>
  <c r="Q13" i="2"/>
  <c r="N13" i="2"/>
  <c r="O13" i="2"/>
  <c r="P13" i="2"/>
  <c r="Q21" i="2"/>
  <c r="N21" i="2"/>
  <c r="O21" i="2"/>
  <c r="P21" i="2"/>
  <c r="L79" i="2"/>
  <c r="K121" i="2" s="1"/>
  <c r="L60" i="2"/>
  <c r="K102" i="2" s="1"/>
  <c r="L68" i="2"/>
  <c r="K110" i="2" s="1"/>
  <c r="L57" i="2"/>
  <c r="L81" i="2"/>
  <c r="K123" i="2" s="1"/>
  <c r="K87" i="2"/>
  <c r="L74" i="2"/>
  <c r="K116" i="2" s="1"/>
  <c r="V20" i="2"/>
  <c r="T20" i="2"/>
  <c r="S20" i="2"/>
  <c r="U20" i="2"/>
  <c r="K62" i="2"/>
  <c r="N28" i="2"/>
  <c r="O28" i="2"/>
  <c r="P28" i="2"/>
  <c r="Q28" i="2"/>
  <c r="P30" i="2"/>
  <c r="Q30" i="2"/>
  <c r="N30" i="2"/>
  <c r="O30" i="2"/>
  <c r="L48" i="2"/>
  <c r="K90" i="2" s="1"/>
  <c r="L53" i="2"/>
  <c r="K95" i="2" s="1"/>
  <c r="N45" i="2"/>
  <c r="O45" i="2"/>
  <c r="P45" i="2"/>
  <c r="Q45" i="2"/>
  <c r="V8" i="2"/>
  <c r="S8" i="2"/>
  <c r="T8" i="2"/>
  <c r="U8" i="2"/>
  <c r="N12" i="2"/>
  <c r="O12" i="2"/>
  <c r="P12" i="2"/>
  <c r="Q12" i="2"/>
  <c r="U30" i="2"/>
  <c r="S30" i="2"/>
  <c r="T30" i="2"/>
  <c r="V30" i="2"/>
  <c r="N36" i="2"/>
  <c r="O36" i="2"/>
  <c r="P36" i="2"/>
  <c r="Q36" i="2"/>
  <c r="S9" i="2"/>
  <c r="T9" i="2"/>
  <c r="U9" i="2"/>
  <c r="V9" i="2"/>
  <c r="T33" i="2"/>
  <c r="V33" i="2"/>
  <c r="U33" i="2"/>
  <c r="S33" i="2"/>
  <c r="N41" i="2"/>
  <c r="O41" i="2"/>
  <c r="P41" i="2"/>
  <c r="Q41" i="2"/>
  <c r="T14" i="2"/>
  <c r="V14" i="2"/>
  <c r="S14" i="2"/>
  <c r="U14" i="2"/>
  <c r="P18" i="2"/>
  <c r="Q18" i="2"/>
  <c r="N18" i="2"/>
  <c r="O18" i="2"/>
  <c r="U42" i="2"/>
  <c r="S42" i="2"/>
  <c r="V42" i="2"/>
  <c r="T42" i="2"/>
  <c r="L46" i="2"/>
  <c r="K88" i="2" s="1"/>
  <c r="O31" i="2"/>
  <c r="P31" i="2"/>
  <c r="Q31" i="2"/>
  <c r="N31" i="2"/>
  <c r="O27" i="2"/>
  <c r="P27" i="2"/>
  <c r="Q27" i="2"/>
  <c r="N27" i="2"/>
  <c r="O7" i="2"/>
  <c r="P7" i="2"/>
  <c r="Q7" i="2"/>
  <c r="N7" i="2"/>
  <c r="L65" i="2"/>
  <c r="K107" i="2" s="1"/>
  <c r="V35" i="2"/>
  <c r="T35" i="2"/>
  <c r="S35" i="2"/>
  <c r="U35" i="2"/>
  <c r="V16" i="2"/>
  <c r="T16" i="2"/>
  <c r="S16" i="2"/>
  <c r="U16" i="2"/>
  <c r="N24" i="2"/>
  <c r="O24" i="2"/>
  <c r="P24" i="2"/>
  <c r="Q24" i="2"/>
  <c r="O19" i="2"/>
  <c r="P19" i="2"/>
  <c r="Q19" i="2"/>
  <c r="N19" i="2"/>
  <c r="AC88" i="2"/>
  <c r="S32" i="2"/>
  <c r="U32" i="2"/>
  <c r="T32" i="2"/>
  <c r="V32" i="2"/>
  <c r="N8" i="2"/>
  <c r="O8" i="2"/>
  <c r="P8" i="2"/>
  <c r="Q8" i="2"/>
  <c r="N32" i="2"/>
  <c r="O32" i="2"/>
  <c r="P32" i="2"/>
  <c r="Q32" i="2"/>
  <c r="L82" i="2"/>
  <c r="K124" i="2" s="1"/>
  <c r="N44" i="2"/>
  <c r="O44" i="2"/>
  <c r="P44" i="2"/>
  <c r="Q44" i="2"/>
  <c r="H66" i="2"/>
  <c r="AD66" i="2" s="1"/>
  <c r="K72" i="2"/>
  <c r="S5" i="2"/>
  <c r="T5" i="2"/>
  <c r="U5" i="2"/>
  <c r="V5" i="2"/>
  <c r="Q9" i="2"/>
  <c r="N9" i="2"/>
  <c r="O9" i="2"/>
  <c r="P9" i="2"/>
  <c r="Q17" i="2"/>
  <c r="N17" i="2"/>
  <c r="O17" i="2"/>
  <c r="P17" i="2"/>
  <c r="Q25" i="2"/>
  <c r="N25" i="2"/>
  <c r="O25" i="2"/>
  <c r="P25" i="2"/>
  <c r="L75" i="2"/>
  <c r="K117" i="2" s="1"/>
  <c r="N37" i="2"/>
  <c r="O37" i="2"/>
  <c r="P37" i="2"/>
  <c r="Q37" i="2"/>
  <c r="T10" i="2"/>
  <c r="V10" i="2"/>
  <c r="U10" i="2"/>
  <c r="S10" i="2"/>
  <c r="P14" i="2"/>
  <c r="Q14" i="2"/>
  <c r="N14" i="2"/>
  <c r="O14" i="2"/>
  <c r="T26" i="2"/>
  <c r="V26" i="2"/>
  <c r="U26" i="2"/>
  <c r="S26" i="2"/>
  <c r="P34" i="2"/>
  <c r="Q34" i="2"/>
  <c r="N34" i="2"/>
  <c r="O34" i="2"/>
  <c r="K84" i="2"/>
  <c r="V4" i="2"/>
  <c r="S4" i="2"/>
  <c r="T4" i="2"/>
  <c r="U4" i="2"/>
  <c r="O11" i="2"/>
  <c r="P11" i="2"/>
  <c r="Q11" i="2"/>
  <c r="N11" i="2"/>
  <c r="U23" i="2"/>
  <c r="S23" i="2"/>
  <c r="T23" i="2"/>
  <c r="V23" i="2"/>
  <c r="O35" i="2"/>
  <c r="P35" i="2"/>
  <c r="Q35" i="2"/>
  <c r="N35" i="2"/>
  <c r="N16" i="2"/>
  <c r="O16" i="2"/>
  <c r="P16" i="2"/>
  <c r="Q16" i="2"/>
  <c r="K47" i="2"/>
  <c r="Q33" i="2"/>
  <c r="N33" i="2"/>
  <c r="O33" i="2"/>
  <c r="P33" i="2"/>
  <c r="T41" i="2"/>
  <c r="V41" i="2"/>
  <c r="U41" i="2"/>
  <c r="S41" i="2"/>
  <c r="T6" i="2"/>
  <c r="U6" i="2"/>
  <c r="V6" i="2"/>
  <c r="S6" i="2"/>
  <c r="P10" i="2"/>
  <c r="Q10" i="2"/>
  <c r="N10" i="2"/>
  <c r="O10" i="2"/>
  <c r="T22" i="2"/>
  <c r="V22" i="2"/>
  <c r="S22" i="2"/>
  <c r="U22" i="2"/>
  <c r="P26" i="2"/>
  <c r="Q26" i="2"/>
  <c r="N26" i="2"/>
  <c r="O26" i="2"/>
  <c r="U38" i="2"/>
  <c r="S38" i="2"/>
  <c r="T38" i="2"/>
  <c r="V38" i="2"/>
  <c r="K80" i="2"/>
  <c r="N42" i="2"/>
  <c r="O42" i="2"/>
  <c r="P42" i="2"/>
  <c r="Q42" i="2"/>
  <c r="N4" i="2"/>
  <c r="O4" i="2"/>
  <c r="P4" i="2"/>
  <c r="Q4" i="2"/>
  <c r="U27" i="2"/>
  <c r="S27" i="2"/>
  <c r="V27" i="2"/>
  <c r="T27" i="2"/>
  <c r="V43" i="2"/>
  <c r="T43" i="2"/>
  <c r="S43" i="2"/>
  <c r="U43" i="2"/>
  <c r="U15" i="2"/>
  <c r="S15" i="2"/>
  <c r="T15" i="2"/>
  <c r="V15" i="2"/>
  <c r="O23" i="2"/>
  <c r="P23" i="2"/>
  <c r="Q23" i="2"/>
  <c r="N23" i="2"/>
  <c r="U19" i="2"/>
  <c r="S19" i="2"/>
  <c r="V19" i="2"/>
  <c r="T19" i="2"/>
  <c r="V39" i="2"/>
  <c r="T39" i="2"/>
  <c r="S39" i="2"/>
  <c r="U39" i="2"/>
  <c r="Q29" i="2"/>
  <c r="N29" i="2"/>
  <c r="O29" i="2"/>
  <c r="P29" i="2"/>
  <c r="T37" i="2"/>
  <c r="V37" i="2"/>
  <c r="S37" i="2"/>
  <c r="U37" i="2"/>
  <c r="L83" i="2"/>
  <c r="K125" i="2" s="1"/>
  <c r="P6" i="2"/>
  <c r="Q6" i="2"/>
  <c r="N6" i="2"/>
  <c r="O6" i="2"/>
  <c r="L56" i="2"/>
  <c r="T18" i="2"/>
  <c r="V18" i="2"/>
  <c r="U18" i="2"/>
  <c r="S18" i="2"/>
  <c r="P22" i="2"/>
  <c r="Q22" i="2"/>
  <c r="N22" i="2"/>
  <c r="O22" i="2"/>
  <c r="U34" i="2"/>
  <c r="S34" i="2"/>
  <c r="V34" i="2"/>
  <c r="T34" i="2"/>
  <c r="N38" i="2"/>
  <c r="O38" i="2"/>
  <c r="P38" i="2"/>
  <c r="Q38" i="2"/>
  <c r="U11" i="2"/>
  <c r="S11" i="2"/>
  <c r="V11" i="2"/>
  <c r="T11" i="2"/>
  <c r="L69" i="2"/>
  <c r="K111" i="2" s="1"/>
  <c r="N43" i="2"/>
  <c r="O43" i="2"/>
  <c r="P43" i="2"/>
  <c r="Q43" i="2"/>
  <c r="U7" i="2"/>
  <c r="V7" i="2"/>
  <c r="S7" i="2"/>
  <c r="T7" i="2"/>
  <c r="O15" i="2"/>
  <c r="P15" i="2"/>
  <c r="Q15" i="2"/>
  <c r="N15" i="2"/>
  <c r="L77" i="2"/>
  <c r="L58" i="2"/>
  <c r="K100" i="2" s="1"/>
  <c r="V24" i="2"/>
  <c r="T24" i="2"/>
  <c r="S24" i="2"/>
  <c r="U24" i="2"/>
  <c r="L61" i="2"/>
  <c r="N39" i="2"/>
  <c r="O39" i="2"/>
  <c r="P39" i="2"/>
  <c r="Q39" i="2"/>
  <c r="AQ178" i="2"/>
  <c r="AQ186" i="2"/>
  <c r="AQ194" i="2"/>
  <c r="AQ308" i="2"/>
  <c r="AQ324" i="2"/>
  <c r="AQ49" i="2"/>
  <c r="AQ65" i="2"/>
  <c r="AQ73" i="2"/>
  <c r="AQ81" i="2"/>
  <c r="AQ89" i="2"/>
  <c r="AQ125" i="2"/>
  <c r="AQ133" i="2"/>
  <c r="AQ141" i="2"/>
  <c r="AQ149" i="2"/>
  <c r="AQ157" i="2"/>
  <c r="AQ165" i="2"/>
  <c r="AQ173" i="2"/>
  <c r="AQ229" i="2"/>
  <c r="AQ237" i="2"/>
  <c r="AQ7" i="2"/>
  <c r="AQ70" i="2"/>
  <c r="AQ78" i="2"/>
  <c r="AQ94" i="2"/>
  <c r="AQ102" i="2"/>
  <c r="AQ110" i="2"/>
  <c r="AQ118" i="2"/>
  <c r="AQ5" i="2"/>
  <c r="AQ66" i="2"/>
  <c r="AQ134" i="2"/>
  <c r="AQ150" i="2"/>
  <c r="AQ61" i="2"/>
  <c r="AQ69" i="2"/>
  <c r="AQ77" i="2"/>
  <c r="AQ93" i="2"/>
  <c r="AQ101" i="2"/>
  <c r="AQ109" i="2"/>
  <c r="AQ121" i="2"/>
  <c r="AQ145" i="2"/>
  <c r="AQ153" i="2"/>
  <c r="AQ161" i="2"/>
  <c r="AQ225" i="2"/>
  <c r="AQ233" i="2"/>
  <c r="AQ312" i="2"/>
  <c r="AQ74" i="2"/>
  <c r="AQ82" i="2"/>
  <c r="AQ90" i="2"/>
  <c r="AQ98" i="2"/>
  <c r="AQ106" i="2"/>
  <c r="AQ114" i="2"/>
  <c r="AQ174" i="2"/>
  <c r="AQ182" i="2"/>
  <c r="AQ198" i="2"/>
  <c r="AQ396" i="2"/>
  <c r="AQ262" i="2"/>
  <c r="AQ278" i="2"/>
  <c r="AQ270" i="2"/>
  <c r="AQ350" i="2"/>
  <c r="AQ366" i="2"/>
  <c r="AQ47" i="2"/>
  <c r="AQ79" i="2"/>
  <c r="AQ103" i="2"/>
  <c r="AQ60" i="2"/>
  <c r="AQ68" i="2"/>
  <c r="AQ76" i="2"/>
  <c r="AQ92" i="2"/>
  <c r="AQ100" i="2"/>
  <c r="AQ108" i="2"/>
  <c r="AQ116" i="2"/>
  <c r="AQ124" i="2"/>
  <c r="AQ132" i="2"/>
  <c r="AQ140" i="2"/>
  <c r="AQ148" i="2"/>
  <c r="AQ156" i="2"/>
  <c r="AQ220" i="2"/>
  <c r="AQ228" i="2"/>
  <c r="AQ236" i="2"/>
  <c r="AQ115" i="2"/>
  <c r="AQ123" i="2"/>
  <c r="AQ131" i="2"/>
  <c r="AQ163" i="2"/>
  <c r="AQ187" i="2"/>
  <c r="AQ195" i="2"/>
  <c r="AQ203" i="2"/>
  <c r="AQ354" i="2"/>
  <c r="AQ450" i="2"/>
  <c r="AQ408" i="2"/>
  <c r="AQ480" i="2"/>
  <c r="AQ51" i="2"/>
  <c r="AQ59" i="2"/>
  <c r="AQ83" i="2"/>
  <c r="AQ91" i="2"/>
  <c r="AQ107" i="2"/>
  <c r="AQ64" i="2"/>
  <c r="AQ72" i="2"/>
  <c r="AQ112" i="2"/>
  <c r="AQ120" i="2"/>
  <c r="AQ136" i="2"/>
  <c r="AQ144" i="2"/>
  <c r="AQ152" i="2"/>
  <c r="AQ160" i="2"/>
  <c r="AQ176" i="2"/>
  <c r="AQ216" i="2"/>
  <c r="AQ224" i="2"/>
  <c r="AQ240" i="2"/>
  <c r="AQ111" i="2"/>
  <c r="AQ119" i="2"/>
  <c r="AQ135" i="2"/>
  <c r="AQ143" i="2"/>
  <c r="AQ167" i="2"/>
  <c r="AQ175" i="2"/>
  <c r="AQ191" i="2"/>
  <c r="AQ199" i="2"/>
  <c r="AQ266" i="2"/>
  <c r="AQ282" i="2"/>
  <c r="AQ304" i="2"/>
  <c r="AQ392" i="2"/>
  <c r="AQ9" i="2"/>
  <c r="AQ130" i="2" l="1"/>
  <c r="AQ99" i="2"/>
  <c r="AF81" i="2"/>
  <c r="AQ193" i="2"/>
  <c r="AO451" i="2"/>
  <c r="AQ127" i="2"/>
  <c r="AQ138" i="2"/>
  <c r="AQ183" i="2"/>
  <c r="AQ151" i="2"/>
  <c r="AQ169" i="2"/>
  <c r="AQ88" i="2"/>
  <c r="AQ96" i="2"/>
  <c r="AQ67" i="2"/>
  <c r="AG4" i="2"/>
  <c r="AQ44" i="2"/>
  <c r="AQ46" i="2"/>
  <c r="AQ57" i="2"/>
  <c r="AQ85" i="2"/>
  <c r="AD188" i="2"/>
  <c r="E188" i="2"/>
  <c r="AQ29" i="2"/>
  <c r="AQ313" i="2"/>
  <c r="AQ317" i="2"/>
  <c r="AI93" i="2"/>
  <c r="AJ93" i="2" s="1"/>
  <c r="AK93" i="2" s="1"/>
  <c r="AG85" i="2"/>
  <c r="AO309" i="2"/>
  <c r="W40" i="2"/>
  <c r="AG83" i="2"/>
  <c r="AG87" i="2"/>
  <c r="AE135" i="2"/>
  <c r="AF135" i="2" s="1"/>
  <c r="AG135" i="2" s="1"/>
  <c r="H94" i="2"/>
  <c r="AD94" i="2" s="1"/>
  <c r="AF52" i="2"/>
  <c r="AE94" i="2" s="1"/>
  <c r="AN71" i="2"/>
  <c r="AN113" i="2" s="1"/>
  <c r="AA102" i="2"/>
  <c r="AB102" i="2" s="1"/>
  <c r="AC102" i="2" s="1"/>
  <c r="H76" i="2"/>
  <c r="AD76" i="2" s="1"/>
  <c r="AF76" i="2" s="1"/>
  <c r="H72" i="2"/>
  <c r="AD72" i="2" s="1"/>
  <c r="AF72" i="2" s="1"/>
  <c r="AG72" i="2" s="1"/>
  <c r="AQ211" i="2"/>
  <c r="AK87" i="2"/>
  <c r="AI129" i="2"/>
  <c r="AJ129" i="2" s="1"/>
  <c r="AK129" i="2" s="1"/>
  <c r="AG127" i="2"/>
  <c r="AI58" i="2"/>
  <c r="AJ58" i="2" s="1"/>
  <c r="AK58" i="2" s="1"/>
  <c r="AE103" i="2"/>
  <c r="AF103" i="2" s="1"/>
  <c r="AG103" i="2" s="1"/>
  <c r="AI117" i="2"/>
  <c r="AJ117" i="2" s="1"/>
  <c r="AK117" i="2" s="1"/>
  <c r="AI94" i="2"/>
  <c r="AJ94" i="2" s="1"/>
  <c r="AK94" i="2" s="1"/>
  <c r="AH346" i="2"/>
  <c r="AE122" i="2"/>
  <c r="AF122" i="2" s="1"/>
  <c r="AE106" i="2"/>
  <c r="AF106" i="2" s="1"/>
  <c r="AG106" i="2" s="1"/>
  <c r="AI121" i="2"/>
  <c r="AJ121" i="2" s="1"/>
  <c r="AK121" i="2" s="1"/>
  <c r="H25" i="6"/>
  <c r="H69" i="2"/>
  <c r="AD69" i="2" s="1"/>
  <c r="AF69" i="2" s="1"/>
  <c r="AI126" i="2"/>
  <c r="AJ126" i="2" s="1"/>
  <c r="AK126" i="2" s="1"/>
  <c r="AE123" i="2"/>
  <c r="AF123" i="2" s="1"/>
  <c r="AG123" i="2" s="1"/>
  <c r="AG81" i="2"/>
  <c r="H13" i="6"/>
  <c r="H57" i="2"/>
  <c r="AD57" i="2" s="1"/>
  <c r="AF169" i="2"/>
  <c r="AG169" i="2" s="1"/>
  <c r="AH279" i="2"/>
  <c r="AD208" i="2"/>
  <c r="AD184" i="2"/>
  <c r="AO377" i="2"/>
  <c r="AN461" i="2"/>
  <c r="AG11" i="2"/>
  <c r="AE53" i="2"/>
  <c r="AG15" i="2"/>
  <c r="AE57" i="2"/>
  <c r="AG23" i="2"/>
  <c r="AE65" i="2"/>
  <c r="AE79" i="2"/>
  <c r="AF79" i="2" s="1"/>
  <c r="AG79" i="2" s="1"/>
  <c r="AG37" i="2"/>
  <c r="K11" i="6"/>
  <c r="H181" i="2"/>
  <c r="AD181" i="2" s="1"/>
  <c r="AE59" i="2"/>
  <c r="AG17" i="2"/>
  <c r="H211" i="2"/>
  <c r="AD211" i="2" s="1"/>
  <c r="K41" i="6"/>
  <c r="H29" i="6"/>
  <c r="H73" i="2"/>
  <c r="AD73" i="2" s="1"/>
  <c r="AF73" i="2" s="1"/>
  <c r="AE115" i="2" s="1"/>
  <c r="H23" i="6"/>
  <c r="H67" i="2"/>
  <c r="AD67" i="2" s="1"/>
  <c r="AF67" i="2" s="1"/>
  <c r="AI125" i="2"/>
  <c r="AJ125" i="2" s="1"/>
  <c r="AK125" i="2" s="1"/>
  <c r="AA97" i="2"/>
  <c r="AB97" i="2" s="1"/>
  <c r="AC97" i="2" s="1"/>
  <c r="H26" i="6"/>
  <c r="H70" i="2"/>
  <c r="AD70" i="2" s="1"/>
  <c r="AF70" i="2" s="1"/>
  <c r="H12" i="6"/>
  <c r="H56" i="2"/>
  <c r="H33" i="6"/>
  <c r="H77" i="2"/>
  <c r="AD77" i="2" s="1"/>
  <c r="AF77" i="2" s="1"/>
  <c r="AE119" i="2" s="1"/>
  <c r="K39" i="6"/>
  <c r="H209" i="2"/>
  <c r="AD209" i="2" s="1"/>
  <c r="H34" i="6"/>
  <c r="H78" i="2"/>
  <c r="AD78" i="2" s="1"/>
  <c r="AF78" i="2" s="1"/>
  <c r="AE120" i="2" s="1"/>
  <c r="M17" i="6"/>
  <c r="H271" i="2"/>
  <c r="AD271" i="2" s="1"/>
  <c r="AD232" i="2"/>
  <c r="J28" i="6"/>
  <c r="H156" i="2"/>
  <c r="AD156" i="2" s="1"/>
  <c r="K22" i="6"/>
  <c r="H192" i="2"/>
  <c r="AD192" i="2" s="1"/>
  <c r="K40" i="6"/>
  <c r="H210" i="2"/>
  <c r="AD210" i="2" s="1"/>
  <c r="J35" i="6"/>
  <c r="H163" i="2"/>
  <c r="AD163" i="2" s="1"/>
  <c r="H15" i="6"/>
  <c r="H59" i="2"/>
  <c r="H4" i="6"/>
  <c r="H48" i="2"/>
  <c r="AD48" i="2" s="1"/>
  <c r="AF48" i="2" s="1"/>
  <c r="AG48" i="2" s="1"/>
  <c r="AI89" i="2"/>
  <c r="AJ89" i="2" s="1"/>
  <c r="AK89" i="2" s="1"/>
  <c r="H31" i="6"/>
  <c r="H75" i="2"/>
  <c r="AD75" i="2" s="1"/>
  <c r="AF75" i="2" s="1"/>
  <c r="K43" i="6"/>
  <c r="H213" i="2"/>
  <c r="AD213" i="2" s="1"/>
  <c r="H177" i="2"/>
  <c r="AD177" i="2" s="1"/>
  <c r="K7" i="6"/>
  <c r="AD212" i="2"/>
  <c r="H24" i="6"/>
  <c r="H68" i="2"/>
  <c r="H9" i="6"/>
  <c r="H53" i="2"/>
  <c r="AD53" i="2" s="1"/>
  <c r="H206" i="2"/>
  <c r="AD206" i="2" s="1"/>
  <c r="K36" i="6"/>
  <c r="H10" i="6"/>
  <c r="H54" i="2"/>
  <c r="AD54" i="2" s="1"/>
  <c r="H27" i="6"/>
  <c r="H71" i="2"/>
  <c r="AD71" i="2" s="1"/>
  <c r="AF71" i="2" s="1"/>
  <c r="H16" i="6"/>
  <c r="H60" i="2"/>
  <c r="AD60" i="2" s="1"/>
  <c r="AG24" i="2"/>
  <c r="AC56" i="2"/>
  <c r="J5" i="6"/>
  <c r="H133" i="2"/>
  <c r="AD133" i="2" s="1"/>
  <c r="H2" i="6"/>
  <c r="H46" i="2"/>
  <c r="AD46" i="2" s="1"/>
  <c r="AF46" i="2" s="1"/>
  <c r="H3" i="6"/>
  <c r="H47" i="2"/>
  <c r="AE47" i="2"/>
  <c r="AG5" i="2"/>
  <c r="H19" i="6"/>
  <c r="H63" i="2"/>
  <c r="AD63" i="2" s="1"/>
  <c r="H21" i="6"/>
  <c r="H65" i="2"/>
  <c r="AD65" i="2" s="1"/>
  <c r="H6" i="6"/>
  <c r="H50" i="2"/>
  <c r="AD50" i="2" s="1"/>
  <c r="AF50" i="2" s="1"/>
  <c r="AE56" i="2"/>
  <c r="AG14" i="2"/>
  <c r="H30" i="6"/>
  <c r="H74" i="2"/>
  <c r="AD74" i="2" s="1"/>
  <c r="AF74" i="2" s="1"/>
  <c r="AE116" i="2" s="1"/>
  <c r="AE63" i="2"/>
  <c r="AG21" i="2"/>
  <c r="AE54" i="2"/>
  <c r="AG12" i="2"/>
  <c r="J8" i="6"/>
  <c r="H136" i="2"/>
  <c r="AD136" i="2" s="1"/>
  <c r="K37" i="6"/>
  <c r="H207" i="2"/>
  <c r="AD207" i="2" s="1"/>
  <c r="AG18" i="2"/>
  <c r="AE60" i="2"/>
  <c r="J32" i="6"/>
  <c r="H160" i="2"/>
  <c r="AD160" i="2" s="1"/>
  <c r="AK59" i="2"/>
  <c r="AA128" i="2"/>
  <c r="AB128" i="2" s="1"/>
  <c r="AC128" i="2" s="1"/>
  <c r="AA121" i="2"/>
  <c r="AB121" i="2" s="1"/>
  <c r="AA119" i="2"/>
  <c r="AB119" i="2" s="1"/>
  <c r="AC119" i="2" s="1"/>
  <c r="AA110" i="2"/>
  <c r="AB110" i="2" s="1"/>
  <c r="AC110" i="2" s="1"/>
  <c r="AA108" i="2"/>
  <c r="AB108" i="2" s="1"/>
  <c r="AA104" i="2"/>
  <c r="AB104" i="2" s="1"/>
  <c r="AC104" i="2" s="1"/>
  <c r="AG82" i="2"/>
  <c r="AG86" i="2"/>
  <c r="AG51" i="2"/>
  <c r="AN403" i="2"/>
  <c r="AO361" i="2"/>
  <c r="AF49" i="2"/>
  <c r="AG49" i="2" s="1"/>
  <c r="AB81" i="2"/>
  <c r="AC81" i="2" s="1"/>
  <c r="AB51" i="2"/>
  <c r="AC51" i="2" s="1"/>
  <c r="AB87" i="2"/>
  <c r="AA129" i="2" s="1"/>
  <c r="AB129" i="2" s="1"/>
  <c r="AC129" i="2" s="1"/>
  <c r="AO333" i="2"/>
  <c r="AN375" i="2"/>
  <c r="AN371" i="2"/>
  <c r="AO329" i="2"/>
  <c r="AB65" i="2"/>
  <c r="AC65" i="2" s="1"/>
  <c r="AN383" i="2"/>
  <c r="AO341" i="2"/>
  <c r="AN393" i="2"/>
  <c r="AO351" i="2"/>
  <c r="AB75" i="2"/>
  <c r="AC75" i="2" s="1"/>
  <c r="AB63" i="2"/>
  <c r="AC63" i="2" s="1"/>
  <c r="AN387" i="2"/>
  <c r="AO345" i="2"/>
  <c r="AB50" i="2"/>
  <c r="AC50" i="2" s="1"/>
  <c r="AB73" i="2"/>
  <c r="AC73" i="2" s="1"/>
  <c r="AB101" i="2"/>
  <c r="AC101" i="2" s="1"/>
  <c r="AB76" i="2"/>
  <c r="AC76" i="2" s="1"/>
  <c r="AL146" i="2"/>
  <c r="W25" i="2"/>
  <c r="AO355" i="2"/>
  <c r="AN397" i="2"/>
  <c r="AB116" i="2"/>
  <c r="AC116" i="2" s="1"/>
  <c r="AB96" i="2"/>
  <c r="AC96" i="2" s="1"/>
  <c r="AN75" i="2"/>
  <c r="AO33" i="2"/>
  <c r="AO20" i="2"/>
  <c r="AN385" i="2"/>
  <c r="AO343" i="2"/>
  <c r="AN457" i="2"/>
  <c r="AO415" i="2"/>
  <c r="AO38" i="2"/>
  <c r="AN80" i="2"/>
  <c r="AO11" i="2"/>
  <c r="AN53" i="2"/>
  <c r="AN87" i="2"/>
  <c r="AO45" i="2"/>
  <c r="AJ57" i="2"/>
  <c r="AK57" i="2" s="1"/>
  <c r="AN63" i="2"/>
  <c r="AO21" i="2"/>
  <c r="W17" i="2"/>
  <c r="AN337" i="2"/>
  <c r="AO295" i="2"/>
  <c r="AN401" i="2"/>
  <c r="AO359" i="2"/>
  <c r="AN405" i="2"/>
  <c r="AO363" i="2"/>
  <c r="AN395" i="2"/>
  <c r="AO353" i="2"/>
  <c r="AN84" i="2"/>
  <c r="AO42" i="2"/>
  <c r="AN55" i="2"/>
  <c r="AO13" i="2"/>
  <c r="AN104" i="2"/>
  <c r="AO62" i="2"/>
  <c r="AN128" i="2"/>
  <c r="AO86" i="2"/>
  <c r="AE97" i="2"/>
  <c r="AF97" i="2" s="1"/>
  <c r="AG97" i="2" s="1"/>
  <c r="AI143" i="2"/>
  <c r="AJ143" i="2" s="1"/>
  <c r="AK143" i="2" s="1"/>
  <c r="AH146" i="2"/>
  <c r="AI106" i="2"/>
  <c r="AJ106" i="2" s="1"/>
  <c r="AK106" i="2" s="1"/>
  <c r="AK72" i="2"/>
  <c r="Z208" i="2"/>
  <c r="J208" i="2"/>
  <c r="X208" i="2" s="1"/>
  <c r="G208" i="2"/>
  <c r="AQ208" i="2" s="1"/>
  <c r="Z196" i="2"/>
  <c r="J196" i="2"/>
  <c r="X196" i="2" s="1"/>
  <c r="G196" i="2"/>
  <c r="AQ196" i="2" s="1"/>
  <c r="J321" i="2"/>
  <c r="X321" i="2" s="1"/>
  <c r="Z321" i="2"/>
  <c r="G321" i="2"/>
  <c r="AQ321" i="2" s="1"/>
  <c r="D291" i="2"/>
  <c r="E291" i="2" s="1"/>
  <c r="AL225" i="2"/>
  <c r="AH225" i="2"/>
  <c r="Z235" i="2"/>
  <c r="J235" i="2"/>
  <c r="X235" i="2" s="1"/>
  <c r="G235" i="2"/>
  <c r="AQ235" i="2" s="1"/>
  <c r="D269" i="2"/>
  <c r="E269" i="2" s="1"/>
  <c r="D297" i="2"/>
  <c r="E297" i="2" s="1"/>
  <c r="AH158" i="2"/>
  <c r="AL158" i="2"/>
  <c r="AL185" i="2"/>
  <c r="AH185" i="2"/>
  <c r="D230" i="2"/>
  <c r="Z251" i="2"/>
  <c r="J251" i="2"/>
  <c r="X251" i="2" s="1"/>
  <c r="G251" i="2"/>
  <c r="AQ251" i="2" s="1"/>
  <c r="J287" i="2"/>
  <c r="X287" i="2" s="1"/>
  <c r="Z287" i="2"/>
  <c r="G287" i="2"/>
  <c r="AQ287" i="2" s="1"/>
  <c r="AL205" i="2"/>
  <c r="AH205" i="2"/>
  <c r="Z204" i="2"/>
  <c r="J204" i="2"/>
  <c r="X204" i="2" s="1"/>
  <c r="G204" i="2"/>
  <c r="AQ204" i="2" s="1"/>
  <c r="AL190" i="2"/>
  <c r="AH190" i="2"/>
  <c r="AL223" i="2"/>
  <c r="AH223" i="2"/>
  <c r="D259" i="2"/>
  <c r="E259" i="2" s="1"/>
  <c r="D250" i="2"/>
  <c r="D254" i="2"/>
  <c r="D238" i="2"/>
  <c r="E238" i="2" s="1"/>
  <c r="AL176" i="2"/>
  <c r="AH176" i="2"/>
  <c r="Z367" i="2"/>
  <c r="J367" i="2"/>
  <c r="X367" i="2" s="1"/>
  <c r="G367" i="2"/>
  <c r="AQ367" i="2" s="1"/>
  <c r="D363" i="2"/>
  <c r="E363" i="2" s="1"/>
  <c r="Z180" i="2"/>
  <c r="J180" i="2"/>
  <c r="X180" i="2" s="1"/>
  <c r="G180" i="2"/>
  <c r="AQ180" i="2" s="1"/>
  <c r="Z200" i="2"/>
  <c r="J200" i="2"/>
  <c r="X200" i="2" s="1"/>
  <c r="G200" i="2"/>
  <c r="AQ200" i="2" s="1"/>
  <c r="D277" i="2"/>
  <c r="E277" i="2" s="1"/>
  <c r="D261" i="2"/>
  <c r="E261" i="2" s="1"/>
  <c r="AL142" i="2"/>
  <c r="AH142" i="2"/>
  <c r="L42" i="6"/>
  <c r="H296" i="2" s="1"/>
  <c r="Z243" i="2"/>
  <c r="J243" i="2"/>
  <c r="X243" i="2" s="1"/>
  <c r="G243" i="2"/>
  <c r="AL245" i="2"/>
  <c r="AH245" i="2"/>
  <c r="Z247" i="2"/>
  <c r="J247" i="2"/>
  <c r="X247" i="2" s="1"/>
  <c r="G247" i="2"/>
  <c r="AQ247" i="2" s="1"/>
  <c r="AL213" i="2"/>
  <c r="AH213" i="2"/>
  <c r="D293" i="2"/>
  <c r="E293" i="2" s="1"/>
  <c r="D246" i="2"/>
  <c r="E246" i="2" s="1"/>
  <c r="Z248" i="2"/>
  <c r="J248" i="2"/>
  <c r="X248" i="2" s="1"/>
  <c r="G248" i="2"/>
  <c r="Z273" i="2"/>
  <c r="J273" i="2"/>
  <c r="X273" i="2" s="1"/>
  <c r="G273" i="2"/>
  <c r="AL209" i="2"/>
  <c r="AH209" i="2"/>
  <c r="D276" i="2"/>
  <c r="E276" i="2" s="1"/>
  <c r="Z217" i="2"/>
  <c r="J217" i="2"/>
  <c r="X217" i="2" s="1"/>
  <c r="G217" i="2"/>
  <c r="AQ217" i="2" s="1"/>
  <c r="Z212" i="2"/>
  <c r="J212" i="2"/>
  <c r="X212" i="2" s="1"/>
  <c r="G212" i="2"/>
  <c r="D285" i="2"/>
  <c r="E285" i="2" s="1"/>
  <c r="AL207" i="2"/>
  <c r="AH207" i="2"/>
  <c r="D274" i="2"/>
  <c r="Z300" i="2"/>
  <c r="J300" i="2"/>
  <c r="X300" i="2" s="1"/>
  <c r="G300" i="2"/>
  <c r="AQ300" i="2" s="1"/>
  <c r="D295" i="2"/>
  <c r="E295" i="2" s="1"/>
  <c r="D260" i="2"/>
  <c r="E260" i="2" s="1"/>
  <c r="Z234" i="2"/>
  <c r="J234" i="2"/>
  <c r="X234" i="2" s="1"/>
  <c r="G234" i="2"/>
  <c r="AQ234" i="2" s="1"/>
  <c r="AI124" i="2"/>
  <c r="AJ124" i="2" s="1"/>
  <c r="AK124" i="2" s="1"/>
  <c r="Z184" i="2"/>
  <c r="J184" i="2"/>
  <c r="X184" i="2" s="1"/>
  <c r="G184" i="2"/>
  <c r="AQ184" i="2" s="1"/>
  <c r="AH192" i="2"/>
  <c r="AL192" i="2"/>
  <c r="D222" i="2"/>
  <c r="E222" i="2" s="1"/>
  <c r="D242" i="2"/>
  <c r="E242" i="2" s="1"/>
  <c r="AL166" i="2"/>
  <c r="AH166" i="2"/>
  <c r="Z244" i="2"/>
  <c r="J244" i="2"/>
  <c r="X244" i="2" s="1"/>
  <c r="G244" i="2"/>
  <c r="AQ244" i="2" s="1"/>
  <c r="AL138" i="2"/>
  <c r="AH138" i="2"/>
  <c r="D289" i="2"/>
  <c r="E289" i="2" s="1"/>
  <c r="AL154" i="2"/>
  <c r="AH154" i="2"/>
  <c r="AL202" i="2"/>
  <c r="AH202" i="2"/>
  <c r="Z265" i="2"/>
  <c r="J265" i="2"/>
  <c r="X265" i="2" s="1"/>
  <c r="G265" i="2"/>
  <c r="D329" i="2"/>
  <c r="E329" i="2" s="1"/>
  <c r="AL258" i="2"/>
  <c r="AH258" i="2"/>
  <c r="L18" i="6"/>
  <c r="H272" i="2" s="1"/>
  <c r="AL211" i="2"/>
  <c r="AH211" i="2"/>
  <c r="AL193" i="2"/>
  <c r="AH193" i="2"/>
  <c r="AL170" i="2"/>
  <c r="AH170" i="2"/>
  <c r="D290" i="2"/>
  <c r="E290" i="2" s="1"/>
  <c r="D315" i="2"/>
  <c r="E315" i="2" s="1"/>
  <c r="Z267" i="2"/>
  <c r="J267" i="2"/>
  <c r="X267" i="2" s="1"/>
  <c r="G267" i="2"/>
  <c r="AQ267" i="2" s="1"/>
  <c r="AL206" i="2"/>
  <c r="AH206" i="2"/>
  <c r="AL177" i="2"/>
  <c r="AH177" i="2"/>
  <c r="D226" i="2"/>
  <c r="AL162" i="2"/>
  <c r="AH162" i="2"/>
  <c r="AL231" i="2"/>
  <c r="AH231" i="2"/>
  <c r="D409" i="2"/>
  <c r="E409" i="2" s="1"/>
  <c r="J249" i="2"/>
  <c r="X249" i="2" s="1"/>
  <c r="Z249" i="2"/>
  <c r="G249" i="2"/>
  <c r="AQ249" i="2" s="1"/>
  <c r="AL175" i="2"/>
  <c r="AH175" i="2"/>
  <c r="Z227" i="2"/>
  <c r="J227" i="2"/>
  <c r="X227" i="2" s="1"/>
  <c r="G227" i="2"/>
  <c r="AQ227" i="2" s="1"/>
  <c r="J219" i="2"/>
  <c r="X219" i="2" s="1"/>
  <c r="Z219" i="2"/>
  <c r="G219" i="2"/>
  <c r="AQ219" i="2" s="1"/>
  <c r="Z255" i="2"/>
  <c r="J255" i="2"/>
  <c r="X255" i="2" s="1"/>
  <c r="G255" i="2"/>
  <c r="D286" i="2"/>
  <c r="E286" i="2" s="1"/>
  <c r="AL325" i="2"/>
  <c r="AH325" i="2"/>
  <c r="Z232" i="2"/>
  <c r="J232" i="2"/>
  <c r="X232" i="2" s="1"/>
  <c r="G232" i="2"/>
  <c r="AQ232" i="2" s="1"/>
  <c r="D342" i="2"/>
  <c r="E342" i="2" s="1"/>
  <c r="Z188" i="2"/>
  <c r="J188" i="2"/>
  <c r="X188" i="2" s="1"/>
  <c r="G188" i="2"/>
  <c r="Z253" i="2"/>
  <c r="J253" i="2"/>
  <c r="X253" i="2" s="1"/>
  <c r="G253" i="2"/>
  <c r="AQ253" i="2" s="1"/>
  <c r="D307" i="2"/>
  <c r="E307" i="2" s="1"/>
  <c r="L14" i="6"/>
  <c r="H268" i="2" s="1"/>
  <c r="L38" i="6"/>
  <c r="Z218" i="2"/>
  <c r="J218" i="2"/>
  <c r="X218" i="2" s="1"/>
  <c r="G218" i="2"/>
  <c r="AQ218" i="2" s="1"/>
  <c r="AH201" i="2"/>
  <c r="AL201" i="2"/>
  <c r="D309" i="2"/>
  <c r="E309" i="2" s="1"/>
  <c r="D299" i="2"/>
  <c r="E299" i="2" s="1"/>
  <c r="AL215" i="2"/>
  <c r="AH215" i="2"/>
  <c r="D256" i="2"/>
  <c r="E256" i="2" s="1"/>
  <c r="AL172" i="2"/>
  <c r="AH172" i="2"/>
  <c r="D347" i="2"/>
  <c r="E347" i="2" s="1"/>
  <c r="J214" i="2"/>
  <c r="X214" i="2" s="1"/>
  <c r="Z214" i="2"/>
  <c r="G214" i="2"/>
  <c r="AQ214" i="2" s="1"/>
  <c r="AI107" i="2"/>
  <c r="AJ107" i="2" s="1"/>
  <c r="AK107" i="2" s="1"/>
  <c r="AL263" i="2"/>
  <c r="AH263" i="2"/>
  <c r="Z336" i="2"/>
  <c r="J336" i="2"/>
  <c r="X336" i="2" s="1"/>
  <c r="G336" i="2"/>
  <c r="Z305" i="2"/>
  <c r="J305" i="2"/>
  <c r="X305" i="2" s="1"/>
  <c r="G305" i="2"/>
  <c r="D404" i="2"/>
  <c r="E404" i="2" s="1"/>
  <c r="AI91" i="2"/>
  <c r="AJ91" i="2" s="1"/>
  <c r="AK91" i="2" s="1"/>
  <c r="AL294" i="2"/>
  <c r="AH294" i="2"/>
  <c r="Z257" i="2"/>
  <c r="J257" i="2"/>
  <c r="X257" i="2" s="1"/>
  <c r="G257" i="2"/>
  <c r="AQ257" i="2" s="1"/>
  <c r="Z362" i="2"/>
  <c r="G362" i="2"/>
  <c r="AQ362" i="2" s="1"/>
  <c r="J362" i="2"/>
  <c r="X362" i="2" s="1"/>
  <c r="D378" i="2"/>
  <c r="E378" i="2" s="1"/>
  <c r="AI95" i="2"/>
  <c r="AJ95" i="2" s="1"/>
  <c r="AK95" i="2" s="1"/>
  <c r="AI120" i="2"/>
  <c r="AJ120" i="2" s="1"/>
  <c r="AK120" i="2" s="1"/>
  <c r="AI104" i="2"/>
  <c r="AJ104" i="2" s="1"/>
  <c r="AK104" i="2" s="1"/>
  <c r="AH492" i="2"/>
  <c r="AL492" i="2"/>
  <c r="AL450" i="2"/>
  <c r="AH450" i="2"/>
  <c r="J481" i="2"/>
  <c r="X481" i="2" s="1"/>
  <c r="Z481" i="2"/>
  <c r="G481" i="2"/>
  <c r="AI115" i="2"/>
  <c r="AJ115" i="2" s="1"/>
  <c r="AK115" i="2" s="1"/>
  <c r="AI92" i="2"/>
  <c r="AJ92" i="2" s="1"/>
  <c r="AK92" i="2" s="1"/>
  <c r="AL407" i="2"/>
  <c r="AH407" i="2"/>
  <c r="Z439" i="2"/>
  <c r="J439" i="2"/>
  <c r="X439" i="2" s="1"/>
  <c r="G439" i="2"/>
  <c r="AL359" i="2"/>
  <c r="AH359" i="2"/>
  <c r="AL438" i="2"/>
  <c r="AH438" i="2"/>
  <c r="Z401" i="2"/>
  <c r="J401" i="2"/>
  <c r="X401" i="2" s="1"/>
  <c r="G401" i="2"/>
  <c r="Z449" i="2"/>
  <c r="J449" i="2"/>
  <c r="X449" i="2" s="1"/>
  <c r="G449" i="2"/>
  <c r="J388" i="2"/>
  <c r="X388" i="2" s="1"/>
  <c r="Z388" i="2"/>
  <c r="G388" i="2"/>
  <c r="AQ388" i="2" s="1"/>
  <c r="AI119" i="2"/>
  <c r="AJ119" i="2" s="1"/>
  <c r="AL434" i="2"/>
  <c r="AH434" i="2"/>
  <c r="D485" i="2"/>
  <c r="E485" i="2" s="1"/>
  <c r="D443" i="2"/>
  <c r="E443" i="2" s="1"/>
  <c r="Z491" i="2"/>
  <c r="J491" i="2"/>
  <c r="X491" i="2" s="1"/>
  <c r="G491" i="2"/>
  <c r="AH480" i="2"/>
  <c r="AL480" i="2"/>
  <c r="AL397" i="2"/>
  <c r="AH397" i="2"/>
  <c r="D472" i="2"/>
  <c r="E472" i="2" s="1"/>
  <c r="D430" i="2"/>
  <c r="E430" i="2" s="1"/>
  <c r="AH476" i="2"/>
  <c r="AL476" i="2"/>
  <c r="AI105" i="2"/>
  <c r="AJ105" i="2" s="1"/>
  <c r="AK105" i="2" s="1"/>
  <c r="AE110" i="2"/>
  <c r="AI111" i="2"/>
  <c r="AJ111" i="2" s="1"/>
  <c r="AK111" i="2" s="1"/>
  <c r="AE166" i="2"/>
  <c r="AF166" i="2" s="1"/>
  <c r="AG166" i="2" s="1"/>
  <c r="AI127" i="2"/>
  <c r="AJ127" i="2" s="1"/>
  <c r="AK127" i="2" s="1"/>
  <c r="AI109" i="2"/>
  <c r="AJ109" i="2" s="1"/>
  <c r="AK109" i="2" s="1"/>
  <c r="AK74" i="2"/>
  <c r="AI116" i="2"/>
  <c r="AJ116" i="2" s="1"/>
  <c r="AK116" i="2" s="1"/>
  <c r="AE146" i="2"/>
  <c r="AF146" i="2" s="1"/>
  <c r="AG146" i="2" s="1"/>
  <c r="AC47" i="2"/>
  <c r="AE126" i="2"/>
  <c r="AF126" i="2" s="1"/>
  <c r="AG126" i="2" s="1"/>
  <c r="AK60" i="2"/>
  <c r="AI102" i="2"/>
  <c r="AJ102" i="2" s="1"/>
  <c r="AK102" i="2" s="1"/>
  <c r="AI123" i="2"/>
  <c r="AJ123" i="2" s="1"/>
  <c r="AK123" i="2" s="1"/>
  <c r="AI112" i="2"/>
  <c r="AJ112" i="2" s="1"/>
  <c r="AK112" i="2" s="1"/>
  <c r="AC82" i="2"/>
  <c r="AA127" i="2"/>
  <c r="AB127" i="2" s="1"/>
  <c r="AC85" i="2"/>
  <c r="AA111" i="2"/>
  <c r="AB111" i="2" s="1"/>
  <c r="AC69" i="2"/>
  <c r="AC61" i="2"/>
  <c r="AC53" i="2"/>
  <c r="AI118" i="2"/>
  <c r="AJ118" i="2" s="1"/>
  <c r="AK118" i="2" s="1"/>
  <c r="AK48" i="2"/>
  <c r="AA112" i="2"/>
  <c r="AC49" i="2"/>
  <c r="AI97" i="2"/>
  <c r="AJ97" i="2" s="1"/>
  <c r="AK97" i="2" s="1"/>
  <c r="AI98" i="2"/>
  <c r="AJ98" i="2" s="1"/>
  <c r="AK98" i="2" s="1"/>
  <c r="AK56" i="2"/>
  <c r="AJ68" i="2"/>
  <c r="AK68" i="2" s="1"/>
  <c r="AA136" i="2"/>
  <c r="AJ54" i="2"/>
  <c r="AK54" i="2" s="1"/>
  <c r="AC64" i="2"/>
  <c r="AC80" i="2"/>
  <c r="AC78" i="2"/>
  <c r="AJ66" i="2"/>
  <c r="AK66" i="2" s="1"/>
  <c r="AK80" i="2"/>
  <c r="AI122" i="2"/>
  <c r="AJ122" i="2" s="1"/>
  <c r="AK122" i="2" s="1"/>
  <c r="AC72" i="2"/>
  <c r="AJ86" i="2"/>
  <c r="AK86" i="2" s="1"/>
  <c r="AE170" i="2"/>
  <c r="AF170" i="2" s="1"/>
  <c r="AG170" i="2" s="1"/>
  <c r="AI88" i="2"/>
  <c r="AJ88" i="2" s="1"/>
  <c r="AK88" i="2" s="1"/>
  <c r="AK46" i="2"/>
  <c r="AF129" i="2"/>
  <c r="AG129" i="2" s="1"/>
  <c r="AF66" i="2"/>
  <c r="AG66" i="2" s="1"/>
  <c r="AE167" i="2"/>
  <c r="AG125" i="2"/>
  <c r="AI103" i="2"/>
  <c r="AJ103" i="2" s="1"/>
  <c r="AK103" i="2" s="1"/>
  <c r="AC125" i="2"/>
  <c r="AF58" i="2"/>
  <c r="AG58" i="2" s="1"/>
  <c r="W31" i="2"/>
  <c r="W28" i="2"/>
  <c r="R18" i="2"/>
  <c r="W14" i="2"/>
  <c r="W16" i="2"/>
  <c r="W35" i="2"/>
  <c r="R32" i="2"/>
  <c r="R8" i="2"/>
  <c r="W32" i="2"/>
  <c r="AA132" i="2"/>
  <c r="AA140" i="2"/>
  <c r="AC71" i="2"/>
  <c r="AA113" i="2"/>
  <c r="AB113" i="2" s="1"/>
  <c r="W19" i="2"/>
  <c r="W15" i="2"/>
  <c r="W27" i="2"/>
  <c r="R40" i="2"/>
  <c r="W36" i="2"/>
  <c r="AK71" i="2"/>
  <c r="AI113" i="2"/>
  <c r="AA99" i="2"/>
  <c r="AB99" i="2" s="1"/>
  <c r="AC57" i="2"/>
  <c r="AC109" i="2"/>
  <c r="AA151" i="2"/>
  <c r="W18" i="2"/>
  <c r="AA168" i="2"/>
  <c r="R36" i="2"/>
  <c r="R12" i="2"/>
  <c r="R45" i="2"/>
  <c r="AI132" i="2"/>
  <c r="AJ132" i="2" s="1"/>
  <c r="AK132" i="2" s="1"/>
  <c r="R20" i="2"/>
  <c r="L109" i="2"/>
  <c r="K151" i="2" s="1"/>
  <c r="L110" i="2"/>
  <c r="K152" i="2" s="1"/>
  <c r="L92" i="2"/>
  <c r="K134" i="2" s="1"/>
  <c r="L96" i="2"/>
  <c r="K138" i="2" s="1"/>
  <c r="L108" i="2"/>
  <c r="K150" i="2" s="1"/>
  <c r="L124" i="2"/>
  <c r="K166" i="2" s="1"/>
  <c r="L91" i="2"/>
  <c r="K133" i="2" s="1"/>
  <c r="L95" i="2"/>
  <c r="K137" i="2" s="1"/>
  <c r="L116" i="2"/>
  <c r="K158" i="2" s="1"/>
  <c r="U58" i="2"/>
  <c r="S58" i="2"/>
  <c r="V58" i="2"/>
  <c r="T58" i="2"/>
  <c r="R15" i="2"/>
  <c r="T69" i="2"/>
  <c r="V69" i="2"/>
  <c r="S69" i="2"/>
  <c r="U69" i="2"/>
  <c r="W11" i="2"/>
  <c r="W34" i="2"/>
  <c r="U83" i="2"/>
  <c r="S83" i="2"/>
  <c r="V83" i="2"/>
  <c r="T83" i="2"/>
  <c r="R29" i="2"/>
  <c r="R23" i="2"/>
  <c r="R26" i="2"/>
  <c r="W22" i="2"/>
  <c r="R10" i="2"/>
  <c r="L47" i="2"/>
  <c r="K89" i="2" s="1"/>
  <c r="R16" i="2"/>
  <c r="W26" i="2"/>
  <c r="W10" i="2"/>
  <c r="U75" i="2"/>
  <c r="S75" i="2"/>
  <c r="V75" i="2"/>
  <c r="T75" i="2"/>
  <c r="R25" i="2"/>
  <c r="R17" i="2"/>
  <c r="R9" i="2"/>
  <c r="R44" i="2"/>
  <c r="AA130" i="2"/>
  <c r="AB130" i="2" s="1"/>
  <c r="AA142" i="2"/>
  <c r="AB142" i="2" s="1"/>
  <c r="R24" i="2"/>
  <c r="U46" i="2"/>
  <c r="S46" i="2"/>
  <c r="T46" i="2"/>
  <c r="V46" i="2"/>
  <c r="R41" i="2"/>
  <c r="V59" i="2"/>
  <c r="T59" i="2"/>
  <c r="S59" i="2"/>
  <c r="U59" i="2"/>
  <c r="W9" i="2"/>
  <c r="R30" i="2"/>
  <c r="AI156" i="2"/>
  <c r="S81" i="2"/>
  <c r="U81" i="2"/>
  <c r="T81" i="2"/>
  <c r="V81" i="2"/>
  <c r="U79" i="2"/>
  <c r="S79" i="2"/>
  <c r="T79" i="2"/>
  <c r="V79" i="2"/>
  <c r="R21" i="2"/>
  <c r="R13" i="2"/>
  <c r="L73" i="2"/>
  <c r="K115" i="2" s="1"/>
  <c r="L70" i="2"/>
  <c r="K112" i="2" s="1"/>
  <c r="W45" i="2"/>
  <c r="L55" i="2"/>
  <c r="K97" i="2" s="1"/>
  <c r="W13" i="2"/>
  <c r="W12" i="2"/>
  <c r="V76" i="2"/>
  <c r="T76" i="2"/>
  <c r="S76" i="2"/>
  <c r="U76" i="2"/>
  <c r="V63" i="2"/>
  <c r="T63" i="2"/>
  <c r="S63" i="2"/>
  <c r="U63" i="2"/>
  <c r="R39" i="2"/>
  <c r="W24" i="2"/>
  <c r="L100" i="2"/>
  <c r="K142" i="2" s="1"/>
  <c r="W7" i="2"/>
  <c r="L111" i="2"/>
  <c r="K153" i="2" s="1"/>
  <c r="R38" i="2"/>
  <c r="R6" i="2"/>
  <c r="L125" i="2"/>
  <c r="K167" i="2" s="1"/>
  <c r="W39" i="2"/>
  <c r="W43" i="2"/>
  <c r="R42" i="2"/>
  <c r="W38" i="2"/>
  <c r="R33" i="2"/>
  <c r="R35" i="2"/>
  <c r="R11" i="2"/>
  <c r="W4" i="2"/>
  <c r="R34" i="2"/>
  <c r="R14" i="2"/>
  <c r="L117" i="2"/>
  <c r="K159" i="2" s="1"/>
  <c r="W5" i="2"/>
  <c r="R19" i="2"/>
  <c r="T65" i="2"/>
  <c r="V65" i="2"/>
  <c r="U65" i="2"/>
  <c r="S65" i="2"/>
  <c r="W33" i="2"/>
  <c r="W30" i="2"/>
  <c r="W8" i="2"/>
  <c r="S48" i="2"/>
  <c r="U48" i="2"/>
  <c r="T48" i="2"/>
  <c r="V48" i="2"/>
  <c r="W20" i="2"/>
  <c r="T74" i="2"/>
  <c r="V74" i="2"/>
  <c r="U74" i="2"/>
  <c r="S74" i="2"/>
  <c r="L123" i="2"/>
  <c r="S68" i="2"/>
  <c r="U68" i="2"/>
  <c r="T68" i="2"/>
  <c r="V68" i="2"/>
  <c r="L121" i="2"/>
  <c r="K163" i="2" s="1"/>
  <c r="L86" i="2"/>
  <c r="K128" i="2" s="1"/>
  <c r="W44" i="2"/>
  <c r="S52" i="2"/>
  <c r="U52" i="2"/>
  <c r="T52" i="2"/>
  <c r="V52" i="2"/>
  <c r="S85" i="2"/>
  <c r="U85" i="2"/>
  <c r="T85" i="2"/>
  <c r="V85" i="2"/>
  <c r="S64" i="2"/>
  <c r="U64" i="2"/>
  <c r="T64" i="2"/>
  <c r="V64" i="2"/>
  <c r="T61" i="2"/>
  <c r="V61" i="2"/>
  <c r="S61" i="2"/>
  <c r="U61" i="2"/>
  <c r="S77" i="2"/>
  <c r="U77" i="2"/>
  <c r="T77" i="2"/>
  <c r="V77" i="2"/>
  <c r="S56" i="2"/>
  <c r="U56" i="2"/>
  <c r="T56" i="2"/>
  <c r="V56" i="2"/>
  <c r="L80" i="2"/>
  <c r="K122" i="2" s="1"/>
  <c r="L72" i="2"/>
  <c r="T82" i="2"/>
  <c r="V82" i="2"/>
  <c r="U82" i="2"/>
  <c r="S82" i="2"/>
  <c r="L107" i="2"/>
  <c r="K149" i="2" s="1"/>
  <c r="V67" i="2"/>
  <c r="T67" i="2"/>
  <c r="S67" i="2"/>
  <c r="U67" i="2"/>
  <c r="L90" i="2"/>
  <c r="K132" i="2" s="1"/>
  <c r="R28" i="2"/>
  <c r="L87" i="2"/>
  <c r="K129" i="2" s="1"/>
  <c r="T57" i="2"/>
  <c r="V57" i="2"/>
  <c r="U57" i="2"/>
  <c r="S57" i="2"/>
  <c r="L102" i="2"/>
  <c r="K144" i="2" s="1"/>
  <c r="L93" i="2"/>
  <c r="K135" i="2" s="1"/>
  <c r="L120" i="2"/>
  <c r="K162" i="2" s="1"/>
  <c r="L94" i="2"/>
  <c r="K136" i="2" s="1"/>
  <c r="L127" i="2"/>
  <c r="K169" i="2" s="1"/>
  <c r="L106" i="2"/>
  <c r="K148" i="2" s="1"/>
  <c r="K103" i="2"/>
  <c r="K119" i="2"/>
  <c r="R43" i="2"/>
  <c r="R22" i="2"/>
  <c r="K98" i="2"/>
  <c r="W37" i="2"/>
  <c r="R4" i="2"/>
  <c r="W6" i="2"/>
  <c r="W41" i="2"/>
  <c r="W23" i="2"/>
  <c r="L84" i="2"/>
  <c r="K126" i="2" s="1"/>
  <c r="R37" i="2"/>
  <c r="R7" i="2"/>
  <c r="R27" i="2"/>
  <c r="R31" i="2"/>
  <c r="L88" i="2"/>
  <c r="K130" i="2" s="1"/>
  <c r="W42" i="2"/>
  <c r="L101" i="2"/>
  <c r="K143" i="2" s="1"/>
  <c r="T53" i="2"/>
  <c r="V53" i="2"/>
  <c r="S53" i="2"/>
  <c r="U53" i="2"/>
  <c r="L62" i="2"/>
  <c r="K104" i="2" s="1"/>
  <c r="K99" i="2"/>
  <c r="S60" i="2"/>
  <c r="U60" i="2"/>
  <c r="T60" i="2"/>
  <c r="V60" i="2"/>
  <c r="V51" i="2"/>
  <c r="T51" i="2"/>
  <c r="S51" i="2"/>
  <c r="U51" i="2"/>
  <c r="T78" i="2"/>
  <c r="V78" i="2"/>
  <c r="S78" i="2"/>
  <c r="U78" i="2"/>
  <c r="U66" i="2"/>
  <c r="S66" i="2"/>
  <c r="V66" i="2"/>
  <c r="T66" i="2"/>
  <c r="L71" i="2"/>
  <c r="K113" i="2" s="1"/>
  <c r="W29" i="2"/>
  <c r="W21" i="2"/>
  <c r="R5" i="2"/>
  <c r="U50" i="2"/>
  <c r="S50" i="2"/>
  <c r="V50" i="2"/>
  <c r="T50" i="2"/>
  <c r="T49" i="2"/>
  <c r="V49" i="2"/>
  <c r="U49" i="2"/>
  <c r="S49" i="2"/>
  <c r="L118" i="2"/>
  <c r="L105" i="2"/>
  <c r="K147" i="2" s="1"/>
  <c r="U54" i="2"/>
  <c r="S54" i="2"/>
  <c r="T54" i="2"/>
  <c r="V54" i="2"/>
  <c r="AI135" i="2" l="1"/>
  <c r="AJ135" i="2" s="1"/>
  <c r="AK135" i="2" s="1"/>
  <c r="AQ86" i="2"/>
  <c r="AQ21" i="2"/>
  <c r="AQ38" i="2"/>
  <c r="AD274" i="2"/>
  <c r="E274" i="2"/>
  <c r="AQ62" i="2"/>
  <c r="AD254" i="2"/>
  <c r="E254" i="2"/>
  <c r="AD250" i="2"/>
  <c r="E250" i="2"/>
  <c r="AQ13" i="2"/>
  <c r="AQ359" i="2"/>
  <c r="AQ45" i="2"/>
  <c r="AQ355" i="2"/>
  <c r="AD230" i="2"/>
  <c r="E230" i="2"/>
  <c r="AQ42" i="2"/>
  <c r="AQ20" i="2"/>
  <c r="AD226" i="2"/>
  <c r="E226" i="2"/>
  <c r="AQ11" i="2"/>
  <c r="AQ33" i="2"/>
  <c r="AE145" i="2"/>
  <c r="AF145" i="2" s="1"/>
  <c r="AG145" i="2" s="1"/>
  <c r="AE114" i="2"/>
  <c r="AF114" i="2" s="1"/>
  <c r="AG114" i="2" s="1"/>
  <c r="AG52" i="2"/>
  <c r="AI133" i="2"/>
  <c r="AJ133" i="2" s="1"/>
  <c r="AK133" i="2" s="1"/>
  <c r="AI136" i="2"/>
  <c r="AJ136" i="2" s="1"/>
  <c r="AK136" i="2" s="1"/>
  <c r="AI131" i="2"/>
  <c r="AJ131" i="2" s="1"/>
  <c r="AK131" i="2" s="1"/>
  <c r="AG73" i="2"/>
  <c r="AI171" i="2"/>
  <c r="AJ171" i="2" s="1"/>
  <c r="AK171" i="2" s="1"/>
  <c r="AA139" i="2"/>
  <c r="AB139" i="2" s="1"/>
  <c r="AC139" i="2" s="1"/>
  <c r="AA158" i="2"/>
  <c r="AB158" i="2" s="1"/>
  <c r="AC158" i="2" s="1"/>
  <c r="AI168" i="2"/>
  <c r="AJ168" i="2" s="1"/>
  <c r="AK168" i="2" s="1"/>
  <c r="AA107" i="2"/>
  <c r="AB107" i="2" s="1"/>
  <c r="AC107" i="2" s="1"/>
  <c r="AG74" i="2"/>
  <c r="AI159" i="2"/>
  <c r="AJ159" i="2" s="1"/>
  <c r="AK159" i="2" s="1"/>
  <c r="AF65" i="2"/>
  <c r="AE107" i="2" s="1"/>
  <c r="AI99" i="2"/>
  <c r="AJ99" i="2" s="1"/>
  <c r="AK99" i="2" s="1"/>
  <c r="AA144" i="2"/>
  <c r="AB144" i="2" s="1"/>
  <c r="AC144" i="2" s="1"/>
  <c r="AG78" i="2"/>
  <c r="AF53" i="2"/>
  <c r="AG53" i="2" s="1"/>
  <c r="AC108" i="2"/>
  <c r="AA150" i="2"/>
  <c r="AB150" i="2" s="1"/>
  <c r="AE112" i="2"/>
  <c r="AG70" i="2"/>
  <c r="AE118" i="2"/>
  <c r="AG76" i="2"/>
  <c r="AO71" i="2"/>
  <c r="AF94" i="2"/>
  <c r="AA115" i="2"/>
  <c r="AB115" i="2" s="1"/>
  <c r="AC115" i="2" s="1"/>
  <c r="AA123" i="2"/>
  <c r="AB123" i="2" s="1"/>
  <c r="AC123" i="2" s="1"/>
  <c r="AA138" i="2"/>
  <c r="AB138" i="2" s="1"/>
  <c r="AC138" i="2" s="1"/>
  <c r="AC121" i="2"/>
  <c r="AA163" i="2"/>
  <c r="AA146" i="2"/>
  <c r="AB146" i="2" s="1"/>
  <c r="AC146" i="2" s="1"/>
  <c r="AG77" i="2"/>
  <c r="AA93" i="2"/>
  <c r="AB93" i="2" s="1"/>
  <c r="AC93" i="2" s="1"/>
  <c r="AI100" i="2"/>
  <c r="AI167" i="2"/>
  <c r="AJ167" i="2" s="1"/>
  <c r="AK167" i="2" s="1"/>
  <c r="AE165" i="2"/>
  <c r="AF165" i="2" s="1"/>
  <c r="AG165" i="2" s="1"/>
  <c r="AI163" i="2"/>
  <c r="AJ163" i="2" s="1"/>
  <c r="AK163" i="2" s="1"/>
  <c r="AE211" i="2"/>
  <c r="AF211" i="2" s="1"/>
  <c r="AG211" i="2" s="1"/>
  <c r="AF57" i="2"/>
  <c r="AG71" i="2"/>
  <c r="AE113" i="2"/>
  <c r="AG67" i="2"/>
  <c r="AE109" i="2"/>
  <c r="AE111" i="2"/>
  <c r="AG69" i="2"/>
  <c r="I25" i="6"/>
  <c r="H111" i="2"/>
  <c r="AD111" i="2" s="1"/>
  <c r="I13" i="6"/>
  <c r="H99" i="2"/>
  <c r="AD99" i="2" s="1"/>
  <c r="AN503" i="2"/>
  <c r="AO503" i="2" s="1"/>
  <c r="AO461" i="2"/>
  <c r="AF54" i="2"/>
  <c r="AE96" i="2" s="1"/>
  <c r="AG50" i="2"/>
  <c r="AE92" i="2"/>
  <c r="AE117" i="2"/>
  <c r="AG75" i="2"/>
  <c r="I2" i="6"/>
  <c r="H88" i="2"/>
  <c r="AD88" i="2" s="1"/>
  <c r="I16" i="6"/>
  <c r="H102" i="2"/>
  <c r="AD102" i="2" s="1"/>
  <c r="I10" i="6"/>
  <c r="H96" i="2"/>
  <c r="AD96" i="2" s="1"/>
  <c r="I9" i="6"/>
  <c r="H95" i="2"/>
  <c r="AD95" i="2" s="1"/>
  <c r="H219" i="2"/>
  <c r="AD219" i="2" s="1"/>
  <c r="L7" i="6"/>
  <c r="I15" i="6"/>
  <c r="H101" i="2"/>
  <c r="AD101" i="2" s="1"/>
  <c r="H313" i="2"/>
  <c r="AD313" i="2" s="1"/>
  <c r="N17" i="6"/>
  <c r="H251" i="2"/>
  <c r="AD251" i="2" s="1"/>
  <c r="L39" i="6"/>
  <c r="I12" i="6"/>
  <c r="H98" i="2"/>
  <c r="AD98" i="2" s="1"/>
  <c r="L41" i="6"/>
  <c r="H253" i="2"/>
  <c r="AD253" i="2" s="1"/>
  <c r="H249" i="2"/>
  <c r="AD249" i="2" s="1"/>
  <c r="L37" i="6"/>
  <c r="I30" i="6"/>
  <c r="H116" i="2"/>
  <c r="AD116" i="2" s="1"/>
  <c r="AF116" i="2" s="1"/>
  <c r="I6" i="6"/>
  <c r="H92" i="2"/>
  <c r="AD92" i="2" s="1"/>
  <c r="I19" i="6"/>
  <c r="H105" i="2"/>
  <c r="AD105" i="2" s="1"/>
  <c r="AD47" i="2"/>
  <c r="AF47" i="2" s="1"/>
  <c r="H248" i="2"/>
  <c r="AD248" i="2" s="1"/>
  <c r="L36" i="6"/>
  <c r="I31" i="6"/>
  <c r="H117" i="2"/>
  <c r="AD117" i="2" s="1"/>
  <c r="K35" i="6"/>
  <c r="H205" i="2"/>
  <c r="AD205" i="2" s="1"/>
  <c r="K28" i="6"/>
  <c r="H198" i="2"/>
  <c r="AD198" i="2" s="1"/>
  <c r="I23" i="6"/>
  <c r="H109" i="2"/>
  <c r="AD109" i="2" s="1"/>
  <c r="L11" i="6"/>
  <c r="H223" i="2"/>
  <c r="AD223" i="2" s="1"/>
  <c r="I3" i="6"/>
  <c r="H89" i="2"/>
  <c r="AD89" i="2" s="1"/>
  <c r="K5" i="6"/>
  <c r="H175" i="2"/>
  <c r="AD175" i="2" s="1"/>
  <c r="I27" i="6"/>
  <c r="H113" i="2"/>
  <c r="AD113" i="2" s="1"/>
  <c r="I24" i="6"/>
  <c r="H110" i="2"/>
  <c r="AD110" i="2" s="1"/>
  <c r="AF110" i="2" s="1"/>
  <c r="I4" i="6"/>
  <c r="H90" i="2"/>
  <c r="AD90" i="2" s="1"/>
  <c r="H120" i="2"/>
  <c r="AD120" i="2" s="1"/>
  <c r="AF120" i="2" s="1"/>
  <c r="AG120" i="2" s="1"/>
  <c r="I34" i="6"/>
  <c r="I33" i="6"/>
  <c r="H119" i="2"/>
  <c r="AD119" i="2" s="1"/>
  <c r="AF119" i="2" s="1"/>
  <c r="I26" i="6"/>
  <c r="H112" i="2"/>
  <c r="AD112" i="2" s="1"/>
  <c r="M38" i="6"/>
  <c r="H334" i="2" s="1"/>
  <c r="H292" i="2"/>
  <c r="H202" i="2"/>
  <c r="AD202" i="2" s="1"/>
  <c r="K32" i="6"/>
  <c r="K8" i="6"/>
  <c r="H178" i="2"/>
  <c r="AD178" i="2" s="1"/>
  <c r="AF63" i="2"/>
  <c r="AG63" i="2" s="1"/>
  <c r="I21" i="6"/>
  <c r="H107" i="2"/>
  <c r="AD107" i="2" s="1"/>
  <c r="AG46" i="2"/>
  <c r="AE88" i="2"/>
  <c r="AF60" i="2"/>
  <c r="H255" i="2"/>
  <c r="AD255" i="2" s="1"/>
  <c r="L43" i="6"/>
  <c r="AD59" i="2"/>
  <c r="AF59" i="2" s="1"/>
  <c r="L40" i="6"/>
  <c r="H252" i="2"/>
  <c r="AD252" i="2" s="1"/>
  <c r="H234" i="2"/>
  <c r="AD234" i="2" s="1"/>
  <c r="L22" i="6"/>
  <c r="AD56" i="2"/>
  <c r="AF56" i="2" s="1"/>
  <c r="I29" i="6"/>
  <c r="H115" i="2"/>
  <c r="AD115" i="2" s="1"/>
  <c r="AF115" i="2" s="1"/>
  <c r="AI148" i="2"/>
  <c r="AJ148" i="2" s="1"/>
  <c r="AK148" i="2" s="1"/>
  <c r="AA161" i="2"/>
  <c r="AB161" i="2" s="1"/>
  <c r="AC161" i="2" s="1"/>
  <c r="AA118" i="2"/>
  <c r="AB118" i="2" s="1"/>
  <c r="AC118" i="2" s="1"/>
  <c r="AA170" i="2"/>
  <c r="AB170" i="2" s="1"/>
  <c r="AC170" i="2" s="1"/>
  <c r="AA117" i="2"/>
  <c r="AB117" i="2" s="1"/>
  <c r="AC117" i="2" s="1"/>
  <c r="AC87" i="2"/>
  <c r="AA152" i="2"/>
  <c r="AB152" i="2" s="1"/>
  <c r="AC152" i="2" s="1"/>
  <c r="AA105" i="2"/>
  <c r="AB105" i="2" s="1"/>
  <c r="AC105" i="2" s="1"/>
  <c r="AE139" i="2"/>
  <c r="AF139" i="2" s="1"/>
  <c r="AG139" i="2" s="1"/>
  <c r="AE91" i="2"/>
  <c r="AF91" i="2" s="1"/>
  <c r="AG91" i="2" s="1"/>
  <c r="AA92" i="2"/>
  <c r="AI149" i="2"/>
  <c r="AJ149" i="2" s="1"/>
  <c r="AK149" i="2" s="1"/>
  <c r="AI169" i="2"/>
  <c r="AJ169" i="2" s="1"/>
  <c r="AK169" i="2" s="1"/>
  <c r="AA143" i="2"/>
  <c r="AB143" i="2" s="1"/>
  <c r="AC143" i="2" s="1"/>
  <c r="AO403" i="2"/>
  <c r="AN445" i="2"/>
  <c r="AB140" i="2"/>
  <c r="AC140" i="2" s="1"/>
  <c r="AN435" i="2"/>
  <c r="AO393" i="2"/>
  <c r="AB168" i="2"/>
  <c r="AC168" i="2" s="1"/>
  <c r="AB112" i="2"/>
  <c r="AC112" i="2" s="1"/>
  <c r="AB163" i="2"/>
  <c r="AC163" i="2" s="1"/>
  <c r="AB132" i="2"/>
  <c r="AC132" i="2" s="1"/>
  <c r="AB136" i="2"/>
  <c r="AC136" i="2" s="1"/>
  <c r="AO397" i="2"/>
  <c r="AN439" i="2"/>
  <c r="AO383" i="2"/>
  <c r="AN425" i="2"/>
  <c r="AO371" i="2"/>
  <c r="AN413" i="2"/>
  <c r="AB151" i="2"/>
  <c r="AC151" i="2" s="1"/>
  <c r="AN429" i="2"/>
  <c r="AO387" i="2"/>
  <c r="AN417" i="2"/>
  <c r="AO375" i="2"/>
  <c r="AN97" i="2"/>
  <c r="AO55" i="2"/>
  <c r="AN437" i="2"/>
  <c r="AO395" i="2"/>
  <c r="AN443" i="2"/>
  <c r="AO401" i="2"/>
  <c r="AN95" i="2"/>
  <c r="AO53" i="2"/>
  <c r="AI137" i="2"/>
  <c r="AJ137" i="2" s="1"/>
  <c r="AK137" i="2" s="1"/>
  <c r="AN499" i="2"/>
  <c r="AO499" i="2" s="1"/>
  <c r="AO457" i="2"/>
  <c r="AN126" i="2"/>
  <c r="AO84" i="2"/>
  <c r="AN447" i="2"/>
  <c r="AO405" i="2"/>
  <c r="AN379" i="2"/>
  <c r="AO337" i="2"/>
  <c r="AN122" i="2"/>
  <c r="AO80" i="2"/>
  <c r="AI166" i="2"/>
  <c r="AJ166" i="2" s="1"/>
  <c r="AK166" i="2" s="1"/>
  <c r="AN105" i="2"/>
  <c r="AO63" i="2"/>
  <c r="AN129" i="2"/>
  <c r="AO87" i="2"/>
  <c r="AN427" i="2"/>
  <c r="AO385" i="2"/>
  <c r="AN117" i="2"/>
  <c r="AO75" i="2"/>
  <c r="AN155" i="2"/>
  <c r="AO113" i="2"/>
  <c r="AN170" i="2"/>
  <c r="AO128" i="2"/>
  <c r="AN146" i="2"/>
  <c r="AO104" i="2"/>
  <c r="AE121" i="2"/>
  <c r="AF121" i="2" s="1"/>
  <c r="AG121" i="2" s="1"/>
  <c r="D319" i="2"/>
  <c r="E319" i="2" s="1"/>
  <c r="J363" i="2"/>
  <c r="X363" i="2" s="1"/>
  <c r="Z363" i="2"/>
  <c r="G363" i="2"/>
  <c r="AQ363" i="2" s="1"/>
  <c r="D333" i="2"/>
  <c r="E333" i="2" s="1"/>
  <c r="AL219" i="2"/>
  <c r="AH219" i="2"/>
  <c r="AL227" i="2"/>
  <c r="AH227" i="2"/>
  <c r="AL249" i="2"/>
  <c r="AH249" i="2"/>
  <c r="D493" i="2"/>
  <c r="E493" i="2" s="1"/>
  <c r="D451" i="2"/>
  <c r="E451" i="2" s="1"/>
  <c r="AL267" i="2"/>
  <c r="AH267" i="2"/>
  <c r="D357" i="2"/>
  <c r="E357" i="2" s="1"/>
  <c r="Z222" i="2"/>
  <c r="J222" i="2"/>
  <c r="X222" i="2" s="1"/>
  <c r="G222" i="2"/>
  <c r="AQ222" i="2" s="1"/>
  <c r="J295" i="2"/>
  <c r="X295" i="2" s="1"/>
  <c r="Z295" i="2"/>
  <c r="G295" i="2"/>
  <c r="AQ295" i="2" s="1"/>
  <c r="AL300" i="2"/>
  <c r="AH300" i="2"/>
  <c r="AL212" i="2"/>
  <c r="AH212" i="2"/>
  <c r="Z276" i="2"/>
  <c r="J276" i="2"/>
  <c r="X276" i="2" s="1"/>
  <c r="G276" i="2"/>
  <c r="AQ276" i="2" s="1"/>
  <c r="Z293" i="2"/>
  <c r="J293" i="2"/>
  <c r="X293" i="2" s="1"/>
  <c r="G293" i="2"/>
  <c r="AQ293" i="2" s="1"/>
  <c r="AL367" i="2"/>
  <c r="AH367" i="2"/>
  <c r="J238" i="2"/>
  <c r="X238" i="2" s="1"/>
  <c r="Z238" i="2"/>
  <c r="G238" i="2"/>
  <c r="AQ238" i="2" s="1"/>
  <c r="Z250" i="2"/>
  <c r="J250" i="2"/>
  <c r="X250" i="2" s="1"/>
  <c r="G250" i="2"/>
  <c r="AQ250" i="2" s="1"/>
  <c r="G259" i="2"/>
  <c r="AQ259" i="2" s="1"/>
  <c r="J259" i="2"/>
  <c r="X259" i="2" s="1"/>
  <c r="Z259" i="2"/>
  <c r="Z269" i="2"/>
  <c r="J269" i="2"/>
  <c r="X269" i="2" s="1"/>
  <c r="G269" i="2"/>
  <c r="AQ269" i="2" s="1"/>
  <c r="AL208" i="2"/>
  <c r="AH208" i="2"/>
  <c r="Z309" i="2"/>
  <c r="J309" i="2"/>
  <c r="X309" i="2" s="1"/>
  <c r="G309" i="2"/>
  <c r="AQ309" i="2" s="1"/>
  <c r="AH232" i="2"/>
  <c r="AL232" i="2"/>
  <c r="D264" i="2"/>
  <c r="E264" i="2" s="1"/>
  <c r="D302" i="2"/>
  <c r="E302" i="2" s="1"/>
  <c r="AL217" i="2"/>
  <c r="AH217" i="2"/>
  <c r="D288" i="2"/>
  <c r="E288" i="2" s="1"/>
  <c r="Z261" i="2"/>
  <c r="J261" i="2"/>
  <c r="X261" i="2" s="1"/>
  <c r="G261" i="2"/>
  <c r="AQ261" i="2" s="1"/>
  <c r="Z254" i="2"/>
  <c r="J254" i="2"/>
  <c r="X254" i="2" s="1"/>
  <c r="G254" i="2"/>
  <c r="D272" i="2"/>
  <c r="D311" i="2"/>
  <c r="E311" i="2" s="1"/>
  <c r="AL235" i="2"/>
  <c r="AH235" i="2"/>
  <c r="AI162" i="2"/>
  <c r="AJ162" i="2" s="1"/>
  <c r="AK162" i="2" s="1"/>
  <c r="D351" i="2"/>
  <c r="E351" i="2" s="1"/>
  <c r="AL218" i="2"/>
  <c r="AH218" i="2"/>
  <c r="Z307" i="2"/>
  <c r="J307" i="2"/>
  <c r="X307" i="2" s="1"/>
  <c r="G307" i="2"/>
  <c r="AL253" i="2"/>
  <c r="AH253" i="2"/>
  <c r="AL188" i="2"/>
  <c r="AH188" i="2"/>
  <c r="J226" i="2"/>
  <c r="X226" i="2" s="1"/>
  <c r="Z226" i="2"/>
  <c r="G226" i="2"/>
  <c r="AQ226" i="2" s="1"/>
  <c r="J290" i="2"/>
  <c r="X290" i="2" s="1"/>
  <c r="Z290" i="2"/>
  <c r="G290" i="2"/>
  <c r="M18" i="6"/>
  <c r="G329" i="2"/>
  <c r="AQ329" i="2" s="1"/>
  <c r="J329" i="2"/>
  <c r="X329" i="2" s="1"/>
  <c r="Z329" i="2"/>
  <c r="AL265" i="2"/>
  <c r="AH265" i="2"/>
  <c r="AL244" i="2"/>
  <c r="AH244" i="2"/>
  <c r="Z242" i="2"/>
  <c r="J242" i="2"/>
  <c r="X242" i="2" s="1"/>
  <c r="G242" i="2"/>
  <c r="AQ242" i="2" s="1"/>
  <c r="AL184" i="2"/>
  <c r="AH184" i="2"/>
  <c r="D337" i="2"/>
  <c r="E337" i="2" s="1"/>
  <c r="J274" i="2"/>
  <c r="X274" i="2" s="1"/>
  <c r="Z274" i="2"/>
  <c r="G274" i="2"/>
  <c r="AQ274" i="2" s="1"/>
  <c r="Z285" i="2"/>
  <c r="J285" i="2"/>
  <c r="X285" i="2" s="1"/>
  <c r="G285" i="2"/>
  <c r="D318" i="2"/>
  <c r="E318" i="2" s="1"/>
  <c r="AL248" i="2"/>
  <c r="AH248" i="2"/>
  <c r="D335" i="2"/>
  <c r="E335" i="2" s="1"/>
  <c r="D303" i="2"/>
  <c r="E303" i="2" s="1"/>
  <c r="D405" i="2"/>
  <c r="E405" i="2" s="1"/>
  <c r="D280" i="2"/>
  <c r="E280" i="2" s="1"/>
  <c r="D292" i="2"/>
  <c r="E292" i="2" s="1"/>
  <c r="AH204" i="2"/>
  <c r="AL204" i="2"/>
  <c r="AL287" i="2"/>
  <c r="AH287" i="2"/>
  <c r="AL251" i="2"/>
  <c r="AH251" i="2"/>
  <c r="Z297" i="2"/>
  <c r="J297" i="2"/>
  <c r="X297" i="2" s="1"/>
  <c r="G297" i="2"/>
  <c r="AL321" i="2"/>
  <c r="AH321" i="2"/>
  <c r="AL196" i="2"/>
  <c r="AH196" i="2"/>
  <c r="D384" i="2"/>
  <c r="E384" i="2" s="1"/>
  <c r="D328" i="2"/>
  <c r="E328" i="2" s="1"/>
  <c r="J315" i="2"/>
  <c r="X315" i="2" s="1"/>
  <c r="Z315" i="2"/>
  <c r="G315" i="2"/>
  <c r="D331" i="2"/>
  <c r="E331" i="2" s="1"/>
  <c r="AL234" i="2"/>
  <c r="AH234" i="2"/>
  <c r="AL243" i="2"/>
  <c r="AH243" i="2"/>
  <c r="AL200" i="2"/>
  <c r="AH200" i="2"/>
  <c r="D301" i="2"/>
  <c r="E301" i="2" s="1"/>
  <c r="AI158" i="2"/>
  <c r="AJ158" i="2" s="1"/>
  <c r="AK158" i="2" s="1"/>
  <c r="D349" i="2"/>
  <c r="E349" i="2" s="1"/>
  <c r="Z342" i="2"/>
  <c r="J342" i="2"/>
  <c r="X342" i="2" s="1"/>
  <c r="G342" i="2"/>
  <c r="AQ342" i="2" s="1"/>
  <c r="Z286" i="2"/>
  <c r="J286" i="2"/>
  <c r="X286" i="2" s="1"/>
  <c r="G286" i="2"/>
  <c r="AQ286" i="2" s="1"/>
  <c r="AL255" i="2"/>
  <c r="AH255" i="2"/>
  <c r="G409" i="2"/>
  <c r="AQ409" i="2" s="1"/>
  <c r="Z409" i="2"/>
  <c r="J409" i="2"/>
  <c r="X409" i="2" s="1"/>
  <c r="M14" i="6"/>
  <c r="H310" i="2" s="1"/>
  <c r="D268" i="2"/>
  <c r="D332" i="2"/>
  <c r="E332" i="2" s="1"/>
  <c r="D371" i="2"/>
  <c r="E371" i="2" s="1"/>
  <c r="Z289" i="2"/>
  <c r="J289" i="2"/>
  <c r="X289" i="2" s="1"/>
  <c r="G289" i="2"/>
  <c r="AQ289" i="2" s="1"/>
  <c r="D284" i="2"/>
  <c r="E284" i="2" s="1"/>
  <c r="Z260" i="2"/>
  <c r="J260" i="2"/>
  <c r="X260" i="2" s="1"/>
  <c r="G260" i="2"/>
  <c r="AQ260" i="2" s="1"/>
  <c r="D316" i="2"/>
  <c r="D327" i="2"/>
  <c r="E327" i="2" s="1"/>
  <c r="AL273" i="2"/>
  <c r="AH273" i="2"/>
  <c r="Z246" i="2"/>
  <c r="J246" i="2"/>
  <c r="X246" i="2" s="1"/>
  <c r="G246" i="2"/>
  <c r="AQ246" i="2" s="1"/>
  <c r="AL247" i="2"/>
  <c r="AH247" i="2"/>
  <c r="Z277" i="2"/>
  <c r="J277" i="2"/>
  <c r="X277" i="2" s="1"/>
  <c r="G277" i="2"/>
  <c r="AQ277" i="2" s="1"/>
  <c r="AH180" i="2"/>
  <c r="AL180" i="2"/>
  <c r="M42" i="6"/>
  <c r="H338" i="2" s="1"/>
  <c r="D296" i="2"/>
  <c r="Z230" i="2"/>
  <c r="J230" i="2"/>
  <c r="X230" i="2" s="1"/>
  <c r="G230" i="2"/>
  <c r="D339" i="2"/>
  <c r="E339" i="2" s="1"/>
  <c r="J291" i="2"/>
  <c r="X291" i="2" s="1"/>
  <c r="Z291" i="2"/>
  <c r="G291" i="2"/>
  <c r="AQ291" i="2" s="1"/>
  <c r="N20" i="6"/>
  <c r="H358" i="2" s="1"/>
  <c r="AL362" i="2"/>
  <c r="AH362" i="2"/>
  <c r="AE168" i="2"/>
  <c r="AF168" i="2" s="1"/>
  <c r="AG168" i="2" s="1"/>
  <c r="AE208" i="2"/>
  <c r="AF208" i="2" s="1"/>
  <c r="AG208" i="2" s="1"/>
  <c r="G378" i="2"/>
  <c r="Z378" i="2"/>
  <c r="J378" i="2"/>
  <c r="X378" i="2" s="1"/>
  <c r="J347" i="2"/>
  <c r="X347" i="2" s="1"/>
  <c r="Z347" i="2"/>
  <c r="G347" i="2"/>
  <c r="D298" i="2"/>
  <c r="E298" i="2" s="1"/>
  <c r="D420" i="2"/>
  <c r="E420" i="2" s="1"/>
  <c r="Z404" i="2"/>
  <c r="J404" i="2"/>
  <c r="X404" i="2" s="1"/>
  <c r="G404" i="2"/>
  <c r="AQ404" i="2" s="1"/>
  <c r="AL336" i="2"/>
  <c r="AH336" i="2"/>
  <c r="D488" i="2"/>
  <c r="E488" i="2" s="1"/>
  <c r="D446" i="2"/>
  <c r="E446" i="2" s="1"/>
  <c r="D341" i="2"/>
  <c r="E341" i="2" s="1"/>
  <c r="AI134" i="2"/>
  <c r="AJ134" i="2" s="1"/>
  <c r="AK134" i="2" s="1"/>
  <c r="AL257" i="2"/>
  <c r="AH257" i="2"/>
  <c r="AL305" i="2"/>
  <c r="AH305" i="2"/>
  <c r="AL214" i="2"/>
  <c r="AH214" i="2"/>
  <c r="D389" i="2"/>
  <c r="E389" i="2" s="1"/>
  <c r="Z256" i="2"/>
  <c r="J256" i="2"/>
  <c r="X256" i="2" s="1"/>
  <c r="G256" i="2"/>
  <c r="AQ256" i="2" s="1"/>
  <c r="J299" i="2"/>
  <c r="X299" i="2" s="1"/>
  <c r="Z299" i="2"/>
  <c r="G299" i="2"/>
  <c r="AQ299" i="2" s="1"/>
  <c r="AK119" i="2"/>
  <c r="AI161" i="2"/>
  <c r="AJ161" i="2" s="1"/>
  <c r="AK161" i="2" s="1"/>
  <c r="AI160" i="2"/>
  <c r="AJ160" i="2" s="1"/>
  <c r="AK160" i="2" s="1"/>
  <c r="AI147" i="2"/>
  <c r="AJ147" i="2" s="1"/>
  <c r="AK147" i="2" s="1"/>
  <c r="AI146" i="2"/>
  <c r="AJ146" i="2" s="1"/>
  <c r="AK146" i="2" s="1"/>
  <c r="AI157" i="2"/>
  <c r="AJ157" i="2" s="1"/>
  <c r="AK157" i="2" s="1"/>
  <c r="AA91" i="2"/>
  <c r="J472" i="2"/>
  <c r="X472" i="2" s="1"/>
  <c r="Z472" i="2"/>
  <c r="G472" i="2"/>
  <c r="AQ472" i="2" s="1"/>
  <c r="J485" i="2"/>
  <c r="X485" i="2" s="1"/>
  <c r="Z485" i="2"/>
  <c r="G485" i="2"/>
  <c r="AH401" i="2"/>
  <c r="AL401" i="2"/>
  <c r="AA95" i="2"/>
  <c r="AL491" i="2"/>
  <c r="AH491" i="2"/>
  <c r="AL388" i="2"/>
  <c r="AH388" i="2"/>
  <c r="J430" i="2"/>
  <c r="X430" i="2" s="1"/>
  <c r="Z430" i="2"/>
  <c r="G430" i="2"/>
  <c r="AQ430" i="2" s="1"/>
  <c r="Z443" i="2"/>
  <c r="J443" i="2"/>
  <c r="X443" i="2" s="1"/>
  <c r="G443" i="2"/>
  <c r="AH449" i="2"/>
  <c r="AL449" i="2"/>
  <c r="AL439" i="2"/>
  <c r="AH439" i="2"/>
  <c r="AL481" i="2"/>
  <c r="AH481" i="2"/>
  <c r="AI140" i="2"/>
  <c r="AJ140" i="2" s="1"/>
  <c r="AK140" i="2" s="1"/>
  <c r="AE188" i="2"/>
  <c r="AF188" i="2" s="1"/>
  <c r="AG188" i="2" s="1"/>
  <c r="AI151" i="2"/>
  <c r="AJ151" i="2" s="1"/>
  <c r="AK151" i="2" s="1"/>
  <c r="AI144" i="2"/>
  <c r="AJ144" i="2" s="1"/>
  <c r="AK144" i="2" s="1"/>
  <c r="AI164" i="2"/>
  <c r="AJ164" i="2" s="1"/>
  <c r="AK164" i="2" s="1"/>
  <c r="AI153" i="2"/>
  <c r="AJ153" i="2" s="1"/>
  <c r="AK153" i="2" s="1"/>
  <c r="AA89" i="2"/>
  <c r="AB89" i="2" s="1"/>
  <c r="AI154" i="2"/>
  <c r="AJ154" i="2" s="1"/>
  <c r="AK154" i="2" s="1"/>
  <c r="AC111" i="2"/>
  <c r="AA124" i="2"/>
  <c r="AB124" i="2" s="1"/>
  <c r="AI139" i="2"/>
  <c r="AJ139" i="2" s="1"/>
  <c r="AK139" i="2" s="1"/>
  <c r="AE212" i="2"/>
  <c r="AF212" i="2" s="1"/>
  <c r="AG212" i="2" s="1"/>
  <c r="AA103" i="2"/>
  <c r="AB103" i="2" s="1"/>
  <c r="AC127" i="2"/>
  <c r="AA171" i="2"/>
  <c r="AI145" i="2"/>
  <c r="AJ145" i="2" s="1"/>
  <c r="AK145" i="2" s="1"/>
  <c r="AE171" i="2"/>
  <c r="AF171" i="2" s="1"/>
  <c r="AG171" i="2" s="1"/>
  <c r="AA167" i="2"/>
  <c r="AB167" i="2" s="1"/>
  <c r="AA122" i="2"/>
  <c r="AB122" i="2" s="1"/>
  <c r="AA106" i="2"/>
  <c r="AB106" i="2" s="1"/>
  <c r="AE90" i="2"/>
  <c r="AI128" i="2"/>
  <c r="AI130" i="2"/>
  <c r="AJ130" i="2" s="1"/>
  <c r="AK130" i="2" s="1"/>
  <c r="AA114" i="2"/>
  <c r="AB114" i="2" s="1"/>
  <c r="AI108" i="2"/>
  <c r="AA120" i="2"/>
  <c r="AB120" i="2" s="1"/>
  <c r="AI96" i="2"/>
  <c r="AI110" i="2"/>
  <c r="AI165" i="2"/>
  <c r="AJ165" i="2" s="1"/>
  <c r="AF167" i="2"/>
  <c r="AG167" i="2" s="1"/>
  <c r="AE148" i="2"/>
  <c r="AE108" i="2"/>
  <c r="AF108" i="2" s="1"/>
  <c r="AG108" i="2" s="1"/>
  <c r="AI185" i="2"/>
  <c r="AJ185" i="2" s="1"/>
  <c r="AK185" i="2" s="1"/>
  <c r="AE100" i="2"/>
  <c r="W82" i="2"/>
  <c r="AI177" i="2"/>
  <c r="AJ177" i="2" s="1"/>
  <c r="AK177" i="2" s="1"/>
  <c r="AC113" i="2"/>
  <c r="W65" i="2"/>
  <c r="AJ113" i="2"/>
  <c r="AK113" i="2" s="1"/>
  <c r="W60" i="2"/>
  <c r="AC99" i="2"/>
  <c r="L113" i="2"/>
  <c r="K155" i="2" s="1"/>
  <c r="L148" i="2"/>
  <c r="K190" i="2" s="1"/>
  <c r="L163" i="2"/>
  <c r="K205" i="2" s="1"/>
  <c r="L159" i="2"/>
  <c r="K201" i="2" s="1"/>
  <c r="L89" i="2"/>
  <c r="K131" i="2" s="1"/>
  <c r="L158" i="2"/>
  <c r="K200" i="2" s="1"/>
  <c r="L166" i="2"/>
  <c r="K208" i="2" s="1"/>
  <c r="L138" i="2"/>
  <c r="K180" i="2" s="1"/>
  <c r="L129" i="2"/>
  <c r="K171" i="2" s="1"/>
  <c r="L167" i="2"/>
  <c r="K209" i="2" s="1"/>
  <c r="L134" i="2"/>
  <c r="K176" i="2" s="1"/>
  <c r="L135" i="2"/>
  <c r="K177" i="2" s="1"/>
  <c r="L149" i="2"/>
  <c r="K191" i="2" s="1"/>
  <c r="L97" i="2"/>
  <c r="K139" i="2" s="1"/>
  <c r="L152" i="2"/>
  <c r="K194" i="2" s="1"/>
  <c r="L136" i="2"/>
  <c r="K178" i="2" s="1"/>
  <c r="L132" i="2"/>
  <c r="K174" i="2" s="1"/>
  <c r="L112" i="2"/>
  <c r="K154" i="2" s="1"/>
  <c r="L133" i="2"/>
  <c r="K175" i="2" s="1"/>
  <c r="L150" i="2"/>
  <c r="K192" i="2" s="1"/>
  <c r="T118" i="2"/>
  <c r="V118" i="2"/>
  <c r="S118" i="2"/>
  <c r="U118" i="2"/>
  <c r="W50" i="2"/>
  <c r="W78" i="2"/>
  <c r="L104" i="2"/>
  <c r="K146" i="2" s="1"/>
  <c r="AE177" i="2"/>
  <c r="AF177" i="2" s="1"/>
  <c r="AG177" i="2" s="1"/>
  <c r="W54" i="2"/>
  <c r="W49" i="2"/>
  <c r="W66" i="2"/>
  <c r="U62" i="2"/>
  <c r="S62" i="2"/>
  <c r="T62" i="2"/>
  <c r="V62" i="2"/>
  <c r="L98" i="2"/>
  <c r="K140" i="2" s="1"/>
  <c r="L103" i="2"/>
  <c r="K145" i="2" s="1"/>
  <c r="AI174" i="2"/>
  <c r="AI209" i="2"/>
  <c r="W67" i="2"/>
  <c r="V80" i="2"/>
  <c r="T80" i="2"/>
  <c r="S80" i="2"/>
  <c r="U80" i="2"/>
  <c r="W61" i="2"/>
  <c r="W68" i="2"/>
  <c r="U111" i="2"/>
  <c r="S111" i="2"/>
  <c r="T111" i="2"/>
  <c r="V111" i="2"/>
  <c r="V100" i="2"/>
  <c r="T100" i="2"/>
  <c r="S100" i="2"/>
  <c r="U100" i="2"/>
  <c r="S73" i="2"/>
  <c r="U73" i="2"/>
  <c r="T73" i="2"/>
  <c r="V73" i="2"/>
  <c r="W59" i="2"/>
  <c r="W69" i="2"/>
  <c r="U95" i="2"/>
  <c r="S95" i="2"/>
  <c r="T95" i="2"/>
  <c r="V95" i="2"/>
  <c r="L130" i="2"/>
  <c r="K172" i="2" s="1"/>
  <c r="L126" i="2"/>
  <c r="K168" i="2" s="1"/>
  <c r="T106" i="2"/>
  <c r="V106" i="2"/>
  <c r="S106" i="2"/>
  <c r="U106" i="2"/>
  <c r="T94" i="2"/>
  <c r="V94" i="2"/>
  <c r="S94" i="2"/>
  <c r="U94" i="2"/>
  <c r="L162" i="2"/>
  <c r="K204" i="2" s="1"/>
  <c r="L144" i="2"/>
  <c r="K186" i="2" s="1"/>
  <c r="S72" i="2"/>
  <c r="U72" i="2"/>
  <c r="T72" i="2"/>
  <c r="V72" i="2"/>
  <c r="L128" i="2"/>
  <c r="K170" i="2" s="1"/>
  <c r="U123" i="2"/>
  <c r="S123" i="2"/>
  <c r="T123" i="2"/>
  <c r="V123" i="2"/>
  <c r="S125" i="2"/>
  <c r="U125" i="2"/>
  <c r="T125" i="2"/>
  <c r="V125" i="2"/>
  <c r="L153" i="2"/>
  <c r="K195" i="2" s="1"/>
  <c r="V55" i="2"/>
  <c r="T55" i="2"/>
  <c r="S55" i="2"/>
  <c r="U55" i="2"/>
  <c r="L115" i="2"/>
  <c r="K157" i="2" s="1"/>
  <c r="AJ156" i="2"/>
  <c r="AK156" i="2" s="1"/>
  <c r="AC142" i="2"/>
  <c r="V47" i="2"/>
  <c r="T47" i="2"/>
  <c r="S47" i="2"/>
  <c r="U47" i="2"/>
  <c r="L137" i="2"/>
  <c r="K179" i="2" s="1"/>
  <c r="V96" i="2"/>
  <c r="T96" i="2"/>
  <c r="S96" i="2"/>
  <c r="U96" i="2"/>
  <c r="T110" i="2"/>
  <c r="V110" i="2"/>
  <c r="S110" i="2"/>
  <c r="U110" i="2"/>
  <c r="V71" i="2"/>
  <c r="T71" i="2"/>
  <c r="S71" i="2"/>
  <c r="U71" i="2"/>
  <c r="S105" i="2"/>
  <c r="U105" i="2"/>
  <c r="V105" i="2"/>
  <c r="T105" i="2"/>
  <c r="K160" i="2"/>
  <c r="L99" i="2"/>
  <c r="W53" i="2"/>
  <c r="S101" i="2"/>
  <c r="U101" i="2"/>
  <c r="T101" i="2"/>
  <c r="V101" i="2"/>
  <c r="V88" i="2"/>
  <c r="T88" i="2"/>
  <c r="S88" i="2"/>
  <c r="U88" i="2"/>
  <c r="V84" i="2"/>
  <c r="T84" i="2"/>
  <c r="S84" i="2"/>
  <c r="U84" i="2"/>
  <c r="R508" i="2"/>
  <c r="C3" i="1" s="1"/>
  <c r="U127" i="2"/>
  <c r="S127" i="2"/>
  <c r="T127" i="2"/>
  <c r="V127" i="2"/>
  <c r="V120" i="2"/>
  <c r="T120" i="2"/>
  <c r="U120" i="2"/>
  <c r="S120" i="2"/>
  <c r="T102" i="2"/>
  <c r="V102" i="2"/>
  <c r="S102" i="2"/>
  <c r="U102" i="2"/>
  <c r="K114" i="2"/>
  <c r="W56" i="2"/>
  <c r="W77" i="2"/>
  <c r="W64" i="2"/>
  <c r="W85" i="2"/>
  <c r="AG122" i="2"/>
  <c r="AE164" i="2"/>
  <c r="AF164" i="2" s="1"/>
  <c r="AG164" i="2" s="1"/>
  <c r="W52" i="2"/>
  <c r="T86" i="2"/>
  <c r="V86" i="2"/>
  <c r="S86" i="2"/>
  <c r="U86" i="2"/>
  <c r="K165" i="2"/>
  <c r="W74" i="2"/>
  <c r="W48" i="2"/>
  <c r="W63" i="2"/>
  <c r="W79" i="2"/>
  <c r="W46" i="2"/>
  <c r="W58" i="2"/>
  <c r="S109" i="2"/>
  <c r="U109" i="2"/>
  <c r="T109" i="2"/>
  <c r="V109" i="2"/>
  <c r="L147" i="2"/>
  <c r="K189" i="2" s="1"/>
  <c r="W51" i="2"/>
  <c r="L143" i="2"/>
  <c r="K185" i="2" s="1"/>
  <c r="L119" i="2"/>
  <c r="K161" i="2" s="1"/>
  <c r="L169" i="2"/>
  <c r="K211" i="2" s="1"/>
  <c r="S93" i="2"/>
  <c r="U93" i="2"/>
  <c r="T93" i="2"/>
  <c r="V93" i="2"/>
  <c r="W57" i="2"/>
  <c r="U87" i="2"/>
  <c r="S87" i="2"/>
  <c r="T87" i="2"/>
  <c r="V87" i="2"/>
  <c r="T90" i="2"/>
  <c r="V90" i="2"/>
  <c r="U90" i="2"/>
  <c r="S90" i="2"/>
  <c r="U107" i="2"/>
  <c r="S107" i="2"/>
  <c r="T107" i="2"/>
  <c r="V107" i="2"/>
  <c r="L122" i="2"/>
  <c r="K164" i="2" s="1"/>
  <c r="S121" i="2"/>
  <c r="U121" i="2"/>
  <c r="V121" i="2"/>
  <c r="T121" i="2"/>
  <c r="S117" i="2"/>
  <c r="U117" i="2"/>
  <c r="T117" i="2"/>
  <c r="V117" i="2"/>
  <c r="L142" i="2"/>
  <c r="K184" i="2" s="1"/>
  <c r="W76" i="2"/>
  <c r="U70" i="2"/>
  <c r="S70" i="2"/>
  <c r="T70" i="2"/>
  <c r="V70" i="2"/>
  <c r="W81" i="2"/>
  <c r="AC130" i="2"/>
  <c r="W75" i="2"/>
  <c r="W83" i="2"/>
  <c r="V116" i="2"/>
  <c r="T116" i="2"/>
  <c r="S116" i="2"/>
  <c r="U116" i="2"/>
  <c r="U91" i="2"/>
  <c r="S91" i="2"/>
  <c r="V91" i="2"/>
  <c r="T91" i="2"/>
  <c r="V124" i="2"/>
  <c r="T124" i="2"/>
  <c r="S124" i="2"/>
  <c r="U124" i="2"/>
  <c r="V108" i="2"/>
  <c r="T108" i="2"/>
  <c r="S108" i="2"/>
  <c r="U108" i="2"/>
  <c r="V92" i="2"/>
  <c r="T92" i="2"/>
  <c r="S92" i="2"/>
  <c r="U92" i="2"/>
  <c r="L151" i="2"/>
  <c r="K193" i="2" s="1"/>
  <c r="AI199" i="2" l="1"/>
  <c r="AJ199" i="2" s="1"/>
  <c r="AK199" i="2" s="1"/>
  <c r="AF92" i="2"/>
  <c r="AG92" i="2" s="1"/>
  <c r="AE95" i="2"/>
  <c r="AQ128" i="2"/>
  <c r="AQ87" i="2"/>
  <c r="AQ53" i="2"/>
  <c r="AD316" i="2"/>
  <c r="E316" i="2"/>
  <c r="AD296" i="2"/>
  <c r="E296" i="2"/>
  <c r="AQ113" i="2"/>
  <c r="AQ63" i="2"/>
  <c r="AQ401" i="2"/>
  <c r="AQ397" i="2"/>
  <c r="AF90" i="2"/>
  <c r="AD268" i="2"/>
  <c r="E268" i="2"/>
  <c r="AQ84" i="2"/>
  <c r="AQ71" i="2"/>
  <c r="AD272" i="2"/>
  <c r="E272" i="2"/>
  <c r="AQ75" i="2"/>
  <c r="AQ80" i="2"/>
  <c r="AQ104" i="2"/>
  <c r="AQ55" i="2"/>
  <c r="AE187" i="2"/>
  <c r="AF187" i="2" s="1"/>
  <c r="AG187" i="2" s="1"/>
  <c r="AA188" i="2"/>
  <c r="AB188" i="2" s="1"/>
  <c r="AA193" i="2"/>
  <c r="AB193" i="2" s="1"/>
  <c r="AC193" i="2" s="1"/>
  <c r="AI213" i="2"/>
  <c r="AJ213" i="2" s="1"/>
  <c r="AK213" i="2" s="1"/>
  <c r="AI178" i="2"/>
  <c r="AJ178" i="2" s="1"/>
  <c r="AK178" i="2" s="1"/>
  <c r="AA205" i="2"/>
  <c r="AB205" i="2" s="1"/>
  <c r="AE253" i="2"/>
  <c r="AF253" i="2" s="1"/>
  <c r="AG253" i="2" s="1"/>
  <c r="AF112" i="2"/>
  <c r="AE154" i="2" s="1"/>
  <c r="AE162" i="2"/>
  <c r="AE181" i="2"/>
  <c r="AF181" i="2" s="1"/>
  <c r="AG181" i="2" s="1"/>
  <c r="AE163" i="2"/>
  <c r="AF163" i="2" s="1"/>
  <c r="AG163" i="2" s="1"/>
  <c r="AF109" i="2"/>
  <c r="AG109" i="2" s="1"/>
  <c r="AG65" i="2"/>
  <c r="AI173" i="2"/>
  <c r="AA200" i="2"/>
  <c r="AB200" i="2" s="1"/>
  <c r="AC150" i="2"/>
  <c r="AA192" i="2"/>
  <c r="AB192" i="2" s="1"/>
  <c r="AC192" i="2" s="1"/>
  <c r="AA180" i="2"/>
  <c r="AI201" i="2"/>
  <c r="AJ201" i="2" s="1"/>
  <c r="AK201" i="2" s="1"/>
  <c r="AA160" i="2"/>
  <c r="AB160" i="2" s="1"/>
  <c r="AC160" i="2" s="1"/>
  <c r="AG94" i="2"/>
  <c r="AE136" i="2"/>
  <c r="AI205" i="2"/>
  <c r="AJ205" i="2" s="1"/>
  <c r="AK205" i="2" s="1"/>
  <c r="AA181" i="2"/>
  <c r="AB181" i="2" s="1"/>
  <c r="AC181" i="2" s="1"/>
  <c r="AF113" i="2"/>
  <c r="AE155" i="2" s="1"/>
  <c r="AF118" i="2"/>
  <c r="AG118" i="2" s="1"/>
  <c r="AG110" i="2"/>
  <c r="AE152" i="2"/>
  <c r="AE99" i="2"/>
  <c r="AF99" i="2" s="1"/>
  <c r="AG99" i="2" s="1"/>
  <c r="AG57" i="2"/>
  <c r="AG54" i="2"/>
  <c r="AJ100" i="2"/>
  <c r="AK100" i="2" s="1"/>
  <c r="AF95" i="2"/>
  <c r="AG119" i="2"/>
  <c r="AE161" i="2"/>
  <c r="AF111" i="2"/>
  <c r="J25" i="6"/>
  <c r="H153" i="2"/>
  <c r="AD153" i="2" s="1"/>
  <c r="AG115" i="2"/>
  <c r="AE157" i="2"/>
  <c r="AE105" i="2"/>
  <c r="AF105" i="2" s="1"/>
  <c r="AG105" i="2" s="1"/>
  <c r="J13" i="6"/>
  <c r="H141" i="2"/>
  <c r="AD141" i="2" s="1"/>
  <c r="AG116" i="2"/>
  <c r="AE158" i="2"/>
  <c r="AE89" i="2"/>
  <c r="AF89" i="2" s="1"/>
  <c r="AG47" i="2"/>
  <c r="J33" i="6"/>
  <c r="H161" i="2"/>
  <c r="AD161" i="2" s="1"/>
  <c r="J27" i="6"/>
  <c r="H155" i="2"/>
  <c r="AD155" i="2" s="1"/>
  <c r="M36" i="6"/>
  <c r="H290" i="2"/>
  <c r="AD290" i="2" s="1"/>
  <c r="M39" i="6"/>
  <c r="H293" i="2"/>
  <c r="AD293" i="2" s="1"/>
  <c r="AG112" i="2"/>
  <c r="J2" i="6"/>
  <c r="H130" i="2"/>
  <c r="AD130" i="2" s="1"/>
  <c r="AE98" i="2"/>
  <c r="AF98" i="2" s="1"/>
  <c r="AG98" i="2" s="1"/>
  <c r="AG56" i="2"/>
  <c r="H294" i="2"/>
  <c r="AD294" i="2" s="1"/>
  <c r="M40" i="6"/>
  <c r="AF88" i="2"/>
  <c r="AG88" i="2" s="1"/>
  <c r="L32" i="6"/>
  <c r="H244" i="2"/>
  <c r="AD244" i="2" s="1"/>
  <c r="J4" i="6"/>
  <c r="H132" i="2"/>
  <c r="AD132" i="2" s="1"/>
  <c r="J3" i="6"/>
  <c r="H131" i="2"/>
  <c r="AD131" i="2" s="1"/>
  <c r="H138" i="2"/>
  <c r="AD138" i="2" s="1"/>
  <c r="J10" i="6"/>
  <c r="AA212" i="2"/>
  <c r="AB212" i="2" s="1"/>
  <c r="AC212" i="2" s="1"/>
  <c r="AA135" i="2"/>
  <c r="AB135" i="2" s="1"/>
  <c r="AC135" i="2" s="1"/>
  <c r="H276" i="2"/>
  <c r="AD276" i="2" s="1"/>
  <c r="M22" i="6"/>
  <c r="H162" i="2"/>
  <c r="AD162" i="2" s="1"/>
  <c r="J34" i="6"/>
  <c r="H265" i="2"/>
  <c r="AD265" i="2" s="1"/>
  <c r="M11" i="6"/>
  <c r="L28" i="6"/>
  <c r="H240" i="2"/>
  <c r="AD240" i="2" s="1"/>
  <c r="L35" i="6"/>
  <c r="H247" i="2"/>
  <c r="AD247" i="2" s="1"/>
  <c r="J19" i="6"/>
  <c r="H147" i="2"/>
  <c r="AD147" i="2" s="1"/>
  <c r="J30" i="6"/>
  <c r="H158" i="2"/>
  <c r="AD158" i="2" s="1"/>
  <c r="H295" i="2"/>
  <c r="AD295" i="2" s="1"/>
  <c r="M41" i="6"/>
  <c r="AF117" i="2"/>
  <c r="AG117" i="2" s="1"/>
  <c r="N18" i="6"/>
  <c r="H356" i="2" s="1"/>
  <c r="H314" i="2"/>
  <c r="AA147" i="2"/>
  <c r="J29" i="6"/>
  <c r="H157" i="2"/>
  <c r="AD157" i="2" s="1"/>
  <c r="AE101" i="2"/>
  <c r="AG59" i="2"/>
  <c r="AD292" i="2"/>
  <c r="H154" i="2"/>
  <c r="AD154" i="2" s="1"/>
  <c r="J26" i="6"/>
  <c r="J24" i="6"/>
  <c r="H152" i="2"/>
  <c r="AD152" i="2" s="1"/>
  <c r="H217" i="2"/>
  <c r="AD217" i="2" s="1"/>
  <c r="L5" i="6"/>
  <c r="AF107" i="2"/>
  <c r="AG107" i="2" s="1"/>
  <c r="H291" i="2"/>
  <c r="AD291" i="2" s="1"/>
  <c r="M37" i="6"/>
  <c r="O17" i="6"/>
  <c r="H355" i="2"/>
  <c r="AD355" i="2" s="1"/>
  <c r="J15" i="6"/>
  <c r="H143" i="2"/>
  <c r="AD143" i="2" s="1"/>
  <c r="J9" i="6"/>
  <c r="H137" i="2"/>
  <c r="AD137" i="2" s="1"/>
  <c r="J16" i="6"/>
  <c r="H144" i="2"/>
  <c r="AD144" i="2" s="1"/>
  <c r="H297" i="2"/>
  <c r="AD297" i="2" s="1"/>
  <c r="M43" i="6"/>
  <c r="AE102" i="2"/>
  <c r="AG60" i="2"/>
  <c r="J21" i="6"/>
  <c r="H149" i="2"/>
  <c r="AD149" i="2" s="1"/>
  <c r="L8" i="6"/>
  <c r="H220" i="2"/>
  <c r="AD220" i="2" s="1"/>
  <c r="J23" i="6"/>
  <c r="H151" i="2"/>
  <c r="AD151" i="2" s="1"/>
  <c r="J31" i="6"/>
  <c r="H159" i="2"/>
  <c r="AD159" i="2" s="1"/>
  <c r="J6" i="6"/>
  <c r="H134" i="2"/>
  <c r="AD134" i="2" s="1"/>
  <c r="J12" i="6"/>
  <c r="H140" i="2"/>
  <c r="AD140" i="2" s="1"/>
  <c r="H261" i="2"/>
  <c r="AD261" i="2" s="1"/>
  <c r="M7" i="6"/>
  <c r="AF96" i="2"/>
  <c r="AG96" i="2" s="1"/>
  <c r="AI190" i="2"/>
  <c r="AJ190" i="2" s="1"/>
  <c r="AK190" i="2" s="1"/>
  <c r="AI179" i="2"/>
  <c r="AJ179" i="2" s="1"/>
  <c r="AK179" i="2" s="1"/>
  <c r="AI191" i="2"/>
  <c r="AA157" i="2"/>
  <c r="AB157" i="2" s="1"/>
  <c r="AA199" i="2" s="1"/>
  <c r="AB199" i="2" s="1"/>
  <c r="AC199" i="2" s="1"/>
  <c r="AA165" i="2"/>
  <c r="AB165" i="2" s="1"/>
  <c r="AA207" i="2" s="1"/>
  <c r="AB207" i="2" s="1"/>
  <c r="AC207" i="2" s="1"/>
  <c r="AA159" i="2"/>
  <c r="AB159" i="2" s="1"/>
  <c r="AC159" i="2" s="1"/>
  <c r="AA182" i="2"/>
  <c r="AB182" i="2" s="1"/>
  <c r="AC182" i="2" s="1"/>
  <c r="AA174" i="2"/>
  <c r="AB174" i="2" s="1"/>
  <c r="AC174" i="2" s="1"/>
  <c r="AA154" i="2"/>
  <c r="AB154" i="2" s="1"/>
  <c r="AC154" i="2" s="1"/>
  <c r="AA149" i="2"/>
  <c r="AB149" i="2" s="1"/>
  <c r="AC149" i="2" s="1"/>
  <c r="AE133" i="2"/>
  <c r="AA210" i="2"/>
  <c r="AB210" i="2" s="1"/>
  <c r="AC210" i="2" s="1"/>
  <c r="AI211" i="2"/>
  <c r="AJ211" i="2" s="1"/>
  <c r="AK211" i="2" s="1"/>
  <c r="AB92" i="2"/>
  <c r="AC92" i="2" s="1"/>
  <c r="AA178" i="2"/>
  <c r="AB178" i="2" s="1"/>
  <c r="AC178" i="2" s="1"/>
  <c r="AA185" i="2"/>
  <c r="AB185" i="2" s="1"/>
  <c r="AC185" i="2" s="1"/>
  <c r="AA186" i="2"/>
  <c r="AB186" i="2" s="1"/>
  <c r="AN487" i="2"/>
  <c r="AO487" i="2" s="1"/>
  <c r="AO445" i="2"/>
  <c r="AN459" i="2"/>
  <c r="AO417" i="2"/>
  <c r="AN455" i="2"/>
  <c r="AO413" i="2"/>
  <c r="AO439" i="2"/>
  <c r="AN481" i="2"/>
  <c r="AO481" i="2" s="1"/>
  <c r="AB95" i="2"/>
  <c r="AC95" i="2" s="1"/>
  <c r="AB91" i="2"/>
  <c r="AC91" i="2" s="1"/>
  <c r="AO429" i="2"/>
  <c r="AN471" i="2"/>
  <c r="AO471" i="2" s="1"/>
  <c r="AO425" i="2"/>
  <c r="AN467" i="2"/>
  <c r="AO467" i="2" s="1"/>
  <c r="AO435" i="2"/>
  <c r="AN477" i="2"/>
  <c r="AO477" i="2" s="1"/>
  <c r="AB171" i="2"/>
  <c r="AC171" i="2" s="1"/>
  <c r="AB180" i="2"/>
  <c r="AC180" i="2" s="1"/>
  <c r="AN421" i="2"/>
  <c r="AO379" i="2"/>
  <c r="AN168" i="2"/>
  <c r="AO126" i="2"/>
  <c r="AN159" i="2"/>
  <c r="AO117" i="2"/>
  <c r="AN171" i="2"/>
  <c r="AO129" i="2"/>
  <c r="AN137" i="2"/>
  <c r="AO95" i="2"/>
  <c r="AN479" i="2"/>
  <c r="AO479" i="2" s="1"/>
  <c r="AO437" i="2"/>
  <c r="AN164" i="2"/>
  <c r="AO122" i="2"/>
  <c r="AN489" i="2"/>
  <c r="AO489" i="2" s="1"/>
  <c r="AO447" i="2"/>
  <c r="AN469" i="2"/>
  <c r="AO469" i="2" s="1"/>
  <c r="AO427" i="2"/>
  <c r="AN147" i="2"/>
  <c r="AO105" i="2"/>
  <c r="AN485" i="2"/>
  <c r="AO485" i="2" s="1"/>
  <c r="AO443" i="2"/>
  <c r="AN139" i="2"/>
  <c r="AO97" i="2"/>
  <c r="AN212" i="2"/>
  <c r="AO170" i="2"/>
  <c r="AN188" i="2"/>
  <c r="AO146" i="2"/>
  <c r="AN197" i="2"/>
  <c r="AO155" i="2"/>
  <c r="AE250" i="2"/>
  <c r="AF250" i="2" s="1"/>
  <c r="AG250" i="2" s="1"/>
  <c r="AE210" i="2"/>
  <c r="AF210" i="2" s="1"/>
  <c r="AG210" i="2" s="1"/>
  <c r="Z296" i="2"/>
  <c r="J296" i="2"/>
  <c r="X296" i="2" s="1"/>
  <c r="G296" i="2"/>
  <c r="AH342" i="2"/>
  <c r="AL342" i="2"/>
  <c r="G301" i="2"/>
  <c r="AQ301" i="2" s="1"/>
  <c r="Z301" i="2"/>
  <c r="J301" i="2"/>
  <c r="X301" i="2" s="1"/>
  <c r="D345" i="2"/>
  <c r="E345" i="2" s="1"/>
  <c r="AL290" i="2"/>
  <c r="AH290" i="2"/>
  <c r="D353" i="2"/>
  <c r="E353" i="2" s="1"/>
  <c r="Z319" i="2"/>
  <c r="J319" i="2"/>
  <c r="X319" i="2" s="1"/>
  <c r="G319" i="2"/>
  <c r="AQ319" i="2" s="1"/>
  <c r="AL291" i="2"/>
  <c r="AH291" i="2"/>
  <c r="D381" i="2"/>
  <c r="E381" i="2" s="1"/>
  <c r="AL230" i="2"/>
  <c r="AH230" i="2"/>
  <c r="Z316" i="2"/>
  <c r="J316" i="2"/>
  <c r="X316" i="2" s="1"/>
  <c r="G316" i="2"/>
  <c r="AQ316" i="2" s="1"/>
  <c r="AL260" i="2"/>
  <c r="AH260" i="2"/>
  <c r="D374" i="2"/>
  <c r="E374" i="2" s="1"/>
  <c r="AL286" i="2"/>
  <c r="AH286" i="2"/>
  <c r="Z349" i="2"/>
  <c r="J349" i="2"/>
  <c r="X349" i="2" s="1"/>
  <c r="G349" i="2"/>
  <c r="D343" i="2"/>
  <c r="E343" i="2" s="1"/>
  <c r="D373" i="2"/>
  <c r="E373" i="2" s="1"/>
  <c r="J328" i="2"/>
  <c r="X328" i="2" s="1"/>
  <c r="Z328" i="2"/>
  <c r="G328" i="2"/>
  <c r="AQ328" i="2" s="1"/>
  <c r="D322" i="2"/>
  <c r="E322" i="2" s="1"/>
  <c r="G303" i="2"/>
  <c r="AQ303" i="2" s="1"/>
  <c r="Z303" i="2"/>
  <c r="J303" i="2"/>
  <c r="X303" i="2" s="1"/>
  <c r="D379" i="2"/>
  <c r="E379" i="2" s="1"/>
  <c r="D393" i="2"/>
  <c r="E393" i="2" s="1"/>
  <c r="Z272" i="2"/>
  <c r="J272" i="2"/>
  <c r="X272" i="2" s="1"/>
  <c r="G272" i="2"/>
  <c r="AL254" i="2"/>
  <c r="AH254" i="2"/>
  <c r="Z288" i="2"/>
  <c r="J288" i="2"/>
  <c r="X288" i="2" s="1"/>
  <c r="G288" i="2"/>
  <c r="AQ288" i="2" s="1"/>
  <c r="Z302" i="2"/>
  <c r="J302" i="2"/>
  <c r="X302" i="2" s="1"/>
  <c r="G302" i="2"/>
  <c r="AQ302" i="2" s="1"/>
  <c r="D306" i="2"/>
  <c r="E306" i="2" s="1"/>
  <c r="AL250" i="2"/>
  <c r="AH250" i="2"/>
  <c r="AL276" i="2"/>
  <c r="AH276" i="2"/>
  <c r="Z357" i="2"/>
  <c r="J357" i="2"/>
  <c r="X357" i="2" s="1"/>
  <c r="G357" i="2"/>
  <c r="Z451" i="2"/>
  <c r="J451" i="2"/>
  <c r="X451" i="2" s="1"/>
  <c r="G451" i="2"/>
  <c r="AQ451" i="2" s="1"/>
  <c r="D361" i="2"/>
  <c r="E361" i="2" s="1"/>
  <c r="D369" i="2"/>
  <c r="E369" i="2" s="1"/>
  <c r="AL289" i="2"/>
  <c r="AH289" i="2"/>
  <c r="D468" i="2"/>
  <c r="E468" i="2" s="1"/>
  <c r="D426" i="2"/>
  <c r="E426" i="2" s="1"/>
  <c r="D360" i="2"/>
  <c r="E360" i="2" s="1"/>
  <c r="AE229" i="2"/>
  <c r="AF229" i="2" s="1"/>
  <c r="AG229" i="2" s="1"/>
  <c r="AL277" i="2"/>
  <c r="AH277" i="2"/>
  <c r="G327" i="2"/>
  <c r="J327" i="2"/>
  <c r="X327" i="2" s="1"/>
  <c r="Z327" i="2"/>
  <c r="D358" i="2"/>
  <c r="O20" i="6"/>
  <c r="H400" i="2" s="1"/>
  <c r="J371" i="2"/>
  <c r="X371" i="2" s="1"/>
  <c r="Z371" i="2"/>
  <c r="G371" i="2"/>
  <c r="AQ371" i="2" s="1"/>
  <c r="D391" i="2"/>
  <c r="E391" i="2" s="1"/>
  <c r="D370" i="2"/>
  <c r="E370" i="2" s="1"/>
  <c r="Z292" i="2"/>
  <c r="J292" i="2"/>
  <c r="X292" i="2" s="1"/>
  <c r="G292" i="2"/>
  <c r="AQ292" i="2" s="1"/>
  <c r="G405" i="2"/>
  <c r="AQ405" i="2" s="1"/>
  <c r="J405" i="2"/>
  <c r="X405" i="2" s="1"/>
  <c r="Z405" i="2"/>
  <c r="Z335" i="2"/>
  <c r="G335" i="2"/>
  <c r="AQ335" i="2" s="1"/>
  <c r="J335" i="2"/>
  <c r="X335" i="2" s="1"/>
  <c r="AL274" i="2"/>
  <c r="AH274" i="2"/>
  <c r="AL242" i="2"/>
  <c r="AH242" i="2"/>
  <c r="D314" i="2"/>
  <c r="D330" i="2"/>
  <c r="E330" i="2" s="1"/>
  <c r="AL309" i="2"/>
  <c r="AH309" i="2"/>
  <c r="AL293" i="2"/>
  <c r="AH293" i="2"/>
  <c r="D399" i="2"/>
  <c r="E399" i="2" s="1"/>
  <c r="AL363" i="2"/>
  <c r="AH363" i="2"/>
  <c r="D326" i="2"/>
  <c r="E326" i="2" s="1"/>
  <c r="Z332" i="2"/>
  <c r="J332" i="2"/>
  <c r="X332" i="2" s="1"/>
  <c r="G332" i="2"/>
  <c r="Z268" i="2"/>
  <c r="J268" i="2"/>
  <c r="X268" i="2" s="1"/>
  <c r="G268" i="2"/>
  <c r="AQ268" i="2" s="1"/>
  <c r="Z331" i="2"/>
  <c r="J331" i="2"/>
  <c r="X331" i="2" s="1"/>
  <c r="G331" i="2"/>
  <c r="AQ331" i="2" s="1"/>
  <c r="G280" i="2"/>
  <c r="AQ280" i="2" s="1"/>
  <c r="Z280" i="2"/>
  <c r="J280" i="2"/>
  <c r="X280" i="2" s="1"/>
  <c r="D377" i="2"/>
  <c r="E377" i="2" s="1"/>
  <c r="AL285" i="2"/>
  <c r="AH285" i="2"/>
  <c r="Z337" i="2"/>
  <c r="J337" i="2"/>
  <c r="X337" i="2" s="1"/>
  <c r="G337" i="2"/>
  <c r="AQ337" i="2" s="1"/>
  <c r="AL226" i="2"/>
  <c r="AH226" i="2"/>
  <c r="AL307" i="2"/>
  <c r="AH307" i="2"/>
  <c r="AL261" i="2"/>
  <c r="AH261" i="2"/>
  <c r="Z264" i="2"/>
  <c r="J264" i="2"/>
  <c r="X264" i="2" s="1"/>
  <c r="G264" i="2"/>
  <c r="AQ264" i="2" s="1"/>
  <c r="AH259" i="2"/>
  <c r="AL259" i="2"/>
  <c r="D375" i="2"/>
  <c r="E375" i="2" s="1"/>
  <c r="Z339" i="2"/>
  <c r="J339" i="2"/>
  <c r="X339" i="2" s="1"/>
  <c r="G339" i="2"/>
  <c r="D338" i="2"/>
  <c r="N42" i="6"/>
  <c r="H380" i="2" s="1"/>
  <c r="AL246" i="2"/>
  <c r="AH246" i="2"/>
  <c r="Z284" i="2"/>
  <c r="J284" i="2"/>
  <c r="X284" i="2" s="1"/>
  <c r="G284" i="2"/>
  <c r="AQ284" i="2" s="1"/>
  <c r="D413" i="2"/>
  <c r="E413" i="2" s="1"/>
  <c r="N14" i="6"/>
  <c r="H352" i="2" s="1"/>
  <c r="D310" i="2"/>
  <c r="AL409" i="2"/>
  <c r="AH409" i="2"/>
  <c r="AL315" i="2"/>
  <c r="AH315" i="2"/>
  <c r="Z384" i="2"/>
  <c r="J384" i="2"/>
  <c r="X384" i="2" s="1"/>
  <c r="G384" i="2"/>
  <c r="AQ384" i="2" s="1"/>
  <c r="AL297" i="2"/>
  <c r="AH297" i="2"/>
  <c r="D334" i="2"/>
  <c r="N38" i="6"/>
  <c r="H376" i="2" s="1"/>
  <c r="D489" i="2"/>
  <c r="E489" i="2" s="1"/>
  <c r="D447" i="2"/>
  <c r="E447" i="2" s="1"/>
  <c r="Z318" i="2"/>
  <c r="J318" i="2"/>
  <c r="X318" i="2" s="1"/>
  <c r="G318" i="2"/>
  <c r="AQ318" i="2" s="1"/>
  <c r="AL329" i="2"/>
  <c r="AH329" i="2"/>
  <c r="G351" i="2"/>
  <c r="AQ351" i="2" s="1"/>
  <c r="Z351" i="2"/>
  <c r="J351" i="2"/>
  <c r="X351" i="2" s="1"/>
  <c r="Z311" i="2"/>
  <c r="J311" i="2"/>
  <c r="X311" i="2" s="1"/>
  <c r="G311" i="2"/>
  <c r="AQ311" i="2" s="1"/>
  <c r="D344" i="2"/>
  <c r="E344" i="2" s="1"/>
  <c r="AL269" i="2"/>
  <c r="AH269" i="2"/>
  <c r="AL238" i="2"/>
  <c r="AH238" i="2"/>
  <c r="AL295" i="2"/>
  <c r="AH295" i="2"/>
  <c r="AL222" i="2"/>
  <c r="AH222" i="2"/>
  <c r="J493" i="2"/>
  <c r="X493" i="2" s="1"/>
  <c r="Z493" i="2"/>
  <c r="G493" i="2"/>
  <c r="AQ493" i="2" s="1"/>
  <c r="Z333" i="2"/>
  <c r="J333" i="2"/>
  <c r="X333" i="2" s="1"/>
  <c r="G333" i="2"/>
  <c r="AQ333" i="2" s="1"/>
  <c r="D383" i="2"/>
  <c r="E383" i="2" s="1"/>
  <c r="AH404" i="2"/>
  <c r="AL404" i="2"/>
  <c r="Z420" i="2"/>
  <c r="J420" i="2"/>
  <c r="X420" i="2" s="1"/>
  <c r="G420" i="2"/>
  <c r="AI189" i="2"/>
  <c r="AJ189" i="2" s="1"/>
  <c r="AK189" i="2" s="1"/>
  <c r="D473" i="2"/>
  <c r="E473" i="2" s="1"/>
  <c r="D431" i="2"/>
  <c r="E431" i="2" s="1"/>
  <c r="AL299" i="2"/>
  <c r="AH299" i="2"/>
  <c r="AL256" i="2"/>
  <c r="AH256" i="2"/>
  <c r="G341" i="2"/>
  <c r="AQ341" i="2" s="1"/>
  <c r="J341" i="2"/>
  <c r="X341" i="2" s="1"/>
  <c r="Z341" i="2"/>
  <c r="G446" i="2"/>
  <c r="AQ446" i="2" s="1"/>
  <c r="J446" i="2"/>
  <c r="X446" i="2" s="1"/>
  <c r="Z446" i="2"/>
  <c r="D504" i="2"/>
  <c r="E504" i="2" s="1"/>
  <c r="D462" i="2"/>
  <c r="E462" i="2" s="1"/>
  <c r="J389" i="2"/>
  <c r="X389" i="2" s="1"/>
  <c r="Z389" i="2"/>
  <c r="G389" i="2"/>
  <c r="D340" i="2"/>
  <c r="E340" i="2" s="1"/>
  <c r="AL347" i="2"/>
  <c r="AH347" i="2"/>
  <c r="AL378" i="2"/>
  <c r="AH378" i="2"/>
  <c r="G488" i="2"/>
  <c r="AQ488" i="2" s="1"/>
  <c r="J488" i="2"/>
  <c r="X488" i="2" s="1"/>
  <c r="Z488" i="2"/>
  <c r="J298" i="2"/>
  <c r="X298" i="2" s="1"/>
  <c r="Z298" i="2"/>
  <c r="G298" i="2"/>
  <c r="AQ298" i="2" s="1"/>
  <c r="AH472" i="2"/>
  <c r="AL472" i="2"/>
  <c r="AI181" i="2"/>
  <c r="AJ181" i="2" s="1"/>
  <c r="AK181" i="2" s="1"/>
  <c r="AI193" i="2"/>
  <c r="AJ193" i="2" s="1"/>
  <c r="AK193" i="2" s="1"/>
  <c r="AL443" i="2"/>
  <c r="AH443" i="2"/>
  <c r="AL430" i="2"/>
  <c r="AH430" i="2"/>
  <c r="AL485" i="2"/>
  <c r="AH485" i="2"/>
  <c r="AC89" i="2"/>
  <c r="AI206" i="2"/>
  <c r="AJ206" i="2" s="1"/>
  <c r="AK206" i="2" s="1"/>
  <c r="AI196" i="2"/>
  <c r="AJ196" i="2" s="1"/>
  <c r="AK196" i="2" s="1"/>
  <c r="AI187" i="2"/>
  <c r="AJ187" i="2" s="1"/>
  <c r="AK187" i="2" s="1"/>
  <c r="AA169" i="2"/>
  <c r="AA153" i="2"/>
  <c r="AC103" i="2"/>
  <c r="AE254" i="2"/>
  <c r="AF254" i="2" s="1"/>
  <c r="AG254" i="2" s="1"/>
  <c r="AE156" i="2"/>
  <c r="AF156" i="2" s="1"/>
  <c r="AG156" i="2" s="1"/>
  <c r="AC124" i="2"/>
  <c r="AE213" i="2"/>
  <c r="AF213" i="2" s="1"/>
  <c r="AG213" i="2" s="1"/>
  <c r="AA203" i="2"/>
  <c r="AG90" i="2"/>
  <c r="AE132" i="2"/>
  <c r="AC122" i="2"/>
  <c r="AC167" i="2"/>
  <c r="AE209" i="2"/>
  <c r="AF209" i="2" s="1"/>
  <c r="AG209" i="2" s="1"/>
  <c r="AC106" i="2"/>
  <c r="AI172" i="2"/>
  <c r="AJ172" i="2" s="1"/>
  <c r="AK172" i="2" s="1"/>
  <c r="AC120" i="2"/>
  <c r="AJ108" i="2"/>
  <c r="AK108" i="2" s="1"/>
  <c r="AJ110" i="2"/>
  <c r="AK110" i="2" s="1"/>
  <c r="AC114" i="2"/>
  <c r="AJ128" i="2"/>
  <c r="AK128" i="2" s="1"/>
  <c r="AJ96" i="2"/>
  <c r="AK96" i="2" s="1"/>
  <c r="AE134" i="2"/>
  <c r="AK165" i="2"/>
  <c r="AI207" i="2"/>
  <c r="AJ207" i="2" s="1"/>
  <c r="AK207" i="2" s="1"/>
  <c r="AA172" i="2"/>
  <c r="AI195" i="2"/>
  <c r="AJ195" i="2" s="1"/>
  <c r="AK195" i="2" s="1"/>
  <c r="AI176" i="2"/>
  <c r="AJ176" i="2" s="1"/>
  <c r="AK176" i="2" s="1"/>
  <c r="AE150" i="2"/>
  <c r="AF150" i="2" s="1"/>
  <c r="AG150" i="2" s="1"/>
  <c r="AI175" i="2"/>
  <c r="AJ175" i="2" s="1"/>
  <c r="AK175" i="2" s="1"/>
  <c r="AI141" i="2"/>
  <c r="AJ141" i="2" s="1"/>
  <c r="AK141" i="2" s="1"/>
  <c r="AF148" i="2"/>
  <c r="AG148" i="2" s="1"/>
  <c r="AI200" i="2"/>
  <c r="AJ200" i="2" s="1"/>
  <c r="AK200" i="2" s="1"/>
  <c r="AI241" i="2"/>
  <c r="AJ241" i="2" s="1"/>
  <c r="AI155" i="2"/>
  <c r="AF100" i="2"/>
  <c r="AG100" i="2" s="1"/>
  <c r="W62" i="2"/>
  <c r="AE207" i="2"/>
  <c r="AE230" i="2"/>
  <c r="AI210" i="2"/>
  <c r="AJ210" i="2" s="1"/>
  <c r="AK210" i="2" s="1"/>
  <c r="AI227" i="2"/>
  <c r="AJ227" i="2" s="1"/>
  <c r="AK227" i="2" s="1"/>
  <c r="AI188" i="2"/>
  <c r="AJ188" i="2" s="1"/>
  <c r="AK188" i="2" s="1"/>
  <c r="W72" i="2"/>
  <c r="AA141" i="2"/>
  <c r="AB141" i="2" s="1"/>
  <c r="AA155" i="2"/>
  <c r="AB155" i="2" s="1"/>
  <c r="W108" i="2"/>
  <c r="W116" i="2"/>
  <c r="W121" i="2"/>
  <c r="W101" i="2"/>
  <c r="W92" i="2"/>
  <c r="W124" i="2"/>
  <c r="W117" i="2"/>
  <c r="W86" i="2"/>
  <c r="AA184" i="2"/>
  <c r="AI198" i="2"/>
  <c r="AJ198" i="2" s="1"/>
  <c r="AK198" i="2" s="1"/>
  <c r="AI219" i="2"/>
  <c r="AJ219" i="2" s="1"/>
  <c r="AK219" i="2" s="1"/>
  <c r="W106" i="2"/>
  <c r="AI182" i="2"/>
  <c r="AJ182" i="2" s="1"/>
  <c r="AK182" i="2" s="1"/>
  <c r="W73" i="2"/>
  <c r="L161" i="2"/>
  <c r="K203" i="2" s="1"/>
  <c r="L170" i="2"/>
  <c r="K212" i="2" s="1"/>
  <c r="L204" i="2"/>
  <c r="K246" i="2" s="1"/>
  <c r="L172" i="2"/>
  <c r="K214" i="2" s="1"/>
  <c r="L180" i="2"/>
  <c r="K222" i="2" s="1"/>
  <c r="L209" i="2"/>
  <c r="K251" i="2" s="1"/>
  <c r="L208" i="2"/>
  <c r="K250" i="2" s="1"/>
  <c r="L190" i="2"/>
  <c r="K232" i="2" s="1"/>
  <c r="L184" i="2"/>
  <c r="K226" i="2" s="1"/>
  <c r="L164" i="2"/>
  <c r="K206" i="2" s="1"/>
  <c r="L145" i="2"/>
  <c r="K187" i="2" s="1"/>
  <c r="L177" i="2"/>
  <c r="K219" i="2" s="1"/>
  <c r="L200" i="2"/>
  <c r="K242" i="2" s="1"/>
  <c r="L185" i="2"/>
  <c r="K227" i="2" s="1"/>
  <c r="L186" i="2"/>
  <c r="K228" i="2" s="1"/>
  <c r="L168" i="2"/>
  <c r="K210" i="2" s="1"/>
  <c r="L139" i="2"/>
  <c r="K181" i="2" s="1"/>
  <c r="AE219" i="2"/>
  <c r="AF219" i="2" s="1"/>
  <c r="U151" i="2"/>
  <c r="S151" i="2"/>
  <c r="T151" i="2"/>
  <c r="V151" i="2"/>
  <c r="W91" i="2"/>
  <c r="W107" i="2"/>
  <c r="W87" i="2"/>
  <c r="U147" i="2"/>
  <c r="S147" i="2"/>
  <c r="T147" i="2"/>
  <c r="V147" i="2"/>
  <c r="AA194" i="2"/>
  <c r="AB194" i="2" s="1"/>
  <c r="AI186" i="2"/>
  <c r="L114" i="2"/>
  <c r="K156" i="2" s="1"/>
  <c r="S137" i="2"/>
  <c r="U137" i="2"/>
  <c r="V137" i="2"/>
  <c r="T137" i="2"/>
  <c r="S153" i="2"/>
  <c r="U153" i="2"/>
  <c r="V153" i="2"/>
  <c r="T153" i="2"/>
  <c r="W123" i="2"/>
  <c r="AI203" i="2"/>
  <c r="W100" i="2"/>
  <c r="AC205" i="2"/>
  <c r="AJ174" i="2"/>
  <c r="AK174" i="2" s="1"/>
  <c r="V104" i="2"/>
  <c r="T104" i="2"/>
  <c r="U104" i="2"/>
  <c r="S104" i="2"/>
  <c r="T150" i="2"/>
  <c r="V150" i="2"/>
  <c r="S150" i="2"/>
  <c r="U150" i="2"/>
  <c r="V112" i="2"/>
  <c r="T112" i="2"/>
  <c r="U112" i="2"/>
  <c r="S112" i="2"/>
  <c r="V136" i="2"/>
  <c r="T136" i="2"/>
  <c r="U136" i="2"/>
  <c r="S136" i="2"/>
  <c r="S159" i="2"/>
  <c r="T159" i="2"/>
  <c r="U159" i="2"/>
  <c r="V159" i="2"/>
  <c r="L211" i="2"/>
  <c r="L189" i="2"/>
  <c r="K231" i="2" s="1"/>
  <c r="W109" i="2"/>
  <c r="L165" i="2"/>
  <c r="K207" i="2" s="1"/>
  <c r="AC186" i="2"/>
  <c r="W120" i="2"/>
  <c r="W88" i="2"/>
  <c r="U99" i="2"/>
  <c r="S99" i="2"/>
  <c r="T99" i="2"/>
  <c r="V99" i="2"/>
  <c r="L160" i="2"/>
  <c r="K202" i="2" s="1"/>
  <c r="W105" i="2"/>
  <c r="W110" i="2"/>
  <c r="W96" i="2"/>
  <c r="L179" i="2"/>
  <c r="K221" i="2" s="1"/>
  <c r="W47" i="2"/>
  <c r="W55" i="2"/>
  <c r="L195" i="2"/>
  <c r="K237" i="2" s="1"/>
  <c r="W125" i="2"/>
  <c r="V144" i="2"/>
  <c r="T144" i="2"/>
  <c r="U144" i="2"/>
  <c r="S144" i="2"/>
  <c r="W94" i="2"/>
  <c r="T130" i="2"/>
  <c r="V130" i="2"/>
  <c r="U130" i="2"/>
  <c r="S130" i="2"/>
  <c r="AJ191" i="2"/>
  <c r="AK191" i="2" s="1"/>
  <c r="W111" i="2"/>
  <c r="AC188" i="2"/>
  <c r="L140" i="2"/>
  <c r="K182" i="2" s="1"/>
  <c r="L175" i="2"/>
  <c r="K217" i="2" s="1"/>
  <c r="L174" i="2"/>
  <c r="K216" i="2" s="1"/>
  <c r="L194" i="2"/>
  <c r="K236" i="2" s="1"/>
  <c r="L191" i="2"/>
  <c r="L176" i="2"/>
  <c r="K218" i="2" s="1"/>
  <c r="L171" i="2"/>
  <c r="T138" i="2"/>
  <c r="V138" i="2"/>
  <c r="S138" i="2"/>
  <c r="U138" i="2"/>
  <c r="V158" i="2"/>
  <c r="S158" i="2"/>
  <c r="T158" i="2"/>
  <c r="U158" i="2"/>
  <c r="L201" i="2"/>
  <c r="K243" i="2" s="1"/>
  <c r="V148" i="2"/>
  <c r="T148" i="2"/>
  <c r="S148" i="2"/>
  <c r="U148" i="2"/>
  <c r="L193" i="2"/>
  <c r="K235" i="2" s="1"/>
  <c r="W70" i="2"/>
  <c r="T142" i="2"/>
  <c r="V142" i="2"/>
  <c r="S142" i="2"/>
  <c r="U142" i="2"/>
  <c r="T122" i="2"/>
  <c r="V122" i="2"/>
  <c r="S122" i="2"/>
  <c r="U122" i="2"/>
  <c r="AE206" i="2"/>
  <c r="AF206" i="2" s="1"/>
  <c r="AG206" i="2" s="1"/>
  <c r="AI202" i="2"/>
  <c r="W90" i="2"/>
  <c r="W93" i="2"/>
  <c r="U169" i="2"/>
  <c r="V169" i="2"/>
  <c r="T169" i="2"/>
  <c r="S169" i="2"/>
  <c r="AI204" i="2"/>
  <c r="AC200" i="2"/>
  <c r="W102" i="2"/>
  <c r="W127" i="2"/>
  <c r="W84" i="2"/>
  <c r="K141" i="2"/>
  <c r="W71" i="2"/>
  <c r="U115" i="2"/>
  <c r="S115" i="2"/>
  <c r="T115" i="2"/>
  <c r="V115" i="2"/>
  <c r="W95" i="2"/>
  <c r="W80" i="2"/>
  <c r="AJ209" i="2"/>
  <c r="AK209" i="2" s="1"/>
  <c r="T98" i="2"/>
  <c r="V98" i="2"/>
  <c r="U98" i="2"/>
  <c r="S98" i="2"/>
  <c r="W118" i="2"/>
  <c r="AI208" i="2"/>
  <c r="S133" i="2"/>
  <c r="U133" i="2"/>
  <c r="T133" i="2"/>
  <c r="V133" i="2"/>
  <c r="V132" i="2"/>
  <c r="T132" i="2"/>
  <c r="S132" i="2"/>
  <c r="U132" i="2"/>
  <c r="V152" i="2"/>
  <c r="T152" i="2"/>
  <c r="U152" i="2"/>
  <c r="S152" i="2"/>
  <c r="S149" i="2"/>
  <c r="U149" i="2"/>
  <c r="T149" i="2"/>
  <c r="V149" i="2"/>
  <c r="T134" i="2"/>
  <c r="V134" i="2"/>
  <c r="S134" i="2"/>
  <c r="U134" i="2"/>
  <c r="S129" i="2"/>
  <c r="U129" i="2"/>
  <c r="V129" i="2"/>
  <c r="T129" i="2"/>
  <c r="S89" i="2"/>
  <c r="U89" i="2"/>
  <c r="T89" i="2"/>
  <c r="V89" i="2"/>
  <c r="S163" i="2"/>
  <c r="T163" i="2"/>
  <c r="U163" i="2"/>
  <c r="V163" i="2"/>
  <c r="S113" i="2"/>
  <c r="U113" i="2"/>
  <c r="V113" i="2"/>
  <c r="T113" i="2"/>
  <c r="U119" i="2"/>
  <c r="S119" i="2"/>
  <c r="T119" i="2"/>
  <c r="V119" i="2"/>
  <c r="U143" i="2"/>
  <c r="S143" i="2"/>
  <c r="T143" i="2"/>
  <c r="V143" i="2"/>
  <c r="L157" i="2"/>
  <c r="K199" i="2" s="1"/>
  <c r="V128" i="2"/>
  <c r="T128" i="2"/>
  <c r="U128" i="2"/>
  <c r="S128" i="2"/>
  <c r="V162" i="2"/>
  <c r="S162" i="2"/>
  <c r="U162" i="2"/>
  <c r="T162" i="2"/>
  <c r="T126" i="2"/>
  <c r="V126" i="2"/>
  <c r="S126" i="2"/>
  <c r="U126" i="2"/>
  <c r="AJ173" i="2"/>
  <c r="AK173" i="2" s="1"/>
  <c r="U103" i="2"/>
  <c r="S103" i="2"/>
  <c r="T103" i="2"/>
  <c r="V103" i="2"/>
  <c r="L146" i="2"/>
  <c r="K188" i="2" s="1"/>
  <c r="L192" i="2"/>
  <c r="L154" i="2"/>
  <c r="K196" i="2" s="1"/>
  <c r="L178" i="2"/>
  <c r="K220" i="2" s="1"/>
  <c r="S97" i="2"/>
  <c r="U97" i="2"/>
  <c r="T97" i="2"/>
  <c r="V97" i="2"/>
  <c r="U135" i="2"/>
  <c r="S135" i="2"/>
  <c r="T135" i="2"/>
  <c r="V135" i="2"/>
  <c r="S167" i="2"/>
  <c r="T167" i="2"/>
  <c r="U167" i="2"/>
  <c r="V167" i="2"/>
  <c r="V166" i="2"/>
  <c r="S166" i="2"/>
  <c r="T166" i="2"/>
  <c r="U166" i="2"/>
  <c r="L131" i="2"/>
  <c r="K173" i="2" s="1"/>
  <c r="L205" i="2"/>
  <c r="K247" i="2" s="1"/>
  <c r="L155" i="2"/>
  <c r="AD334" i="2" l="1"/>
  <c r="E334" i="2"/>
  <c r="AQ97" i="2"/>
  <c r="AQ129" i="2"/>
  <c r="AD314" i="2"/>
  <c r="E314" i="2"/>
  <c r="AQ95" i="2"/>
  <c r="AD310" i="2"/>
  <c r="E310" i="2"/>
  <c r="AD358" i="2"/>
  <c r="E358" i="2"/>
  <c r="AQ155" i="2"/>
  <c r="AQ443" i="2"/>
  <c r="AQ122" i="2"/>
  <c r="AQ117" i="2"/>
  <c r="AQ170" i="2"/>
  <c r="AD338" i="2"/>
  <c r="E338" i="2"/>
  <c r="AQ485" i="2"/>
  <c r="AQ481" i="2"/>
  <c r="AQ146" i="2"/>
  <c r="AQ105" i="2"/>
  <c r="AQ126" i="2"/>
  <c r="AQ439" i="2"/>
  <c r="AE151" i="2"/>
  <c r="AF151" i="2" s="1"/>
  <c r="AG151" i="2" s="1"/>
  <c r="AA177" i="2"/>
  <c r="AB177" i="2" s="1"/>
  <c r="AC177" i="2" s="1"/>
  <c r="AI220" i="2"/>
  <c r="AJ220" i="2" s="1"/>
  <c r="AK220" i="2" s="1"/>
  <c r="AF157" i="2"/>
  <c r="AG157" i="2" s="1"/>
  <c r="AF162" i="2"/>
  <c r="AG162" i="2" s="1"/>
  <c r="AE295" i="2"/>
  <c r="AF295" i="2" s="1"/>
  <c r="AG295" i="2" s="1"/>
  <c r="AF152" i="2"/>
  <c r="AE194" i="2" s="1"/>
  <c r="AA235" i="2"/>
  <c r="AB235" i="2" s="1"/>
  <c r="AA202" i="2"/>
  <c r="AB202" i="2" s="1"/>
  <c r="AC202" i="2" s="1"/>
  <c r="AF155" i="2"/>
  <c r="AE197" i="2" s="1"/>
  <c r="AG113" i="2"/>
  <c r="AF132" i="2"/>
  <c r="AG132" i="2" s="1"/>
  <c r="AI253" i="2"/>
  <c r="AJ253" i="2" s="1"/>
  <c r="AK253" i="2" s="1"/>
  <c r="AF161" i="2"/>
  <c r="AG161" i="2" s="1"/>
  <c r="AE141" i="2"/>
  <c r="AF141" i="2" s="1"/>
  <c r="AG141" i="2" s="1"/>
  <c r="AE160" i="2"/>
  <c r="AF136" i="2"/>
  <c r="AG136" i="2" s="1"/>
  <c r="AA254" i="2"/>
  <c r="AB254" i="2" s="1"/>
  <c r="AC254" i="2" s="1"/>
  <c r="AI142" i="2"/>
  <c r="AG95" i="2"/>
  <c r="AE137" i="2"/>
  <c r="AF137" i="2" s="1"/>
  <c r="AG137" i="2" s="1"/>
  <c r="K25" i="6"/>
  <c r="H195" i="2"/>
  <c r="AD195" i="2" s="1"/>
  <c r="AE153" i="2"/>
  <c r="AF153" i="2" s="1"/>
  <c r="AG153" i="2" s="1"/>
  <c r="AG111" i="2"/>
  <c r="K13" i="6"/>
  <c r="H183" i="2"/>
  <c r="AD183" i="2" s="1"/>
  <c r="AE147" i="2"/>
  <c r="AF147" i="2" s="1"/>
  <c r="AG147" i="2" s="1"/>
  <c r="AA227" i="2"/>
  <c r="K12" i="6"/>
  <c r="H182" i="2"/>
  <c r="AD182" i="2" s="1"/>
  <c r="H201" i="2"/>
  <c r="AD201" i="2" s="1"/>
  <c r="K31" i="6"/>
  <c r="H193" i="2"/>
  <c r="AD193" i="2" s="1"/>
  <c r="K23" i="6"/>
  <c r="M8" i="6"/>
  <c r="H262" i="2"/>
  <c r="AD262" i="2" s="1"/>
  <c r="AF102" i="2"/>
  <c r="AG102" i="2" s="1"/>
  <c r="K9" i="6"/>
  <c r="H179" i="2"/>
  <c r="AD179" i="2" s="1"/>
  <c r="H397" i="2"/>
  <c r="AD397" i="2" s="1"/>
  <c r="P17" i="6"/>
  <c r="AE149" i="2"/>
  <c r="H200" i="2"/>
  <c r="AD200" i="2" s="1"/>
  <c r="K30" i="6"/>
  <c r="H289" i="2"/>
  <c r="AD289" i="2" s="1"/>
  <c r="M35" i="6"/>
  <c r="H180" i="2"/>
  <c r="AD180" i="2" s="1"/>
  <c r="K10" i="6"/>
  <c r="AE130" i="2"/>
  <c r="K2" i="6"/>
  <c r="H172" i="2"/>
  <c r="AD172" i="2" s="1"/>
  <c r="H335" i="2"/>
  <c r="AD335" i="2" s="1"/>
  <c r="N39" i="6"/>
  <c r="K27" i="6"/>
  <c r="H197" i="2"/>
  <c r="AD197" i="2" s="1"/>
  <c r="N7" i="6"/>
  <c r="H303" i="2"/>
  <c r="AD303" i="2" s="1"/>
  <c r="AE131" i="2"/>
  <c r="AF131" i="2" s="1"/>
  <c r="AG131" i="2" s="1"/>
  <c r="AG89" i="2"/>
  <c r="H339" i="2"/>
  <c r="AD339" i="2" s="1"/>
  <c r="N43" i="6"/>
  <c r="K24" i="6"/>
  <c r="H194" i="2"/>
  <c r="AD194" i="2" s="1"/>
  <c r="AE138" i="2"/>
  <c r="AF138" i="2" s="1"/>
  <c r="AG138" i="2" s="1"/>
  <c r="K29" i="6"/>
  <c r="H199" i="2"/>
  <c r="AD199" i="2" s="1"/>
  <c r="AE159" i="2"/>
  <c r="AF159" i="2" s="1"/>
  <c r="AG159" i="2" s="1"/>
  <c r="K34" i="6"/>
  <c r="H204" i="2"/>
  <c r="AD204" i="2" s="1"/>
  <c r="K4" i="6"/>
  <c r="H174" i="2"/>
  <c r="AD174" i="2" s="1"/>
  <c r="AE140" i="2"/>
  <c r="AF154" i="2"/>
  <c r="AG154" i="2" s="1"/>
  <c r="K6" i="6"/>
  <c r="H176" i="2"/>
  <c r="AD176" i="2" s="1"/>
  <c r="K21" i="6"/>
  <c r="H191" i="2"/>
  <c r="AD191" i="2" s="1"/>
  <c r="K16" i="6"/>
  <c r="H186" i="2"/>
  <c r="AD186" i="2" s="1"/>
  <c r="H185" i="2"/>
  <c r="AD185" i="2" s="1"/>
  <c r="K15" i="6"/>
  <c r="H333" i="2"/>
  <c r="AD333" i="2" s="1"/>
  <c r="N37" i="6"/>
  <c r="H259" i="2"/>
  <c r="AD259" i="2" s="1"/>
  <c r="M5" i="6"/>
  <c r="K26" i="6"/>
  <c r="H196" i="2"/>
  <c r="AD196" i="2" s="1"/>
  <c r="AB147" i="2"/>
  <c r="AC147" i="2" s="1"/>
  <c r="K19" i="6"/>
  <c r="H189" i="2"/>
  <c r="AD189" i="2" s="1"/>
  <c r="M28" i="6"/>
  <c r="H282" i="2"/>
  <c r="AD282" i="2" s="1"/>
  <c r="H336" i="2"/>
  <c r="AD336" i="2" s="1"/>
  <c r="N40" i="6"/>
  <c r="H332" i="2"/>
  <c r="AD332" i="2" s="1"/>
  <c r="N36" i="6"/>
  <c r="K33" i="6"/>
  <c r="H203" i="2"/>
  <c r="AD203" i="2" s="1"/>
  <c r="AF158" i="2"/>
  <c r="AG158" i="2" s="1"/>
  <c r="AF101" i="2"/>
  <c r="AG101" i="2" s="1"/>
  <c r="N41" i="6"/>
  <c r="H337" i="2"/>
  <c r="AD337" i="2" s="1"/>
  <c r="H307" i="2"/>
  <c r="AD307" i="2" s="1"/>
  <c r="N11" i="6"/>
  <c r="N22" i="6"/>
  <c r="H318" i="2"/>
  <c r="AD318" i="2" s="1"/>
  <c r="K3" i="6"/>
  <c r="H173" i="2"/>
  <c r="AD173" i="2" s="1"/>
  <c r="H286" i="2"/>
  <c r="AD286" i="2" s="1"/>
  <c r="M32" i="6"/>
  <c r="AA191" i="2"/>
  <c r="AB191" i="2" s="1"/>
  <c r="AC191" i="2" s="1"/>
  <c r="AA133" i="2"/>
  <c r="AB133" i="2" s="1"/>
  <c r="AA175" i="2" s="1"/>
  <c r="AF133" i="2"/>
  <c r="AG133" i="2" s="1"/>
  <c r="AC157" i="2"/>
  <c r="AA134" i="2"/>
  <c r="AA213" i="2"/>
  <c r="AB213" i="2" s="1"/>
  <c r="AC213" i="2" s="1"/>
  <c r="AA137" i="2"/>
  <c r="AB137" i="2" s="1"/>
  <c r="AC137" i="2" s="1"/>
  <c r="AA196" i="2"/>
  <c r="AB196" i="2" s="1"/>
  <c r="AC196" i="2" s="1"/>
  <c r="AA223" i="2"/>
  <c r="AB223" i="2" s="1"/>
  <c r="AE292" i="2"/>
  <c r="AF292" i="2" s="1"/>
  <c r="AG292" i="2" s="1"/>
  <c r="AA222" i="2"/>
  <c r="AB222" i="2" s="1"/>
  <c r="AC222" i="2" s="1"/>
  <c r="AA216" i="2"/>
  <c r="AB216" i="2" s="1"/>
  <c r="AC216" i="2" s="1"/>
  <c r="AB169" i="2"/>
  <c r="AC169" i="2" s="1"/>
  <c r="AN497" i="2"/>
  <c r="AO497" i="2" s="1"/>
  <c r="AO455" i="2"/>
  <c r="AB184" i="2"/>
  <c r="AC184" i="2" s="1"/>
  <c r="AC165" i="2"/>
  <c r="AN501" i="2"/>
  <c r="AO501" i="2" s="1"/>
  <c r="AO459" i="2"/>
  <c r="AB172" i="2"/>
  <c r="AC172" i="2" s="1"/>
  <c r="AB203" i="2"/>
  <c r="AC203" i="2" s="1"/>
  <c r="AB153" i="2"/>
  <c r="AC153" i="2" s="1"/>
  <c r="AN181" i="2"/>
  <c r="AO139" i="2"/>
  <c r="AN189" i="2"/>
  <c r="AO147" i="2"/>
  <c r="AN206" i="2"/>
  <c r="AO164" i="2"/>
  <c r="AN179" i="2"/>
  <c r="AO137" i="2"/>
  <c r="AN201" i="2"/>
  <c r="AO159" i="2"/>
  <c r="AN210" i="2"/>
  <c r="AO168" i="2"/>
  <c r="AN213" i="2"/>
  <c r="AO171" i="2"/>
  <c r="AN463" i="2"/>
  <c r="AO421" i="2"/>
  <c r="AN230" i="2"/>
  <c r="AO188" i="2"/>
  <c r="AN239" i="2"/>
  <c r="AO197" i="2"/>
  <c r="AN254" i="2"/>
  <c r="AO212" i="2"/>
  <c r="Z334" i="2"/>
  <c r="J334" i="2"/>
  <c r="X334" i="2" s="1"/>
  <c r="G334" i="2"/>
  <c r="AQ334" i="2" s="1"/>
  <c r="Z413" i="2"/>
  <c r="J413" i="2"/>
  <c r="X413" i="2" s="1"/>
  <c r="G413" i="2"/>
  <c r="AQ413" i="2" s="1"/>
  <c r="AH405" i="2"/>
  <c r="AL405" i="2"/>
  <c r="AL371" i="2"/>
  <c r="AH371" i="2"/>
  <c r="Z358" i="2"/>
  <c r="J358" i="2"/>
  <c r="X358" i="2" s="1"/>
  <c r="G358" i="2"/>
  <c r="AQ358" i="2" s="1"/>
  <c r="J360" i="2"/>
  <c r="X360" i="2" s="1"/>
  <c r="Z360" i="2"/>
  <c r="G360" i="2"/>
  <c r="AQ360" i="2" s="1"/>
  <c r="D403" i="2"/>
  <c r="E403" i="2" s="1"/>
  <c r="AL303" i="2"/>
  <c r="AH303" i="2"/>
  <c r="D376" i="2"/>
  <c r="Z310" i="2"/>
  <c r="J310" i="2"/>
  <c r="X310" i="2" s="1"/>
  <c r="G310" i="2"/>
  <c r="AQ310" i="2" s="1"/>
  <c r="AL284" i="2"/>
  <c r="AH284" i="2"/>
  <c r="AL339" i="2"/>
  <c r="AH339" i="2"/>
  <c r="D417" i="2"/>
  <c r="E417" i="2" s="1"/>
  <c r="AL280" i="2"/>
  <c r="AH280" i="2"/>
  <c r="AL331" i="2"/>
  <c r="AH331" i="2"/>
  <c r="D368" i="2"/>
  <c r="E368" i="2" s="1"/>
  <c r="D483" i="2"/>
  <c r="E483" i="2" s="1"/>
  <c r="D441" i="2"/>
  <c r="E441" i="2" s="1"/>
  <c r="D372" i="2"/>
  <c r="E372" i="2" s="1"/>
  <c r="AL292" i="2"/>
  <c r="AH292" i="2"/>
  <c r="D400" i="2"/>
  <c r="D402" i="2"/>
  <c r="E402" i="2" s="1"/>
  <c r="D348" i="2"/>
  <c r="E348" i="2" s="1"/>
  <c r="AL272" i="2"/>
  <c r="AH272" i="2"/>
  <c r="J379" i="2"/>
  <c r="X379" i="2" s="1"/>
  <c r="Z379" i="2"/>
  <c r="G379" i="2"/>
  <c r="AQ379" i="2" s="1"/>
  <c r="D415" i="2"/>
  <c r="E415" i="2" s="1"/>
  <c r="AL316" i="2"/>
  <c r="AH316" i="2"/>
  <c r="Z381" i="2"/>
  <c r="J381" i="2"/>
  <c r="X381" i="2" s="1"/>
  <c r="G381" i="2"/>
  <c r="Z353" i="2"/>
  <c r="J353" i="2"/>
  <c r="X353" i="2" s="1"/>
  <c r="G353" i="2"/>
  <c r="AQ353" i="2" s="1"/>
  <c r="G345" i="2"/>
  <c r="AQ345" i="2" s="1"/>
  <c r="J345" i="2"/>
  <c r="X345" i="2" s="1"/>
  <c r="Z345" i="2"/>
  <c r="AL301" i="2"/>
  <c r="AH301" i="2"/>
  <c r="AL351" i="2"/>
  <c r="AH351" i="2"/>
  <c r="G447" i="2"/>
  <c r="AQ447" i="2" s="1"/>
  <c r="J447" i="2"/>
  <c r="X447" i="2" s="1"/>
  <c r="Z447" i="2"/>
  <c r="O42" i="6"/>
  <c r="H422" i="2" s="1"/>
  <c r="D380" i="2"/>
  <c r="Z375" i="2"/>
  <c r="J375" i="2"/>
  <c r="X375" i="2" s="1"/>
  <c r="G375" i="2"/>
  <c r="AQ375" i="2" s="1"/>
  <c r="Z326" i="2"/>
  <c r="J326" i="2"/>
  <c r="X326" i="2" s="1"/>
  <c r="G326" i="2"/>
  <c r="AQ326" i="2" s="1"/>
  <c r="Z330" i="2"/>
  <c r="J330" i="2"/>
  <c r="X330" i="2" s="1"/>
  <c r="G330" i="2"/>
  <c r="AQ330" i="2" s="1"/>
  <c r="G391" i="2"/>
  <c r="J391" i="2"/>
  <c r="X391" i="2" s="1"/>
  <c r="Z391" i="2"/>
  <c r="Z468" i="2"/>
  <c r="J468" i="2"/>
  <c r="X468" i="2" s="1"/>
  <c r="G468" i="2"/>
  <c r="AQ468" i="2" s="1"/>
  <c r="G369" i="2"/>
  <c r="Z369" i="2"/>
  <c r="J369" i="2"/>
  <c r="X369" i="2" s="1"/>
  <c r="D477" i="2"/>
  <c r="E477" i="2" s="1"/>
  <c r="D435" i="2"/>
  <c r="E435" i="2" s="1"/>
  <c r="J373" i="2"/>
  <c r="X373" i="2" s="1"/>
  <c r="Z373" i="2"/>
  <c r="G373" i="2"/>
  <c r="AQ373" i="2" s="1"/>
  <c r="D416" i="2"/>
  <c r="E416" i="2" s="1"/>
  <c r="AL333" i="2"/>
  <c r="AH333" i="2"/>
  <c r="Z344" i="2"/>
  <c r="J344" i="2"/>
  <c r="X344" i="2" s="1"/>
  <c r="G344" i="2"/>
  <c r="AQ344" i="2" s="1"/>
  <c r="AL311" i="2"/>
  <c r="AH311" i="2"/>
  <c r="AL318" i="2"/>
  <c r="AH318" i="2"/>
  <c r="J489" i="2"/>
  <c r="X489" i="2" s="1"/>
  <c r="G489" i="2"/>
  <c r="AQ489" i="2" s="1"/>
  <c r="Z489" i="2"/>
  <c r="AL384" i="2"/>
  <c r="AH384" i="2"/>
  <c r="O14" i="6"/>
  <c r="H394" i="2" s="1"/>
  <c r="D352" i="2"/>
  <c r="D455" i="2"/>
  <c r="E455" i="2" s="1"/>
  <c r="D497" i="2"/>
  <c r="E497" i="2" s="1"/>
  <c r="G338" i="2"/>
  <c r="J338" i="2"/>
  <c r="X338" i="2" s="1"/>
  <c r="Z338" i="2"/>
  <c r="AH264" i="2"/>
  <c r="AL264" i="2"/>
  <c r="Z377" i="2"/>
  <c r="G377" i="2"/>
  <c r="AQ377" i="2" s="1"/>
  <c r="J377" i="2"/>
  <c r="X377" i="2" s="1"/>
  <c r="Z314" i="2"/>
  <c r="J314" i="2"/>
  <c r="X314" i="2" s="1"/>
  <c r="G314" i="2"/>
  <c r="Z370" i="2"/>
  <c r="J370" i="2"/>
  <c r="X370" i="2" s="1"/>
  <c r="G370" i="2"/>
  <c r="AQ370" i="2" s="1"/>
  <c r="D475" i="2"/>
  <c r="E475" i="2" s="1"/>
  <c r="D433" i="2"/>
  <c r="E433" i="2" s="1"/>
  <c r="AH327" i="2"/>
  <c r="AL327" i="2"/>
  <c r="G426" i="2"/>
  <c r="AQ426" i="2" s="1"/>
  <c r="J426" i="2"/>
  <c r="X426" i="2" s="1"/>
  <c r="Z426" i="2"/>
  <c r="D411" i="2"/>
  <c r="E411" i="2" s="1"/>
  <c r="AL357" i="2"/>
  <c r="AH357" i="2"/>
  <c r="D421" i="2"/>
  <c r="E421" i="2" s="1"/>
  <c r="D364" i="2"/>
  <c r="E364" i="2" s="1"/>
  <c r="AH328" i="2"/>
  <c r="AL328" i="2"/>
  <c r="D385" i="2"/>
  <c r="E385" i="2" s="1"/>
  <c r="Z374" i="2"/>
  <c r="J374" i="2"/>
  <c r="X374" i="2" s="1"/>
  <c r="G374" i="2"/>
  <c r="D423" i="2"/>
  <c r="E423" i="2" s="1"/>
  <c r="D395" i="2"/>
  <c r="E395" i="2" s="1"/>
  <c r="AL493" i="2"/>
  <c r="AH493" i="2"/>
  <c r="AL268" i="2"/>
  <c r="AH268" i="2"/>
  <c r="AL302" i="2"/>
  <c r="AH302" i="2"/>
  <c r="D386" i="2"/>
  <c r="E386" i="2" s="1"/>
  <c r="O38" i="6"/>
  <c r="H418" i="2" s="1"/>
  <c r="AL337" i="2"/>
  <c r="AH337" i="2"/>
  <c r="D419" i="2"/>
  <c r="E419" i="2" s="1"/>
  <c r="AL332" i="2"/>
  <c r="AH332" i="2"/>
  <c r="Z399" i="2"/>
  <c r="J399" i="2"/>
  <c r="X399" i="2" s="1"/>
  <c r="G399" i="2"/>
  <c r="O18" i="6"/>
  <c r="H398" i="2" s="1"/>
  <c r="D356" i="2"/>
  <c r="AL335" i="2"/>
  <c r="AH335" i="2"/>
  <c r="D412" i="2"/>
  <c r="E412" i="2" s="1"/>
  <c r="P20" i="6"/>
  <c r="H442" i="2" s="1"/>
  <c r="Z361" i="2"/>
  <c r="G361" i="2"/>
  <c r="AQ361" i="2" s="1"/>
  <c r="J361" i="2"/>
  <c r="X361" i="2" s="1"/>
  <c r="AL451" i="2"/>
  <c r="AH451" i="2"/>
  <c r="J306" i="2"/>
  <c r="X306" i="2" s="1"/>
  <c r="Z306" i="2"/>
  <c r="G306" i="2"/>
  <c r="AQ306" i="2" s="1"/>
  <c r="AL288" i="2"/>
  <c r="AH288" i="2"/>
  <c r="J393" i="2"/>
  <c r="X393" i="2" s="1"/>
  <c r="Z393" i="2"/>
  <c r="G393" i="2"/>
  <c r="AQ393" i="2" s="1"/>
  <c r="Z322" i="2"/>
  <c r="J322" i="2"/>
  <c r="X322" i="2" s="1"/>
  <c r="G322" i="2"/>
  <c r="AQ322" i="2" s="1"/>
  <c r="Z343" i="2"/>
  <c r="J343" i="2"/>
  <c r="X343" i="2" s="1"/>
  <c r="G343" i="2"/>
  <c r="AQ343" i="2" s="1"/>
  <c r="AH349" i="2"/>
  <c r="AL349" i="2"/>
  <c r="AL319" i="2"/>
  <c r="AH319" i="2"/>
  <c r="D387" i="2"/>
  <c r="E387" i="2" s="1"/>
  <c r="AL296" i="2"/>
  <c r="AH296" i="2"/>
  <c r="AL488" i="2"/>
  <c r="AH488" i="2"/>
  <c r="AL341" i="2"/>
  <c r="AH341" i="2"/>
  <c r="G431" i="2"/>
  <c r="Z431" i="2"/>
  <c r="J431" i="2"/>
  <c r="X431" i="2" s="1"/>
  <c r="D382" i="2"/>
  <c r="E382" i="2" s="1"/>
  <c r="AH446" i="2"/>
  <c r="AL446" i="2"/>
  <c r="G473" i="2"/>
  <c r="Z473" i="2"/>
  <c r="J473" i="2"/>
  <c r="X473" i="2" s="1"/>
  <c r="G383" i="2"/>
  <c r="AQ383" i="2" s="1"/>
  <c r="J383" i="2"/>
  <c r="X383" i="2" s="1"/>
  <c r="Z383" i="2"/>
  <c r="AL298" i="2"/>
  <c r="AH298" i="2"/>
  <c r="AL389" i="2"/>
  <c r="AH389" i="2"/>
  <c r="G462" i="2"/>
  <c r="J462" i="2"/>
  <c r="X462" i="2" s="1"/>
  <c r="Z462" i="2"/>
  <c r="AH420" i="2"/>
  <c r="AL420" i="2"/>
  <c r="G504" i="2"/>
  <c r="Z504" i="2"/>
  <c r="J504" i="2"/>
  <c r="X504" i="2" s="1"/>
  <c r="AE296" i="2"/>
  <c r="AF296" i="2" s="1"/>
  <c r="AG296" i="2" s="1"/>
  <c r="Z340" i="2"/>
  <c r="J340" i="2"/>
  <c r="X340" i="2" s="1"/>
  <c r="G340" i="2"/>
  <c r="AQ340" i="2" s="1"/>
  <c r="D467" i="2"/>
  <c r="E467" i="2" s="1"/>
  <c r="D425" i="2"/>
  <c r="E425" i="2" s="1"/>
  <c r="AE198" i="2"/>
  <c r="AF198" i="2" s="1"/>
  <c r="AG198" i="2" s="1"/>
  <c r="AI238" i="2"/>
  <c r="AJ238" i="2" s="1"/>
  <c r="AK238" i="2" s="1"/>
  <c r="AI183" i="2"/>
  <c r="AJ183" i="2" s="1"/>
  <c r="AK183" i="2" s="1"/>
  <c r="AA131" i="2"/>
  <c r="AB131" i="2" s="1"/>
  <c r="AA166" i="2"/>
  <c r="AB166" i="2" s="1"/>
  <c r="AA145" i="2"/>
  <c r="AI152" i="2"/>
  <c r="AJ152" i="2" s="1"/>
  <c r="AK152" i="2" s="1"/>
  <c r="AA209" i="2"/>
  <c r="AI170" i="2"/>
  <c r="AJ170" i="2" s="1"/>
  <c r="AK170" i="2" s="1"/>
  <c r="AA148" i="2"/>
  <c r="AB148" i="2" s="1"/>
  <c r="AE255" i="2"/>
  <c r="AF255" i="2" s="1"/>
  <c r="AG255" i="2" s="1"/>
  <c r="AA156" i="2"/>
  <c r="AB156" i="2" s="1"/>
  <c r="AI242" i="2"/>
  <c r="AJ242" i="2" s="1"/>
  <c r="AK242" i="2" s="1"/>
  <c r="AA164" i="2"/>
  <c r="AE190" i="2"/>
  <c r="AF190" i="2" s="1"/>
  <c r="AG190" i="2" s="1"/>
  <c r="AA162" i="2"/>
  <c r="AB162" i="2" s="1"/>
  <c r="AF134" i="2"/>
  <c r="AG134" i="2" s="1"/>
  <c r="AE142" i="2"/>
  <c r="AF142" i="2" s="1"/>
  <c r="AG142" i="2" s="1"/>
  <c r="AA201" i="2"/>
  <c r="AB201" i="2" s="1"/>
  <c r="AI231" i="2"/>
  <c r="AJ231" i="2" s="1"/>
  <c r="AK231" i="2" s="1"/>
  <c r="AI138" i="2"/>
  <c r="AA241" i="2"/>
  <c r="AB241" i="2" s="1"/>
  <c r="AI150" i="2"/>
  <c r="AK241" i="2"/>
  <c r="AI283" i="2"/>
  <c r="AJ283" i="2" s="1"/>
  <c r="AK283" i="2" s="1"/>
  <c r="AI229" i="2"/>
  <c r="AJ229" i="2" s="1"/>
  <c r="AK229" i="2" s="1"/>
  <c r="AI233" i="2"/>
  <c r="AJ233" i="2" s="1"/>
  <c r="AK233" i="2" s="1"/>
  <c r="AI218" i="2"/>
  <c r="AJ218" i="2" s="1"/>
  <c r="AK218" i="2" s="1"/>
  <c r="AE251" i="2"/>
  <c r="AE205" i="2"/>
  <c r="AF205" i="2" s="1"/>
  <c r="AG205" i="2" s="1"/>
  <c r="W151" i="2"/>
  <c r="AJ155" i="2"/>
  <c r="AK155" i="2" s="1"/>
  <c r="AA249" i="2"/>
  <c r="AF207" i="2"/>
  <c r="AG207" i="2" s="1"/>
  <c r="AF230" i="2"/>
  <c r="AG230" i="2" s="1"/>
  <c r="AG219" i="2"/>
  <c r="AE261" i="2"/>
  <c r="AF261" i="2" s="1"/>
  <c r="AG261" i="2" s="1"/>
  <c r="AI262" i="2"/>
  <c r="AJ262" i="2" s="1"/>
  <c r="AK262" i="2" s="1"/>
  <c r="AC155" i="2"/>
  <c r="W128" i="2"/>
  <c r="AI251" i="2"/>
  <c r="AJ251" i="2" s="1"/>
  <c r="AK251" i="2" s="1"/>
  <c r="W122" i="2"/>
  <c r="AA252" i="2"/>
  <c r="AB252" i="2" s="1"/>
  <c r="AI216" i="2"/>
  <c r="AJ216" i="2" s="1"/>
  <c r="AK216" i="2" s="1"/>
  <c r="AC141" i="2"/>
  <c r="AA245" i="2"/>
  <c r="AB245" i="2" s="1"/>
  <c r="AE192" i="2"/>
  <c r="AF192" i="2" s="1"/>
  <c r="AG192" i="2" s="1"/>
  <c r="W113" i="2"/>
  <c r="W163" i="2"/>
  <c r="W89" i="2"/>
  <c r="W129" i="2"/>
  <c r="W149" i="2"/>
  <c r="W133" i="2"/>
  <c r="W144" i="2"/>
  <c r="W103" i="2"/>
  <c r="AI255" i="2"/>
  <c r="AJ255" i="2" s="1"/>
  <c r="AK255" i="2" s="1"/>
  <c r="AA220" i="2"/>
  <c r="AA228" i="2"/>
  <c r="W136" i="2"/>
  <c r="W112" i="2"/>
  <c r="W104" i="2"/>
  <c r="AI247" i="2"/>
  <c r="AJ247" i="2" s="1"/>
  <c r="AK247" i="2" s="1"/>
  <c r="L187" i="2"/>
  <c r="L222" i="2"/>
  <c r="K264" i="2" s="1"/>
  <c r="L207" i="2"/>
  <c r="L206" i="2"/>
  <c r="K248" i="2" s="1"/>
  <c r="L173" i="2"/>
  <c r="K215" i="2" s="1"/>
  <c r="L217" i="2"/>
  <c r="K259" i="2" s="1"/>
  <c r="L246" i="2"/>
  <c r="K288" i="2" s="1"/>
  <c r="L218" i="2"/>
  <c r="K260" i="2" s="1"/>
  <c r="L227" i="2"/>
  <c r="L232" i="2"/>
  <c r="K274" i="2" s="1"/>
  <c r="L214" i="2"/>
  <c r="K256" i="2" s="1"/>
  <c r="L228" i="2"/>
  <c r="K270" i="2" s="1"/>
  <c r="L219" i="2"/>
  <c r="K261" i="2" s="1"/>
  <c r="L251" i="2"/>
  <c r="K293" i="2" s="1"/>
  <c r="L212" i="2"/>
  <c r="K254" i="2" s="1"/>
  <c r="U155" i="2"/>
  <c r="S155" i="2"/>
  <c r="T155" i="2"/>
  <c r="V155" i="2"/>
  <c r="K197" i="2"/>
  <c r="W167" i="2"/>
  <c r="W97" i="2"/>
  <c r="T154" i="2"/>
  <c r="V154" i="2"/>
  <c r="S154" i="2"/>
  <c r="U154" i="2"/>
  <c r="AI215" i="2"/>
  <c r="AI224" i="2"/>
  <c r="AI230" i="2"/>
  <c r="AI269" i="2"/>
  <c r="AI252" i="2"/>
  <c r="AI248" i="2"/>
  <c r="L141" i="2"/>
  <c r="K183" i="2" s="1"/>
  <c r="AA242" i="2"/>
  <c r="AB242" i="2" s="1"/>
  <c r="W148" i="2"/>
  <c r="U201" i="2"/>
  <c r="V201" i="2"/>
  <c r="T201" i="2"/>
  <c r="S201" i="2"/>
  <c r="V194" i="2"/>
  <c r="S194" i="2"/>
  <c r="U194" i="2"/>
  <c r="T194" i="2"/>
  <c r="V140" i="2"/>
  <c r="T140" i="2"/>
  <c r="S140" i="2"/>
  <c r="U140" i="2"/>
  <c r="AI223" i="2"/>
  <c r="AI240" i="2"/>
  <c r="S179" i="2"/>
  <c r="T179" i="2"/>
  <c r="U179" i="2"/>
  <c r="V179" i="2"/>
  <c r="T160" i="2"/>
  <c r="U160" i="2"/>
  <c r="V160" i="2"/>
  <c r="S160" i="2"/>
  <c r="W99" i="2"/>
  <c r="AI249" i="2"/>
  <c r="AI237" i="2"/>
  <c r="W159" i="2"/>
  <c r="AC235" i="2"/>
  <c r="AI232" i="2"/>
  <c r="W147" i="2"/>
  <c r="T168" i="2"/>
  <c r="U168" i="2"/>
  <c r="V168" i="2"/>
  <c r="S168" i="2"/>
  <c r="L235" i="2"/>
  <c r="K277" i="2" s="1"/>
  <c r="S171" i="2"/>
  <c r="T171" i="2"/>
  <c r="V171" i="2"/>
  <c r="U171" i="2"/>
  <c r="S191" i="2"/>
  <c r="T191" i="2"/>
  <c r="U191" i="2"/>
  <c r="V191" i="2"/>
  <c r="L216" i="2"/>
  <c r="L221" i="2"/>
  <c r="K263" i="2" s="1"/>
  <c r="L202" i="2"/>
  <c r="K244" i="2" s="1"/>
  <c r="U165" i="2"/>
  <c r="V165" i="2"/>
  <c r="S165" i="2"/>
  <c r="T165" i="2"/>
  <c r="L231" i="2"/>
  <c r="S211" i="2"/>
  <c r="T211" i="2"/>
  <c r="U211" i="2"/>
  <c r="V211" i="2"/>
  <c r="L156" i="2"/>
  <c r="K198" i="2" s="1"/>
  <c r="AC194" i="2"/>
  <c r="L210" i="2"/>
  <c r="K252" i="2" s="1"/>
  <c r="U185" i="2"/>
  <c r="V185" i="2"/>
  <c r="T185" i="2"/>
  <c r="S185" i="2"/>
  <c r="U177" i="2"/>
  <c r="V177" i="2"/>
  <c r="S177" i="2"/>
  <c r="T177" i="2"/>
  <c r="T164" i="2"/>
  <c r="U164" i="2"/>
  <c r="S164" i="2"/>
  <c r="V164" i="2"/>
  <c r="V190" i="2"/>
  <c r="S190" i="2"/>
  <c r="T190" i="2"/>
  <c r="U190" i="2"/>
  <c r="U209" i="2"/>
  <c r="V209" i="2"/>
  <c r="S209" i="2"/>
  <c r="T209" i="2"/>
  <c r="T172" i="2"/>
  <c r="U172" i="2"/>
  <c r="S172" i="2"/>
  <c r="V172" i="2"/>
  <c r="V170" i="2"/>
  <c r="S170" i="2"/>
  <c r="T170" i="2"/>
  <c r="U170" i="2"/>
  <c r="L247" i="2"/>
  <c r="L220" i="2"/>
  <c r="K262" i="2" s="1"/>
  <c r="T192" i="2"/>
  <c r="U192" i="2"/>
  <c r="V192" i="2"/>
  <c r="S192" i="2"/>
  <c r="L188" i="2"/>
  <c r="K230" i="2" s="1"/>
  <c r="L199" i="2"/>
  <c r="U205" i="2"/>
  <c r="V205" i="2"/>
  <c r="S205" i="2"/>
  <c r="T205" i="2"/>
  <c r="V178" i="2"/>
  <c r="S178" i="2"/>
  <c r="U178" i="2"/>
  <c r="T178" i="2"/>
  <c r="K234" i="2"/>
  <c r="T146" i="2"/>
  <c r="V146" i="2"/>
  <c r="S146" i="2"/>
  <c r="U146" i="2"/>
  <c r="AI221" i="2"/>
  <c r="W126" i="2"/>
  <c r="AI261" i="2"/>
  <c r="S157" i="2"/>
  <c r="U157" i="2"/>
  <c r="T157" i="2"/>
  <c r="V157" i="2"/>
  <c r="AI217" i="2"/>
  <c r="W143" i="2"/>
  <c r="W119" i="2"/>
  <c r="W152" i="2"/>
  <c r="AJ208" i="2"/>
  <c r="AK208" i="2" s="1"/>
  <c r="W98" i="2"/>
  <c r="AI214" i="2"/>
  <c r="AI243" i="2"/>
  <c r="AJ204" i="2"/>
  <c r="AK204" i="2" s="1"/>
  <c r="U193" i="2"/>
  <c r="V193" i="2"/>
  <c r="S193" i="2"/>
  <c r="T193" i="2"/>
  <c r="W138" i="2"/>
  <c r="K213" i="2"/>
  <c r="K233" i="2"/>
  <c r="V174" i="2"/>
  <c r="S174" i="2"/>
  <c r="T174" i="2"/>
  <c r="U174" i="2"/>
  <c r="AI235" i="2"/>
  <c r="AA224" i="2"/>
  <c r="AB224" i="2" s="1"/>
  <c r="AA230" i="2"/>
  <c r="AB230" i="2" s="1"/>
  <c r="W130" i="2"/>
  <c r="S195" i="2"/>
  <c r="T195" i="2"/>
  <c r="U195" i="2"/>
  <c r="V195" i="2"/>
  <c r="AA234" i="2"/>
  <c r="AB234" i="2" s="1"/>
  <c r="U189" i="2"/>
  <c r="V189" i="2"/>
  <c r="S189" i="2"/>
  <c r="T189" i="2"/>
  <c r="K253" i="2"/>
  <c r="W150" i="2"/>
  <c r="AA247" i="2"/>
  <c r="AB247" i="2" s="1"/>
  <c r="AJ203" i="2"/>
  <c r="AK203" i="2" s="1"/>
  <c r="W153" i="2"/>
  <c r="W137" i="2"/>
  <c r="T114" i="2"/>
  <c r="V114" i="2"/>
  <c r="S114" i="2"/>
  <c r="U114" i="2"/>
  <c r="U139" i="2"/>
  <c r="S139" i="2"/>
  <c r="V139" i="2"/>
  <c r="T139" i="2"/>
  <c r="T200" i="2"/>
  <c r="U200" i="2"/>
  <c r="V200" i="2"/>
  <c r="S200" i="2"/>
  <c r="T184" i="2"/>
  <c r="U184" i="2"/>
  <c r="V184" i="2"/>
  <c r="S184" i="2"/>
  <c r="T208" i="2"/>
  <c r="U208" i="2"/>
  <c r="V208" i="2"/>
  <c r="S208" i="2"/>
  <c r="L203" i="2"/>
  <c r="K245" i="2" s="1"/>
  <c r="U131" i="2"/>
  <c r="S131" i="2"/>
  <c r="T131" i="2"/>
  <c r="V131" i="2"/>
  <c r="W166" i="2"/>
  <c r="W135" i="2"/>
  <c r="L196" i="2"/>
  <c r="K238" i="2" s="1"/>
  <c r="W162" i="2"/>
  <c r="W134" i="2"/>
  <c r="W132" i="2"/>
  <c r="W115" i="2"/>
  <c r="W169" i="2"/>
  <c r="AJ202" i="2"/>
  <c r="AK202" i="2" s="1"/>
  <c r="W142" i="2"/>
  <c r="L243" i="2"/>
  <c r="W158" i="2"/>
  <c r="T176" i="2"/>
  <c r="U176" i="2"/>
  <c r="V176" i="2"/>
  <c r="S176" i="2"/>
  <c r="L236" i="2"/>
  <c r="K278" i="2" s="1"/>
  <c r="S175" i="2"/>
  <c r="T175" i="2"/>
  <c r="U175" i="2"/>
  <c r="V175" i="2"/>
  <c r="L182" i="2"/>
  <c r="K224" i="2" s="1"/>
  <c r="L237" i="2"/>
  <c r="K279" i="2" s="1"/>
  <c r="AJ186" i="2"/>
  <c r="AK186" i="2" s="1"/>
  <c r="L181" i="2"/>
  <c r="K223" i="2" s="1"/>
  <c r="V186" i="2"/>
  <c r="S186" i="2"/>
  <c r="T186" i="2"/>
  <c r="U186" i="2"/>
  <c r="L242" i="2"/>
  <c r="K284" i="2" s="1"/>
  <c r="S145" i="2"/>
  <c r="U145" i="2"/>
  <c r="V145" i="2"/>
  <c r="T145" i="2"/>
  <c r="L226" i="2"/>
  <c r="K268" i="2" s="1"/>
  <c r="L250" i="2"/>
  <c r="K292" i="2" s="1"/>
  <c r="T180" i="2"/>
  <c r="U180" i="2"/>
  <c r="S180" i="2"/>
  <c r="V180" i="2"/>
  <c r="T204" i="2"/>
  <c r="U204" i="2"/>
  <c r="S204" i="2"/>
  <c r="V204" i="2"/>
  <c r="U161" i="2"/>
  <c r="V161" i="2"/>
  <c r="S161" i="2"/>
  <c r="T161" i="2"/>
  <c r="AE252" i="2"/>
  <c r="AE271" i="2"/>
  <c r="AE248" i="2"/>
  <c r="AE223" i="2"/>
  <c r="AD352" i="2" l="1"/>
  <c r="E352" i="2"/>
  <c r="AD380" i="2"/>
  <c r="E380" i="2"/>
  <c r="AD356" i="2"/>
  <c r="E356" i="2"/>
  <c r="AQ159" i="2"/>
  <c r="AA219" i="2"/>
  <c r="AQ137" i="2"/>
  <c r="AD400" i="2"/>
  <c r="E400" i="2"/>
  <c r="AQ139" i="2"/>
  <c r="AA296" i="2"/>
  <c r="AB296" i="2" s="1"/>
  <c r="AC296" i="2" s="1"/>
  <c r="AQ212" i="2"/>
  <c r="AQ171" i="2"/>
  <c r="AQ164" i="2"/>
  <c r="AQ188" i="2"/>
  <c r="AD376" i="2"/>
  <c r="E376" i="2"/>
  <c r="AQ197" i="2"/>
  <c r="AQ168" i="2"/>
  <c r="AQ147" i="2"/>
  <c r="AE199" i="2"/>
  <c r="AF199" i="2" s="1"/>
  <c r="AG199" i="2" s="1"/>
  <c r="AE204" i="2"/>
  <c r="AF204" i="2" s="1"/>
  <c r="AG204" i="2" s="1"/>
  <c r="AG152" i="2"/>
  <c r="AE174" i="2"/>
  <c r="AF174" i="2" s="1"/>
  <c r="AG174" i="2" s="1"/>
  <c r="AG155" i="2"/>
  <c r="AE195" i="2"/>
  <c r="AF195" i="2" s="1"/>
  <c r="AG195" i="2" s="1"/>
  <c r="AA244" i="2"/>
  <c r="AB244" i="2" s="1"/>
  <c r="AC244" i="2" s="1"/>
  <c r="AA211" i="2"/>
  <c r="AB211" i="2" s="1"/>
  <c r="AA253" i="2" s="1"/>
  <c r="AE203" i="2"/>
  <c r="AF203" i="2" s="1"/>
  <c r="AG203" i="2" s="1"/>
  <c r="AE178" i="2"/>
  <c r="AF178" i="2" s="1"/>
  <c r="AG178" i="2" s="1"/>
  <c r="AE193" i="2"/>
  <c r="AF193" i="2" s="1"/>
  <c r="AG193" i="2" s="1"/>
  <c r="AE337" i="2"/>
  <c r="AF337" i="2" s="1"/>
  <c r="AG337" i="2" s="1"/>
  <c r="AF160" i="2"/>
  <c r="AG160" i="2" s="1"/>
  <c r="AF194" i="2"/>
  <c r="AG194" i="2" s="1"/>
  <c r="AE179" i="2"/>
  <c r="AF179" i="2" s="1"/>
  <c r="AJ142" i="2"/>
  <c r="AK142" i="2" s="1"/>
  <c r="AI225" i="2"/>
  <c r="AJ225" i="2" s="1"/>
  <c r="AK225" i="2" s="1"/>
  <c r="AA233" i="2"/>
  <c r="AB233" i="2" s="1"/>
  <c r="AC233" i="2" s="1"/>
  <c r="AE183" i="2"/>
  <c r="AF183" i="2" s="1"/>
  <c r="AG183" i="2" s="1"/>
  <c r="AA238" i="2"/>
  <c r="AB238" i="2" s="1"/>
  <c r="AC238" i="2" s="1"/>
  <c r="AA195" i="2"/>
  <c r="AB195" i="2" s="1"/>
  <c r="AC195" i="2" s="1"/>
  <c r="L25" i="6"/>
  <c r="H237" i="2"/>
  <c r="AD237" i="2" s="1"/>
  <c r="AE144" i="2"/>
  <c r="AF144" i="2" s="1"/>
  <c r="AG144" i="2" s="1"/>
  <c r="H225" i="2"/>
  <c r="AD225" i="2" s="1"/>
  <c r="L13" i="6"/>
  <c r="H360" i="2"/>
  <c r="AD360" i="2" s="1"/>
  <c r="O22" i="6"/>
  <c r="H379" i="2"/>
  <c r="AD379" i="2" s="1"/>
  <c r="O41" i="6"/>
  <c r="H378" i="2"/>
  <c r="AD378" i="2" s="1"/>
  <c r="O40" i="6"/>
  <c r="N28" i="6"/>
  <c r="H324" i="2"/>
  <c r="AD324" i="2" s="1"/>
  <c r="H238" i="2"/>
  <c r="AD238" i="2" s="1"/>
  <c r="L26" i="6"/>
  <c r="L16" i="6"/>
  <c r="H228" i="2"/>
  <c r="AD228" i="2" s="1"/>
  <c r="L34" i="6"/>
  <c r="H246" i="2"/>
  <c r="AD246" i="2" s="1"/>
  <c r="AE180" i="2"/>
  <c r="AF180" i="2" s="1"/>
  <c r="AG180" i="2" s="1"/>
  <c r="AE173" i="2"/>
  <c r="L10" i="6"/>
  <c r="H222" i="2"/>
  <c r="AD222" i="2" s="1"/>
  <c r="H242" i="2"/>
  <c r="AD242" i="2" s="1"/>
  <c r="L30" i="6"/>
  <c r="L12" i="6"/>
  <c r="H224" i="2"/>
  <c r="AD224" i="2" s="1"/>
  <c r="AC133" i="2"/>
  <c r="AE189" i="2"/>
  <c r="O11" i="6"/>
  <c r="H349" i="2"/>
  <c r="AD349" i="2" s="1"/>
  <c r="AE143" i="2"/>
  <c r="L33" i="6"/>
  <c r="H245" i="2"/>
  <c r="AD245" i="2" s="1"/>
  <c r="AA189" i="2"/>
  <c r="H301" i="2"/>
  <c r="AD301" i="2" s="1"/>
  <c r="N5" i="6"/>
  <c r="L15" i="6"/>
  <c r="H227" i="2"/>
  <c r="AD227" i="2" s="1"/>
  <c r="AE196" i="2"/>
  <c r="L4" i="6"/>
  <c r="H216" i="2"/>
  <c r="AD216" i="2" s="1"/>
  <c r="AE201" i="2"/>
  <c r="AF201" i="2" s="1"/>
  <c r="AG201" i="2" s="1"/>
  <c r="H381" i="2"/>
  <c r="AD381" i="2" s="1"/>
  <c r="O43" i="6"/>
  <c r="H243" i="2"/>
  <c r="AD243" i="2" s="1"/>
  <c r="L31" i="6"/>
  <c r="AB227" i="2"/>
  <c r="AC227" i="2" s="1"/>
  <c r="L3" i="6"/>
  <c r="H215" i="2"/>
  <c r="AD215" i="2" s="1"/>
  <c r="H374" i="2"/>
  <c r="AD374" i="2" s="1"/>
  <c r="O36" i="6"/>
  <c r="H231" i="2"/>
  <c r="AD231" i="2" s="1"/>
  <c r="L19" i="6"/>
  <c r="L21" i="6"/>
  <c r="H233" i="2"/>
  <c r="AD233" i="2" s="1"/>
  <c r="H218" i="2"/>
  <c r="AD218" i="2" s="1"/>
  <c r="L6" i="6"/>
  <c r="L24" i="6"/>
  <c r="H236" i="2"/>
  <c r="AD236" i="2" s="1"/>
  <c r="H345" i="2"/>
  <c r="AD345" i="2" s="1"/>
  <c r="O7" i="6"/>
  <c r="L27" i="6"/>
  <c r="H239" i="2"/>
  <c r="AD239" i="2" s="1"/>
  <c r="H214" i="2"/>
  <c r="AD214" i="2" s="1"/>
  <c r="L2" i="6"/>
  <c r="H331" i="2"/>
  <c r="AD331" i="2" s="1"/>
  <c r="N35" i="6"/>
  <c r="AF149" i="2"/>
  <c r="AG149" i="2" s="1"/>
  <c r="L9" i="6"/>
  <c r="H221" i="2"/>
  <c r="AD221" i="2" s="1"/>
  <c r="N8" i="6"/>
  <c r="H304" i="2"/>
  <c r="AD304" i="2" s="1"/>
  <c r="H328" i="2"/>
  <c r="AD328" i="2" s="1"/>
  <c r="N32" i="6"/>
  <c r="AF197" i="2"/>
  <c r="AG197" i="2" s="1"/>
  <c r="H375" i="2"/>
  <c r="AD375" i="2" s="1"/>
  <c r="O37" i="6"/>
  <c r="AF140" i="2"/>
  <c r="AG140" i="2" s="1"/>
  <c r="L29" i="6"/>
  <c r="H241" i="2"/>
  <c r="AD241" i="2" s="1"/>
  <c r="H377" i="2"/>
  <c r="AD377" i="2" s="1"/>
  <c r="O39" i="6"/>
  <c r="AF130" i="2"/>
  <c r="AG130" i="2" s="1"/>
  <c r="H439" i="2"/>
  <c r="AD439" i="2" s="1"/>
  <c r="Q17" i="6"/>
  <c r="H481" i="2" s="1"/>
  <c r="AD481" i="2" s="1"/>
  <c r="H235" i="2"/>
  <c r="AD235" i="2" s="1"/>
  <c r="L23" i="6"/>
  <c r="AE200" i="2"/>
  <c r="AE334" i="2"/>
  <c r="AF334" i="2" s="1"/>
  <c r="AG334" i="2" s="1"/>
  <c r="AA179" i="2"/>
  <c r="AB179" i="2" s="1"/>
  <c r="AC179" i="2" s="1"/>
  <c r="AE175" i="2"/>
  <c r="AF175" i="2" s="1"/>
  <c r="AG175" i="2" s="1"/>
  <c r="AC223" i="2"/>
  <c r="AA265" i="2"/>
  <c r="AB265" i="2" s="1"/>
  <c r="AC265" i="2" s="1"/>
  <c r="AB134" i="2"/>
  <c r="AC134" i="2" s="1"/>
  <c r="AA226" i="2"/>
  <c r="AB226" i="2" s="1"/>
  <c r="AC226" i="2" s="1"/>
  <c r="AA214" i="2"/>
  <c r="AB214" i="2" s="1"/>
  <c r="AC214" i="2" s="1"/>
  <c r="AA258" i="2"/>
  <c r="AB258" i="2" s="1"/>
  <c r="AC258" i="2" s="1"/>
  <c r="AA255" i="2"/>
  <c r="AB255" i="2" s="1"/>
  <c r="AB228" i="2"/>
  <c r="AC228" i="2" s="1"/>
  <c r="AB164" i="2"/>
  <c r="AC164" i="2" s="1"/>
  <c r="AB220" i="2"/>
  <c r="AC220" i="2" s="1"/>
  <c r="AB249" i="2"/>
  <c r="AC249" i="2" s="1"/>
  <c r="AB209" i="2"/>
  <c r="AC209" i="2" s="1"/>
  <c r="AB175" i="2"/>
  <c r="AA217" i="2" s="1"/>
  <c r="AB217" i="2" s="1"/>
  <c r="AC217" i="2" s="1"/>
  <c r="AB145" i="2"/>
  <c r="AC145" i="2" s="1"/>
  <c r="AB219" i="2"/>
  <c r="AA261" i="2" s="1"/>
  <c r="AN255" i="2"/>
  <c r="AO213" i="2"/>
  <c r="AN243" i="2"/>
  <c r="AO201" i="2"/>
  <c r="AN248" i="2"/>
  <c r="AO206" i="2"/>
  <c r="AN223" i="2"/>
  <c r="AO181" i="2"/>
  <c r="AN505" i="2"/>
  <c r="AO505" i="2" s="1"/>
  <c r="AO463" i="2"/>
  <c r="AN252" i="2"/>
  <c r="AO210" i="2"/>
  <c r="AN221" i="2"/>
  <c r="AO179" i="2"/>
  <c r="AN231" i="2"/>
  <c r="AO189" i="2"/>
  <c r="AN296" i="2"/>
  <c r="AO254" i="2"/>
  <c r="AN281" i="2"/>
  <c r="AO239" i="2"/>
  <c r="AN272" i="2"/>
  <c r="AO230" i="2"/>
  <c r="AE240" i="2"/>
  <c r="AF240" i="2" s="1"/>
  <c r="AG240" i="2" s="1"/>
  <c r="D503" i="2"/>
  <c r="E503" i="2" s="1"/>
  <c r="D461" i="2"/>
  <c r="E461" i="2" s="1"/>
  <c r="J475" i="2"/>
  <c r="X475" i="2" s="1"/>
  <c r="G475" i="2"/>
  <c r="Z475" i="2"/>
  <c r="P14" i="6"/>
  <c r="H436" i="2" s="1"/>
  <c r="D394" i="2"/>
  <c r="Z417" i="2"/>
  <c r="J417" i="2"/>
  <c r="X417" i="2" s="1"/>
  <c r="G417" i="2"/>
  <c r="AQ417" i="2" s="1"/>
  <c r="AL306" i="2"/>
  <c r="AH306" i="2"/>
  <c r="J412" i="2"/>
  <c r="X412" i="2" s="1"/>
  <c r="Z412" i="2"/>
  <c r="G412" i="2"/>
  <c r="AQ412" i="2" s="1"/>
  <c r="D507" i="2"/>
  <c r="E507" i="2" s="1"/>
  <c r="D465" i="2"/>
  <c r="E465" i="2" s="1"/>
  <c r="Z385" i="2"/>
  <c r="G385" i="2"/>
  <c r="AQ385" i="2" s="1"/>
  <c r="J385" i="2"/>
  <c r="X385" i="2" s="1"/>
  <c r="Z421" i="2"/>
  <c r="J421" i="2"/>
  <c r="X421" i="2" s="1"/>
  <c r="G421" i="2"/>
  <c r="AQ421" i="2" s="1"/>
  <c r="AL426" i="2"/>
  <c r="AH426" i="2"/>
  <c r="AH338" i="2"/>
  <c r="AL338" i="2"/>
  <c r="Z455" i="2"/>
  <c r="J455" i="2"/>
  <c r="X455" i="2" s="1"/>
  <c r="G455" i="2"/>
  <c r="AQ455" i="2" s="1"/>
  <c r="AL344" i="2"/>
  <c r="AH344" i="2"/>
  <c r="Z435" i="2"/>
  <c r="J435" i="2"/>
  <c r="X435" i="2" s="1"/>
  <c r="G435" i="2"/>
  <c r="AQ435" i="2" s="1"/>
  <c r="AH391" i="2"/>
  <c r="AL391" i="2"/>
  <c r="AL326" i="2"/>
  <c r="AH326" i="2"/>
  <c r="D422" i="2"/>
  <c r="P42" i="6"/>
  <c r="H464" i="2" s="1"/>
  <c r="AL379" i="2"/>
  <c r="AH379" i="2"/>
  <c r="Z348" i="2"/>
  <c r="J348" i="2"/>
  <c r="X348" i="2" s="1"/>
  <c r="G348" i="2"/>
  <c r="AQ348" i="2" s="1"/>
  <c r="D486" i="2"/>
  <c r="E486" i="2" s="1"/>
  <c r="D444" i="2"/>
  <c r="E444" i="2" s="1"/>
  <c r="G441" i="2"/>
  <c r="J441" i="2"/>
  <c r="X441" i="2" s="1"/>
  <c r="Z441" i="2"/>
  <c r="D501" i="2"/>
  <c r="E501" i="2" s="1"/>
  <c r="D459" i="2"/>
  <c r="E459" i="2" s="1"/>
  <c r="Z376" i="2"/>
  <c r="J376" i="2"/>
  <c r="X376" i="2" s="1"/>
  <c r="G376" i="2"/>
  <c r="AQ376" i="2" s="1"/>
  <c r="AL360" i="2"/>
  <c r="AH360" i="2"/>
  <c r="AL358" i="2"/>
  <c r="AH358" i="2"/>
  <c r="AH393" i="2"/>
  <c r="AL393" i="2"/>
  <c r="D406" i="2"/>
  <c r="E406" i="2" s="1"/>
  <c r="J497" i="2"/>
  <c r="X497" i="2" s="1"/>
  <c r="Z497" i="2"/>
  <c r="G497" i="2"/>
  <c r="AQ497" i="2" s="1"/>
  <c r="D500" i="2"/>
  <c r="E500" i="2" s="1"/>
  <c r="D458" i="2"/>
  <c r="E458" i="2" s="1"/>
  <c r="AL369" i="2"/>
  <c r="AH369" i="2"/>
  <c r="AL468" i="2"/>
  <c r="AH468" i="2"/>
  <c r="AL447" i="2"/>
  <c r="AH447" i="2"/>
  <c r="G402" i="2"/>
  <c r="AQ402" i="2" s="1"/>
  <c r="Z402" i="2"/>
  <c r="J402" i="2"/>
  <c r="X402" i="2" s="1"/>
  <c r="J368" i="2"/>
  <c r="X368" i="2" s="1"/>
  <c r="Z368" i="2"/>
  <c r="G368" i="2"/>
  <c r="AQ368" i="2" s="1"/>
  <c r="AL310" i="2"/>
  <c r="AH310" i="2"/>
  <c r="AH413" i="2"/>
  <c r="AL413" i="2"/>
  <c r="D429" i="2"/>
  <c r="E429" i="2" s="1"/>
  <c r="D471" i="2"/>
  <c r="E471" i="2" s="1"/>
  <c r="AH322" i="2"/>
  <c r="AL322" i="2"/>
  <c r="D398" i="2"/>
  <c r="P18" i="6"/>
  <c r="H440" i="2" s="1"/>
  <c r="G419" i="2"/>
  <c r="AQ419" i="2" s="1"/>
  <c r="Z419" i="2"/>
  <c r="J419" i="2"/>
  <c r="X419" i="2" s="1"/>
  <c r="D470" i="2"/>
  <c r="E470" i="2" s="1"/>
  <c r="D428" i="2"/>
  <c r="E428" i="2" s="1"/>
  <c r="Z395" i="2"/>
  <c r="J395" i="2"/>
  <c r="X395" i="2" s="1"/>
  <c r="G395" i="2"/>
  <c r="AQ395" i="2" s="1"/>
  <c r="Z364" i="2"/>
  <c r="G364" i="2"/>
  <c r="AQ364" i="2" s="1"/>
  <c r="J364" i="2"/>
  <c r="X364" i="2" s="1"/>
  <c r="Z433" i="2"/>
  <c r="J433" i="2"/>
  <c r="X433" i="2" s="1"/>
  <c r="G433" i="2"/>
  <c r="AL377" i="2"/>
  <c r="AH377" i="2"/>
  <c r="J416" i="2"/>
  <c r="X416" i="2" s="1"/>
  <c r="Z416" i="2"/>
  <c r="G416" i="2"/>
  <c r="AL373" i="2"/>
  <c r="AH373" i="2"/>
  <c r="G477" i="2"/>
  <c r="AQ477" i="2" s="1"/>
  <c r="Z477" i="2"/>
  <c r="J477" i="2"/>
  <c r="X477" i="2" s="1"/>
  <c r="AL330" i="2"/>
  <c r="AH330" i="2"/>
  <c r="J380" i="2"/>
  <c r="X380" i="2" s="1"/>
  <c r="Z380" i="2"/>
  <c r="G380" i="2"/>
  <c r="G415" i="2"/>
  <c r="AQ415" i="2" s="1"/>
  <c r="J415" i="2"/>
  <c r="X415" i="2" s="1"/>
  <c r="Z415" i="2"/>
  <c r="D390" i="2"/>
  <c r="E390" i="2" s="1"/>
  <c r="Z400" i="2"/>
  <c r="J400" i="2"/>
  <c r="X400" i="2" s="1"/>
  <c r="G400" i="2"/>
  <c r="AQ400" i="2" s="1"/>
  <c r="Z372" i="2"/>
  <c r="J372" i="2"/>
  <c r="X372" i="2" s="1"/>
  <c r="G372" i="2"/>
  <c r="AQ372" i="2" s="1"/>
  <c r="D410" i="2"/>
  <c r="E410" i="2" s="1"/>
  <c r="D418" i="2"/>
  <c r="P38" i="6"/>
  <c r="H460" i="2" s="1"/>
  <c r="Z403" i="2"/>
  <c r="J403" i="2"/>
  <c r="X403" i="2" s="1"/>
  <c r="G403" i="2"/>
  <c r="AQ403" i="2" s="1"/>
  <c r="G386" i="2"/>
  <c r="AQ386" i="2" s="1"/>
  <c r="Z386" i="2"/>
  <c r="J386" i="2"/>
  <c r="X386" i="2" s="1"/>
  <c r="G423" i="2"/>
  <c r="J423" i="2"/>
  <c r="X423" i="2" s="1"/>
  <c r="Z423" i="2"/>
  <c r="AH374" i="2"/>
  <c r="AL374" i="2"/>
  <c r="J411" i="2"/>
  <c r="X411" i="2" s="1"/>
  <c r="G411" i="2"/>
  <c r="Z411" i="2"/>
  <c r="AL489" i="2"/>
  <c r="AH489" i="2"/>
  <c r="AL375" i="2"/>
  <c r="AH375" i="2"/>
  <c r="AL353" i="2"/>
  <c r="AH353" i="2"/>
  <c r="D414" i="2"/>
  <c r="E414" i="2" s="1"/>
  <c r="G387" i="2"/>
  <c r="AQ387" i="2" s="1"/>
  <c r="J387" i="2"/>
  <c r="X387" i="2" s="1"/>
  <c r="Z387" i="2"/>
  <c r="AL343" i="2"/>
  <c r="AH343" i="2"/>
  <c r="AL361" i="2"/>
  <c r="AH361" i="2"/>
  <c r="D496" i="2"/>
  <c r="E496" i="2" s="1"/>
  <c r="D454" i="2"/>
  <c r="E454" i="2" s="1"/>
  <c r="Z356" i="2"/>
  <c r="J356" i="2"/>
  <c r="X356" i="2" s="1"/>
  <c r="G356" i="2"/>
  <c r="AL399" i="2"/>
  <c r="AH399" i="2"/>
  <c r="D479" i="2"/>
  <c r="E479" i="2" s="1"/>
  <c r="D437" i="2"/>
  <c r="E437" i="2" s="1"/>
  <c r="D427" i="2"/>
  <c r="E427" i="2" s="1"/>
  <c r="D469" i="2"/>
  <c r="E469" i="2" s="1"/>
  <c r="D505" i="2"/>
  <c r="E505" i="2" s="1"/>
  <c r="D463" i="2"/>
  <c r="E463" i="2" s="1"/>
  <c r="D495" i="2"/>
  <c r="E495" i="2" s="1"/>
  <c r="D453" i="2"/>
  <c r="E453" i="2" s="1"/>
  <c r="AL370" i="2"/>
  <c r="AH370" i="2"/>
  <c r="AL314" i="2"/>
  <c r="AH314" i="2"/>
  <c r="J352" i="2"/>
  <c r="X352" i="2" s="1"/>
  <c r="G352" i="2"/>
  <c r="AQ352" i="2" s="1"/>
  <c r="Z352" i="2"/>
  <c r="AL345" i="2"/>
  <c r="AH345" i="2"/>
  <c r="AL381" i="2"/>
  <c r="AH381" i="2"/>
  <c r="D499" i="2"/>
  <c r="E499" i="2" s="1"/>
  <c r="D457" i="2"/>
  <c r="E457" i="2" s="1"/>
  <c r="D484" i="2"/>
  <c r="E484" i="2" s="1"/>
  <c r="D442" i="2"/>
  <c r="Q20" i="6"/>
  <c r="H484" i="2" s="1"/>
  <c r="G483" i="2"/>
  <c r="Z483" i="2"/>
  <c r="J483" i="2"/>
  <c r="X483" i="2" s="1"/>
  <c r="D445" i="2"/>
  <c r="E445" i="2" s="1"/>
  <c r="D487" i="2"/>
  <c r="E487" i="2" s="1"/>
  <c r="AL334" i="2"/>
  <c r="AH334" i="2"/>
  <c r="AL431" i="2"/>
  <c r="AH431" i="2"/>
  <c r="G467" i="2"/>
  <c r="AQ467" i="2" s="1"/>
  <c r="J467" i="2"/>
  <c r="X467" i="2" s="1"/>
  <c r="Z467" i="2"/>
  <c r="AL462" i="2"/>
  <c r="AH462" i="2"/>
  <c r="J382" i="2"/>
  <c r="X382" i="2" s="1"/>
  <c r="Z382" i="2"/>
  <c r="G382" i="2"/>
  <c r="AQ382" i="2" s="1"/>
  <c r="AL504" i="2"/>
  <c r="AH504" i="2"/>
  <c r="D466" i="2"/>
  <c r="E466" i="2" s="1"/>
  <c r="D424" i="2"/>
  <c r="E424" i="2" s="1"/>
  <c r="AI280" i="2"/>
  <c r="AJ280" i="2" s="1"/>
  <c r="AK280" i="2" s="1"/>
  <c r="G425" i="2"/>
  <c r="AQ425" i="2" s="1"/>
  <c r="J425" i="2"/>
  <c r="X425" i="2" s="1"/>
  <c r="Z425" i="2"/>
  <c r="AL340" i="2"/>
  <c r="AH340" i="2"/>
  <c r="AH383" i="2"/>
  <c r="AL383" i="2"/>
  <c r="AH473" i="2"/>
  <c r="AL473" i="2"/>
  <c r="AC166" i="2"/>
  <c r="AC131" i="2"/>
  <c r="AC148" i="2"/>
  <c r="AC156" i="2"/>
  <c r="AE297" i="2"/>
  <c r="AF297" i="2" s="1"/>
  <c r="AG297" i="2" s="1"/>
  <c r="AI212" i="2"/>
  <c r="AJ212" i="2" s="1"/>
  <c r="AK212" i="2" s="1"/>
  <c r="AC162" i="2"/>
  <c r="AI244" i="2"/>
  <c r="AJ244" i="2" s="1"/>
  <c r="AK244" i="2" s="1"/>
  <c r="AE176" i="2"/>
  <c r="AF176" i="2" s="1"/>
  <c r="AG176" i="2" s="1"/>
  <c r="AJ138" i="2"/>
  <c r="AK138" i="2" s="1"/>
  <c r="AA183" i="2"/>
  <c r="AA197" i="2"/>
  <c r="AJ150" i="2"/>
  <c r="AK150" i="2" s="1"/>
  <c r="AC241" i="2"/>
  <c r="AI197" i="2"/>
  <c r="AC201" i="2"/>
  <c r="AI194" i="2"/>
  <c r="AI289" i="2"/>
  <c r="AJ289" i="2" s="1"/>
  <c r="AK289" i="2" s="1"/>
  <c r="AE232" i="2"/>
  <c r="AE184" i="2"/>
  <c r="AA264" i="2"/>
  <c r="AF251" i="2"/>
  <c r="AG251" i="2" s="1"/>
  <c r="AE272" i="2"/>
  <c r="AE247" i="2"/>
  <c r="AF247" i="2" s="1"/>
  <c r="AG247" i="2" s="1"/>
  <c r="AE249" i="2"/>
  <c r="AF249" i="2" s="1"/>
  <c r="AG249" i="2" s="1"/>
  <c r="AC252" i="2"/>
  <c r="AA294" i="2"/>
  <c r="AC245" i="2"/>
  <c r="AE303" i="2"/>
  <c r="AF303" i="2" s="1"/>
  <c r="W114" i="2"/>
  <c r="AI245" i="2"/>
  <c r="AJ245" i="2" s="1"/>
  <c r="AK245" i="2" s="1"/>
  <c r="W195" i="2"/>
  <c r="AA277" i="2"/>
  <c r="W157" i="2"/>
  <c r="W178" i="2"/>
  <c r="W185" i="2"/>
  <c r="W161" i="2"/>
  <c r="W204" i="2"/>
  <c r="W180" i="2"/>
  <c r="AI228" i="2"/>
  <c r="AJ228" i="2" s="1"/>
  <c r="AK228" i="2" s="1"/>
  <c r="AI260" i="2"/>
  <c r="AJ260" i="2" s="1"/>
  <c r="AK260" i="2" s="1"/>
  <c r="W175" i="2"/>
  <c r="W192" i="2"/>
  <c r="AI293" i="2"/>
  <c r="W194" i="2"/>
  <c r="W155" i="2"/>
  <c r="L264" i="2"/>
  <c r="K306" i="2" s="1"/>
  <c r="L224" i="2"/>
  <c r="L256" i="2"/>
  <c r="K298" i="2" s="1"/>
  <c r="L288" i="2"/>
  <c r="L248" i="2"/>
  <c r="L292" i="2"/>
  <c r="K334" i="2" s="1"/>
  <c r="L238" i="2"/>
  <c r="K280" i="2" s="1"/>
  <c r="L293" i="2"/>
  <c r="K335" i="2" s="1"/>
  <c r="L260" i="2"/>
  <c r="K302" i="2" s="1"/>
  <c r="L284" i="2"/>
  <c r="K326" i="2" s="1"/>
  <c r="L183" i="2"/>
  <c r="K225" i="2" s="1"/>
  <c r="L254" i="2"/>
  <c r="K296" i="2" s="1"/>
  <c r="L259" i="2"/>
  <c r="K301" i="2" s="1"/>
  <c r="V226" i="2"/>
  <c r="S226" i="2"/>
  <c r="U226" i="2"/>
  <c r="T226" i="2"/>
  <c r="W145" i="2"/>
  <c r="U181" i="2"/>
  <c r="V181" i="2"/>
  <c r="S181" i="2"/>
  <c r="T181" i="2"/>
  <c r="AI295" i="2"/>
  <c r="U237" i="2"/>
  <c r="V237" i="2"/>
  <c r="S237" i="2"/>
  <c r="T237" i="2"/>
  <c r="AI304" i="2"/>
  <c r="AI275" i="2"/>
  <c r="T236" i="2"/>
  <c r="U236" i="2"/>
  <c r="S236" i="2"/>
  <c r="V236" i="2"/>
  <c r="W189" i="2"/>
  <c r="AC230" i="2"/>
  <c r="L213" i="2"/>
  <c r="K255" i="2" s="1"/>
  <c r="AI246" i="2"/>
  <c r="AJ261" i="2"/>
  <c r="AK261" i="2" s="1"/>
  <c r="W146" i="2"/>
  <c r="L230" i="2"/>
  <c r="K272" i="2" s="1"/>
  <c r="S247" i="2"/>
  <c r="T247" i="2"/>
  <c r="U247" i="2"/>
  <c r="V247" i="2"/>
  <c r="W170" i="2"/>
  <c r="W190" i="2"/>
  <c r="L198" i="2"/>
  <c r="K240" i="2" s="1"/>
  <c r="S231" i="2"/>
  <c r="T231" i="2"/>
  <c r="U231" i="2"/>
  <c r="V231" i="2"/>
  <c r="L244" i="2"/>
  <c r="K286" i="2" s="1"/>
  <c r="L263" i="2"/>
  <c r="K305" i="2" s="1"/>
  <c r="T216" i="2"/>
  <c r="U216" i="2"/>
  <c r="V216" i="2"/>
  <c r="S216" i="2"/>
  <c r="W168" i="2"/>
  <c r="W179" i="2"/>
  <c r="AJ252" i="2"/>
  <c r="AK252" i="2" s="1"/>
  <c r="AJ224" i="2"/>
  <c r="AK224" i="2" s="1"/>
  <c r="T228" i="2"/>
  <c r="U228" i="2"/>
  <c r="S228" i="2"/>
  <c r="V228" i="2"/>
  <c r="T232" i="2"/>
  <c r="U232" i="2"/>
  <c r="V232" i="2"/>
  <c r="S232" i="2"/>
  <c r="L279" i="2"/>
  <c r="W186" i="2"/>
  <c r="W176" i="2"/>
  <c r="AI297" i="2"/>
  <c r="AI271" i="2"/>
  <c r="S203" i="2"/>
  <c r="T203" i="2"/>
  <c r="V203" i="2"/>
  <c r="U203" i="2"/>
  <c r="W139" i="2"/>
  <c r="AC224" i="2"/>
  <c r="W174" i="2"/>
  <c r="AJ243" i="2"/>
  <c r="AK243" i="2" s="1"/>
  <c r="AI250" i="2"/>
  <c r="AJ217" i="2"/>
  <c r="AK217" i="2" s="1"/>
  <c r="W205" i="2"/>
  <c r="T188" i="2"/>
  <c r="U188" i="2"/>
  <c r="S188" i="2"/>
  <c r="V188" i="2"/>
  <c r="K289" i="2"/>
  <c r="V156" i="2"/>
  <c r="T156" i="2"/>
  <c r="S156" i="2"/>
  <c r="U156" i="2"/>
  <c r="K273" i="2"/>
  <c r="V202" i="2"/>
  <c r="S202" i="2"/>
  <c r="T202" i="2"/>
  <c r="U202" i="2"/>
  <c r="U221" i="2"/>
  <c r="V221" i="2"/>
  <c r="S221" i="2"/>
  <c r="T221" i="2"/>
  <c r="K258" i="2"/>
  <c r="W191" i="2"/>
  <c r="W171" i="2"/>
  <c r="AI273" i="2"/>
  <c r="AI284" i="2"/>
  <c r="AJ237" i="2"/>
  <c r="AK237" i="2" s="1"/>
  <c r="W160" i="2"/>
  <c r="AJ240" i="2"/>
  <c r="AK240" i="2" s="1"/>
  <c r="W140" i="2"/>
  <c r="W201" i="2"/>
  <c r="AC242" i="2"/>
  <c r="AJ269" i="2"/>
  <c r="AK269" i="2" s="1"/>
  <c r="W154" i="2"/>
  <c r="S219" i="2"/>
  <c r="T219" i="2"/>
  <c r="V219" i="2"/>
  <c r="U219" i="2"/>
  <c r="L274" i="2"/>
  <c r="K316" i="2" s="1"/>
  <c r="V218" i="2"/>
  <c r="S218" i="2"/>
  <c r="T218" i="2"/>
  <c r="U218" i="2"/>
  <c r="U217" i="2"/>
  <c r="V217" i="2"/>
  <c r="T217" i="2"/>
  <c r="S217" i="2"/>
  <c r="V206" i="2"/>
  <c r="S206" i="2"/>
  <c r="T206" i="2"/>
  <c r="U206" i="2"/>
  <c r="V222" i="2"/>
  <c r="S222" i="2"/>
  <c r="T222" i="2"/>
  <c r="U222" i="2"/>
  <c r="V250" i="2"/>
  <c r="S250" i="2"/>
  <c r="T250" i="2"/>
  <c r="U250" i="2"/>
  <c r="V242" i="2"/>
  <c r="S242" i="2"/>
  <c r="U242" i="2"/>
  <c r="T242" i="2"/>
  <c r="V182" i="2"/>
  <c r="S182" i="2"/>
  <c r="T182" i="2"/>
  <c r="U182" i="2"/>
  <c r="S243" i="2"/>
  <c r="T243" i="2"/>
  <c r="U243" i="2"/>
  <c r="V243" i="2"/>
  <c r="T196" i="2"/>
  <c r="U196" i="2"/>
  <c r="S196" i="2"/>
  <c r="V196" i="2"/>
  <c r="L245" i="2"/>
  <c r="K287" i="2" s="1"/>
  <c r="L253" i="2"/>
  <c r="K295" i="2" s="1"/>
  <c r="AJ235" i="2"/>
  <c r="AK235" i="2" s="1"/>
  <c r="AJ214" i="2"/>
  <c r="AK214" i="2" s="1"/>
  <c r="AJ221" i="2"/>
  <c r="AK221" i="2" s="1"/>
  <c r="S199" i="2"/>
  <c r="T199" i="2"/>
  <c r="U199" i="2"/>
  <c r="V199" i="2"/>
  <c r="L262" i="2"/>
  <c r="K304" i="2" s="1"/>
  <c r="L252" i="2"/>
  <c r="K294" i="2" s="1"/>
  <c r="S235" i="2"/>
  <c r="T235" i="2"/>
  <c r="V235" i="2"/>
  <c r="U235" i="2"/>
  <c r="AJ232" i="2"/>
  <c r="AK232" i="2" s="1"/>
  <c r="AJ249" i="2"/>
  <c r="AK249" i="2" s="1"/>
  <c r="AJ223" i="2"/>
  <c r="AK223" i="2" s="1"/>
  <c r="AJ230" i="2"/>
  <c r="AK230" i="2" s="1"/>
  <c r="AJ215" i="2"/>
  <c r="AK215" i="2" s="1"/>
  <c r="L197" i="2"/>
  <c r="K239" i="2" s="1"/>
  <c r="T212" i="2"/>
  <c r="U212" i="2"/>
  <c r="S212" i="2"/>
  <c r="V212" i="2"/>
  <c r="L261" i="2"/>
  <c r="K303" i="2" s="1"/>
  <c r="V214" i="2"/>
  <c r="S214" i="2"/>
  <c r="T214" i="2"/>
  <c r="U214" i="2"/>
  <c r="S227" i="2"/>
  <c r="T227" i="2"/>
  <c r="U227" i="2"/>
  <c r="V227" i="2"/>
  <c r="L215" i="2"/>
  <c r="S207" i="2"/>
  <c r="T207" i="2"/>
  <c r="U207" i="2"/>
  <c r="V207" i="2"/>
  <c r="S187" i="2"/>
  <c r="T187" i="2"/>
  <c r="V187" i="2"/>
  <c r="U187" i="2"/>
  <c r="L268" i="2"/>
  <c r="K310" i="2" s="1"/>
  <c r="L223" i="2"/>
  <c r="L278" i="2"/>
  <c r="K320" i="2" s="1"/>
  <c r="K285" i="2"/>
  <c r="W131" i="2"/>
  <c r="W208" i="2"/>
  <c r="W184" i="2"/>
  <c r="W200" i="2"/>
  <c r="AC247" i="2"/>
  <c r="AC234" i="2"/>
  <c r="L233" i="2"/>
  <c r="K275" i="2" s="1"/>
  <c r="W193" i="2"/>
  <c r="L234" i="2"/>
  <c r="K276" i="2" s="1"/>
  <c r="K241" i="2"/>
  <c r="T220" i="2"/>
  <c r="U220" i="2"/>
  <c r="S220" i="2"/>
  <c r="V220" i="2"/>
  <c r="W172" i="2"/>
  <c r="W209" i="2"/>
  <c r="W164" i="2"/>
  <c r="W177" i="2"/>
  <c r="V210" i="2"/>
  <c r="S210" i="2"/>
  <c r="U210" i="2"/>
  <c r="T210" i="2"/>
  <c r="AA236" i="2"/>
  <c r="AB236" i="2" s="1"/>
  <c r="AI258" i="2"/>
  <c r="W211" i="2"/>
  <c r="W165" i="2"/>
  <c r="AI325" i="2"/>
  <c r="L277" i="2"/>
  <c r="K319" i="2" s="1"/>
  <c r="S141" i="2"/>
  <c r="U141" i="2"/>
  <c r="T141" i="2"/>
  <c r="V141" i="2"/>
  <c r="AJ248" i="2"/>
  <c r="AK248" i="2" s="1"/>
  <c r="S251" i="2"/>
  <c r="T251" i="2"/>
  <c r="V251" i="2"/>
  <c r="U251" i="2"/>
  <c r="L270" i="2"/>
  <c r="K312" i="2" s="1"/>
  <c r="AE234" i="2"/>
  <c r="K269" i="2"/>
  <c r="V246" i="2"/>
  <c r="S246" i="2"/>
  <c r="T246" i="2"/>
  <c r="U246" i="2"/>
  <c r="U173" i="2"/>
  <c r="V173" i="2"/>
  <c r="S173" i="2"/>
  <c r="T173" i="2"/>
  <c r="K249" i="2"/>
  <c r="K229" i="2"/>
  <c r="AF223" i="2"/>
  <c r="AG223" i="2" s="1"/>
  <c r="AF271" i="2"/>
  <c r="AG271" i="2" s="1"/>
  <c r="AE338" i="2"/>
  <c r="AF252" i="2"/>
  <c r="AG252" i="2" s="1"/>
  <c r="AF248" i="2"/>
  <c r="AG248" i="2" s="1"/>
  <c r="AA338" i="2" l="1"/>
  <c r="AB338" i="2" s="1"/>
  <c r="AC338" i="2" s="1"/>
  <c r="AQ230" i="2"/>
  <c r="AQ206" i="2"/>
  <c r="AD422" i="2"/>
  <c r="E422" i="2"/>
  <c r="AD442" i="2"/>
  <c r="E442" i="2"/>
  <c r="AQ239" i="2"/>
  <c r="AQ210" i="2"/>
  <c r="AQ201" i="2"/>
  <c r="AQ179" i="2"/>
  <c r="AD394" i="2"/>
  <c r="E394" i="2"/>
  <c r="AD418" i="2"/>
  <c r="E418" i="2"/>
  <c r="AQ254" i="2"/>
  <c r="AQ213" i="2"/>
  <c r="AD398" i="2"/>
  <c r="E398" i="2"/>
  <c r="AQ189" i="2"/>
  <c r="AQ181" i="2"/>
  <c r="AE220" i="2"/>
  <c r="AF220" i="2" s="1"/>
  <c r="AG220" i="2" s="1"/>
  <c r="AE379" i="2"/>
  <c r="AF379" i="2" s="1"/>
  <c r="AE241" i="2"/>
  <c r="AF241" i="2" s="1"/>
  <c r="AG241" i="2" s="1"/>
  <c r="AE202" i="2"/>
  <c r="AF202" i="2" s="1"/>
  <c r="AG202" i="2" s="1"/>
  <c r="AE236" i="2"/>
  <c r="AF236" i="2" s="1"/>
  <c r="AG236" i="2" s="1"/>
  <c r="AA237" i="2"/>
  <c r="AB237" i="2" s="1"/>
  <c r="AI184" i="2"/>
  <c r="AJ184" i="2" s="1"/>
  <c r="AG179" i="2"/>
  <c r="AE221" i="2"/>
  <c r="AF221" i="2" s="1"/>
  <c r="AG221" i="2" s="1"/>
  <c r="AA270" i="2"/>
  <c r="AB270" i="2" s="1"/>
  <c r="AC270" i="2" s="1"/>
  <c r="AA262" i="2"/>
  <c r="AB262" i="2" s="1"/>
  <c r="AC262" i="2" s="1"/>
  <c r="AE222" i="2"/>
  <c r="AF222" i="2" s="1"/>
  <c r="AG222" i="2" s="1"/>
  <c r="AE186" i="2"/>
  <c r="AF186" i="2" s="1"/>
  <c r="AG186" i="2" s="1"/>
  <c r="AA269" i="2"/>
  <c r="H279" i="2"/>
  <c r="AD279" i="2" s="1"/>
  <c r="M25" i="6"/>
  <c r="AE172" i="2"/>
  <c r="AF172" i="2" s="1"/>
  <c r="AG172" i="2" s="1"/>
  <c r="AE225" i="2"/>
  <c r="M13" i="6"/>
  <c r="H267" i="2"/>
  <c r="AD267" i="2" s="1"/>
  <c r="H277" i="2"/>
  <c r="AD277" i="2" s="1"/>
  <c r="M23" i="6"/>
  <c r="O8" i="6"/>
  <c r="H346" i="2"/>
  <c r="AD346" i="2" s="1"/>
  <c r="H273" i="2"/>
  <c r="AD273" i="2" s="1"/>
  <c r="M19" i="6"/>
  <c r="AB189" i="2"/>
  <c r="AC189" i="2" s="1"/>
  <c r="M16" i="6"/>
  <c r="H270" i="2"/>
  <c r="AD270" i="2" s="1"/>
  <c r="O28" i="6"/>
  <c r="H366" i="2"/>
  <c r="AD366" i="2" s="1"/>
  <c r="AA206" i="2"/>
  <c r="AB206" i="2" s="1"/>
  <c r="AC206" i="2" s="1"/>
  <c r="H370" i="2"/>
  <c r="AD370" i="2" s="1"/>
  <c r="O32" i="6"/>
  <c r="H373" i="2"/>
  <c r="AD373" i="2" s="1"/>
  <c r="O35" i="6"/>
  <c r="H269" i="2"/>
  <c r="AD269" i="2" s="1"/>
  <c r="M15" i="6"/>
  <c r="H391" i="2"/>
  <c r="AD391" i="2" s="1"/>
  <c r="P11" i="6"/>
  <c r="M26" i="6"/>
  <c r="H280" i="2"/>
  <c r="AD280" i="2" s="1"/>
  <c r="H420" i="2"/>
  <c r="AD420" i="2" s="1"/>
  <c r="P40" i="6"/>
  <c r="H402" i="2"/>
  <c r="AD402" i="2" s="1"/>
  <c r="P22" i="6"/>
  <c r="M29" i="6"/>
  <c r="H283" i="2"/>
  <c r="AD283" i="2" s="1"/>
  <c r="H263" i="2"/>
  <c r="AD263" i="2" s="1"/>
  <c r="M9" i="6"/>
  <c r="M27" i="6"/>
  <c r="H281" i="2"/>
  <c r="AD281" i="2" s="1"/>
  <c r="M24" i="6"/>
  <c r="H278" i="2"/>
  <c r="AD278" i="2" s="1"/>
  <c r="M21" i="6"/>
  <c r="H275" i="2"/>
  <c r="AD275" i="2" s="1"/>
  <c r="H416" i="2"/>
  <c r="AD416" i="2" s="1"/>
  <c r="P36" i="6"/>
  <c r="P43" i="6"/>
  <c r="H423" i="2"/>
  <c r="AD423" i="2" s="1"/>
  <c r="H258" i="2"/>
  <c r="AD258" i="2" s="1"/>
  <c r="M4" i="6"/>
  <c r="H343" i="2"/>
  <c r="AD343" i="2" s="1"/>
  <c r="O5" i="6"/>
  <c r="H287" i="2"/>
  <c r="AD287" i="2" s="1"/>
  <c r="M33" i="6"/>
  <c r="AF189" i="2"/>
  <c r="AG189" i="2" s="1"/>
  <c r="M12" i="6"/>
  <c r="H266" i="2"/>
  <c r="AD266" i="2" s="1"/>
  <c r="H264" i="2"/>
  <c r="AD264" i="2" s="1"/>
  <c r="M10" i="6"/>
  <c r="H288" i="2"/>
  <c r="AD288" i="2" s="1"/>
  <c r="M34" i="6"/>
  <c r="AA251" i="2"/>
  <c r="AB251" i="2" s="1"/>
  <c r="AC251" i="2" s="1"/>
  <c r="AA307" i="2"/>
  <c r="AB307" i="2" s="1"/>
  <c r="AC307" i="2" s="1"/>
  <c r="AE243" i="2"/>
  <c r="AF243" i="2" s="1"/>
  <c r="AG243" i="2" s="1"/>
  <c r="AA187" i="2"/>
  <c r="AB187" i="2" s="1"/>
  <c r="AA229" i="2" s="1"/>
  <c r="AB229" i="2" s="1"/>
  <c r="AD484" i="2"/>
  <c r="AF200" i="2"/>
  <c r="AG200" i="2" s="1"/>
  <c r="H419" i="2"/>
  <c r="AD419" i="2" s="1"/>
  <c r="P39" i="6"/>
  <c r="AE182" i="2"/>
  <c r="H417" i="2"/>
  <c r="AD417" i="2" s="1"/>
  <c r="P37" i="6"/>
  <c r="AE239" i="2"/>
  <c r="AE191" i="2"/>
  <c r="H256" i="2"/>
  <c r="AD256" i="2" s="1"/>
  <c r="M2" i="6"/>
  <c r="H387" i="2"/>
  <c r="AD387" i="2" s="1"/>
  <c r="P7" i="6"/>
  <c r="H260" i="2"/>
  <c r="AD260" i="2" s="1"/>
  <c r="M6" i="6"/>
  <c r="H257" i="2"/>
  <c r="AD257" i="2" s="1"/>
  <c r="M3" i="6"/>
  <c r="H285" i="2"/>
  <c r="AD285" i="2" s="1"/>
  <c r="M31" i="6"/>
  <c r="AF196" i="2"/>
  <c r="AG196" i="2" s="1"/>
  <c r="AF143" i="2"/>
  <c r="AG143" i="2" s="1"/>
  <c r="H284" i="2"/>
  <c r="AD284" i="2" s="1"/>
  <c r="M30" i="6"/>
  <c r="AF173" i="2"/>
  <c r="AG173" i="2" s="1"/>
  <c r="H421" i="2"/>
  <c r="AD421" i="2" s="1"/>
  <c r="P41" i="6"/>
  <c r="AE376" i="2"/>
  <c r="AF376" i="2" s="1"/>
  <c r="AG376" i="2" s="1"/>
  <c r="AC255" i="2"/>
  <c r="AA297" i="2"/>
  <c r="AB297" i="2" s="1"/>
  <c r="AC297" i="2" s="1"/>
  <c r="AA286" i="2"/>
  <c r="AB286" i="2" s="1"/>
  <c r="AA280" i="2"/>
  <c r="AB280" i="2" s="1"/>
  <c r="AC280" i="2" s="1"/>
  <c r="AE217" i="2"/>
  <c r="AF217" i="2" s="1"/>
  <c r="AG217" i="2" s="1"/>
  <c r="AA291" i="2"/>
  <c r="AB291" i="2" s="1"/>
  <c r="AC291" i="2" s="1"/>
  <c r="AA176" i="2"/>
  <c r="AI322" i="2"/>
  <c r="AJ322" i="2" s="1"/>
  <c r="AK322" i="2" s="1"/>
  <c r="AC219" i="2"/>
  <c r="AC175" i="2"/>
  <c r="AB264" i="2"/>
  <c r="AC264" i="2" s="1"/>
  <c r="AB197" i="2"/>
  <c r="AC197" i="2" s="1"/>
  <c r="AB183" i="2"/>
  <c r="AC183" i="2" s="1"/>
  <c r="AB253" i="2"/>
  <c r="AA295" i="2" s="1"/>
  <c r="AB295" i="2" s="1"/>
  <c r="AC295" i="2" s="1"/>
  <c r="AB277" i="2"/>
  <c r="AC277" i="2" s="1"/>
  <c r="AB261" i="2"/>
  <c r="AA303" i="2" s="1"/>
  <c r="AC211" i="2"/>
  <c r="AB294" i="2"/>
  <c r="AA336" i="2" s="1"/>
  <c r="AB336" i="2" s="1"/>
  <c r="AN273" i="2"/>
  <c r="AO231" i="2"/>
  <c r="AN294" i="2"/>
  <c r="AO252" i="2"/>
  <c r="AN290" i="2"/>
  <c r="AO248" i="2"/>
  <c r="AN297" i="2"/>
  <c r="AO255" i="2"/>
  <c r="AN263" i="2"/>
  <c r="AO221" i="2"/>
  <c r="AN265" i="2"/>
  <c r="AO223" i="2"/>
  <c r="AO243" i="2"/>
  <c r="AN285" i="2"/>
  <c r="AO281" i="2"/>
  <c r="AN323" i="2"/>
  <c r="AN314" i="2"/>
  <c r="AO272" i="2"/>
  <c r="AN338" i="2"/>
  <c r="AO296" i="2"/>
  <c r="G442" i="2"/>
  <c r="AQ442" i="2" s="1"/>
  <c r="Z442" i="2"/>
  <c r="J442" i="2"/>
  <c r="X442" i="2" s="1"/>
  <c r="G463" i="2"/>
  <c r="AQ463" i="2" s="1"/>
  <c r="Z463" i="2"/>
  <c r="J463" i="2"/>
  <c r="X463" i="2" s="1"/>
  <c r="D494" i="2"/>
  <c r="E494" i="2" s="1"/>
  <c r="D452" i="2"/>
  <c r="E452" i="2" s="1"/>
  <c r="AH368" i="2"/>
  <c r="AL368" i="2"/>
  <c r="AL385" i="2"/>
  <c r="AH385" i="2"/>
  <c r="Z487" i="2"/>
  <c r="J487" i="2"/>
  <c r="X487" i="2" s="1"/>
  <c r="G487" i="2"/>
  <c r="AQ487" i="2" s="1"/>
  <c r="AL483" i="2"/>
  <c r="AH483" i="2"/>
  <c r="G484" i="2"/>
  <c r="AQ484" i="2" s="1"/>
  <c r="J484" i="2"/>
  <c r="X484" i="2" s="1"/>
  <c r="Z484" i="2"/>
  <c r="G453" i="2"/>
  <c r="Z453" i="2"/>
  <c r="J453" i="2"/>
  <c r="X453" i="2" s="1"/>
  <c r="J427" i="2"/>
  <c r="X427" i="2" s="1"/>
  <c r="Z427" i="2"/>
  <c r="G427" i="2"/>
  <c r="AQ427" i="2" s="1"/>
  <c r="G479" i="2"/>
  <c r="AQ479" i="2" s="1"/>
  <c r="J479" i="2"/>
  <c r="X479" i="2" s="1"/>
  <c r="Z479" i="2"/>
  <c r="G454" i="2"/>
  <c r="AQ454" i="2" s="1"/>
  <c r="Z454" i="2"/>
  <c r="J454" i="2"/>
  <c r="X454" i="2" s="1"/>
  <c r="G414" i="2"/>
  <c r="AQ414" i="2" s="1"/>
  <c r="J414" i="2"/>
  <c r="X414" i="2" s="1"/>
  <c r="Z414" i="2"/>
  <c r="AH411" i="2"/>
  <c r="AL411" i="2"/>
  <c r="J418" i="2"/>
  <c r="X418" i="2" s="1"/>
  <c r="G418" i="2"/>
  <c r="AQ418" i="2" s="1"/>
  <c r="Z418" i="2"/>
  <c r="Z390" i="2"/>
  <c r="J390" i="2"/>
  <c r="X390" i="2" s="1"/>
  <c r="G390" i="2"/>
  <c r="AQ390" i="2" s="1"/>
  <c r="AL416" i="2"/>
  <c r="AH416" i="2"/>
  <c r="AL395" i="2"/>
  <c r="AH395" i="2"/>
  <c r="AH419" i="2"/>
  <c r="AL419" i="2"/>
  <c r="D482" i="2"/>
  <c r="Q18" i="6"/>
  <c r="H482" i="2" s="1"/>
  <c r="D440" i="2"/>
  <c r="G429" i="2"/>
  <c r="AQ429" i="2" s="1"/>
  <c r="J429" i="2"/>
  <c r="X429" i="2" s="1"/>
  <c r="Z429" i="2"/>
  <c r="D490" i="2"/>
  <c r="E490" i="2" s="1"/>
  <c r="D448" i="2"/>
  <c r="E448" i="2" s="1"/>
  <c r="AH441" i="2"/>
  <c r="AL441" i="2"/>
  <c r="AL348" i="2"/>
  <c r="AH348" i="2"/>
  <c r="D464" i="2"/>
  <c r="D506" i="2"/>
  <c r="E506" i="2" s="1"/>
  <c r="Q42" i="6"/>
  <c r="H506" i="2" s="1"/>
  <c r="AL435" i="2"/>
  <c r="AH435" i="2"/>
  <c r="AL421" i="2"/>
  <c r="AH421" i="2"/>
  <c r="G465" i="2"/>
  <c r="J465" i="2"/>
  <c r="X465" i="2" s="1"/>
  <c r="Z465" i="2"/>
  <c r="AL412" i="2"/>
  <c r="AH412" i="2"/>
  <c r="Q14" i="6"/>
  <c r="H478" i="2" s="1"/>
  <c r="D436" i="2"/>
  <c r="D478" i="2"/>
  <c r="E478" i="2" s="1"/>
  <c r="AL356" i="2"/>
  <c r="AH356" i="2"/>
  <c r="AL387" i="2"/>
  <c r="AH387" i="2"/>
  <c r="AL372" i="2"/>
  <c r="AH372" i="2"/>
  <c r="Z398" i="2"/>
  <c r="J398" i="2"/>
  <c r="X398" i="2" s="1"/>
  <c r="G398" i="2"/>
  <c r="G501" i="2"/>
  <c r="AQ501" i="2" s="1"/>
  <c r="J501" i="2"/>
  <c r="X501" i="2" s="1"/>
  <c r="Z501" i="2"/>
  <c r="Z445" i="2"/>
  <c r="J445" i="2"/>
  <c r="X445" i="2" s="1"/>
  <c r="G445" i="2"/>
  <c r="AQ445" i="2" s="1"/>
  <c r="G457" i="2"/>
  <c r="AQ457" i="2" s="1"/>
  <c r="Z457" i="2"/>
  <c r="J457" i="2"/>
  <c r="X457" i="2" s="1"/>
  <c r="AH352" i="2"/>
  <c r="AL352" i="2"/>
  <c r="G495" i="2"/>
  <c r="J495" i="2"/>
  <c r="X495" i="2" s="1"/>
  <c r="Z495" i="2"/>
  <c r="G505" i="2"/>
  <c r="AQ505" i="2" s="1"/>
  <c r="Z505" i="2"/>
  <c r="J505" i="2"/>
  <c r="X505" i="2" s="1"/>
  <c r="D498" i="2"/>
  <c r="E498" i="2" s="1"/>
  <c r="D456" i="2"/>
  <c r="E456" i="2" s="1"/>
  <c r="AH423" i="2"/>
  <c r="AL423" i="2"/>
  <c r="AL386" i="2"/>
  <c r="AH386" i="2"/>
  <c r="D502" i="2"/>
  <c r="E502" i="2" s="1"/>
  <c r="D460" i="2"/>
  <c r="Q38" i="6"/>
  <c r="H502" i="2" s="1"/>
  <c r="D474" i="2"/>
  <c r="E474" i="2" s="1"/>
  <c r="D432" i="2"/>
  <c r="E432" i="2" s="1"/>
  <c r="AL364" i="2"/>
  <c r="AH364" i="2"/>
  <c r="J428" i="2"/>
  <c r="X428" i="2" s="1"/>
  <c r="G428" i="2"/>
  <c r="AQ428" i="2" s="1"/>
  <c r="Z428" i="2"/>
  <c r="AH497" i="2"/>
  <c r="AL497" i="2"/>
  <c r="AL376" i="2"/>
  <c r="AH376" i="2"/>
  <c r="Z486" i="2"/>
  <c r="J486" i="2"/>
  <c r="X486" i="2" s="1"/>
  <c r="G486" i="2"/>
  <c r="AQ486" i="2" s="1"/>
  <c r="J422" i="2"/>
  <c r="X422" i="2" s="1"/>
  <c r="G422" i="2"/>
  <c r="Z422" i="2"/>
  <c r="AH455" i="2"/>
  <c r="AL455" i="2"/>
  <c r="J461" i="2"/>
  <c r="X461" i="2" s="1"/>
  <c r="Z461" i="2"/>
  <c r="G461" i="2"/>
  <c r="AQ461" i="2" s="1"/>
  <c r="Z499" i="2"/>
  <c r="J499" i="2"/>
  <c r="X499" i="2" s="1"/>
  <c r="G499" i="2"/>
  <c r="AQ499" i="2" s="1"/>
  <c r="J469" i="2"/>
  <c r="X469" i="2" s="1"/>
  <c r="Z469" i="2"/>
  <c r="G469" i="2"/>
  <c r="AQ469" i="2" s="1"/>
  <c r="AL477" i="2"/>
  <c r="AH477" i="2"/>
  <c r="G471" i="2"/>
  <c r="AQ471" i="2" s="1"/>
  <c r="J471" i="2"/>
  <c r="X471" i="2" s="1"/>
  <c r="Z471" i="2"/>
  <c r="G500" i="2"/>
  <c r="Z500" i="2"/>
  <c r="J500" i="2"/>
  <c r="X500" i="2" s="1"/>
  <c r="G406" i="2"/>
  <c r="AQ406" i="2" s="1"/>
  <c r="J406" i="2"/>
  <c r="X406" i="2" s="1"/>
  <c r="Z406" i="2"/>
  <c r="J444" i="2"/>
  <c r="X444" i="2" s="1"/>
  <c r="Z444" i="2"/>
  <c r="G444" i="2"/>
  <c r="AQ444" i="2" s="1"/>
  <c r="G394" i="2"/>
  <c r="AQ394" i="2" s="1"/>
  <c r="Z394" i="2"/>
  <c r="J394" i="2"/>
  <c r="X394" i="2" s="1"/>
  <c r="G437" i="2"/>
  <c r="AQ437" i="2" s="1"/>
  <c r="J437" i="2"/>
  <c r="X437" i="2" s="1"/>
  <c r="Z437" i="2"/>
  <c r="G496" i="2"/>
  <c r="AQ496" i="2" s="1"/>
  <c r="J496" i="2"/>
  <c r="X496" i="2" s="1"/>
  <c r="Z496" i="2"/>
  <c r="AL403" i="2"/>
  <c r="AH403" i="2"/>
  <c r="G410" i="2"/>
  <c r="AQ410" i="2" s="1"/>
  <c r="Z410" i="2"/>
  <c r="J410" i="2"/>
  <c r="X410" i="2" s="1"/>
  <c r="AH400" i="2"/>
  <c r="AL400" i="2"/>
  <c r="AL415" i="2"/>
  <c r="AH415" i="2"/>
  <c r="AH380" i="2"/>
  <c r="AL380" i="2"/>
  <c r="AH433" i="2"/>
  <c r="AL433" i="2"/>
  <c r="Z470" i="2"/>
  <c r="G470" i="2"/>
  <c r="AQ470" i="2" s="1"/>
  <c r="J470" i="2"/>
  <c r="X470" i="2" s="1"/>
  <c r="AH402" i="2"/>
  <c r="AL402" i="2"/>
  <c r="G458" i="2"/>
  <c r="J458" i="2"/>
  <c r="X458" i="2" s="1"/>
  <c r="Z458" i="2"/>
  <c r="Z459" i="2"/>
  <c r="G459" i="2"/>
  <c r="AQ459" i="2" s="1"/>
  <c r="J459" i="2"/>
  <c r="X459" i="2" s="1"/>
  <c r="Z507" i="2"/>
  <c r="J507" i="2"/>
  <c r="X507" i="2" s="1"/>
  <c r="G507" i="2"/>
  <c r="AL417" i="2"/>
  <c r="AH417" i="2"/>
  <c r="AH475" i="2"/>
  <c r="AL475" i="2"/>
  <c r="Z503" i="2"/>
  <c r="G503" i="2"/>
  <c r="AQ503" i="2" s="1"/>
  <c r="J503" i="2"/>
  <c r="X503" i="2" s="1"/>
  <c r="AL382" i="2"/>
  <c r="AH382" i="2"/>
  <c r="AH425" i="2"/>
  <c r="AL425" i="2"/>
  <c r="G424" i="2"/>
  <c r="AQ424" i="2" s="1"/>
  <c r="J424" i="2"/>
  <c r="X424" i="2" s="1"/>
  <c r="Z424" i="2"/>
  <c r="G466" i="2"/>
  <c r="AQ466" i="2" s="1"/>
  <c r="J466" i="2"/>
  <c r="X466" i="2" s="1"/>
  <c r="Z466" i="2"/>
  <c r="AL467" i="2"/>
  <c r="AH467" i="2"/>
  <c r="AA208" i="2"/>
  <c r="AB208" i="2" s="1"/>
  <c r="AA173" i="2"/>
  <c r="AC237" i="2"/>
  <c r="AA221" i="2"/>
  <c r="AA190" i="2"/>
  <c r="AB190" i="2" s="1"/>
  <c r="AA283" i="2"/>
  <c r="AA198" i="2"/>
  <c r="AB198" i="2" s="1"/>
  <c r="AE216" i="2"/>
  <c r="AF216" i="2" s="1"/>
  <c r="AE218" i="2"/>
  <c r="AF218" i="2" s="1"/>
  <c r="AI254" i="2"/>
  <c r="AJ254" i="2" s="1"/>
  <c r="AK254" i="2" s="1"/>
  <c r="AA259" i="2"/>
  <c r="AI180" i="2"/>
  <c r="AJ180" i="2" s="1"/>
  <c r="AA204" i="2"/>
  <c r="AB204" i="2" s="1"/>
  <c r="AA284" i="2"/>
  <c r="AI282" i="2"/>
  <c r="AJ282" i="2" s="1"/>
  <c r="AK282" i="2" s="1"/>
  <c r="AJ194" i="2"/>
  <c r="AK194" i="2" s="1"/>
  <c r="AA243" i="2"/>
  <c r="AB243" i="2" s="1"/>
  <c r="AE245" i="2"/>
  <c r="AI192" i="2"/>
  <c r="AJ197" i="2"/>
  <c r="AK197" i="2" s="1"/>
  <c r="AJ293" i="2"/>
  <c r="AK293" i="2" s="1"/>
  <c r="AF232" i="2"/>
  <c r="AG232" i="2" s="1"/>
  <c r="AE293" i="2"/>
  <c r="AE246" i="2"/>
  <c r="AA275" i="2"/>
  <c r="AB275" i="2" s="1"/>
  <c r="AE339" i="2"/>
  <c r="AE237" i="2"/>
  <c r="AF184" i="2"/>
  <c r="AG184" i="2" s="1"/>
  <c r="W188" i="2"/>
  <c r="W216" i="2"/>
  <c r="AE235" i="2"/>
  <c r="AF235" i="2" s="1"/>
  <c r="AG235" i="2" s="1"/>
  <c r="AE289" i="2"/>
  <c r="AF289" i="2" s="1"/>
  <c r="AE291" i="2"/>
  <c r="AF291" i="2" s="1"/>
  <c r="AG291" i="2" s="1"/>
  <c r="AF272" i="2"/>
  <c r="AG272" i="2" s="1"/>
  <c r="AG303" i="2"/>
  <c r="AE345" i="2"/>
  <c r="W246" i="2"/>
  <c r="AI331" i="2"/>
  <c r="AJ331" i="2" s="1"/>
  <c r="AK331" i="2" s="1"/>
  <c r="AA300" i="2"/>
  <c r="AI311" i="2"/>
  <c r="AJ311" i="2" s="1"/>
  <c r="AK311" i="2" s="1"/>
  <c r="AI294" i="2"/>
  <c r="AJ294" i="2" s="1"/>
  <c r="AK294" i="2" s="1"/>
  <c r="AI303" i="2"/>
  <c r="AJ303" i="2" s="1"/>
  <c r="AK303" i="2" s="1"/>
  <c r="W181" i="2"/>
  <c r="AA287" i="2"/>
  <c r="AB287" i="2" s="1"/>
  <c r="AA289" i="2"/>
  <c r="W214" i="2"/>
  <c r="AI277" i="2"/>
  <c r="AJ277" i="2" s="1"/>
  <c r="AK277" i="2" s="1"/>
  <c r="AI302" i="2"/>
  <c r="AJ302" i="2" s="1"/>
  <c r="AK302" i="2" s="1"/>
  <c r="W242" i="2"/>
  <c r="W250" i="2"/>
  <c r="W222" i="2"/>
  <c r="W206" i="2"/>
  <c r="W218" i="2"/>
  <c r="W232" i="2"/>
  <c r="L240" i="2"/>
  <c r="L296" i="2"/>
  <c r="K338" i="2" s="1"/>
  <c r="L280" i="2"/>
  <c r="K322" i="2" s="1"/>
  <c r="L276" i="2"/>
  <c r="K318" i="2" s="1"/>
  <c r="L305" i="2"/>
  <c r="K347" i="2" s="1"/>
  <c r="L302" i="2"/>
  <c r="K344" i="2" s="1"/>
  <c r="L301" i="2"/>
  <c r="K343" i="2" s="1"/>
  <c r="L287" i="2"/>
  <c r="L255" i="2"/>
  <c r="L306" i="2"/>
  <c r="L319" i="2"/>
  <c r="K361" i="2" s="1"/>
  <c r="L304" i="2"/>
  <c r="K346" i="2" s="1"/>
  <c r="L295" i="2"/>
  <c r="K337" i="2" s="1"/>
  <c r="L316" i="2"/>
  <c r="K358" i="2" s="1"/>
  <c r="L286" i="2"/>
  <c r="K328" i="2" s="1"/>
  <c r="W251" i="2"/>
  <c r="AE313" i="2"/>
  <c r="AF313" i="2" s="1"/>
  <c r="AG313" i="2" s="1"/>
  <c r="AE265" i="2"/>
  <c r="AF265" i="2" s="1"/>
  <c r="AG265" i="2" s="1"/>
  <c r="L269" i="2"/>
  <c r="K311" i="2" s="1"/>
  <c r="AI290" i="2"/>
  <c r="W141" i="2"/>
  <c r="AJ325" i="2"/>
  <c r="AK325" i="2" s="1"/>
  <c r="W220" i="2"/>
  <c r="L241" i="2"/>
  <c r="K283" i="2" s="1"/>
  <c r="L310" i="2"/>
  <c r="L303" i="2"/>
  <c r="K345" i="2" s="1"/>
  <c r="AI274" i="2"/>
  <c r="W182" i="2"/>
  <c r="W217" i="2"/>
  <c r="AI267" i="2"/>
  <c r="AI279" i="2"/>
  <c r="AJ273" i="2"/>
  <c r="AK273" i="2" s="1"/>
  <c r="W202" i="2"/>
  <c r="W156" i="2"/>
  <c r="L289" i="2"/>
  <c r="K331" i="2" s="1"/>
  <c r="AI259" i="2"/>
  <c r="AI285" i="2"/>
  <c r="W203" i="2"/>
  <c r="W228" i="2"/>
  <c r="AI266" i="2"/>
  <c r="AJ295" i="2"/>
  <c r="AK295" i="2" s="1"/>
  <c r="W226" i="2"/>
  <c r="L326" i="2"/>
  <c r="K368" i="2" s="1"/>
  <c r="L335" i="2"/>
  <c r="K377" i="2" s="1"/>
  <c r="L334" i="2"/>
  <c r="K376" i="2" s="1"/>
  <c r="T288" i="2"/>
  <c r="U288" i="2"/>
  <c r="V288" i="2"/>
  <c r="S288" i="2"/>
  <c r="T224" i="2"/>
  <c r="U224" i="2"/>
  <c r="V224" i="2"/>
  <c r="S224" i="2"/>
  <c r="L249" i="2"/>
  <c r="K291" i="2" s="1"/>
  <c r="W173" i="2"/>
  <c r="AF234" i="2"/>
  <c r="AG234" i="2" s="1"/>
  <c r="AJ258" i="2"/>
  <c r="AK258" i="2" s="1"/>
  <c r="W210" i="2"/>
  <c r="AA276" i="2"/>
  <c r="AB276" i="2" s="1"/>
  <c r="L285" i="2"/>
  <c r="K327" i="2" s="1"/>
  <c r="T268" i="2"/>
  <c r="U268" i="2"/>
  <c r="S268" i="2"/>
  <c r="V268" i="2"/>
  <c r="W187" i="2"/>
  <c r="W207" i="2"/>
  <c r="U261" i="2"/>
  <c r="V261" i="2"/>
  <c r="S261" i="2"/>
  <c r="T261" i="2"/>
  <c r="AI257" i="2"/>
  <c r="AA256" i="2"/>
  <c r="AB256" i="2" s="1"/>
  <c r="AI291" i="2"/>
  <c r="V262" i="2"/>
  <c r="S262" i="2"/>
  <c r="T262" i="2"/>
  <c r="U262" i="2"/>
  <c r="W199" i="2"/>
  <c r="U253" i="2"/>
  <c r="V253" i="2"/>
  <c r="S253" i="2"/>
  <c r="T253" i="2"/>
  <c r="U245" i="2"/>
  <c r="V245" i="2"/>
  <c r="S245" i="2"/>
  <c r="T245" i="2"/>
  <c r="AI286" i="2"/>
  <c r="W243" i="2"/>
  <c r="V274" i="2"/>
  <c r="S274" i="2"/>
  <c r="U274" i="2"/>
  <c r="T274" i="2"/>
  <c r="W219" i="2"/>
  <c r="AJ250" i="2"/>
  <c r="AK250" i="2" s="1"/>
  <c r="T244" i="2"/>
  <c r="U244" i="2"/>
  <c r="S244" i="2"/>
  <c r="V244" i="2"/>
  <c r="W231" i="2"/>
  <c r="W247" i="2"/>
  <c r="U213" i="2"/>
  <c r="V213" i="2"/>
  <c r="S213" i="2"/>
  <c r="T213" i="2"/>
  <c r="W237" i="2"/>
  <c r="V254" i="2"/>
  <c r="S254" i="2"/>
  <c r="T254" i="2"/>
  <c r="U254" i="2"/>
  <c r="T284" i="2"/>
  <c r="U284" i="2"/>
  <c r="S284" i="2"/>
  <c r="V284" i="2"/>
  <c r="U293" i="2"/>
  <c r="V293" i="2"/>
  <c r="S293" i="2"/>
  <c r="T293" i="2"/>
  <c r="T292" i="2"/>
  <c r="U292" i="2"/>
  <c r="S292" i="2"/>
  <c r="V292" i="2"/>
  <c r="K330" i="2"/>
  <c r="K266" i="2"/>
  <c r="L312" i="2"/>
  <c r="K354" i="2" s="1"/>
  <c r="U277" i="2"/>
  <c r="V277" i="2"/>
  <c r="S277" i="2"/>
  <c r="T277" i="2"/>
  <c r="AC236" i="2"/>
  <c r="V234" i="2"/>
  <c r="S234" i="2"/>
  <c r="T234" i="2"/>
  <c r="U234" i="2"/>
  <c r="L275" i="2"/>
  <c r="K317" i="2" s="1"/>
  <c r="L320" i="2"/>
  <c r="K362" i="2" s="1"/>
  <c r="S223" i="2"/>
  <c r="T223" i="2"/>
  <c r="U223" i="2"/>
  <c r="V223" i="2"/>
  <c r="S215" i="2"/>
  <c r="T215" i="2"/>
  <c r="U215" i="2"/>
  <c r="V215" i="2"/>
  <c r="L239" i="2"/>
  <c r="K281" i="2" s="1"/>
  <c r="L294" i="2"/>
  <c r="K336" i="2" s="1"/>
  <c r="L273" i="2"/>
  <c r="K315" i="2" s="1"/>
  <c r="AJ271" i="2"/>
  <c r="AK271" i="2" s="1"/>
  <c r="S279" i="2"/>
  <c r="T279" i="2"/>
  <c r="U279" i="2"/>
  <c r="V279" i="2"/>
  <c r="L272" i="2"/>
  <c r="K314" i="2" s="1"/>
  <c r="AJ275" i="2"/>
  <c r="AK275" i="2" s="1"/>
  <c r="S183" i="2"/>
  <c r="T183" i="2"/>
  <c r="U183" i="2"/>
  <c r="V183" i="2"/>
  <c r="T248" i="2"/>
  <c r="U248" i="2"/>
  <c r="V248" i="2"/>
  <c r="S248" i="2"/>
  <c r="T256" i="2"/>
  <c r="U256" i="2"/>
  <c r="V256" i="2"/>
  <c r="S256" i="2"/>
  <c r="L229" i="2"/>
  <c r="K271" i="2" s="1"/>
  <c r="V270" i="2"/>
  <c r="S270" i="2"/>
  <c r="T270" i="2"/>
  <c r="U270" i="2"/>
  <c r="U233" i="2"/>
  <c r="V233" i="2"/>
  <c r="T233" i="2"/>
  <c r="S233" i="2"/>
  <c r="V278" i="2"/>
  <c r="S278" i="2"/>
  <c r="T278" i="2"/>
  <c r="U278" i="2"/>
  <c r="K265" i="2"/>
  <c r="K257" i="2"/>
  <c r="W227" i="2"/>
  <c r="W212" i="2"/>
  <c r="U197" i="2"/>
  <c r="V197" i="2"/>
  <c r="S197" i="2"/>
  <c r="T197" i="2"/>
  <c r="AI272" i="2"/>
  <c r="AI265" i="2"/>
  <c r="W235" i="2"/>
  <c r="T252" i="2"/>
  <c r="U252" i="2"/>
  <c r="S252" i="2"/>
  <c r="V252" i="2"/>
  <c r="AI263" i="2"/>
  <c r="AI256" i="2"/>
  <c r="AA268" i="2"/>
  <c r="AB268" i="2" s="1"/>
  <c r="AI287" i="2"/>
  <c r="W196" i="2"/>
  <c r="AI270" i="2"/>
  <c r="AJ284" i="2"/>
  <c r="AK284" i="2" s="1"/>
  <c r="L258" i="2"/>
  <c r="K300" i="2" s="1"/>
  <c r="W221" i="2"/>
  <c r="AA266" i="2"/>
  <c r="AB266" i="2" s="1"/>
  <c r="AJ297" i="2"/>
  <c r="AK297" i="2" s="1"/>
  <c r="K321" i="2"/>
  <c r="S263" i="2"/>
  <c r="T263" i="2"/>
  <c r="U263" i="2"/>
  <c r="V263" i="2"/>
  <c r="V198" i="2"/>
  <c r="S198" i="2"/>
  <c r="T198" i="2"/>
  <c r="U198" i="2"/>
  <c r="V230" i="2"/>
  <c r="S230" i="2"/>
  <c r="T230" i="2"/>
  <c r="U230" i="2"/>
  <c r="AJ246" i="2"/>
  <c r="AK246" i="2" s="1"/>
  <c r="AA272" i="2"/>
  <c r="AB272" i="2" s="1"/>
  <c r="W236" i="2"/>
  <c r="AJ304" i="2"/>
  <c r="AK304" i="2" s="1"/>
  <c r="S259" i="2"/>
  <c r="T259" i="2"/>
  <c r="U259" i="2"/>
  <c r="V259" i="2"/>
  <c r="L225" i="2"/>
  <c r="K267" i="2" s="1"/>
  <c r="T260" i="2"/>
  <c r="U260" i="2"/>
  <c r="S260" i="2"/>
  <c r="V260" i="2"/>
  <c r="V238" i="2"/>
  <c r="S238" i="2"/>
  <c r="T238" i="2"/>
  <c r="U238" i="2"/>
  <c r="K290" i="2"/>
  <c r="L298" i="2"/>
  <c r="K340" i="2" s="1"/>
  <c r="T264" i="2"/>
  <c r="U264" i="2"/>
  <c r="V264" i="2"/>
  <c r="S264" i="2"/>
  <c r="AF338" i="2"/>
  <c r="AG338" i="2" s="1"/>
  <c r="AE282" i="2"/>
  <c r="AE290" i="2"/>
  <c r="AE294" i="2"/>
  <c r="AA306" i="2" l="1"/>
  <c r="AB306" i="2" s="1"/>
  <c r="AD440" i="2"/>
  <c r="E440" i="2"/>
  <c r="AQ255" i="2"/>
  <c r="AD482" i="2"/>
  <c r="E482" i="2"/>
  <c r="AQ248" i="2"/>
  <c r="AD436" i="2"/>
  <c r="E436" i="2"/>
  <c r="AQ281" i="2"/>
  <c r="AQ243" i="2"/>
  <c r="AQ296" i="2"/>
  <c r="AQ223" i="2"/>
  <c r="AQ252" i="2"/>
  <c r="AD460" i="2"/>
  <c r="E460" i="2"/>
  <c r="AD464" i="2"/>
  <c r="E464" i="2"/>
  <c r="AQ272" i="2"/>
  <c r="AQ221" i="2"/>
  <c r="AQ231" i="2"/>
  <c r="AG379" i="2"/>
  <c r="AE421" i="2"/>
  <c r="AF421" i="2" s="1"/>
  <c r="AG421" i="2" s="1"/>
  <c r="AE283" i="2"/>
  <c r="AF283" i="2" s="1"/>
  <c r="AG283" i="2" s="1"/>
  <c r="AA239" i="2"/>
  <c r="AB239" i="2" s="1"/>
  <c r="AC239" i="2" s="1"/>
  <c r="AE244" i="2"/>
  <c r="AF244" i="2" s="1"/>
  <c r="AG244" i="2" s="1"/>
  <c r="AE263" i="2"/>
  <c r="AF263" i="2" s="1"/>
  <c r="AG263" i="2" s="1"/>
  <c r="AK184" i="2"/>
  <c r="AI226" i="2"/>
  <c r="AJ226" i="2" s="1"/>
  <c r="AK226" i="2" s="1"/>
  <c r="AA349" i="2"/>
  <c r="AA248" i="2"/>
  <c r="AB248" i="2" s="1"/>
  <c r="AC248" i="2" s="1"/>
  <c r="AE262" i="2"/>
  <c r="AE285" i="2"/>
  <c r="AF285" i="2" s="1"/>
  <c r="AG285" i="2" s="1"/>
  <c r="AA337" i="2"/>
  <c r="AB337" i="2" s="1"/>
  <c r="AC286" i="2"/>
  <c r="AA328" i="2"/>
  <c r="AB328" i="2" s="1"/>
  <c r="AC328" i="2" s="1"/>
  <c r="AB269" i="2"/>
  <c r="AC269" i="2" s="1"/>
  <c r="AE214" i="2"/>
  <c r="AF214" i="2" s="1"/>
  <c r="AG214" i="2" s="1"/>
  <c r="N25" i="6"/>
  <c r="H321" i="2"/>
  <c r="AD321" i="2" s="1"/>
  <c r="AD502" i="2"/>
  <c r="AE185" i="2"/>
  <c r="AF185" i="2" s="1"/>
  <c r="AG185" i="2" s="1"/>
  <c r="AE231" i="2"/>
  <c r="AE228" i="2"/>
  <c r="AF228" i="2" s="1"/>
  <c r="AG228" i="2" s="1"/>
  <c r="AE278" i="2"/>
  <c r="AF278" i="2" s="1"/>
  <c r="AG278" i="2" s="1"/>
  <c r="AE238" i="2"/>
  <c r="AF238" i="2" s="1"/>
  <c r="AG238" i="2" s="1"/>
  <c r="N13" i="6"/>
  <c r="H309" i="2"/>
  <c r="AD309" i="2" s="1"/>
  <c r="AA231" i="2"/>
  <c r="AB231" i="2" s="1"/>
  <c r="AC231" i="2" s="1"/>
  <c r="AF225" i="2"/>
  <c r="AG225" i="2" s="1"/>
  <c r="H463" i="2"/>
  <c r="AD463" i="2" s="1"/>
  <c r="Q41" i="6"/>
  <c r="H505" i="2" s="1"/>
  <c r="AD505" i="2" s="1"/>
  <c r="H429" i="2"/>
  <c r="AD429" i="2" s="1"/>
  <c r="Q7" i="6"/>
  <c r="H471" i="2" s="1"/>
  <c r="AD471" i="2" s="1"/>
  <c r="AF191" i="2"/>
  <c r="AG191" i="2" s="1"/>
  <c r="AF182" i="2"/>
  <c r="AG182" i="2" s="1"/>
  <c r="H306" i="2"/>
  <c r="AD306" i="2" s="1"/>
  <c r="N10" i="6"/>
  <c r="AF231" i="2"/>
  <c r="AG231" i="2" s="1"/>
  <c r="P28" i="6"/>
  <c r="H408" i="2"/>
  <c r="AD408" i="2" s="1"/>
  <c r="H315" i="2"/>
  <c r="AD315" i="2" s="1"/>
  <c r="N19" i="6"/>
  <c r="AD478" i="2"/>
  <c r="AF239" i="2"/>
  <c r="AG239" i="2" s="1"/>
  <c r="H461" i="2"/>
  <c r="AD461" i="2" s="1"/>
  <c r="Q39" i="6"/>
  <c r="H503" i="2" s="1"/>
  <c r="AD503" i="2" s="1"/>
  <c r="H465" i="2"/>
  <c r="AD465" i="2" s="1"/>
  <c r="Q43" i="6"/>
  <c r="H507" i="2" s="1"/>
  <c r="AD507" i="2" s="1"/>
  <c r="H462" i="2"/>
  <c r="AD462" i="2" s="1"/>
  <c r="Q40" i="6"/>
  <c r="H504" i="2" s="1"/>
  <c r="AD504" i="2" s="1"/>
  <c r="H433" i="2"/>
  <c r="AD433" i="2" s="1"/>
  <c r="Q11" i="6"/>
  <c r="H475" i="2" s="1"/>
  <c r="AD475" i="2" s="1"/>
  <c r="H326" i="2"/>
  <c r="AD326" i="2" s="1"/>
  <c r="N30" i="6"/>
  <c r="H299" i="2"/>
  <c r="AD299" i="2" s="1"/>
  <c r="N3" i="6"/>
  <c r="H385" i="2"/>
  <c r="AD385" i="2" s="1"/>
  <c r="P5" i="6"/>
  <c r="N24" i="6"/>
  <c r="H320" i="2"/>
  <c r="AD320" i="2" s="1"/>
  <c r="N29" i="6"/>
  <c r="H325" i="2"/>
  <c r="AD325" i="2" s="1"/>
  <c r="H322" i="2"/>
  <c r="AD322" i="2" s="1"/>
  <c r="N26" i="6"/>
  <c r="H412" i="2"/>
  <c r="AD412" i="2" s="1"/>
  <c r="P32" i="6"/>
  <c r="H319" i="2"/>
  <c r="AD319" i="2" s="1"/>
  <c r="N23" i="6"/>
  <c r="AE215" i="2"/>
  <c r="H327" i="2"/>
  <c r="AD327" i="2" s="1"/>
  <c r="N31" i="6"/>
  <c r="H302" i="2"/>
  <c r="AD302" i="2" s="1"/>
  <c r="N6" i="6"/>
  <c r="H298" i="2"/>
  <c r="AD298" i="2" s="1"/>
  <c r="N2" i="6"/>
  <c r="H459" i="2"/>
  <c r="AD459" i="2" s="1"/>
  <c r="Q37" i="6"/>
  <c r="H501" i="2" s="1"/>
  <c r="AD501" i="2" s="1"/>
  <c r="N34" i="6"/>
  <c r="H330" i="2"/>
  <c r="AD330" i="2" s="1"/>
  <c r="N33" i="6"/>
  <c r="H329" i="2"/>
  <c r="AD329" i="2" s="1"/>
  <c r="N4" i="6"/>
  <c r="H300" i="2"/>
  <c r="AD300" i="2" s="1"/>
  <c r="N21" i="6"/>
  <c r="H317" i="2"/>
  <c r="AD317" i="2" s="1"/>
  <c r="N27" i="6"/>
  <c r="H323" i="2"/>
  <c r="AD323" i="2" s="1"/>
  <c r="P35" i="6"/>
  <c r="H415" i="2"/>
  <c r="AD415" i="2" s="1"/>
  <c r="N16" i="6"/>
  <c r="H312" i="2"/>
  <c r="AD312" i="2" s="1"/>
  <c r="AD506" i="2"/>
  <c r="AE242" i="2"/>
  <c r="N12" i="6"/>
  <c r="H308" i="2"/>
  <c r="AD308" i="2" s="1"/>
  <c r="H458" i="2"/>
  <c r="AD458" i="2" s="1"/>
  <c r="Q36" i="6"/>
  <c r="H500" i="2" s="1"/>
  <c r="AD500" i="2" s="1"/>
  <c r="N9" i="6"/>
  <c r="H305" i="2"/>
  <c r="AD305" i="2" s="1"/>
  <c r="H444" i="2"/>
  <c r="AD444" i="2" s="1"/>
  <c r="Q22" i="6"/>
  <c r="H486" i="2" s="1"/>
  <c r="AD486" i="2" s="1"/>
  <c r="H311" i="2"/>
  <c r="AD311" i="2" s="1"/>
  <c r="N15" i="6"/>
  <c r="H388" i="2"/>
  <c r="AD388" i="2" s="1"/>
  <c r="P8" i="6"/>
  <c r="AE418" i="2"/>
  <c r="AF418" i="2" s="1"/>
  <c r="AG418" i="2" s="1"/>
  <c r="AA319" i="2"/>
  <c r="AB319" i="2" s="1"/>
  <c r="AE259" i="2"/>
  <c r="AF259" i="2" s="1"/>
  <c r="AC253" i="2"/>
  <c r="AB176" i="2"/>
  <c r="AC176" i="2" s="1"/>
  <c r="AC187" i="2"/>
  <c r="AA225" i="2"/>
  <c r="AB225" i="2" s="1"/>
  <c r="AA293" i="2"/>
  <c r="AB293" i="2" s="1"/>
  <c r="AC293" i="2" s="1"/>
  <c r="AC294" i="2"/>
  <c r="AB259" i="2"/>
  <c r="AC259" i="2" s="1"/>
  <c r="AB289" i="2"/>
  <c r="AC289" i="2" s="1"/>
  <c r="AB284" i="2"/>
  <c r="AC284" i="2" s="1"/>
  <c r="AB283" i="2"/>
  <c r="AC283" i="2" s="1"/>
  <c r="AB221" i="2"/>
  <c r="AC221" i="2" s="1"/>
  <c r="AB303" i="2"/>
  <c r="AA345" i="2" s="1"/>
  <c r="AB345" i="2" s="1"/>
  <c r="AC345" i="2" s="1"/>
  <c r="AB349" i="2"/>
  <c r="AC349" i="2" s="1"/>
  <c r="AB300" i="2"/>
  <c r="AC300" i="2" s="1"/>
  <c r="AC261" i="2"/>
  <c r="AB173" i="2"/>
  <c r="AC173" i="2" s="1"/>
  <c r="AN336" i="2"/>
  <c r="AO294" i="2"/>
  <c r="AN332" i="2"/>
  <c r="AO290" i="2"/>
  <c r="AN307" i="2"/>
  <c r="AO265" i="2"/>
  <c r="AO263" i="2"/>
  <c r="AN305" i="2"/>
  <c r="AO273" i="2"/>
  <c r="AN315" i="2"/>
  <c r="AO285" i="2"/>
  <c r="AN327" i="2"/>
  <c r="AN339" i="2"/>
  <c r="AO297" i="2"/>
  <c r="AN365" i="2"/>
  <c r="AO323" i="2"/>
  <c r="AN380" i="2"/>
  <c r="AO338" i="2"/>
  <c r="AN356" i="2"/>
  <c r="AO314" i="2"/>
  <c r="AL410" i="2"/>
  <c r="AH410" i="2"/>
  <c r="AH394" i="2"/>
  <c r="AL394" i="2"/>
  <c r="AH486" i="2"/>
  <c r="AL486" i="2"/>
  <c r="AL495" i="2"/>
  <c r="AH495" i="2"/>
  <c r="AL501" i="2"/>
  <c r="AH501" i="2"/>
  <c r="AL406" i="2"/>
  <c r="AH406" i="2"/>
  <c r="AH500" i="2"/>
  <c r="AL500" i="2"/>
  <c r="AL469" i="2"/>
  <c r="AH469" i="2"/>
  <c r="AH499" i="2"/>
  <c r="AL499" i="2"/>
  <c r="AL428" i="2"/>
  <c r="AH428" i="2"/>
  <c r="Z460" i="2"/>
  <c r="G460" i="2"/>
  <c r="AQ460" i="2" s="1"/>
  <c r="J460" i="2"/>
  <c r="X460" i="2" s="1"/>
  <c r="AL398" i="2"/>
  <c r="AH398" i="2"/>
  <c r="J478" i="2"/>
  <c r="X478" i="2" s="1"/>
  <c r="Z478" i="2"/>
  <c r="G478" i="2"/>
  <c r="AQ478" i="2" s="1"/>
  <c r="AL390" i="2"/>
  <c r="AH390" i="2"/>
  <c r="AL479" i="2"/>
  <c r="AH479" i="2"/>
  <c r="AH427" i="2"/>
  <c r="AL427" i="2"/>
  <c r="AL487" i="2"/>
  <c r="AH487" i="2"/>
  <c r="AL442" i="2"/>
  <c r="AH442" i="2"/>
  <c r="AL503" i="2"/>
  <c r="AH503" i="2"/>
  <c r="AH496" i="2"/>
  <c r="AL496" i="2"/>
  <c r="Z498" i="2"/>
  <c r="J498" i="2"/>
  <c r="X498" i="2" s="1"/>
  <c r="G498" i="2"/>
  <c r="AQ498" i="2" s="1"/>
  <c r="G482" i="2"/>
  <c r="J482" i="2"/>
  <c r="X482" i="2" s="1"/>
  <c r="Z482" i="2"/>
  <c r="AL453" i="2"/>
  <c r="AH453" i="2"/>
  <c r="AL459" i="2"/>
  <c r="AH459" i="2"/>
  <c r="AH470" i="2"/>
  <c r="AL470" i="2"/>
  <c r="G432" i="2"/>
  <c r="AQ432" i="2" s="1"/>
  <c r="J432" i="2"/>
  <c r="X432" i="2" s="1"/>
  <c r="Z432" i="2"/>
  <c r="J502" i="2"/>
  <c r="X502" i="2" s="1"/>
  <c r="Z502" i="2"/>
  <c r="G502" i="2"/>
  <c r="AQ502" i="2" s="1"/>
  <c r="AH505" i="2"/>
  <c r="AL505" i="2"/>
  <c r="AH457" i="2"/>
  <c r="AL457" i="2"/>
  <c r="AH445" i="2"/>
  <c r="AL445" i="2"/>
  <c r="G436" i="2"/>
  <c r="AQ436" i="2" s="1"/>
  <c r="J436" i="2"/>
  <c r="X436" i="2" s="1"/>
  <c r="Z436" i="2"/>
  <c r="AH465" i="2"/>
  <c r="AL465" i="2"/>
  <c r="Z506" i="2"/>
  <c r="G506" i="2"/>
  <c r="J506" i="2"/>
  <c r="X506" i="2" s="1"/>
  <c r="Z490" i="2"/>
  <c r="J490" i="2"/>
  <c r="X490" i="2" s="1"/>
  <c r="G490" i="2"/>
  <c r="AQ490" i="2" s="1"/>
  <c r="G440" i="2"/>
  <c r="Z440" i="2"/>
  <c r="J440" i="2"/>
  <c r="X440" i="2" s="1"/>
  <c r="AL418" i="2"/>
  <c r="AH418" i="2"/>
  <c r="AH484" i="2"/>
  <c r="AL484" i="2"/>
  <c r="AH463" i="2"/>
  <c r="AL463" i="2"/>
  <c r="J448" i="2"/>
  <c r="X448" i="2" s="1"/>
  <c r="Z448" i="2"/>
  <c r="G448" i="2"/>
  <c r="AQ448" i="2" s="1"/>
  <c r="G494" i="2"/>
  <c r="AQ494" i="2" s="1"/>
  <c r="Z494" i="2"/>
  <c r="J494" i="2"/>
  <c r="X494" i="2" s="1"/>
  <c r="AL507" i="2"/>
  <c r="AH507" i="2"/>
  <c r="AL458" i="2"/>
  <c r="AH458" i="2"/>
  <c r="AL437" i="2"/>
  <c r="AH437" i="2"/>
  <c r="AL444" i="2"/>
  <c r="AH444" i="2"/>
  <c r="AH471" i="2"/>
  <c r="AL471" i="2"/>
  <c r="AH461" i="2"/>
  <c r="AL461" i="2"/>
  <c r="AH422" i="2"/>
  <c r="AL422" i="2"/>
  <c r="Z474" i="2"/>
  <c r="G474" i="2"/>
  <c r="AQ474" i="2" s="1"/>
  <c r="J474" i="2"/>
  <c r="X474" i="2" s="1"/>
  <c r="G456" i="2"/>
  <c r="AQ456" i="2" s="1"/>
  <c r="J456" i="2"/>
  <c r="X456" i="2" s="1"/>
  <c r="Z456" i="2"/>
  <c r="J464" i="2"/>
  <c r="X464" i="2" s="1"/>
  <c r="G464" i="2"/>
  <c r="Z464" i="2"/>
  <c r="AL429" i="2"/>
  <c r="AH429" i="2"/>
  <c r="AH414" i="2"/>
  <c r="AL414" i="2"/>
  <c r="AH454" i="2"/>
  <c r="AL454" i="2"/>
  <c r="G452" i="2"/>
  <c r="AQ452" i="2" s="1"/>
  <c r="Z452" i="2"/>
  <c r="J452" i="2"/>
  <c r="X452" i="2" s="1"/>
  <c r="AH466" i="2"/>
  <c r="AL466" i="2"/>
  <c r="AL424" i="2"/>
  <c r="AH424" i="2"/>
  <c r="AA279" i="2"/>
  <c r="AB279" i="2" s="1"/>
  <c r="AC208" i="2"/>
  <c r="AC229" i="2"/>
  <c r="AC190" i="2"/>
  <c r="AA301" i="2"/>
  <c r="AI335" i="2"/>
  <c r="AJ335" i="2" s="1"/>
  <c r="AK335" i="2" s="1"/>
  <c r="AI236" i="2"/>
  <c r="AJ236" i="2" s="1"/>
  <c r="AK236" i="2" s="1"/>
  <c r="AA325" i="2"/>
  <c r="AB325" i="2" s="1"/>
  <c r="AC325" i="2" s="1"/>
  <c r="AC198" i="2"/>
  <c r="AG218" i="2"/>
  <c r="AE260" i="2"/>
  <c r="AF260" i="2" s="1"/>
  <c r="AG260" i="2" s="1"/>
  <c r="AK180" i="2"/>
  <c r="AI222" i="2"/>
  <c r="AG216" i="2"/>
  <c r="AE258" i="2"/>
  <c r="AF258" i="2" s="1"/>
  <c r="AG258" i="2" s="1"/>
  <c r="AC204" i="2"/>
  <c r="AC337" i="2"/>
  <c r="AJ192" i="2"/>
  <c r="AK192" i="2" s="1"/>
  <c r="AF245" i="2"/>
  <c r="AG245" i="2" s="1"/>
  <c r="AI239" i="2"/>
  <c r="AI296" i="2"/>
  <c r="AC243" i="2"/>
  <c r="AG289" i="2"/>
  <c r="AE331" i="2"/>
  <c r="AF331" i="2" s="1"/>
  <c r="AI367" i="2"/>
  <c r="AJ367" i="2" s="1"/>
  <c r="AK367" i="2" s="1"/>
  <c r="AA333" i="2"/>
  <c r="AE314" i="2"/>
  <c r="AF314" i="2" s="1"/>
  <c r="AG314" i="2" s="1"/>
  <c r="AE226" i="2"/>
  <c r="AF339" i="2"/>
  <c r="AG339" i="2" s="1"/>
  <c r="AF293" i="2"/>
  <c r="AG293" i="2" s="1"/>
  <c r="W234" i="2"/>
  <c r="AC275" i="2"/>
  <c r="AE274" i="2"/>
  <c r="AA342" i="2"/>
  <c r="AA304" i="2"/>
  <c r="AE277" i="2"/>
  <c r="AF277" i="2" s="1"/>
  <c r="AF237" i="2"/>
  <c r="AG237" i="2" s="1"/>
  <c r="AF246" i="2"/>
  <c r="AG246" i="2" s="1"/>
  <c r="AI339" i="2"/>
  <c r="AJ339" i="2" s="1"/>
  <c r="AK339" i="2" s="1"/>
  <c r="W233" i="2"/>
  <c r="W259" i="2"/>
  <c r="AF345" i="2"/>
  <c r="AG345" i="2" s="1"/>
  <c r="AE264" i="2"/>
  <c r="AI373" i="2"/>
  <c r="AJ373" i="2" s="1"/>
  <c r="AK373" i="2" s="1"/>
  <c r="W213" i="2"/>
  <c r="AI324" i="2"/>
  <c r="AJ324" i="2" s="1"/>
  <c r="AK324" i="2" s="1"/>
  <c r="AA322" i="2"/>
  <c r="AC225" i="2"/>
  <c r="AE333" i="2"/>
  <c r="W260" i="2"/>
  <c r="AI288" i="2"/>
  <c r="AI326" i="2"/>
  <c r="AJ326" i="2" s="1"/>
  <c r="AI317" i="2"/>
  <c r="AJ317" i="2" s="1"/>
  <c r="AK317" i="2" s="1"/>
  <c r="AI345" i="2"/>
  <c r="AJ345" i="2" s="1"/>
  <c r="AK345" i="2" s="1"/>
  <c r="AI344" i="2"/>
  <c r="AJ344" i="2" s="1"/>
  <c r="AK344" i="2" s="1"/>
  <c r="W245" i="2"/>
  <c r="W253" i="2"/>
  <c r="AI319" i="2"/>
  <c r="AJ319" i="2" s="1"/>
  <c r="W262" i="2"/>
  <c r="AC287" i="2"/>
  <c r="W264" i="2"/>
  <c r="AA278" i="2"/>
  <c r="AE276" i="2"/>
  <c r="L314" i="2"/>
  <c r="K356" i="2" s="1"/>
  <c r="L281" i="2"/>
  <c r="K323" i="2" s="1"/>
  <c r="L331" i="2"/>
  <c r="L358" i="2"/>
  <c r="L362" i="2"/>
  <c r="K404" i="2" s="1"/>
  <c r="L311" i="2"/>
  <c r="K353" i="2" s="1"/>
  <c r="L343" i="2"/>
  <c r="L318" i="2"/>
  <c r="L336" i="2"/>
  <c r="L346" i="2"/>
  <c r="L338" i="2"/>
  <c r="K380" i="2" s="1"/>
  <c r="L267" i="2"/>
  <c r="K309" i="2" s="1"/>
  <c r="L300" i="2"/>
  <c r="L347" i="2"/>
  <c r="K389" i="2" s="1"/>
  <c r="L322" i="2"/>
  <c r="K364" i="2" s="1"/>
  <c r="L321" i="2"/>
  <c r="K363" i="2" s="1"/>
  <c r="L290" i="2"/>
  <c r="K332" i="2" s="1"/>
  <c r="AI346" i="2"/>
  <c r="AC272" i="2"/>
  <c r="AC266" i="2"/>
  <c r="AC268" i="2"/>
  <c r="W252" i="2"/>
  <c r="AJ265" i="2"/>
  <c r="AK265" i="2" s="1"/>
  <c r="W197" i="2"/>
  <c r="U229" i="2"/>
  <c r="V229" i="2"/>
  <c r="S229" i="2"/>
  <c r="T229" i="2"/>
  <c r="W183" i="2"/>
  <c r="AI336" i="2"/>
  <c r="W279" i="2"/>
  <c r="AI313" i="2"/>
  <c r="U273" i="2"/>
  <c r="V273" i="2"/>
  <c r="S273" i="2"/>
  <c r="T273" i="2"/>
  <c r="AI353" i="2"/>
  <c r="W215" i="2"/>
  <c r="W223" i="2"/>
  <c r="S275" i="2"/>
  <c r="T275" i="2"/>
  <c r="V275" i="2"/>
  <c r="U275" i="2"/>
  <c r="AA312" i="2"/>
  <c r="AB312" i="2" s="1"/>
  <c r="U312" i="2"/>
  <c r="S312" i="2"/>
  <c r="T312" i="2"/>
  <c r="V312" i="2"/>
  <c r="W292" i="2"/>
  <c r="W293" i="2"/>
  <c r="W284" i="2"/>
  <c r="AJ286" i="2"/>
  <c r="AK286" i="2" s="1"/>
  <c r="AJ257" i="2"/>
  <c r="AK257" i="2" s="1"/>
  <c r="W268" i="2"/>
  <c r="U285" i="2"/>
  <c r="V285" i="2"/>
  <c r="S285" i="2"/>
  <c r="T285" i="2"/>
  <c r="AI300" i="2"/>
  <c r="U249" i="2"/>
  <c r="V249" i="2"/>
  <c r="T249" i="2"/>
  <c r="S249" i="2"/>
  <c r="T335" i="2"/>
  <c r="V335" i="2"/>
  <c r="S335" i="2"/>
  <c r="U335" i="2"/>
  <c r="AJ266" i="2"/>
  <c r="AK266" i="2" s="1"/>
  <c r="AJ285" i="2"/>
  <c r="AK285" i="2" s="1"/>
  <c r="S310" i="2"/>
  <c r="V310" i="2"/>
  <c r="T310" i="2"/>
  <c r="U310" i="2"/>
  <c r="S306" i="2"/>
  <c r="V306" i="2"/>
  <c r="T306" i="2"/>
  <c r="U306" i="2"/>
  <c r="S287" i="2"/>
  <c r="T287" i="2"/>
  <c r="U287" i="2"/>
  <c r="V287" i="2"/>
  <c r="S302" i="2"/>
  <c r="T302" i="2"/>
  <c r="U302" i="2"/>
  <c r="V302" i="2"/>
  <c r="V298" i="2"/>
  <c r="S298" i="2"/>
  <c r="T298" i="2"/>
  <c r="U298" i="2"/>
  <c r="W230" i="2"/>
  <c r="W198" i="2"/>
  <c r="V258" i="2"/>
  <c r="S258" i="2"/>
  <c r="U258" i="2"/>
  <c r="T258" i="2"/>
  <c r="AJ256" i="2"/>
  <c r="AK256" i="2" s="1"/>
  <c r="AC306" i="2"/>
  <c r="L257" i="2"/>
  <c r="W278" i="2"/>
  <c r="W270" i="2"/>
  <c r="W256" i="2"/>
  <c r="W248" i="2"/>
  <c r="AA380" i="2"/>
  <c r="AB380" i="2" s="1"/>
  <c r="L266" i="2"/>
  <c r="W254" i="2"/>
  <c r="W244" i="2"/>
  <c r="AI292" i="2"/>
  <c r="AI364" i="2"/>
  <c r="AC276" i="2"/>
  <c r="W224" i="2"/>
  <c r="W288" i="2"/>
  <c r="S334" i="2"/>
  <c r="T334" i="2"/>
  <c r="U334" i="2"/>
  <c r="V334" i="2"/>
  <c r="S326" i="2"/>
  <c r="V326" i="2"/>
  <c r="T326" i="2"/>
  <c r="U326" i="2"/>
  <c r="AI337" i="2"/>
  <c r="AJ259" i="2"/>
  <c r="AK259" i="2" s="1"/>
  <c r="AI315" i="2"/>
  <c r="K352" i="2"/>
  <c r="U269" i="2"/>
  <c r="V269" i="2"/>
  <c r="S269" i="2"/>
  <c r="T269" i="2"/>
  <c r="U316" i="2"/>
  <c r="V316" i="2"/>
  <c r="S316" i="2"/>
  <c r="T316" i="2"/>
  <c r="U304" i="2"/>
  <c r="V304" i="2"/>
  <c r="S304" i="2"/>
  <c r="T304" i="2"/>
  <c r="K348" i="2"/>
  <c r="K329" i="2"/>
  <c r="L344" i="2"/>
  <c r="K386" i="2" s="1"/>
  <c r="T276" i="2"/>
  <c r="U276" i="2"/>
  <c r="S276" i="2"/>
  <c r="V276" i="2"/>
  <c r="T296" i="2"/>
  <c r="U296" i="2"/>
  <c r="V296" i="2"/>
  <c r="S296" i="2"/>
  <c r="L340" i="2"/>
  <c r="K382" i="2" s="1"/>
  <c r="U225" i="2"/>
  <c r="V225" i="2"/>
  <c r="S225" i="2"/>
  <c r="T225" i="2"/>
  <c r="W263" i="2"/>
  <c r="AJ270" i="2"/>
  <c r="AK270" i="2" s="1"/>
  <c r="AJ263" i="2"/>
  <c r="AK263" i="2" s="1"/>
  <c r="AJ272" i="2"/>
  <c r="AK272" i="2" s="1"/>
  <c r="L265" i="2"/>
  <c r="K307" i="2" s="1"/>
  <c r="V294" i="2"/>
  <c r="S294" i="2"/>
  <c r="T294" i="2"/>
  <c r="U294" i="2"/>
  <c r="U320" i="2"/>
  <c r="V320" i="2"/>
  <c r="S320" i="2"/>
  <c r="T320" i="2"/>
  <c r="W277" i="2"/>
  <c r="L330" i="2"/>
  <c r="K372" i="2" s="1"/>
  <c r="AJ291" i="2"/>
  <c r="AK291" i="2" s="1"/>
  <c r="W261" i="2"/>
  <c r="L376" i="2"/>
  <c r="K418" i="2" s="1"/>
  <c r="L368" i="2"/>
  <c r="K410" i="2" s="1"/>
  <c r="AJ279" i="2"/>
  <c r="AK279" i="2" s="1"/>
  <c r="L345" i="2"/>
  <c r="K387" i="2" s="1"/>
  <c r="AC336" i="2"/>
  <c r="L283" i="2"/>
  <c r="K325" i="2" s="1"/>
  <c r="L328" i="2"/>
  <c r="K370" i="2" s="1"/>
  <c r="L337" i="2"/>
  <c r="L361" i="2"/>
  <c r="K403" i="2" s="1"/>
  <c r="S255" i="2"/>
  <c r="T255" i="2"/>
  <c r="U255" i="2"/>
  <c r="V255" i="2"/>
  <c r="T240" i="2"/>
  <c r="U240" i="2"/>
  <c r="V240" i="2"/>
  <c r="S240" i="2"/>
  <c r="W238" i="2"/>
  <c r="AJ287" i="2"/>
  <c r="AK287" i="2" s="1"/>
  <c r="L271" i="2"/>
  <c r="K313" i="2" s="1"/>
  <c r="T272" i="2"/>
  <c r="U272" i="2"/>
  <c r="V272" i="2"/>
  <c r="S272" i="2"/>
  <c r="L315" i="2"/>
  <c r="K357" i="2" s="1"/>
  <c r="S239" i="2"/>
  <c r="T239" i="2"/>
  <c r="U239" i="2"/>
  <c r="V239" i="2"/>
  <c r="L317" i="2"/>
  <c r="K359" i="2" s="1"/>
  <c r="L354" i="2"/>
  <c r="K396" i="2" s="1"/>
  <c r="AA339" i="2"/>
  <c r="AB339" i="2" s="1"/>
  <c r="W274" i="2"/>
  <c r="AC256" i="2"/>
  <c r="L327" i="2"/>
  <c r="L291" i="2"/>
  <c r="K333" i="2" s="1"/>
  <c r="L377" i="2"/>
  <c r="U289" i="2"/>
  <c r="V289" i="2"/>
  <c r="T289" i="2"/>
  <c r="S289" i="2"/>
  <c r="AJ267" i="2"/>
  <c r="AK267" i="2" s="1"/>
  <c r="AJ274" i="2"/>
  <c r="AK274" i="2" s="1"/>
  <c r="T303" i="2"/>
  <c r="V303" i="2"/>
  <c r="S303" i="2"/>
  <c r="U303" i="2"/>
  <c r="U241" i="2"/>
  <c r="V241" i="2"/>
  <c r="S241" i="2"/>
  <c r="T241" i="2"/>
  <c r="AJ290" i="2"/>
  <c r="AK290" i="2" s="1"/>
  <c r="V286" i="2"/>
  <c r="S286" i="2"/>
  <c r="T286" i="2"/>
  <c r="U286" i="2"/>
  <c r="S295" i="2"/>
  <c r="T295" i="2"/>
  <c r="U295" i="2"/>
  <c r="V295" i="2"/>
  <c r="T319" i="2"/>
  <c r="V319" i="2"/>
  <c r="S319" i="2"/>
  <c r="U319" i="2"/>
  <c r="K297" i="2"/>
  <c r="V301" i="2"/>
  <c r="U301" i="2"/>
  <c r="S301" i="2"/>
  <c r="T301" i="2"/>
  <c r="V305" i="2"/>
  <c r="T305" i="2"/>
  <c r="S305" i="2"/>
  <c r="U305" i="2"/>
  <c r="T280" i="2"/>
  <c r="U280" i="2"/>
  <c r="V280" i="2"/>
  <c r="S280" i="2"/>
  <c r="K282" i="2"/>
  <c r="AF282" i="2"/>
  <c r="AG282" i="2" s="1"/>
  <c r="AF294" i="2"/>
  <c r="AG294" i="2" s="1"/>
  <c r="AE307" i="2"/>
  <c r="AE380" i="2"/>
  <c r="AF290" i="2"/>
  <c r="AG290" i="2" s="1"/>
  <c r="AE355" i="2"/>
  <c r="AQ314" i="2" l="1"/>
  <c r="AQ285" i="2"/>
  <c r="AQ338" i="2"/>
  <c r="AQ294" i="2"/>
  <c r="AQ290" i="2"/>
  <c r="AQ273" i="2"/>
  <c r="AQ323" i="2"/>
  <c r="AQ263" i="2"/>
  <c r="AQ297" i="2"/>
  <c r="AQ265" i="2"/>
  <c r="AA263" i="2"/>
  <c r="AB263" i="2" s="1"/>
  <c r="AE325" i="2"/>
  <c r="AF325" i="2" s="1"/>
  <c r="AG325" i="2" s="1"/>
  <c r="AA215" i="2"/>
  <c r="AB215" i="2" s="1"/>
  <c r="AC215" i="2" s="1"/>
  <c r="AA379" i="2"/>
  <c r="AB379" i="2" s="1"/>
  <c r="AC379" i="2" s="1"/>
  <c r="AA273" i="2"/>
  <c r="AB273" i="2" s="1"/>
  <c r="AC273" i="2" s="1"/>
  <c r="AE305" i="2"/>
  <c r="AF305" i="2" s="1"/>
  <c r="AG305" i="2" s="1"/>
  <c r="AA290" i="2"/>
  <c r="AE256" i="2"/>
  <c r="AF256" i="2" s="1"/>
  <c r="AG256" i="2" s="1"/>
  <c r="AE286" i="2"/>
  <c r="AF286" i="2" s="1"/>
  <c r="AG286" i="2" s="1"/>
  <c r="AF262" i="2"/>
  <c r="AG262" i="2" s="1"/>
  <c r="AA311" i="2"/>
  <c r="AB311" i="2" s="1"/>
  <c r="AC311" i="2" s="1"/>
  <c r="AI268" i="2"/>
  <c r="X508" i="2"/>
  <c r="AC319" i="2"/>
  <c r="AA361" i="2"/>
  <c r="AE233" i="2"/>
  <c r="AF233" i="2" s="1"/>
  <c r="AG233" i="2" s="1"/>
  <c r="H363" i="2"/>
  <c r="AD363" i="2" s="1"/>
  <c r="O25" i="6"/>
  <c r="H351" i="2"/>
  <c r="AD351" i="2" s="1"/>
  <c r="O13" i="6"/>
  <c r="AE270" i="2"/>
  <c r="AF270" i="2" s="1"/>
  <c r="AG270" i="2" s="1"/>
  <c r="AE267" i="2"/>
  <c r="AE320" i="2"/>
  <c r="AF320" i="2" s="1"/>
  <c r="O21" i="6"/>
  <c r="H359" i="2"/>
  <c r="AD359" i="2" s="1"/>
  <c r="O23" i="6"/>
  <c r="H361" i="2"/>
  <c r="AD361" i="2" s="1"/>
  <c r="O16" i="6"/>
  <c r="H354" i="2"/>
  <c r="AD354" i="2" s="1"/>
  <c r="H371" i="2"/>
  <c r="AD371" i="2" s="1"/>
  <c r="O33" i="6"/>
  <c r="Q8" i="6"/>
  <c r="H472" i="2" s="1"/>
  <c r="AD472" i="2" s="1"/>
  <c r="H430" i="2"/>
  <c r="AD430" i="2" s="1"/>
  <c r="AF242" i="2"/>
  <c r="AG242" i="2" s="1"/>
  <c r="H340" i="2"/>
  <c r="AD340" i="2" s="1"/>
  <c r="O2" i="6"/>
  <c r="H369" i="2"/>
  <c r="AD369" i="2" s="1"/>
  <c r="O31" i="6"/>
  <c r="H362" i="2"/>
  <c r="AD362" i="2" s="1"/>
  <c r="O24" i="6"/>
  <c r="O10" i="6"/>
  <c r="H348" i="2"/>
  <c r="AD348" i="2" s="1"/>
  <c r="AE280" i="2"/>
  <c r="AA331" i="2"/>
  <c r="AB331" i="2" s="1"/>
  <c r="AC331" i="2" s="1"/>
  <c r="O27" i="6"/>
  <c r="H365" i="2"/>
  <c r="AD365" i="2" s="1"/>
  <c r="H342" i="2"/>
  <c r="AD342" i="2" s="1"/>
  <c r="O4" i="6"/>
  <c r="H372" i="2"/>
  <c r="AD372" i="2" s="1"/>
  <c r="O34" i="6"/>
  <c r="H454" i="2"/>
  <c r="AD454" i="2" s="1"/>
  <c r="Q32" i="6"/>
  <c r="H496" i="2" s="1"/>
  <c r="AD496" i="2" s="1"/>
  <c r="H427" i="2"/>
  <c r="AD427" i="2" s="1"/>
  <c r="Q5" i="6"/>
  <c r="H469" i="2" s="1"/>
  <c r="AD469" i="2" s="1"/>
  <c r="H368" i="2"/>
  <c r="AD368" i="2" s="1"/>
  <c r="O30" i="6"/>
  <c r="H450" i="2"/>
  <c r="AD450" i="2" s="1"/>
  <c r="Q28" i="6"/>
  <c r="H492" i="2" s="1"/>
  <c r="AD492" i="2" s="1"/>
  <c r="H347" i="2"/>
  <c r="AD347" i="2" s="1"/>
  <c r="O9" i="6"/>
  <c r="O12" i="6"/>
  <c r="H350" i="2"/>
  <c r="AD350" i="2" s="1"/>
  <c r="H457" i="2"/>
  <c r="AD457" i="2" s="1"/>
  <c r="Q35" i="6"/>
  <c r="H499" i="2" s="1"/>
  <c r="AD499" i="2" s="1"/>
  <c r="H364" i="2"/>
  <c r="AD364" i="2" s="1"/>
  <c r="O26" i="6"/>
  <c r="H341" i="2"/>
  <c r="AD341" i="2" s="1"/>
  <c r="O3" i="6"/>
  <c r="AE460" i="2"/>
  <c r="AF460" i="2" s="1"/>
  <c r="AG460" i="2" s="1"/>
  <c r="H353" i="2"/>
  <c r="AD353" i="2" s="1"/>
  <c r="O15" i="6"/>
  <c r="AE227" i="2"/>
  <c r="O6" i="6"/>
  <c r="H344" i="2"/>
  <c r="AD344" i="2" s="1"/>
  <c r="AF215" i="2"/>
  <c r="AG215" i="2" s="1"/>
  <c r="H367" i="2"/>
  <c r="AD367" i="2" s="1"/>
  <c r="O29" i="6"/>
  <c r="AE281" i="2"/>
  <c r="H357" i="2"/>
  <c r="AD357" i="2" s="1"/>
  <c r="O19" i="6"/>
  <c r="AE273" i="2"/>
  <c r="AE224" i="2"/>
  <c r="AA326" i="2"/>
  <c r="AB326" i="2" s="1"/>
  <c r="AA315" i="2"/>
  <c r="AB315" i="2" s="1"/>
  <c r="AC315" i="2" s="1"/>
  <c r="AC303" i="2"/>
  <c r="AG259" i="2"/>
  <c r="AE301" i="2"/>
  <c r="AA218" i="2"/>
  <c r="AA281" i="2"/>
  <c r="AB281" i="2" s="1"/>
  <c r="AC281" i="2" s="1"/>
  <c r="AA391" i="2"/>
  <c r="AB391" i="2" s="1"/>
  <c r="AC391" i="2" s="1"/>
  <c r="AB278" i="2"/>
  <c r="AC278" i="2" s="1"/>
  <c r="AB304" i="2"/>
  <c r="AC304" i="2" s="1"/>
  <c r="AB342" i="2"/>
  <c r="AC342" i="2" s="1"/>
  <c r="AB333" i="2"/>
  <c r="AC333" i="2" s="1"/>
  <c r="AB322" i="2"/>
  <c r="AC322" i="2" s="1"/>
  <c r="AB290" i="2"/>
  <c r="AC290" i="2" s="1"/>
  <c r="AB301" i="2"/>
  <c r="AC301" i="2" s="1"/>
  <c r="AO315" i="2"/>
  <c r="AN357" i="2"/>
  <c r="AO339" i="2"/>
  <c r="AN381" i="2"/>
  <c r="AO307" i="2"/>
  <c r="AN349" i="2"/>
  <c r="AN374" i="2"/>
  <c r="AO332" i="2"/>
  <c r="AN369" i="2"/>
  <c r="AO327" i="2"/>
  <c r="AO305" i="2"/>
  <c r="AN347" i="2"/>
  <c r="AN378" i="2"/>
  <c r="AO336" i="2"/>
  <c r="AN398" i="2"/>
  <c r="AO356" i="2"/>
  <c r="AO365" i="2"/>
  <c r="AN407" i="2"/>
  <c r="AN422" i="2"/>
  <c r="AO380" i="2"/>
  <c r="AH490" i="2"/>
  <c r="AL490" i="2"/>
  <c r="AH502" i="2"/>
  <c r="AL502" i="2"/>
  <c r="AL494" i="2"/>
  <c r="AH494" i="2"/>
  <c r="AH440" i="2"/>
  <c r="AL440" i="2"/>
  <c r="AL506" i="2"/>
  <c r="AH506" i="2"/>
  <c r="AH498" i="2"/>
  <c r="AL498" i="2"/>
  <c r="AH478" i="2"/>
  <c r="AL478" i="2"/>
  <c r="AH456" i="2"/>
  <c r="AL456" i="2"/>
  <c r="AH460" i="2"/>
  <c r="AL460" i="2"/>
  <c r="AL452" i="2"/>
  <c r="AH452" i="2"/>
  <c r="AL464" i="2"/>
  <c r="AH464" i="2"/>
  <c r="AL474" i="2"/>
  <c r="AH474" i="2"/>
  <c r="AL448" i="2"/>
  <c r="AH448" i="2"/>
  <c r="AH436" i="2"/>
  <c r="AL436" i="2"/>
  <c r="AH432" i="2"/>
  <c r="AL432" i="2"/>
  <c r="AL482" i="2"/>
  <c r="AH482" i="2"/>
  <c r="AA335" i="2"/>
  <c r="AA250" i="2"/>
  <c r="AB250" i="2" s="1"/>
  <c r="AC279" i="2"/>
  <c r="AE300" i="2"/>
  <c r="AF300" i="2" s="1"/>
  <c r="AG300" i="2" s="1"/>
  <c r="AC263" i="2"/>
  <c r="AA271" i="2"/>
  <c r="AB271" i="2" s="1"/>
  <c r="AA232" i="2"/>
  <c r="AB232" i="2" s="1"/>
  <c r="AE335" i="2"/>
  <c r="AF335" i="2" s="1"/>
  <c r="AG335" i="2" s="1"/>
  <c r="AA285" i="2"/>
  <c r="AI278" i="2"/>
  <c r="AJ278" i="2" s="1"/>
  <c r="AK278" i="2" s="1"/>
  <c r="AI377" i="2"/>
  <c r="AJ377" i="2" s="1"/>
  <c r="AK377" i="2" s="1"/>
  <c r="AA246" i="2"/>
  <c r="AA240" i="2"/>
  <c r="AB240" i="2" s="1"/>
  <c r="AG277" i="2"/>
  <c r="AE319" i="2"/>
  <c r="AF319" i="2" s="1"/>
  <c r="AG319" i="2" s="1"/>
  <c r="AJ222" i="2"/>
  <c r="AK222" i="2" s="1"/>
  <c r="AI234" i="2"/>
  <c r="AJ234" i="2" s="1"/>
  <c r="AK234" i="2" s="1"/>
  <c r="AE302" i="2"/>
  <c r="AF302" i="2" s="1"/>
  <c r="AG302" i="2" s="1"/>
  <c r="W286" i="2"/>
  <c r="AI366" i="2"/>
  <c r="AJ366" i="2" s="1"/>
  <c r="AK366" i="2" s="1"/>
  <c r="AE327" i="2"/>
  <c r="AF327" i="2" s="1"/>
  <c r="AG327" i="2" s="1"/>
  <c r="AA367" i="2"/>
  <c r="AB367" i="2" s="1"/>
  <c r="AG331" i="2"/>
  <c r="AE373" i="2"/>
  <c r="AF373" i="2" s="1"/>
  <c r="AG373" i="2" s="1"/>
  <c r="AJ296" i="2"/>
  <c r="AK296" i="2" s="1"/>
  <c r="AJ239" i="2"/>
  <c r="AK239" i="2" s="1"/>
  <c r="AI301" i="2"/>
  <c r="AJ301" i="2" s="1"/>
  <c r="AK301" i="2" s="1"/>
  <c r="AE287" i="2"/>
  <c r="AK319" i="2"/>
  <c r="AI361" i="2"/>
  <c r="AJ361" i="2" s="1"/>
  <c r="AK361" i="2" s="1"/>
  <c r="AI307" i="2"/>
  <c r="AJ307" i="2" s="1"/>
  <c r="AK307" i="2" s="1"/>
  <c r="AE279" i="2"/>
  <c r="AF274" i="2"/>
  <c r="AG274" i="2" s="1"/>
  <c r="AA318" i="2"/>
  <c r="AA267" i="2"/>
  <c r="AB267" i="2" s="1"/>
  <c r="AE288" i="2"/>
  <c r="AA317" i="2"/>
  <c r="AB317" i="2" s="1"/>
  <c r="AE381" i="2"/>
  <c r="AE356" i="2"/>
  <c r="AF356" i="2" s="1"/>
  <c r="AG356" i="2" s="1"/>
  <c r="AA387" i="2"/>
  <c r="AF226" i="2"/>
  <c r="AG226" i="2" s="1"/>
  <c r="W312" i="2"/>
  <c r="AF264" i="2"/>
  <c r="AG264" i="2" s="1"/>
  <c r="AE387" i="2"/>
  <c r="AK326" i="2"/>
  <c r="AI368" i="2"/>
  <c r="AJ368" i="2" s="1"/>
  <c r="AK368" i="2" s="1"/>
  <c r="AI308" i="2"/>
  <c r="AJ308" i="2" s="1"/>
  <c r="AK308" i="2" s="1"/>
  <c r="AI299" i="2"/>
  <c r="AJ299" i="2" s="1"/>
  <c r="AK299" i="2" s="1"/>
  <c r="AI328" i="2"/>
  <c r="AI409" i="2"/>
  <c r="AJ409" i="2" s="1"/>
  <c r="AK409" i="2" s="1"/>
  <c r="AI333" i="2"/>
  <c r="AJ333" i="2" s="1"/>
  <c r="AK333" i="2" s="1"/>
  <c r="AI386" i="2"/>
  <c r="AJ386" i="2" s="1"/>
  <c r="AK386" i="2" s="1"/>
  <c r="AI387" i="2"/>
  <c r="AJ387" i="2" s="1"/>
  <c r="AK387" i="2" s="1"/>
  <c r="AJ288" i="2"/>
  <c r="AK288" i="2" s="1"/>
  <c r="W296" i="2"/>
  <c r="AI298" i="2"/>
  <c r="AJ298" i="2" s="1"/>
  <c r="AK298" i="2" s="1"/>
  <c r="W302" i="2"/>
  <c r="W287" i="2"/>
  <c r="W306" i="2"/>
  <c r="W310" i="2"/>
  <c r="AA314" i="2"/>
  <c r="AA329" i="2"/>
  <c r="AB329" i="2" s="1"/>
  <c r="AI321" i="2"/>
  <c r="AJ321" i="2" s="1"/>
  <c r="AK321" i="2" s="1"/>
  <c r="AI309" i="2"/>
  <c r="AJ309" i="2" s="1"/>
  <c r="AK309" i="2" s="1"/>
  <c r="W272" i="2"/>
  <c r="W255" i="2"/>
  <c r="W320" i="2"/>
  <c r="AI305" i="2"/>
  <c r="AJ305" i="2" s="1"/>
  <c r="AK305" i="2" s="1"/>
  <c r="AA348" i="2"/>
  <c r="AF276" i="2"/>
  <c r="AG276" i="2" s="1"/>
  <c r="AF333" i="2"/>
  <c r="AG333" i="2" s="1"/>
  <c r="L382" i="2"/>
  <c r="L363" i="2"/>
  <c r="K405" i="2" s="1"/>
  <c r="L357" i="2"/>
  <c r="K399" i="2" s="1"/>
  <c r="L325" i="2"/>
  <c r="K367" i="2" s="1"/>
  <c r="L410" i="2"/>
  <c r="L323" i="2"/>
  <c r="K365" i="2" s="1"/>
  <c r="L353" i="2"/>
  <c r="K395" i="2" s="1"/>
  <c r="L313" i="2"/>
  <c r="K355" i="2" s="1"/>
  <c r="L403" i="2"/>
  <c r="K445" i="2" s="1"/>
  <c r="L387" i="2"/>
  <c r="K429" i="2" s="1"/>
  <c r="L307" i="2"/>
  <c r="K349" i="2" s="1"/>
  <c r="L332" i="2"/>
  <c r="K374" i="2" s="1"/>
  <c r="W280" i="2"/>
  <c r="V377" i="2"/>
  <c r="U377" i="2"/>
  <c r="S377" i="2"/>
  <c r="T377" i="2"/>
  <c r="L359" i="2"/>
  <c r="K401" i="2" s="1"/>
  <c r="V337" i="2"/>
  <c r="T337" i="2"/>
  <c r="S337" i="2"/>
  <c r="U337" i="2"/>
  <c r="T331" i="2"/>
  <c r="S331" i="2"/>
  <c r="U331" i="2"/>
  <c r="V331" i="2"/>
  <c r="W305" i="2"/>
  <c r="W301" i="2"/>
  <c r="W289" i="2"/>
  <c r="L333" i="2"/>
  <c r="K375" i="2" s="1"/>
  <c r="AC339" i="2"/>
  <c r="V317" i="2"/>
  <c r="U317" i="2"/>
  <c r="S317" i="2"/>
  <c r="T317" i="2"/>
  <c r="W239" i="2"/>
  <c r="AI329" i="2"/>
  <c r="W240" i="2"/>
  <c r="U328" i="2"/>
  <c r="S328" i="2"/>
  <c r="T328" i="2"/>
  <c r="V328" i="2"/>
  <c r="U376" i="2"/>
  <c r="S376" i="2"/>
  <c r="T376" i="2"/>
  <c r="V376" i="2"/>
  <c r="AI415" i="2"/>
  <c r="AI359" i="2"/>
  <c r="AI314" i="2"/>
  <c r="AI312" i="2"/>
  <c r="W276" i="2"/>
  <c r="U344" i="2"/>
  <c r="S344" i="2"/>
  <c r="T344" i="2"/>
  <c r="V344" i="2"/>
  <c r="W304" i="2"/>
  <c r="W316" i="2"/>
  <c r="W269" i="2"/>
  <c r="AJ337" i="2"/>
  <c r="AK337" i="2" s="1"/>
  <c r="W326" i="2"/>
  <c r="W334" i="2"/>
  <c r="AJ364" i="2"/>
  <c r="AK364" i="2" s="1"/>
  <c r="W249" i="2"/>
  <c r="AJ300" i="2"/>
  <c r="AK300" i="2" s="1"/>
  <c r="W273" i="2"/>
  <c r="AJ346" i="2"/>
  <c r="AK346" i="2" s="1"/>
  <c r="AI381" i="2"/>
  <c r="L389" i="2"/>
  <c r="K431" i="2" s="1"/>
  <c r="L309" i="2"/>
  <c r="K351" i="2" s="1"/>
  <c r="S346" i="2"/>
  <c r="U346" i="2"/>
  <c r="V346" i="2"/>
  <c r="T346" i="2"/>
  <c r="S318" i="2"/>
  <c r="T318" i="2"/>
  <c r="U318" i="2"/>
  <c r="V318" i="2"/>
  <c r="S358" i="2"/>
  <c r="V358" i="2"/>
  <c r="T358" i="2"/>
  <c r="U358" i="2"/>
  <c r="AE332" i="2"/>
  <c r="AF332" i="2" s="1"/>
  <c r="AG332" i="2" s="1"/>
  <c r="L297" i="2"/>
  <c r="W295" i="2"/>
  <c r="W303" i="2"/>
  <c r="AI316" i="2"/>
  <c r="T327" i="2"/>
  <c r="U327" i="2"/>
  <c r="S327" i="2"/>
  <c r="V327" i="2"/>
  <c r="S271" i="2"/>
  <c r="T271" i="2"/>
  <c r="U271" i="2"/>
  <c r="V271" i="2"/>
  <c r="L418" i="2"/>
  <c r="K460" i="2" s="1"/>
  <c r="L386" i="2"/>
  <c r="L352" i="2"/>
  <c r="K394" i="2" s="1"/>
  <c r="V266" i="2"/>
  <c r="S266" i="2"/>
  <c r="T266" i="2"/>
  <c r="U266" i="2"/>
  <c r="AC380" i="2"/>
  <c r="U257" i="2"/>
  <c r="V257" i="2"/>
  <c r="S257" i="2"/>
  <c r="T257" i="2"/>
  <c r="AJ313" i="2"/>
  <c r="AK313" i="2" s="1"/>
  <c r="L364" i="2"/>
  <c r="K406" i="2" s="1"/>
  <c r="U300" i="2"/>
  <c r="V300" i="2"/>
  <c r="S300" i="2"/>
  <c r="T300" i="2"/>
  <c r="L380" i="2"/>
  <c r="K422" i="2" s="1"/>
  <c r="U336" i="2"/>
  <c r="V336" i="2"/>
  <c r="S336" i="2"/>
  <c r="T336" i="2"/>
  <c r="T343" i="2"/>
  <c r="U343" i="2"/>
  <c r="S343" i="2"/>
  <c r="V343" i="2"/>
  <c r="L404" i="2"/>
  <c r="K446" i="2" s="1"/>
  <c r="L356" i="2"/>
  <c r="K398" i="2" s="1"/>
  <c r="AE324" i="2"/>
  <c r="AF324" i="2" s="1"/>
  <c r="AG324" i="2" s="1"/>
  <c r="W319" i="2"/>
  <c r="AI332" i="2"/>
  <c r="W241" i="2"/>
  <c r="S291" i="2"/>
  <c r="T291" i="2"/>
  <c r="V291" i="2"/>
  <c r="U291" i="2"/>
  <c r="AA298" i="2"/>
  <c r="AB298" i="2" s="1"/>
  <c r="S354" i="2"/>
  <c r="V354" i="2"/>
  <c r="T354" i="2"/>
  <c r="U354" i="2"/>
  <c r="AA370" i="2"/>
  <c r="AB370" i="2" s="1"/>
  <c r="V361" i="2"/>
  <c r="S361" i="2"/>
  <c r="T361" i="2"/>
  <c r="U361" i="2"/>
  <c r="L370" i="2"/>
  <c r="K412" i="2" s="1"/>
  <c r="S283" i="2"/>
  <c r="T283" i="2"/>
  <c r="U283" i="2"/>
  <c r="V283" i="2"/>
  <c r="V345" i="2"/>
  <c r="U345" i="2"/>
  <c r="S345" i="2"/>
  <c r="T345" i="2"/>
  <c r="S330" i="2"/>
  <c r="U330" i="2"/>
  <c r="V330" i="2"/>
  <c r="T330" i="2"/>
  <c r="L329" i="2"/>
  <c r="K371" i="2" s="1"/>
  <c r="AJ315" i="2"/>
  <c r="AK315" i="2" s="1"/>
  <c r="AJ292" i="2"/>
  <c r="AK292" i="2" s="1"/>
  <c r="W298" i="2"/>
  <c r="AI327" i="2"/>
  <c r="W335" i="2"/>
  <c r="AJ336" i="2"/>
  <c r="AK336" i="2" s="1"/>
  <c r="AA310" i="2"/>
  <c r="AB310" i="2" s="1"/>
  <c r="T347" i="2"/>
  <c r="S347" i="2"/>
  <c r="U347" i="2"/>
  <c r="V347" i="2"/>
  <c r="S267" i="2"/>
  <c r="T267" i="2"/>
  <c r="V267" i="2"/>
  <c r="U267" i="2"/>
  <c r="K388" i="2"/>
  <c r="K360" i="2"/>
  <c r="T311" i="2"/>
  <c r="U311" i="2"/>
  <c r="S311" i="2"/>
  <c r="V311" i="2"/>
  <c r="K400" i="2"/>
  <c r="U281" i="2"/>
  <c r="V281" i="2"/>
  <c r="S281" i="2"/>
  <c r="T281" i="2"/>
  <c r="L282" i="2"/>
  <c r="K324" i="2" s="1"/>
  <c r="K419" i="2"/>
  <c r="K369" i="2"/>
  <c r="L396" i="2"/>
  <c r="K438" i="2" s="1"/>
  <c r="T315" i="2"/>
  <c r="S315" i="2"/>
  <c r="U315" i="2"/>
  <c r="V315" i="2"/>
  <c r="K379" i="2"/>
  <c r="AA378" i="2"/>
  <c r="AB378" i="2" s="1"/>
  <c r="U368" i="2"/>
  <c r="V368" i="2"/>
  <c r="T368" i="2"/>
  <c r="S368" i="2"/>
  <c r="L372" i="2"/>
  <c r="K414" i="2" s="1"/>
  <c r="W294" i="2"/>
  <c r="U265" i="2"/>
  <c r="V265" i="2"/>
  <c r="T265" i="2"/>
  <c r="S265" i="2"/>
  <c r="W225" i="2"/>
  <c r="U340" i="2"/>
  <c r="T340" i="2"/>
  <c r="V340" i="2"/>
  <c r="S340" i="2"/>
  <c r="L348" i="2"/>
  <c r="K390" i="2" s="1"/>
  <c r="K308" i="2"/>
  <c r="K299" i="2"/>
  <c r="W258" i="2"/>
  <c r="W285" i="2"/>
  <c r="AC312" i="2"/>
  <c r="W275" i="2"/>
  <c r="AJ353" i="2"/>
  <c r="AK353" i="2" s="1"/>
  <c r="W229" i="2"/>
  <c r="AA308" i="2"/>
  <c r="AB308" i="2" s="1"/>
  <c r="V290" i="2"/>
  <c r="S290" i="2"/>
  <c r="T290" i="2"/>
  <c r="U290" i="2"/>
  <c r="V321" i="2"/>
  <c r="T321" i="2"/>
  <c r="S321" i="2"/>
  <c r="U321" i="2"/>
  <c r="S322" i="2"/>
  <c r="V322" i="2"/>
  <c r="T322" i="2"/>
  <c r="U322" i="2"/>
  <c r="K342" i="2"/>
  <c r="S338" i="2"/>
  <c r="V338" i="2"/>
  <c r="T338" i="2"/>
  <c r="U338" i="2"/>
  <c r="K378" i="2"/>
  <c r="K385" i="2"/>
  <c r="S362" i="2"/>
  <c r="U362" i="2"/>
  <c r="T362" i="2"/>
  <c r="V362" i="2"/>
  <c r="K373" i="2"/>
  <c r="S314" i="2"/>
  <c r="U314" i="2"/>
  <c r="V314" i="2"/>
  <c r="T314" i="2"/>
  <c r="AF355" i="2"/>
  <c r="AG355" i="2" s="1"/>
  <c r="AF307" i="2"/>
  <c r="AG307" i="2" s="1"/>
  <c r="AE336" i="2"/>
  <c r="AE463" i="2"/>
  <c r="AF380" i="2"/>
  <c r="AG380" i="2" s="1"/>
  <c r="C5" i="1" l="1"/>
  <c r="AQ305" i="2"/>
  <c r="AQ339" i="2"/>
  <c r="AQ356" i="2"/>
  <c r="AQ332" i="2"/>
  <c r="AQ365" i="2"/>
  <c r="AQ315" i="2"/>
  <c r="AQ336" i="2"/>
  <c r="AQ327" i="2"/>
  <c r="AQ307" i="2"/>
  <c r="AQ380" i="2"/>
  <c r="AA320" i="2"/>
  <c r="AB320" i="2" s="1"/>
  <c r="AC320" i="2" s="1"/>
  <c r="AE298" i="2"/>
  <c r="AE347" i="2"/>
  <c r="AF347" i="2" s="1"/>
  <c r="AG347" i="2" s="1"/>
  <c r="AA384" i="2"/>
  <c r="AB384" i="2" s="1"/>
  <c r="AE304" i="2"/>
  <c r="AF304" i="2" s="1"/>
  <c r="AG304" i="2" s="1"/>
  <c r="AE328" i="2"/>
  <c r="AA343" i="2"/>
  <c r="AB343" i="2" s="1"/>
  <c r="AC343" i="2" s="1"/>
  <c r="AB361" i="2"/>
  <c r="AC361" i="2" s="1"/>
  <c r="AE367" i="2"/>
  <c r="AF367" i="2" s="1"/>
  <c r="AG367" i="2" s="1"/>
  <c r="AJ268" i="2"/>
  <c r="AK268" i="2" s="1"/>
  <c r="AA346" i="2"/>
  <c r="AB346" i="2" s="1"/>
  <c r="AA353" i="2"/>
  <c r="AE312" i="2"/>
  <c r="H405" i="2"/>
  <c r="AD405" i="2" s="1"/>
  <c r="P25" i="6"/>
  <c r="AC326" i="2"/>
  <c r="AA368" i="2"/>
  <c r="AB368" i="2" s="1"/>
  <c r="AC368" i="2" s="1"/>
  <c r="AG320" i="2"/>
  <c r="AE362" i="2"/>
  <c r="AF362" i="2" s="1"/>
  <c r="AG362" i="2" s="1"/>
  <c r="H393" i="2"/>
  <c r="AD393" i="2" s="1"/>
  <c r="P13" i="6"/>
  <c r="AF267" i="2"/>
  <c r="AG267" i="2" s="1"/>
  <c r="H399" i="2"/>
  <c r="AD399" i="2" s="1"/>
  <c r="P19" i="6"/>
  <c r="H386" i="2"/>
  <c r="AD386" i="2" s="1"/>
  <c r="P6" i="6"/>
  <c r="H410" i="2"/>
  <c r="AD410" i="2" s="1"/>
  <c r="P30" i="6"/>
  <c r="H384" i="2"/>
  <c r="AD384" i="2" s="1"/>
  <c r="P4" i="6"/>
  <c r="AE284" i="2"/>
  <c r="H403" i="2"/>
  <c r="AD403" i="2" s="1"/>
  <c r="P23" i="6"/>
  <c r="AF227" i="2"/>
  <c r="AG227" i="2" s="1"/>
  <c r="H406" i="2"/>
  <c r="AD406" i="2" s="1"/>
  <c r="P26" i="6"/>
  <c r="AF280" i="2"/>
  <c r="AG280" i="2" s="1"/>
  <c r="H390" i="2"/>
  <c r="AD390" i="2" s="1"/>
  <c r="P10" i="6"/>
  <c r="H411" i="2"/>
  <c r="AD411" i="2" s="1"/>
  <c r="P31" i="6"/>
  <c r="AF224" i="2"/>
  <c r="AG224" i="2" s="1"/>
  <c r="AF281" i="2"/>
  <c r="AG281" i="2" s="1"/>
  <c r="AE257" i="2"/>
  <c r="P15" i="6"/>
  <c r="H395" i="2"/>
  <c r="AD395" i="2" s="1"/>
  <c r="P12" i="6"/>
  <c r="H392" i="2"/>
  <c r="AD392" i="2" s="1"/>
  <c r="H414" i="2"/>
  <c r="AD414" i="2" s="1"/>
  <c r="P34" i="6"/>
  <c r="AE275" i="2"/>
  <c r="H404" i="2"/>
  <c r="AD404" i="2" s="1"/>
  <c r="P24" i="6"/>
  <c r="P16" i="6"/>
  <c r="H396" i="2"/>
  <c r="AD396" i="2" s="1"/>
  <c r="H401" i="2"/>
  <c r="AD401" i="2" s="1"/>
  <c r="P21" i="6"/>
  <c r="AF273" i="2"/>
  <c r="AG273" i="2" s="1"/>
  <c r="H409" i="2"/>
  <c r="AD409" i="2" s="1"/>
  <c r="P29" i="6"/>
  <c r="H383" i="2"/>
  <c r="AD383" i="2" s="1"/>
  <c r="P3" i="6"/>
  <c r="H389" i="2"/>
  <c r="AD389" i="2" s="1"/>
  <c r="P9" i="6"/>
  <c r="H407" i="2"/>
  <c r="AD407" i="2" s="1"/>
  <c r="P27" i="6"/>
  <c r="H382" i="2"/>
  <c r="AD382" i="2" s="1"/>
  <c r="P2" i="6"/>
  <c r="H413" i="2"/>
  <c r="AD413" i="2" s="1"/>
  <c r="P33" i="6"/>
  <c r="AA421" i="2"/>
  <c r="AB421" i="2" s="1"/>
  <c r="AC421" i="2" s="1"/>
  <c r="AA375" i="2"/>
  <c r="AB375" i="2" s="1"/>
  <c r="AC375" i="2" s="1"/>
  <c r="AF301" i="2"/>
  <c r="AG301" i="2" s="1"/>
  <c r="AA364" i="2"/>
  <c r="AB364" i="2" s="1"/>
  <c r="AB218" i="2"/>
  <c r="AC218" i="2" s="1"/>
  <c r="AA332" i="2"/>
  <c r="AB387" i="2"/>
  <c r="AC387" i="2" s="1"/>
  <c r="AB335" i="2"/>
  <c r="AC335" i="2" s="1"/>
  <c r="AB348" i="2"/>
  <c r="AC348" i="2" s="1"/>
  <c r="AB314" i="2"/>
  <c r="AC314" i="2" s="1"/>
  <c r="AB318" i="2"/>
  <c r="AC318" i="2" s="1"/>
  <c r="AB246" i="2"/>
  <c r="AC246" i="2" s="1"/>
  <c r="AB285" i="2"/>
  <c r="AC285" i="2" s="1"/>
  <c r="AO347" i="2"/>
  <c r="AN389" i="2"/>
  <c r="AO381" i="2"/>
  <c r="AN423" i="2"/>
  <c r="AN416" i="2"/>
  <c r="AO374" i="2"/>
  <c r="AO349" i="2"/>
  <c r="AN391" i="2"/>
  <c r="AO357" i="2"/>
  <c r="AN399" i="2"/>
  <c r="AN420" i="2"/>
  <c r="AO378" i="2"/>
  <c r="AN411" i="2"/>
  <c r="AO369" i="2"/>
  <c r="AN449" i="2"/>
  <c r="AO407" i="2"/>
  <c r="AN440" i="2"/>
  <c r="AO398" i="2"/>
  <c r="AN464" i="2"/>
  <c r="AO422" i="2"/>
  <c r="AL508" i="2"/>
  <c r="C11" i="1" s="1"/>
  <c r="AA321" i="2"/>
  <c r="AB321" i="2" s="1"/>
  <c r="AA257" i="2"/>
  <c r="AC250" i="2"/>
  <c r="AA305" i="2"/>
  <c r="AB305" i="2" s="1"/>
  <c r="AC305" i="2" s="1"/>
  <c r="AC232" i="2"/>
  <c r="AI320" i="2"/>
  <c r="AJ320" i="2" s="1"/>
  <c r="AK320" i="2" s="1"/>
  <c r="AC271" i="2"/>
  <c r="AE375" i="2"/>
  <c r="AF375" i="2" s="1"/>
  <c r="AG375" i="2" s="1"/>
  <c r="AI419" i="2"/>
  <c r="AJ419" i="2" s="1"/>
  <c r="AK419" i="2" s="1"/>
  <c r="AI264" i="2"/>
  <c r="AJ264" i="2" s="1"/>
  <c r="AK264" i="2" s="1"/>
  <c r="AC240" i="2"/>
  <c r="AE344" i="2"/>
  <c r="AF344" i="2" s="1"/>
  <c r="AG344" i="2" s="1"/>
  <c r="AI276" i="2"/>
  <c r="AE342" i="2"/>
  <c r="AF342" i="2" s="1"/>
  <c r="AG342" i="2" s="1"/>
  <c r="AI281" i="2"/>
  <c r="AJ281" i="2" s="1"/>
  <c r="AI338" i="2"/>
  <c r="AJ338" i="2" s="1"/>
  <c r="AK338" i="2" s="1"/>
  <c r="AC367" i="2"/>
  <c r="AI388" i="2"/>
  <c r="AJ388" i="2" s="1"/>
  <c r="AK388" i="2" s="1"/>
  <c r="AF287" i="2"/>
  <c r="AG287" i="2" s="1"/>
  <c r="AI406" i="2"/>
  <c r="AJ406" i="2" s="1"/>
  <c r="AK406" i="2" s="1"/>
  <c r="AI379" i="2"/>
  <c r="AJ379" i="2" s="1"/>
  <c r="AK379" i="2" s="1"/>
  <c r="AE268" i="2"/>
  <c r="AF268" i="2" s="1"/>
  <c r="AG268" i="2" s="1"/>
  <c r="AC267" i="2"/>
  <c r="AA309" i="2"/>
  <c r="AJ328" i="2"/>
  <c r="AK328" i="2" s="1"/>
  <c r="AI350" i="2"/>
  <c r="AJ350" i="2" s="1"/>
  <c r="AK350" i="2" s="1"/>
  <c r="AA433" i="2"/>
  <c r="AI408" i="2"/>
  <c r="AJ408" i="2" s="1"/>
  <c r="AK408" i="2" s="1"/>
  <c r="AI363" i="2"/>
  <c r="AJ363" i="2" s="1"/>
  <c r="AK363" i="2" s="1"/>
  <c r="AI375" i="2"/>
  <c r="AJ375" i="2" s="1"/>
  <c r="AK375" i="2" s="1"/>
  <c r="AE306" i="2"/>
  <c r="AF306" i="2" s="1"/>
  <c r="AG306" i="2" s="1"/>
  <c r="AE369" i="2"/>
  <c r="AF279" i="2"/>
  <c r="AG279" i="2" s="1"/>
  <c r="AI357" i="2"/>
  <c r="AJ357" i="2" s="1"/>
  <c r="AK357" i="2" s="1"/>
  <c r="AA422" i="2"/>
  <c r="AE377" i="2"/>
  <c r="AC317" i="2"/>
  <c r="AF288" i="2"/>
  <c r="AG288" i="2" s="1"/>
  <c r="AI340" i="2"/>
  <c r="AJ340" i="2" s="1"/>
  <c r="AK340" i="2" s="1"/>
  <c r="AF381" i="2"/>
  <c r="AG381" i="2" s="1"/>
  <c r="AE316" i="2"/>
  <c r="W344" i="2"/>
  <c r="W337" i="2"/>
  <c r="W266" i="2"/>
  <c r="AF387" i="2"/>
  <c r="AG387" i="2" s="1"/>
  <c r="AE415" i="2"/>
  <c r="AF415" i="2" s="1"/>
  <c r="AG415" i="2" s="1"/>
  <c r="AE398" i="2"/>
  <c r="AE502" i="2"/>
  <c r="AF502" i="2" s="1"/>
  <c r="AG502" i="2" s="1"/>
  <c r="AA323" i="2"/>
  <c r="AB323" i="2" s="1"/>
  <c r="AI330" i="2"/>
  <c r="W290" i="2"/>
  <c r="AI429" i="2"/>
  <c r="AJ429" i="2" s="1"/>
  <c r="AK429" i="2" s="1"/>
  <c r="W311" i="2"/>
  <c r="W267" i="2"/>
  <c r="W330" i="2"/>
  <c r="AA381" i="2"/>
  <c r="W377" i="2"/>
  <c r="AI351" i="2"/>
  <c r="AJ351" i="2" s="1"/>
  <c r="AK351" i="2" s="1"/>
  <c r="AE318" i="2"/>
  <c r="W362" i="2"/>
  <c r="W376" i="2"/>
  <c r="AC329" i="2"/>
  <c r="L460" i="2"/>
  <c r="K502" i="2" s="1"/>
  <c r="L502" i="2" s="1"/>
  <c r="L374" i="2"/>
  <c r="L398" i="2"/>
  <c r="L371" i="2"/>
  <c r="K413" i="2" s="1"/>
  <c r="L351" i="2"/>
  <c r="K393" i="2" s="1"/>
  <c r="L422" i="2"/>
  <c r="K464" i="2" s="1"/>
  <c r="L394" i="2"/>
  <c r="L373" i="2"/>
  <c r="K415" i="2" s="1"/>
  <c r="L438" i="2"/>
  <c r="K480" i="2" s="1"/>
  <c r="L480" i="2" s="1"/>
  <c r="L324" i="2"/>
  <c r="K366" i="2" s="1"/>
  <c r="L388" i="2"/>
  <c r="K430" i="2" s="1"/>
  <c r="L406" i="2"/>
  <c r="S386" i="2"/>
  <c r="V386" i="2"/>
  <c r="T386" i="2"/>
  <c r="U386" i="2"/>
  <c r="L445" i="2"/>
  <c r="K487" i="2" s="1"/>
  <c r="L487" i="2" s="1"/>
  <c r="L355" i="2"/>
  <c r="K397" i="2" s="1"/>
  <c r="L367" i="2"/>
  <c r="K409" i="2" s="1"/>
  <c r="AE349" i="2"/>
  <c r="AF349" i="2" s="1"/>
  <c r="AG349" i="2" s="1"/>
  <c r="W321" i="2"/>
  <c r="L308" i="2"/>
  <c r="K350" i="2" s="1"/>
  <c r="U348" i="2"/>
  <c r="V348" i="2"/>
  <c r="S348" i="2"/>
  <c r="T348" i="2"/>
  <c r="L414" i="2"/>
  <c r="U396" i="2"/>
  <c r="S396" i="2"/>
  <c r="T396" i="2"/>
  <c r="V396" i="2"/>
  <c r="V282" i="2"/>
  <c r="S282" i="2"/>
  <c r="U282" i="2"/>
  <c r="T282" i="2"/>
  <c r="AI378" i="2"/>
  <c r="AI334" i="2"/>
  <c r="W283" i="2"/>
  <c r="AC384" i="2"/>
  <c r="W354" i="2"/>
  <c r="U404" i="2"/>
  <c r="T404" i="2"/>
  <c r="S404" i="2"/>
  <c r="V404" i="2"/>
  <c r="W300" i="2"/>
  <c r="U364" i="2"/>
  <c r="S364" i="2"/>
  <c r="T364" i="2"/>
  <c r="V364" i="2"/>
  <c r="AI355" i="2"/>
  <c r="AI341" i="2"/>
  <c r="W257" i="2"/>
  <c r="K428" i="2"/>
  <c r="AI428" i="2"/>
  <c r="W327" i="2"/>
  <c r="W358" i="2"/>
  <c r="W318" i="2"/>
  <c r="W346" i="2"/>
  <c r="V389" i="2"/>
  <c r="S389" i="2"/>
  <c r="T389" i="2"/>
  <c r="U389" i="2"/>
  <c r="AJ312" i="2"/>
  <c r="AK312" i="2" s="1"/>
  <c r="W317" i="2"/>
  <c r="V333" i="2"/>
  <c r="U333" i="2"/>
  <c r="S333" i="2"/>
  <c r="T333" i="2"/>
  <c r="W331" i="2"/>
  <c r="L401" i="2"/>
  <c r="K443" i="2" s="1"/>
  <c r="T307" i="2"/>
  <c r="V307" i="2"/>
  <c r="S307" i="2"/>
  <c r="U307" i="2"/>
  <c r="T403" i="2"/>
  <c r="V403" i="2"/>
  <c r="S403" i="2"/>
  <c r="U403" i="2"/>
  <c r="V313" i="2"/>
  <c r="S313" i="2"/>
  <c r="T313" i="2"/>
  <c r="U313" i="2"/>
  <c r="T323" i="2"/>
  <c r="V323" i="2"/>
  <c r="S323" i="2"/>
  <c r="U323" i="2"/>
  <c r="V325" i="2"/>
  <c r="S325" i="2"/>
  <c r="T325" i="2"/>
  <c r="U325" i="2"/>
  <c r="T363" i="2"/>
  <c r="S363" i="2"/>
  <c r="U363" i="2"/>
  <c r="V363" i="2"/>
  <c r="L390" i="2"/>
  <c r="K432" i="2" s="1"/>
  <c r="AC370" i="2"/>
  <c r="AJ332" i="2"/>
  <c r="AK332" i="2" s="1"/>
  <c r="L446" i="2"/>
  <c r="K488" i="2" s="1"/>
  <c r="L488" i="2" s="1"/>
  <c r="S418" i="2"/>
  <c r="T418" i="2"/>
  <c r="U418" i="2"/>
  <c r="V418" i="2"/>
  <c r="AJ316" i="2"/>
  <c r="AK316" i="2" s="1"/>
  <c r="L405" i="2"/>
  <c r="K447" i="2" s="1"/>
  <c r="L385" i="2"/>
  <c r="K427" i="2" s="1"/>
  <c r="AI410" i="2"/>
  <c r="AI395" i="2"/>
  <c r="L378" i="2"/>
  <c r="K420" i="2" s="1"/>
  <c r="W338" i="2"/>
  <c r="AC308" i="2"/>
  <c r="W340" i="2"/>
  <c r="AI347" i="2"/>
  <c r="U372" i="2"/>
  <c r="T372" i="2"/>
  <c r="V372" i="2"/>
  <c r="S372" i="2"/>
  <c r="AC378" i="2"/>
  <c r="W315" i="2"/>
  <c r="L369" i="2"/>
  <c r="K411" i="2" s="1"/>
  <c r="L400" i="2"/>
  <c r="AJ327" i="2"/>
  <c r="AK327" i="2" s="1"/>
  <c r="AI403" i="2"/>
  <c r="S370" i="2"/>
  <c r="T370" i="2"/>
  <c r="U370" i="2"/>
  <c r="V370" i="2"/>
  <c r="W361" i="2"/>
  <c r="AC298" i="2"/>
  <c r="W291" i="2"/>
  <c r="AI342" i="2"/>
  <c r="AA373" i="2"/>
  <c r="AB373" i="2" s="1"/>
  <c r="AJ314" i="2"/>
  <c r="AK314" i="2" s="1"/>
  <c r="AJ415" i="2"/>
  <c r="AK415" i="2" s="1"/>
  <c r="AJ329" i="2"/>
  <c r="AK329" i="2" s="1"/>
  <c r="AI349" i="2"/>
  <c r="AI343" i="2"/>
  <c r="AI451" i="2"/>
  <c r="T359" i="2"/>
  <c r="U359" i="2"/>
  <c r="S359" i="2"/>
  <c r="V359" i="2"/>
  <c r="L429" i="2"/>
  <c r="K471" i="2" s="1"/>
  <c r="L471" i="2" s="1"/>
  <c r="L395" i="2"/>
  <c r="K437" i="2" s="1"/>
  <c r="S410" i="2"/>
  <c r="U410" i="2"/>
  <c r="V410" i="2"/>
  <c r="T410" i="2"/>
  <c r="L399" i="2"/>
  <c r="K441" i="2" s="1"/>
  <c r="S382" i="2"/>
  <c r="T382" i="2"/>
  <c r="U382" i="2"/>
  <c r="V382" i="2"/>
  <c r="U297" i="2"/>
  <c r="V297" i="2"/>
  <c r="T297" i="2"/>
  <c r="S297" i="2"/>
  <c r="L431" i="2"/>
  <c r="K473" i="2" s="1"/>
  <c r="L473" i="2" s="1"/>
  <c r="L375" i="2"/>
  <c r="K417" i="2" s="1"/>
  <c r="L349" i="2"/>
  <c r="K391" i="2" s="1"/>
  <c r="L365" i="2"/>
  <c r="K407" i="2" s="1"/>
  <c r="W314" i="2"/>
  <c r="L342" i="2"/>
  <c r="K384" i="2" s="1"/>
  <c r="W322" i="2"/>
  <c r="AA354" i="2"/>
  <c r="AB354" i="2" s="1"/>
  <c r="L299" i="2"/>
  <c r="K341" i="2" s="1"/>
  <c r="W265" i="2"/>
  <c r="W368" i="2"/>
  <c r="L379" i="2"/>
  <c r="L419" i="2"/>
  <c r="K461" i="2" s="1"/>
  <c r="W281" i="2"/>
  <c r="L360" i="2"/>
  <c r="K402" i="2" s="1"/>
  <c r="W347" i="2"/>
  <c r="AC310" i="2"/>
  <c r="V329" i="2"/>
  <c r="U329" i="2"/>
  <c r="S329" i="2"/>
  <c r="T329" i="2"/>
  <c r="W345" i="2"/>
  <c r="L412" i="2"/>
  <c r="K454" i="2" s="1"/>
  <c r="U356" i="2"/>
  <c r="T356" i="2"/>
  <c r="S356" i="2"/>
  <c r="V356" i="2"/>
  <c r="W343" i="2"/>
  <c r="W336" i="2"/>
  <c r="U380" i="2"/>
  <c r="V380" i="2"/>
  <c r="S380" i="2"/>
  <c r="T380" i="2"/>
  <c r="U352" i="2"/>
  <c r="V352" i="2"/>
  <c r="S352" i="2"/>
  <c r="T352" i="2"/>
  <c r="W271" i="2"/>
  <c r="K339" i="2"/>
  <c r="V309" i="2"/>
  <c r="S309" i="2"/>
  <c r="T309" i="2"/>
  <c r="U309" i="2"/>
  <c r="AJ381" i="2"/>
  <c r="AK381" i="2" s="1"/>
  <c r="AA357" i="2"/>
  <c r="AB357" i="2" s="1"/>
  <c r="AJ359" i="2"/>
  <c r="AK359" i="2" s="1"/>
  <c r="W328" i="2"/>
  <c r="AE361" i="2"/>
  <c r="U332" i="2"/>
  <c r="V332" i="2"/>
  <c r="S332" i="2"/>
  <c r="T332" i="2"/>
  <c r="T387" i="2"/>
  <c r="V387" i="2"/>
  <c r="S387" i="2"/>
  <c r="U387" i="2"/>
  <c r="V353" i="2"/>
  <c r="T353" i="2"/>
  <c r="S353" i="2"/>
  <c r="U353" i="2"/>
  <c r="K452" i="2"/>
  <c r="V357" i="2"/>
  <c r="S357" i="2"/>
  <c r="T357" i="2"/>
  <c r="U357" i="2"/>
  <c r="K424" i="2"/>
  <c r="AE422" i="2"/>
  <c r="AE366" i="2"/>
  <c r="AE374" i="2"/>
  <c r="AF336" i="2"/>
  <c r="AG336" i="2" s="1"/>
  <c r="AF463" i="2"/>
  <c r="AG463" i="2" s="1"/>
  <c r="AE397" i="2"/>
  <c r="AF298" i="2"/>
  <c r="AG298" i="2" s="1"/>
  <c r="AA390" i="2" l="1"/>
  <c r="AQ357" i="2"/>
  <c r="AQ347" i="2"/>
  <c r="AQ349" i="2"/>
  <c r="AQ369" i="2"/>
  <c r="AQ374" i="2"/>
  <c r="AQ407" i="2"/>
  <c r="AQ422" i="2"/>
  <c r="AQ378" i="2"/>
  <c r="AQ381" i="2"/>
  <c r="AQ398" i="2"/>
  <c r="AC346" i="2"/>
  <c r="AA388" i="2"/>
  <c r="AB388" i="2" s="1"/>
  <c r="AC388" i="2" s="1"/>
  <c r="AB332" i="2"/>
  <c r="AC332" i="2" s="1"/>
  <c r="AF328" i="2"/>
  <c r="AG328" i="2" s="1"/>
  <c r="AI310" i="2"/>
  <c r="AE346" i="2"/>
  <c r="AA403" i="2"/>
  <c r="AB403" i="2" s="1"/>
  <c r="AC403" i="2" s="1"/>
  <c r="AA417" i="2"/>
  <c r="AB417" i="2" s="1"/>
  <c r="AC417" i="2" s="1"/>
  <c r="AJ310" i="2"/>
  <c r="AK310" i="2" s="1"/>
  <c r="AB353" i="2"/>
  <c r="AC353" i="2" s="1"/>
  <c r="Q25" i="6"/>
  <c r="H489" i="2" s="1"/>
  <c r="AD489" i="2" s="1"/>
  <c r="H447" i="2"/>
  <c r="AD447" i="2" s="1"/>
  <c r="AF312" i="2"/>
  <c r="AG312" i="2" s="1"/>
  <c r="AE309" i="2"/>
  <c r="H435" i="2"/>
  <c r="AD435" i="2" s="1"/>
  <c r="Q13" i="6"/>
  <c r="H477" i="2" s="1"/>
  <c r="AD477" i="2" s="1"/>
  <c r="Q2" i="6"/>
  <c r="H466" i="2" s="1"/>
  <c r="AD466" i="2" s="1"/>
  <c r="H424" i="2"/>
  <c r="AD424" i="2" s="1"/>
  <c r="H431" i="2"/>
  <c r="AD431" i="2" s="1"/>
  <c r="Q9" i="6"/>
  <c r="H473" i="2" s="1"/>
  <c r="AD473" i="2" s="1"/>
  <c r="H451" i="2"/>
  <c r="AD451" i="2" s="1"/>
  <c r="Q29" i="6"/>
  <c r="H493" i="2" s="1"/>
  <c r="AD493" i="2" s="1"/>
  <c r="H443" i="2"/>
  <c r="AD443" i="2" s="1"/>
  <c r="Q21" i="6"/>
  <c r="H485" i="2" s="1"/>
  <c r="AD485" i="2" s="1"/>
  <c r="H446" i="2"/>
  <c r="AD446" i="2" s="1"/>
  <c r="Q24" i="6"/>
  <c r="H488" i="2" s="1"/>
  <c r="AD488" i="2" s="1"/>
  <c r="H426" i="2"/>
  <c r="AD426" i="2" s="1"/>
  <c r="Q4" i="6"/>
  <c r="H468" i="2" s="1"/>
  <c r="AD468" i="2" s="1"/>
  <c r="Q6" i="6"/>
  <c r="H470" i="2" s="1"/>
  <c r="AD470" i="2" s="1"/>
  <c r="H428" i="2"/>
  <c r="AD428" i="2" s="1"/>
  <c r="H437" i="2"/>
  <c r="AD437" i="2" s="1"/>
  <c r="Q15" i="6"/>
  <c r="H479" i="2" s="1"/>
  <c r="AD479" i="2" s="1"/>
  <c r="AE266" i="2"/>
  <c r="Q10" i="6"/>
  <c r="H474" i="2" s="1"/>
  <c r="AD474" i="2" s="1"/>
  <c r="H432" i="2"/>
  <c r="AD432" i="2" s="1"/>
  <c r="H448" i="2"/>
  <c r="AD448" i="2" s="1"/>
  <c r="Q26" i="6"/>
  <c r="H490" i="2" s="1"/>
  <c r="AD490" i="2" s="1"/>
  <c r="Q23" i="6"/>
  <c r="H487" i="2" s="1"/>
  <c r="AD487" i="2" s="1"/>
  <c r="H445" i="2"/>
  <c r="AD445" i="2" s="1"/>
  <c r="H455" i="2"/>
  <c r="AD455" i="2" s="1"/>
  <c r="Q33" i="6"/>
  <c r="H497" i="2" s="1"/>
  <c r="AD497" i="2" s="1"/>
  <c r="H449" i="2"/>
  <c r="AD449" i="2" s="1"/>
  <c r="Q27" i="6"/>
  <c r="H491" i="2" s="1"/>
  <c r="AD491" i="2" s="1"/>
  <c r="H425" i="2"/>
  <c r="AD425" i="2" s="1"/>
  <c r="Q3" i="6"/>
  <c r="H467" i="2" s="1"/>
  <c r="AD467" i="2" s="1"/>
  <c r="AF275" i="2"/>
  <c r="AG275" i="2" s="1"/>
  <c r="Q12" i="6"/>
  <c r="H476" i="2" s="1"/>
  <c r="AD476" i="2" s="1"/>
  <c r="H434" i="2"/>
  <c r="AD434" i="2" s="1"/>
  <c r="AF257" i="2"/>
  <c r="AG257" i="2" s="1"/>
  <c r="H452" i="2"/>
  <c r="AD452" i="2" s="1"/>
  <c r="Q30" i="6"/>
  <c r="H494" i="2" s="1"/>
  <c r="AD494" i="2" s="1"/>
  <c r="H441" i="2"/>
  <c r="AD441" i="2" s="1"/>
  <c r="Q19" i="6"/>
  <c r="H483" i="2" s="1"/>
  <c r="AD483" i="2" s="1"/>
  <c r="AE315" i="2"/>
  <c r="Q16" i="6"/>
  <c r="H480" i="2" s="1"/>
  <c r="AD480" i="2" s="1"/>
  <c r="H438" i="2"/>
  <c r="AD438" i="2" s="1"/>
  <c r="Q34" i="6"/>
  <c r="H498" i="2" s="1"/>
  <c r="AD498" i="2" s="1"/>
  <c r="H456" i="2"/>
  <c r="AD456" i="2" s="1"/>
  <c r="AE323" i="2"/>
  <c r="H453" i="2"/>
  <c r="AD453" i="2" s="1"/>
  <c r="Q31" i="6"/>
  <c r="H495" i="2" s="1"/>
  <c r="AD495" i="2" s="1"/>
  <c r="AE322" i="2"/>
  <c r="AE269" i="2"/>
  <c r="AF284" i="2"/>
  <c r="AG284" i="2" s="1"/>
  <c r="AA377" i="2"/>
  <c r="AB377" i="2" s="1"/>
  <c r="AC377" i="2" s="1"/>
  <c r="AE343" i="2"/>
  <c r="AC364" i="2"/>
  <c r="AA406" i="2"/>
  <c r="AB406" i="2" s="1"/>
  <c r="AC406" i="2" s="1"/>
  <c r="AA360" i="2"/>
  <c r="AB360" i="2" s="1"/>
  <c r="AC360" i="2" s="1"/>
  <c r="AA288" i="2"/>
  <c r="AB288" i="2" s="1"/>
  <c r="AC288" i="2" s="1"/>
  <c r="AA260" i="2"/>
  <c r="AA429" i="2"/>
  <c r="AA356" i="2"/>
  <c r="AB356" i="2" s="1"/>
  <c r="AC356" i="2" s="1"/>
  <c r="AA327" i="2"/>
  <c r="AB327" i="2" s="1"/>
  <c r="AC327" i="2" s="1"/>
  <c r="AB381" i="2"/>
  <c r="AC381" i="2" s="1"/>
  <c r="AB422" i="2"/>
  <c r="AC422" i="2" s="1"/>
  <c r="AB309" i="2"/>
  <c r="AC309" i="2" s="1"/>
  <c r="AB257" i="2"/>
  <c r="AC257" i="2" s="1"/>
  <c r="AB390" i="2"/>
  <c r="AC390" i="2" s="1"/>
  <c r="AB429" i="2"/>
  <c r="AC429" i="2" s="1"/>
  <c r="AB433" i="2"/>
  <c r="AC433" i="2" s="1"/>
  <c r="AN433" i="2"/>
  <c r="AO391" i="2"/>
  <c r="AN465" i="2"/>
  <c r="AO423" i="2"/>
  <c r="AN462" i="2"/>
  <c r="AO420" i="2"/>
  <c r="AN441" i="2"/>
  <c r="AO399" i="2"/>
  <c r="AN431" i="2"/>
  <c r="AO389" i="2"/>
  <c r="AN453" i="2"/>
  <c r="AO411" i="2"/>
  <c r="AN458" i="2"/>
  <c r="AO416" i="2"/>
  <c r="AN482" i="2"/>
  <c r="AO482" i="2" s="1"/>
  <c r="AO440" i="2"/>
  <c r="AN506" i="2"/>
  <c r="AO506" i="2" s="1"/>
  <c r="AO464" i="2"/>
  <c r="AO449" i="2"/>
  <c r="AN491" i="2"/>
  <c r="AO491" i="2" s="1"/>
  <c r="AE389" i="2"/>
  <c r="AF389" i="2" s="1"/>
  <c r="AG389" i="2" s="1"/>
  <c r="AA292" i="2"/>
  <c r="AI362" i="2"/>
  <c r="AJ362" i="2" s="1"/>
  <c r="AK362" i="2" s="1"/>
  <c r="AA347" i="2"/>
  <c r="AC321" i="2"/>
  <c r="AA274" i="2"/>
  <c r="AA313" i="2"/>
  <c r="AB313" i="2" s="1"/>
  <c r="AI461" i="2"/>
  <c r="AJ461" i="2" s="1"/>
  <c r="AK461" i="2" s="1"/>
  <c r="AA385" i="2"/>
  <c r="AB385" i="2" s="1"/>
  <c r="AA412" i="2"/>
  <c r="AA409" i="2"/>
  <c r="AI306" i="2"/>
  <c r="AE505" i="2"/>
  <c r="AF505" i="2" s="1"/>
  <c r="AG505" i="2" s="1"/>
  <c r="AI457" i="2"/>
  <c r="AJ457" i="2" s="1"/>
  <c r="AK457" i="2" s="1"/>
  <c r="AI371" i="2"/>
  <c r="AJ371" i="2" s="1"/>
  <c r="AK371" i="2" s="1"/>
  <c r="AA282" i="2"/>
  <c r="AB282" i="2" s="1"/>
  <c r="AK281" i="2"/>
  <c r="AI323" i="2"/>
  <c r="AJ323" i="2" s="1"/>
  <c r="AK323" i="2" s="1"/>
  <c r="AI380" i="2"/>
  <c r="AJ276" i="2"/>
  <c r="AK276" i="2" s="1"/>
  <c r="AI393" i="2"/>
  <c r="AJ393" i="2" s="1"/>
  <c r="AK393" i="2" s="1"/>
  <c r="AE330" i="2"/>
  <c r="AF330" i="2" s="1"/>
  <c r="AG330" i="2" s="1"/>
  <c r="AE409" i="2"/>
  <c r="AF409" i="2" s="1"/>
  <c r="AG409" i="2" s="1"/>
  <c r="AI392" i="2"/>
  <c r="AJ392" i="2" s="1"/>
  <c r="AK392" i="2" s="1"/>
  <c r="AE310" i="2"/>
  <c r="AF310" i="2" s="1"/>
  <c r="AG310" i="2" s="1"/>
  <c r="AE386" i="2"/>
  <c r="AE384" i="2"/>
  <c r="AA359" i="2"/>
  <c r="AE329" i="2"/>
  <c r="AA362" i="2"/>
  <c r="AE348" i="2"/>
  <c r="AF348" i="2" s="1"/>
  <c r="AG348" i="2" s="1"/>
  <c r="AF316" i="2"/>
  <c r="AG316" i="2" s="1"/>
  <c r="W363" i="2"/>
  <c r="W325" i="2"/>
  <c r="W313" i="2"/>
  <c r="AE423" i="2"/>
  <c r="AE321" i="2"/>
  <c r="AF369" i="2"/>
  <c r="AG369" i="2" s="1"/>
  <c r="AI370" i="2"/>
  <c r="AJ370" i="2" s="1"/>
  <c r="AK370" i="2" s="1"/>
  <c r="AE429" i="2"/>
  <c r="AF429" i="2" s="1"/>
  <c r="AG429" i="2" s="1"/>
  <c r="AF377" i="2"/>
  <c r="AG377" i="2" s="1"/>
  <c r="W389" i="2"/>
  <c r="AF398" i="2"/>
  <c r="AG398" i="2" s="1"/>
  <c r="AE417" i="2"/>
  <c r="AF417" i="2" s="1"/>
  <c r="AG417" i="2" s="1"/>
  <c r="AI471" i="2"/>
  <c r="AJ471" i="2" s="1"/>
  <c r="AK471" i="2" s="1"/>
  <c r="AI374" i="2"/>
  <c r="AJ374" i="2" s="1"/>
  <c r="AK374" i="2" s="1"/>
  <c r="AA371" i="2"/>
  <c r="AB371" i="2" s="1"/>
  <c r="AJ330" i="2"/>
  <c r="AK330" i="2" s="1"/>
  <c r="AF318" i="2"/>
  <c r="AG318" i="2" s="1"/>
  <c r="AI399" i="2"/>
  <c r="AJ399" i="2" s="1"/>
  <c r="AK399" i="2" s="1"/>
  <c r="AI358" i="2"/>
  <c r="AJ358" i="2" s="1"/>
  <c r="AK358" i="2" s="1"/>
  <c r="AC323" i="2"/>
  <c r="AI448" i="2"/>
  <c r="AJ448" i="2" s="1"/>
  <c r="AK448" i="2" s="1"/>
  <c r="AI423" i="2"/>
  <c r="AJ423" i="2" s="1"/>
  <c r="AK423" i="2" s="1"/>
  <c r="AI405" i="2"/>
  <c r="W297" i="2"/>
  <c r="W370" i="2"/>
  <c r="AA420" i="2"/>
  <c r="AB420" i="2" s="1"/>
  <c r="AA410" i="2"/>
  <c r="AA463" i="2"/>
  <c r="AB463" i="2" s="1"/>
  <c r="L402" i="2"/>
  <c r="L427" i="2"/>
  <c r="K469" i="2" s="1"/>
  <c r="L469" i="2" s="1"/>
  <c r="V488" i="2"/>
  <c r="S488" i="2"/>
  <c r="T488" i="2"/>
  <c r="U488" i="2"/>
  <c r="L391" i="2"/>
  <c r="K433" i="2" s="1"/>
  <c r="L437" i="2"/>
  <c r="K479" i="2" s="1"/>
  <c r="L479" i="2" s="1"/>
  <c r="L454" i="2"/>
  <c r="K496" i="2" s="1"/>
  <c r="L496" i="2" s="1"/>
  <c r="L461" i="2"/>
  <c r="K503" i="2" s="1"/>
  <c r="L503" i="2" s="1"/>
  <c r="L411" i="2"/>
  <c r="K453" i="2" s="1"/>
  <c r="L432" i="2"/>
  <c r="K474" i="2" s="1"/>
  <c r="L474" i="2" s="1"/>
  <c r="S473" i="2"/>
  <c r="T473" i="2"/>
  <c r="U473" i="2"/>
  <c r="V473" i="2"/>
  <c r="T379" i="2"/>
  <c r="S379" i="2"/>
  <c r="U379" i="2"/>
  <c r="V379" i="2"/>
  <c r="L407" i="2"/>
  <c r="K449" i="2" s="1"/>
  <c r="L417" i="2"/>
  <c r="K459" i="2" s="1"/>
  <c r="AJ349" i="2"/>
  <c r="AK349" i="2" s="1"/>
  <c r="AC373" i="2"/>
  <c r="U400" i="2"/>
  <c r="V400" i="2"/>
  <c r="S400" i="2"/>
  <c r="T400" i="2"/>
  <c r="AJ347" i="2"/>
  <c r="AK347" i="2" s="1"/>
  <c r="AJ410" i="2"/>
  <c r="AK410" i="2" s="1"/>
  <c r="S414" i="2"/>
  <c r="T414" i="2"/>
  <c r="U414" i="2"/>
  <c r="V414" i="2"/>
  <c r="L397" i="2"/>
  <c r="K439" i="2" s="1"/>
  <c r="L430" i="2"/>
  <c r="V480" i="2"/>
  <c r="S480" i="2"/>
  <c r="T480" i="2"/>
  <c r="U480" i="2"/>
  <c r="L415" i="2"/>
  <c r="K457" i="2" s="1"/>
  <c r="S374" i="2"/>
  <c r="V374" i="2"/>
  <c r="U374" i="2"/>
  <c r="T374" i="2"/>
  <c r="L452" i="2"/>
  <c r="AI421" i="2"/>
  <c r="W352" i="2"/>
  <c r="W380" i="2"/>
  <c r="S299" i="2"/>
  <c r="T299" i="2"/>
  <c r="U299" i="2"/>
  <c r="V299" i="2"/>
  <c r="S342" i="2"/>
  <c r="V342" i="2"/>
  <c r="T342" i="2"/>
  <c r="U342" i="2"/>
  <c r="V365" i="2"/>
  <c r="U365" i="2"/>
  <c r="T365" i="2"/>
  <c r="S365" i="2"/>
  <c r="AI417" i="2"/>
  <c r="AI382" i="2"/>
  <c r="T375" i="2"/>
  <c r="U375" i="2"/>
  <c r="V375" i="2"/>
  <c r="S375" i="2"/>
  <c r="AI430" i="2"/>
  <c r="T399" i="2"/>
  <c r="S399" i="2"/>
  <c r="U399" i="2"/>
  <c r="V399" i="2"/>
  <c r="W410" i="2"/>
  <c r="V429" i="2"/>
  <c r="U429" i="2"/>
  <c r="S429" i="2"/>
  <c r="T429" i="2"/>
  <c r="AI356" i="2"/>
  <c r="AJ342" i="2"/>
  <c r="AK342" i="2" s="1"/>
  <c r="AJ403" i="2"/>
  <c r="AK403" i="2" s="1"/>
  <c r="AI369" i="2"/>
  <c r="S378" i="2"/>
  <c r="U378" i="2"/>
  <c r="V378" i="2"/>
  <c r="T378" i="2"/>
  <c r="V405" i="2"/>
  <c r="S405" i="2"/>
  <c r="T405" i="2"/>
  <c r="U405" i="2"/>
  <c r="AJ341" i="2"/>
  <c r="AK341" i="2" s="1"/>
  <c r="W364" i="2"/>
  <c r="W404" i="2"/>
  <c r="AA426" i="2"/>
  <c r="AB426" i="2" s="1"/>
  <c r="K456" i="2"/>
  <c r="T355" i="2"/>
  <c r="V355" i="2"/>
  <c r="S355" i="2"/>
  <c r="U355" i="2"/>
  <c r="U388" i="2"/>
  <c r="T388" i="2"/>
  <c r="S388" i="2"/>
  <c r="V388" i="2"/>
  <c r="S438" i="2"/>
  <c r="V438" i="2"/>
  <c r="T438" i="2"/>
  <c r="U438" i="2"/>
  <c r="V373" i="2"/>
  <c r="S373" i="2"/>
  <c r="T373" i="2"/>
  <c r="U373" i="2"/>
  <c r="S422" i="2"/>
  <c r="V422" i="2"/>
  <c r="T422" i="2"/>
  <c r="U422" i="2"/>
  <c r="T371" i="2"/>
  <c r="V371" i="2"/>
  <c r="U371" i="2"/>
  <c r="S371" i="2"/>
  <c r="K416" i="2"/>
  <c r="L424" i="2"/>
  <c r="K466" i="2" s="1"/>
  <c r="L466" i="2" s="1"/>
  <c r="L339" i="2"/>
  <c r="K381" i="2" s="1"/>
  <c r="L441" i="2"/>
  <c r="L447" i="2"/>
  <c r="K489" i="2" s="1"/>
  <c r="L489" i="2" s="1"/>
  <c r="S446" i="2"/>
  <c r="T446" i="2"/>
  <c r="U446" i="2"/>
  <c r="V446" i="2"/>
  <c r="S390" i="2"/>
  <c r="V390" i="2"/>
  <c r="T390" i="2"/>
  <c r="U390" i="2"/>
  <c r="L464" i="2"/>
  <c r="K506" i="2" s="1"/>
  <c r="L506" i="2" s="1"/>
  <c r="L413" i="2"/>
  <c r="AE404" i="2"/>
  <c r="AF404" i="2" s="1"/>
  <c r="AG404" i="2" s="1"/>
  <c r="AI401" i="2"/>
  <c r="W309" i="2"/>
  <c r="W329" i="2"/>
  <c r="T419" i="2"/>
  <c r="V419" i="2"/>
  <c r="S419" i="2"/>
  <c r="U419" i="2"/>
  <c r="L341" i="2"/>
  <c r="L384" i="2"/>
  <c r="K426" i="2" s="1"/>
  <c r="AJ451" i="2"/>
  <c r="AK451" i="2" s="1"/>
  <c r="AA340" i="2"/>
  <c r="AB340" i="2" s="1"/>
  <c r="AE457" i="2"/>
  <c r="AF457" i="2" s="1"/>
  <c r="AG457" i="2" s="1"/>
  <c r="V369" i="2"/>
  <c r="T369" i="2"/>
  <c r="U369" i="2"/>
  <c r="S369" i="2"/>
  <c r="W372" i="2"/>
  <c r="AA350" i="2"/>
  <c r="AB350" i="2" s="1"/>
  <c r="L420" i="2"/>
  <c r="K462" i="2" s="1"/>
  <c r="V385" i="2"/>
  <c r="T385" i="2"/>
  <c r="S385" i="2"/>
  <c r="U385" i="2"/>
  <c r="L443" i="2"/>
  <c r="W333" i="2"/>
  <c r="AJ428" i="2"/>
  <c r="AK428" i="2" s="1"/>
  <c r="AJ355" i="2"/>
  <c r="AK355" i="2" s="1"/>
  <c r="AJ334" i="2"/>
  <c r="AK334" i="2" s="1"/>
  <c r="W282" i="2"/>
  <c r="W396" i="2"/>
  <c r="L350" i="2"/>
  <c r="K392" i="2" s="1"/>
  <c r="L409" i="2"/>
  <c r="K451" i="2" s="1"/>
  <c r="U487" i="2"/>
  <c r="V487" i="2"/>
  <c r="S487" i="2"/>
  <c r="T487" i="2"/>
  <c r="S406" i="2"/>
  <c r="V406" i="2"/>
  <c r="T406" i="2"/>
  <c r="U406" i="2"/>
  <c r="L366" i="2"/>
  <c r="K408" i="2" s="1"/>
  <c r="S394" i="2"/>
  <c r="U394" i="2"/>
  <c r="T394" i="2"/>
  <c r="V394" i="2"/>
  <c r="L393" i="2"/>
  <c r="K435" i="2" s="1"/>
  <c r="S398" i="2"/>
  <c r="T398" i="2"/>
  <c r="U398" i="2"/>
  <c r="V398" i="2"/>
  <c r="T502" i="2"/>
  <c r="U502" i="2"/>
  <c r="V502" i="2"/>
  <c r="S502" i="2"/>
  <c r="U471" i="2"/>
  <c r="V471" i="2"/>
  <c r="S471" i="2"/>
  <c r="T471" i="2"/>
  <c r="W357" i="2"/>
  <c r="W353" i="2"/>
  <c r="W387" i="2"/>
  <c r="W332" i="2"/>
  <c r="AF361" i="2"/>
  <c r="AG361" i="2" s="1"/>
  <c r="AC357" i="2"/>
  <c r="W356" i="2"/>
  <c r="U412" i="2"/>
  <c r="S412" i="2"/>
  <c r="T412" i="2"/>
  <c r="V412" i="2"/>
  <c r="AA352" i="2"/>
  <c r="AB352" i="2" s="1"/>
  <c r="U360" i="2"/>
  <c r="S360" i="2"/>
  <c r="T360" i="2"/>
  <c r="V360" i="2"/>
  <c r="K421" i="2"/>
  <c r="AC354" i="2"/>
  <c r="V349" i="2"/>
  <c r="U349" i="2"/>
  <c r="S349" i="2"/>
  <c r="T349" i="2"/>
  <c r="T431" i="2"/>
  <c r="S431" i="2"/>
  <c r="U431" i="2"/>
  <c r="V431" i="2"/>
  <c r="W382" i="2"/>
  <c r="T395" i="2"/>
  <c r="S395" i="2"/>
  <c r="U395" i="2"/>
  <c r="V395" i="2"/>
  <c r="W359" i="2"/>
  <c r="AJ343" i="2"/>
  <c r="AK343" i="2" s="1"/>
  <c r="K442" i="2"/>
  <c r="AJ395" i="2"/>
  <c r="AK395" i="2" s="1"/>
  <c r="W418" i="2"/>
  <c r="W323" i="2"/>
  <c r="W403" i="2"/>
  <c r="W307" i="2"/>
  <c r="V401" i="2"/>
  <c r="T401" i="2"/>
  <c r="S401" i="2"/>
  <c r="U401" i="2"/>
  <c r="AI450" i="2"/>
  <c r="AI354" i="2"/>
  <c r="L428" i="2"/>
  <c r="K470" i="2" s="1"/>
  <c r="L470" i="2" s="1"/>
  <c r="AJ378" i="2"/>
  <c r="AK378" i="2" s="1"/>
  <c r="W348" i="2"/>
  <c r="U308" i="2"/>
  <c r="T308" i="2"/>
  <c r="S308" i="2"/>
  <c r="V308" i="2"/>
  <c r="T367" i="2"/>
  <c r="S367" i="2"/>
  <c r="U367" i="2"/>
  <c r="V367" i="2"/>
  <c r="V445" i="2"/>
  <c r="U445" i="2"/>
  <c r="S445" i="2"/>
  <c r="T445" i="2"/>
  <c r="W386" i="2"/>
  <c r="K448" i="2"/>
  <c r="U324" i="2"/>
  <c r="T324" i="2"/>
  <c r="S324" i="2"/>
  <c r="V324" i="2"/>
  <c r="K436" i="2"/>
  <c r="T351" i="2"/>
  <c r="V351" i="2"/>
  <c r="S351" i="2"/>
  <c r="U351" i="2"/>
  <c r="K440" i="2"/>
  <c r="U460" i="2"/>
  <c r="S460" i="2"/>
  <c r="T460" i="2"/>
  <c r="V460" i="2"/>
  <c r="AF397" i="2"/>
  <c r="AG397" i="2" s="1"/>
  <c r="AF366" i="2"/>
  <c r="AG366" i="2" s="1"/>
  <c r="AF374" i="2"/>
  <c r="AG374" i="2" s="1"/>
  <c r="AE378" i="2"/>
  <c r="AE391" i="2"/>
  <c r="AF422" i="2"/>
  <c r="AG422" i="2" s="1"/>
  <c r="AE340" i="2"/>
  <c r="AI352" i="2" l="1"/>
  <c r="AA471" i="2"/>
  <c r="AQ506" i="2"/>
  <c r="AQ440" i="2"/>
  <c r="AQ399" i="2"/>
  <c r="AQ464" i="2"/>
  <c r="AQ482" i="2"/>
  <c r="AQ416" i="2"/>
  <c r="AQ420" i="2"/>
  <c r="AQ389" i="2"/>
  <c r="AQ391" i="2"/>
  <c r="AQ491" i="2"/>
  <c r="AQ411" i="2"/>
  <c r="AQ423" i="2"/>
  <c r="AQ449" i="2"/>
  <c r="AA432" i="2"/>
  <c r="AB432" i="2" s="1"/>
  <c r="AA423" i="2"/>
  <c r="AA445" i="2"/>
  <c r="AE370" i="2"/>
  <c r="AF370" i="2" s="1"/>
  <c r="AF346" i="2"/>
  <c r="AG346" i="2" s="1"/>
  <c r="AA374" i="2"/>
  <c r="AB374" i="2" s="1"/>
  <c r="AC374" i="2" s="1"/>
  <c r="AJ352" i="2"/>
  <c r="AK352" i="2" s="1"/>
  <c r="AA430" i="2"/>
  <c r="AB430" i="2" s="1"/>
  <c r="AC430" i="2" s="1"/>
  <c r="AE326" i="2"/>
  <c r="AF326" i="2" s="1"/>
  <c r="AG326" i="2" s="1"/>
  <c r="AE354" i="2"/>
  <c r="AA395" i="2"/>
  <c r="AE299" i="2"/>
  <c r="AF299" i="2" s="1"/>
  <c r="AG299" i="2" s="1"/>
  <c r="AE317" i="2"/>
  <c r="AF317" i="2" s="1"/>
  <c r="AG317" i="2" s="1"/>
  <c r="AF309" i="2"/>
  <c r="AG309" i="2" s="1"/>
  <c r="AF269" i="2"/>
  <c r="AG269" i="2" s="1"/>
  <c r="AF323" i="2"/>
  <c r="AG323" i="2" s="1"/>
  <c r="AF266" i="2"/>
  <c r="AG266" i="2" s="1"/>
  <c r="AF322" i="2"/>
  <c r="AG322" i="2" s="1"/>
  <c r="AF315" i="2"/>
  <c r="AG315" i="2" s="1"/>
  <c r="AA464" i="2"/>
  <c r="AB464" i="2" s="1"/>
  <c r="AF343" i="2"/>
  <c r="AG343" i="2" s="1"/>
  <c r="AA299" i="2"/>
  <c r="AB299" i="2" s="1"/>
  <c r="AB260" i="2"/>
  <c r="AC260" i="2" s="1"/>
  <c r="AA351" i="2"/>
  <c r="AB351" i="2" s="1"/>
  <c r="AC351" i="2" s="1"/>
  <c r="AA475" i="2"/>
  <c r="AB475" i="2" s="1"/>
  <c r="AC475" i="2" s="1"/>
  <c r="AB410" i="2"/>
  <c r="AC410" i="2" s="1"/>
  <c r="AB445" i="2"/>
  <c r="AC445" i="2" s="1"/>
  <c r="AB412" i="2"/>
  <c r="AC412" i="2" s="1"/>
  <c r="AB274" i="2"/>
  <c r="AC274" i="2" s="1"/>
  <c r="AB423" i="2"/>
  <c r="AC423" i="2" s="1"/>
  <c r="AB292" i="2"/>
  <c r="AC292" i="2" s="1"/>
  <c r="AB359" i="2"/>
  <c r="AC359" i="2" s="1"/>
  <c r="AB471" i="2"/>
  <c r="AC471" i="2" s="1"/>
  <c r="AB362" i="2"/>
  <c r="AC362" i="2" s="1"/>
  <c r="AB409" i="2"/>
  <c r="AC409" i="2" s="1"/>
  <c r="AB347" i="2"/>
  <c r="AC347" i="2" s="1"/>
  <c r="AN495" i="2"/>
  <c r="AO495" i="2" s="1"/>
  <c r="AO453" i="2"/>
  <c r="AO441" i="2"/>
  <c r="AN483" i="2"/>
  <c r="AO483" i="2" s="1"/>
  <c r="AO465" i="2"/>
  <c r="AN507" i="2"/>
  <c r="AO507" i="2" s="1"/>
  <c r="AN500" i="2"/>
  <c r="AO500" i="2" s="1"/>
  <c r="AO458" i="2"/>
  <c r="AN473" i="2"/>
  <c r="AO473" i="2" s="1"/>
  <c r="AO431" i="2"/>
  <c r="AN504" i="2"/>
  <c r="AO504" i="2" s="1"/>
  <c r="AO462" i="2"/>
  <c r="AN475" i="2"/>
  <c r="AO475" i="2" s="1"/>
  <c r="AO433" i="2"/>
  <c r="AA419" i="2"/>
  <c r="AB419" i="2" s="1"/>
  <c r="AE431" i="2"/>
  <c r="AI503" i="2"/>
  <c r="AJ503" i="2" s="1"/>
  <c r="AK503" i="2" s="1"/>
  <c r="AC299" i="2"/>
  <c r="AA363" i="2"/>
  <c r="AB363" i="2" s="1"/>
  <c r="AC313" i="2"/>
  <c r="AI412" i="2"/>
  <c r="AJ412" i="2" s="1"/>
  <c r="AK412" i="2" s="1"/>
  <c r="AC385" i="2"/>
  <c r="AE352" i="2"/>
  <c r="AF352" i="2" s="1"/>
  <c r="AG352" i="2" s="1"/>
  <c r="AI365" i="2"/>
  <c r="AJ365" i="2" s="1"/>
  <c r="AK365" i="2" s="1"/>
  <c r="AJ306" i="2"/>
  <c r="AK306" i="2" s="1"/>
  <c r="AI318" i="2"/>
  <c r="AA369" i="2"/>
  <c r="AB369" i="2" s="1"/>
  <c r="AA330" i="2"/>
  <c r="AB330" i="2" s="1"/>
  <c r="AE471" i="2"/>
  <c r="AF471" i="2" s="1"/>
  <c r="AG471" i="2" s="1"/>
  <c r="AC282" i="2"/>
  <c r="AA365" i="2"/>
  <c r="AJ380" i="2"/>
  <c r="AK380" i="2" s="1"/>
  <c r="AF329" i="2"/>
  <c r="AG329" i="2" s="1"/>
  <c r="AF386" i="2"/>
  <c r="AG386" i="2" s="1"/>
  <c r="AA396" i="2"/>
  <c r="AE372" i="2"/>
  <c r="AF372" i="2" s="1"/>
  <c r="AG372" i="2" s="1"/>
  <c r="AE411" i="2"/>
  <c r="AF411" i="2" s="1"/>
  <c r="AG411" i="2" s="1"/>
  <c r="AE390" i="2"/>
  <c r="AF384" i="2"/>
  <c r="AG384" i="2" s="1"/>
  <c r="AI384" i="2"/>
  <c r="AJ384" i="2" s="1"/>
  <c r="AK384" i="2" s="1"/>
  <c r="AI420" i="2"/>
  <c r="AJ420" i="2" s="1"/>
  <c r="AK420" i="2" s="1"/>
  <c r="AI470" i="2"/>
  <c r="AJ470" i="2" s="1"/>
  <c r="AK470" i="2" s="1"/>
  <c r="AI434" i="2"/>
  <c r="AJ434" i="2" s="1"/>
  <c r="AK434" i="2" s="1"/>
  <c r="AI400" i="2"/>
  <c r="AJ400" i="2" s="1"/>
  <c r="AK400" i="2" s="1"/>
  <c r="AE440" i="2"/>
  <c r="AF440" i="2" s="1"/>
  <c r="AG440" i="2" s="1"/>
  <c r="AE451" i="2"/>
  <c r="AE419" i="2"/>
  <c r="AF321" i="2"/>
  <c r="AG321" i="2" s="1"/>
  <c r="AE459" i="2"/>
  <c r="AF459" i="2" s="1"/>
  <c r="AG459" i="2" s="1"/>
  <c r="AF423" i="2"/>
  <c r="AG423" i="2" s="1"/>
  <c r="AE358" i="2"/>
  <c r="W367" i="2"/>
  <c r="AI490" i="2"/>
  <c r="AJ490" i="2" s="1"/>
  <c r="AK490" i="2" s="1"/>
  <c r="AE360" i="2"/>
  <c r="AF360" i="2" s="1"/>
  <c r="AG360" i="2" s="1"/>
  <c r="AC420" i="2"/>
  <c r="AA462" i="2"/>
  <c r="W378" i="2"/>
  <c r="AC463" i="2"/>
  <c r="AI441" i="2"/>
  <c r="AJ441" i="2" s="1"/>
  <c r="AK441" i="2" s="1"/>
  <c r="AA399" i="2"/>
  <c r="AJ405" i="2"/>
  <c r="AK405" i="2" s="1"/>
  <c r="W406" i="2"/>
  <c r="AI397" i="2"/>
  <c r="AJ397" i="2" s="1"/>
  <c r="AK397" i="2" s="1"/>
  <c r="W369" i="2"/>
  <c r="AA448" i="2"/>
  <c r="W373" i="2"/>
  <c r="AI383" i="2"/>
  <c r="AJ383" i="2" s="1"/>
  <c r="AK383" i="2" s="1"/>
  <c r="AI404" i="2"/>
  <c r="AJ404" i="2" s="1"/>
  <c r="AK404" i="2" s="1"/>
  <c r="AC371" i="2"/>
  <c r="AI385" i="2"/>
  <c r="AJ385" i="2" s="1"/>
  <c r="AK385" i="2" s="1"/>
  <c r="AI465" i="2"/>
  <c r="AJ465" i="2" s="1"/>
  <c r="AK465" i="2" s="1"/>
  <c r="AI413" i="2"/>
  <c r="AJ413" i="2" s="1"/>
  <c r="AK413" i="2" s="1"/>
  <c r="W471" i="2"/>
  <c r="W398" i="2"/>
  <c r="W446" i="2"/>
  <c r="W399" i="2"/>
  <c r="AA459" i="2"/>
  <c r="AB459" i="2" s="1"/>
  <c r="AI372" i="2"/>
  <c r="L435" i="2"/>
  <c r="K477" i="2" s="1"/>
  <c r="L477" i="2" s="1"/>
  <c r="S489" i="2"/>
  <c r="T489" i="2"/>
  <c r="U489" i="2"/>
  <c r="V489" i="2"/>
  <c r="L381" i="2"/>
  <c r="K423" i="2" s="1"/>
  <c r="S469" i="2"/>
  <c r="T469" i="2"/>
  <c r="U469" i="2"/>
  <c r="V469" i="2"/>
  <c r="L426" i="2"/>
  <c r="K468" i="2" s="1"/>
  <c r="L468" i="2" s="1"/>
  <c r="T506" i="2"/>
  <c r="U506" i="2"/>
  <c r="V506" i="2"/>
  <c r="S506" i="2"/>
  <c r="L451" i="2"/>
  <c r="K493" i="2" s="1"/>
  <c r="L493" i="2" s="1"/>
  <c r="L440" i="2"/>
  <c r="L448" i="2"/>
  <c r="K490" i="2" s="1"/>
  <c r="L490" i="2" s="1"/>
  <c r="L442" i="2"/>
  <c r="K484" i="2" s="1"/>
  <c r="L484" i="2" s="1"/>
  <c r="L408" i="2"/>
  <c r="K450" i="2" s="1"/>
  <c r="T443" i="2"/>
  <c r="S443" i="2"/>
  <c r="U443" i="2"/>
  <c r="V443" i="2"/>
  <c r="L462" i="2"/>
  <c r="V341" i="2"/>
  <c r="S341" i="2"/>
  <c r="T341" i="2"/>
  <c r="U341" i="2"/>
  <c r="U452" i="2"/>
  <c r="T452" i="2"/>
  <c r="V452" i="2"/>
  <c r="S452" i="2"/>
  <c r="S430" i="2"/>
  <c r="T430" i="2"/>
  <c r="U430" i="2"/>
  <c r="V430" i="2"/>
  <c r="U503" i="2"/>
  <c r="V503" i="2"/>
  <c r="S503" i="2"/>
  <c r="T503" i="2"/>
  <c r="L436" i="2"/>
  <c r="W324" i="2"/>
  <c r="T470" i="2"/>
  <c r="U470" i="2"/>
  <c r="V470" i="2"/>
  <c r="S470" i="2"/>
  <c r="AJ450" i="2"/>
  <c r="AK450" i="2" s="1"/>
  <c r="AI437" i="2"/>
  <c r="W431" i="2"/>
  <c r="W349" i="2"/>
  <c r="W360" i="2"/>
  <c r="AE403" i="2"/>
  <c r="W502" i="2"/>
  <c r="K485" i="2"/>
  <c r="L485" i="2" s="1"/>
  <c r="W385" i="2"/>
  <c r="U420" i="2"/>
  <c r="T420" i="2"/>
  <c r="V420" i="2"/>
  <c r="S420" i="2"/>
  <c r="AA402" i="2"/>
  <c r="AB402" i="2" s="1"/>
  <c r="L416" i="2"/>
  <c r="K458" i="2" s="1"/>
  <c r="W422" i="2"/>
  <c r="W438" i="2"/>
  <c r="AJ369" i="2"/>
  <c r="AK369" i="2" s="1"/>
  <c r="W375" i="2"/>
  <c r="AJ382" i="2"/>
  <c r="AK382" i="2" s="1"/>
  <c r="AJ421" i="2"/>
  <c r="AK421" i="2" s="1"/>
  <c r="K494" i="2"/>
  <c r="L494" i="2" s="1"/>
  <c r="W374" i="2"/>
  <c r="K472" i="2"/>
  <c r="L472" i="2" s="1"/>
  <c r="V397" i="2"/>
  <c r="U397" i="2"/>
  <c r="T397" i="2"/>
  <c r="S397" i="2"/>
  <c r="W414" i="2"/>
  <c r="AI389" i="2"/>
  <c r="W400" i="2"/>
  <c r="AI391" i="2"/>
  <c r="T407" i="2"/>
  <c r="U407" i="2"/>
  <c r="S407" i="2"/>
  <c r="V407" i="2"/>
  <c r="U432" i="2"/>
  <c r="V432" i="2"/>
  <c r="S432" i="2"/>
  <c r="T432" i="2"/>
  <c r="V461" i="2"/>
  <c r="U461" i="2"/>
  <c r="S461" i="2"/>
  <c r="T461" i="2"/>
  <c r="V437" i="2"/>
  <c r="S437" i="2"/>
  <c r="T437" i="2"/>
  <c r="U437" i="2"/>
  <c r="L392" i="2"/>
  <c r="K434" i="2" s="1"/>
  <c r="V413" i="2"/>
  <c r="U413" i="2"/>
  <c r="S413" i="2"/>
  <c r="T413" i="2"/>
  <c r="AC426" i="2"/>
  <c r="L439" i="2"/>
  <c r="K481" i="2" s="1"/>
  <c r="L481" i="2" s="1"/>
  <c r="L449" i="2"/>
  <c r="T474" i="2"/>
  <c r="U474" i="2"/>
  <c r="V474" i="2"/>
  <c r="S474" i="2"/>
  <c r="U479" i="2"/>
  <c r="V479" i="2"/>
  <c r="S479" i="2"/>
  <c r="T479" i="2"/>
  <c r="W460" i="2"/>
  <c r="AI416" i="2"/>
  <c r="AI499" i="2"/>
  <c r="AJ499" i="2" s="1"/>
  <c r="AK499" i="2" s="1"/>
  <c r="W395" i="2"/>
  <c r="L421" i="2"/>
  <c r="K463" i="2" s="1"/>
  <c r="W412" i="2"/>
  <c r="V393" i="2"/>
  <c r="U393" i="2"/>
  <c r="S393" i="2"/>
  <c r="T393" i="2"/>
  <c r="W394" i="2"/>
  <c r="W487" i="2"/>
  <c r="V409" i="2"/>
  <c r="S409" i="2"/>
  <c r="T409" i="2"/>
  <c r="U409" i="2"/>
  <c r="AC350" i="2"/>
  <c r="AE499" i="2"/>
  <c r="AF499" i="2" s="1"/>
  <c r="AG499" i="2" s="1"/>
  <c r="U384" i="2"/>
  <c r="V384" i="2"/>
  <c r="S384" i="2"/>
  <c r="T384" i="2"/>
  <c r="W419" i="2"/>
  <c r="AJ401" i="2"/>
  <c r="AK401" i="2" s="1"/>
  <c r="V464" i="2"/>
  <c r="S464" i="2"/>
  <c r="T464" i="2"/>
  <c r="U464" i="2"/>
  <c r="W390" i="2"/>
  <c r="T447" i="2"/>
  <c r="S447" i="2"/>
  <c r="U447" i="2"/>
  <c r="V447" i="2"/>
  <c r="T339" i="2"/>
  <c r="V339" i="2"/>
  <c r="U339" i="2"/>
  <c r="S339" i="2"/>
  <c r="W371" i="2"/>
  <c r="L456" i="2"/>
  <c r="K498" i="2" s="1"/>
  <c r="L498" i="2" s="1"/>
  <c r="AJ356" i="2"/>
  <c r="AK356" i="2" s="1"/>
  <c r="W429" i="2"/>
  <c r="AJ417" i="2"/>
  <c r="AK417" i="2" s="1"/>
  <c r="W342" i="2"/>
  <c r="W299" i="2"/>
  <c r="L457" i="2"/>
  <c r="K499" i="2" s="1"/>
  <c r="L499" i="2" s="1"/>
  <c r="W480" i="2"/>
  <c r="L459" i="2"/>
  <c r="K501" i="2" s="1"/>
  <c r="L501" i="2" s="1"/>
  <c r="W379" i="2"/>
  <c r="L453" i="2"/>
  <c r="K495" i="2" s="1"/>
  <c r="L495" i="2" s="1"/>
  <c r="V496" i="2"/>
  <c r="S496" i="2"/>
  <c r="T496" i="2"/>
  <c r="U496" i="2"/>
  <c r="L433" i="2"/>
  <c r="K475" i="2" s="1"/>
  <c r="L475" i="2" s="1"/>
  <c r="W488" i="2"/>
  <c r="S402" i="2"/>
  <c r="V402" i="2"/>
  <c r="T402" i="2"/>
  <c r="U402" i="2"/>
  <c r="AC432" i="2"/>
  <c r="V441" i="2"/>
  <c r="S441" i="2"/>
  <c r="T441" i="2"/>
  <c r="U441" i="2"/>
  <c r="T466" i="2"/>
  <c r="U466" i="2"/>
  <c r="V466" i="2"/>
  <c r="S466" i="2"/>
  <c r="T427" i="2"/>
  <c r="S427" i="2"/>
  <c r="U427" i="2"/>
  <c r="V427" i="2"/>
  <c r="W351" i="2"/>
  <c r="U428" i="2"/>
  <c r="S428" i="2"/>
  <c r="T428" i="2"/>
  <c r="V428" i="2"/>
  <c r="W445" i="2"/>
  <c r="W308" i="2"/>
  <c r="AJ354" i="2"/>
  <c r="AK354" i="2" s="1"/>
  <c r="W401" i="2"/>
  <c r="AI435" i="2"/>
  <c r="AC352" i="2"/>
  <c r="AA398" i="2"/>
  <c r="AB398" i="2" s="1"/>
  <c r="S366" i="2"/>
  <c r="T366" i="2"/>
  <c r="U366" i="2"/>
  <c r="V366" i="2"/>
  <c r="S350" i="2"/>
  <c r="T350" i="2"/>
  <c r="U350" i="2"/>
  <c r="V350" i="2"/>
  <c r="AI376" i="2"/>
  <c r="AC340" i="2"/>
  <c r="AI493" i="2"/>
  <c r="AJ493" i="2" s="1"/>
  <c r="AK493" i="2" s="1"/>
  <c r="K383" i="2"/>
  <c r="K455" i="2"/>
  <c r="K483" i="2"/>
  <c r="L483" i="2" s="1"/>
  <c r="U424" i="2"/>
  <c r="S424" i="2"/>
  <c r="T424" i="2"/>
  <c r="V424" i="2"/>
  <c r="W388" i="2"/>
  <c r="W355" i="2"/>
  <c r="W405" i="2"/>
  <c r="AI445" i="2"/>
  <c r="AJ430" i="2"/>
  <c r="AK430" i="2" s="1"/>
  <c r="W365" i="2"/>
  <c r="T415" i="2"/>
  <c r="S415" i="2"/>
  <c r="U415" i="2"/>
  <c r="V415" i="2"/>
  <c r="AI452" i="2"/>
  <c r="AA415" i="2"/>
  <c r="AB415" i="2" s="1"/>
  <c r="V417" i="2"/>
  <c r="T417" i="2"/>
  <c r="U417" i="2"/>
  <c r="S417" i="2"/>
  <c r="W473" i="2"/>
  <c r="T411" i="2"/>
  <c r="S411" i="2"/>
  <c r="U411" i="2"/>
  <c r="V411" i="2"/>
  <c r="S454" i="2"/>
  <c r="V454" i="2"/>
  <c r="T454" i="2"/>
  <c r="U454" i="2"/>
  <c r="T391" i="2"/>
  <c r="U391" i="2"/>
  <c r="S391" i="2"/>
  <c r="V391" i="2"/>
  <c r="K444" i="2"/>
  <c r="AF378" i="2"/>
  <c r="AG378" i="2" s="1"/>
  <c r="AE416" i="2"/>
  <c r="AE408" i="2"/>
  <c r="AF391" i="2"/>
  <c r="AG391" i="2" s="1"/>
  <c r="AE464" i="2"/>
  <c r="AE446" i="2"/>
  <c r="AE439" i="2"/>
  <c r="AF340" i="2"/>
  <c r="AG340" i="2" s="1"/>
  <c r="AA487" i="2" l="1"/>
  <c r="AA416" i="2"/>
  <c r="AQ431" i="2"/>
  <c r="AQ453" i="2"/>
  <c r="AQ495" i="2"/>
  <c r="AQ458" i="2"/>
  <c r="AQ473" i="2"/>
  <c r="AQ500" i="2"/>
  <c r="AQ433" i="2"/>
  <c r="AQ507" i="2"/>
  <c r="AQ475" i="2"/>
  <c r="AQ465" i="2"/>
  <c r="AQ462" i="2"/>
  <c r="AQ483" i="2"/>
  <c r="AQ504" i="2"/>
  <c r="AQ441" i="2"/>
  <c r="AA316" i="2"/>
  <c r="AB316" i="2" s="1"/>
  <c r="AC316" i="2" s="1"/>
  <c r="AE388" i="2"/>
  <c r="AF388" i="2" s="1"/>
  <c r="AG388" i="2" s="1"/>
  <c r="AG370" i="2"/>
  <c r="AE412" i="2"/>
  <c r="AF412" i="2" s="1"/>
  <c r="AG412" i="2" s="1"/>
  <c r="AI394" i="2"/>
  <c r="AJ394" i="2" s="1"/>
  <c r="AK394" i="2" s="1"/>
  <c r="AA454" i="2"/>
  <c r="AB454" i="2" s="1"/>
  <c r="AA465" i="2"/>
  <c r="AB465" i="2" s="1"/>
  <c r="AC465" i="2" s="1"/>
  <c r="AA401" i="2"/>
  <c r="AB401" i="2" s="1"/>
  <c r="AE351" i="2"/>
  <c r="AF351" i="2" s="1"/>
  <c r="AG351" i="2" s="1"/>
  <c r="AB395" i="2"/>
  <c r="AC395" i="2" s="1"/>
  <c r="AF354" i="2"/>
  <c r="AG354" i="2" s="1"/>
  <c r="AE364" i="2"/>
  <c r="AF364" i="2" s="1"/>
  <c r="AG364" i="2" s="1"/>
  <c r="AC464" i="2"/>
  <c r="AA506" i="2"/>
  <c r="AB506" i="2" s="1"/>
  <c r="AC506" i="2" s="1"/>
  <c r="AA341" i="2"/>
  <c r="AB341" i="2" s="1"/>
  <c r="AC341" i="2" s="1"/>
  <c r="AE357" i="2"/>
  <c r="AE308" i="2"/>
  <c r="AE311" i="2"/>
  <c r="AE341" i="2"/>
  <c r="AA334" i="2"/>
  <c r="AB334" i="2" s="1"/>
  <c r="AC334" i="2" s="1"/>
  <c r="AE365" i="2"/>
  <c r="AE359" i="2"/>
  <c r="AE368" i="2"/>
  <c r="AA452" i="2"/>
  <c r="AB452" i="2" s="1"/>
  <c r="AC452" i="2" s="1"/>
  <c r="AA451" i="2"/>
  <c r="AB451" i="2" s="1"/>
  <c r="AC451" i="2" s="1"/>
  <c r="AA404" i="2"/>
  <c r="AB404" i="2" s="1"/>
  <c r="AC404" i="2" s="1"/>
  <c r="AA389" i="2"/>
  <c r="AB389" i="2" s="1"/>
  <c r="AC389" i="2" s="1"/>
  <c r="AE385" i="2"/>
  <c r="AA302" i="2"/>
  <c r="AB399" i="2"/>
  <c r="AC399" i="2" s="1"/>
  <c r="AB462" i="2"/>
  <c r="AC462" i="2" s="1"/>
  <c r="AB416" i="2"/>
  <c r="AC416" i="2" s="1"/>
  <c r="AB487" i="2"/>
  <c r="AC487" i="2" s="1"/>
  <c r="AB448" i="2"/>
  <c r="AC448" i="2" s="1"/>
  <c r="AB396" i="2"/>
  <c r="AC396" i="2" s="1"/>
  <c r="AB365" i="2"/>
  <c r="AC365" i="2" s="1"/>
  <c r="AF431" i="2"/>
  <c r="AG431" i="2" s="1"/>
  <c r="AC419" i="2"/>
  <c r="AA461" i="2"/>
  <c r="AB461" i="2" s="1"/>
  <c r="AC363" i="2"/>
  <c r="AA324" i="2"/>
  <c r="AA427" i="2"/>
  <c r="AB427" i="2" s="1"/>
  <c r="AC427" i="2" s="1"/>
  <c r="AA355" i="2"/>
  <c r="AB355" i="2" s="1"/>
  <c r="AE482" i="2"/>
  <c r="AF482" i="2" s="1"/>
  <c r="AG482" i="2" s="1"/>
  <c r="AI426" i="2"/>
  <c r="AJ426" i="2" s="1"/>
  <c r="AK426" i="2" s="1"/>
  <c r="AI476" i="2"/>
  <c r="AJ476" i="2" s="1"/>
  <c r="AK476" i="2" s="1"/>
  <c r="AI348" i="2"/>
  <c r="AJ318" i="2"/>
  <c r="AK318" i="2" s="1"/>
  <c r="AC369" i="2"/>
  <c r="AA411" i="2"/>
  <c r="AI427" i="2"/>
  <c r="AJ427" i="2" s="1"/>
  <c r="AK427" i="2" s="1"/>
  <c r="AE394" i="2"/>
  <c r="AF394" i="2" s="1"/>
  <c r="AG394" i="2" s="1"/>
  <c r="AC330" i="2"/>
  <c r="AE363" i="2"/>
  <c r="AF363" i="2" s="1"/>
  <c r="AG363" i="2" s="1"/>
  <c r="AI422" i="2"/>
  <c r="AI463" i="2"/>
  <c r="AJ463" i="2" s="1"/>
  <c r="AK463" i="2" s="1"/>
  <c r="AA505" i="2"/>
  <c r="AE453" i="2"/>
  <c r="AF453" i="2" s="1"/>
  <c r="AE465" i="2"/>
  <c r="AF465" i="2" s="1"/>
  <c r="AG465" i="2" s="1"/>
  <c r="AE426" i="2"/>
  <c r="AI407" i="2"/>
  <c r="AE428" i="2"/>
  <c r="AF390" i="2"/>
  <c r="AG390" i="2" s="1"/>
  <c r="AE371" i="2"/>
  <c r="AI492" i="2"/>
  <c r="AJ492" i="2" s="1"/>
  <c r="AK492" i="2" s="1"/>
  <c r="AE402" i="2"/>
  <c r="AC401" i="2"/>
  <c r="AA413" i="2"/>
  <c r="AE414" i="2"/>
  <c r="AF419" i="2"/>
  <c r="AG419" i="2" s="1"/>
  <c r="AI396" i="2"/>
  <c r="AJ396" i="2" s="1"/>
  <c r="W413" i="2"/>
  <c r="AF451" i="2"/>
  <c r="AG451" i="2" s="1"/>
  <c r="AI398" i="2"/>
  <c r="AJ398" i="2" s="1"/>
  <c r="AK398" i="2" s="1"/>
  <c r="AI439" i="2"/>
  <c r="AJ439" i="2" s="1"/>
  <c r="AK439" i="2" s="1"/>
  <c r="AF358" i="2"/>
  <c r="AG358" i="2" s="1"/>
  <c r="W411" i="2"/>
  <c r="W417" i="2"/>
  <c r="W415" i="2"/>
  <c r="W461" i="2"/>
  <c r="W432" i="2"/>
  <c r="W407" i="2"/>
  <c r="W397" i="2"/>
  <c r="AI454" i="2"/>
  <c r="AJ454" i="2" s="1"/>
  <c r="AK454" i="2" s="1"/>
  <c r="AI443" i="2"/>
  <c r="AJ443" i="2" s="1"/>
  <c r="AK443" i="2" s="1"/>
  <c r="W393" i="2"/>
  <c r="AI425" i="2"/>
  <c r="AJ425" i="2" s="1"/>
  <c r="AK425" i="2" s="1"/>
  <c r="W341" i="2"/>
  <c r="AI447" i="2"/>
  <c r="AA382" i="2"/>
  <c r="AA394" i="2"/>
  <c r="AI462" i="2"/>
  <c r="AJ462" i="2" s="1"/>
  <c r="AK462" i="2" s="1"/>
  <c r="W402" i="2"/>
  <c r="AI446" i="2"/>
  <c r="AJ446" i="2" s="1"/>
  <c r="AK446" i="2" s="1"/>
  <c r="AI424" i="2"/>
  <c r="AJ424" i="2" s="1"/>
  <c r="AK424" i="2" s="1"/>
  <c r="W420" i="2"/>
  <c r="AJ372" i="2"/>
  <c r="AK372" i="2" s="1"/>
  <c r="W339" i="2"/>
  <c r="W479" i="2"/>
  <c r="AC459" i="2"/>
  <c r="AA393" i="2"/>
  <c r="AB393" i="2" s="1"/>
  <c r="AE501" i="2"/>
  <c r="AF501" i="2" s="1"/>
  <c r="AG501" i="2" s="1"/>
  <c r="S481" i="2"/>
  <c r="T481" i="2"/>
  <c r="U481" i="2"/>
  <c r="V481" i="2"/>
  <c r="L434" i="2"/>
  <c r="K476" i="2" s="1"/>
  <c r="L476" i="2" s="1"/>
  <c r="L458" i="2"/>
  <c r="K500" i="2" s="1"/>
  <c r="L500" i="2" s="1"/>
  <c r="AC415" i="2"/>
  <c r="AJ435" i="2"/>
  <c r="AK435" i="2" s="1"/>
  <c r="V472" i="2"/>
  <c r="S472" i="2"/>
  <c r="T472" i="2"/>
  <c r="U472" i="2"/>
  <c r="AF403" i="2"/>
  <c r="AG403" i="2" s="1"/>
  <c r="AJ437" i="2"/>
  <c r="AK437" i="2" s="1"/>
  <c r="U436" i="2"/>
  <c r="T436" i="2"/>
  <c r="V436" i="2"/>
  <c r="S436" i="2"/>
  <c r="L450" i="2"/>
  <c r="K492" i="2" s="1"/>
  <c r="L492" i="2" s="1"/>
  <c r="V484" i="2"/>
  <c r="S484" i="2"/>
  <c r="T484" i="2"/>
  <c r="U484" i="2"/>
  <c r="T490" i="2"/>
  <c r="U490" i="2"/>
  <c r="V490" i="2"/>
  <c r="S490" i="2"/>
  <c r="S493" i="2"/>
  <c r="T493" i="2"/>
  <c r="U493" i="2"/>
  <c r="V493" i="2"/>
  <c r="L423" i="2"/>
  <c r="K465" i="2" s="1"/>
  <c r="L444" i="2"/>
  <c r="K486" i="2" s="1"/>
  <c r="L486" i="2" s="1"/>
  <c r="W454" i="2"/>
  <c r="AJ452" i="2"/>
  <c r="AK452" i="2" s="1"/>
  <c r="AI472" i="2"/>
  <c r="AJ472" i="2" s="1"/>
  <c r="AK472" i="2" s="1"/>
  <c r="W441" i="2"/>
  <c r="AA474" i="2"/>
  <c r="AI507" i="2"/>
  <c r="AJ507" i="2" s="1"/>
  <c r="AK507" i="2" s="1"/>
  <c r="V453" i="2"/>
  <c r="S453" i="2"/>
  <c r="T453" i="2"/>
  <c r="U453" i="2"/>
  <c r="V457" i="2"/>
  <c r="S457" i="2"/>
  <c r="T457" i="2"/>
  <c r="U457" i="2"/>
  <c r="AI459" i="2"/>
  <c r="U456" i="2"/>
  <c r="S456" i="2"/>
  <c r="T456" i="2"/>
  <c r="V456" i="2"/>
  <c r="AI483" i="2"/>
  <c r="AJ483" i="2" s="1"/>
  <c r="AK483" i="2" s="1"/>
  <c r="AA468" i="2"/>
  <c r="AA472" i="2"/>
  <c r="W437" i="2"/>
  <c r="AI411" i="2"/>
  <c r="S485" i="2"/>
  <c r="T485" i="2"/>
  <c r="U485" i="2"/>
  <c r="V485" i="2"/>
  <c r="K478" i="2"/>
  <c r="L478" i="2" s="1"/>
  <c r="W430" i="2"/>
  <c r="U408" i="2"/>
  <c r="S408" i="2"/>
  <c r="T408" i="2"/>
  <c r="V408" i="2"/>
  <c r="S442" i="2"/>
  <c r="U442" i="2"/>
  <c r="V442" i="2"/>
  <c r="T442" i="2"/>
  <c r="U448" i="2"/>
  <c r="V448" i="2"/>
  <c r="S448" i="2"/>
  <c r="T448" i="2"/>
  <c r="T451" i="2"/>
  <c r="V451" i="2"/>
  <c r="S451" i="2"/>
  <c r="U451" i="2"/>
  <c r="V381" i="2"/>
  <c r="U381" i="2"/>
  <c r="S381" i="2"/>
  <c r="T381" i="2"/>
  <c r="W489" i="2"/>
  <c r="S501" i="2"/>
  <c r="T501" i="2"/>
  <c r="U501" i="2"/>
  <c r="V501" i="2"/>
  <c r="U499" i="2"/>
  <c r="V499" i="2"/>
  <c r="S499" i="2"/>
  <c r="T499" i="2"/>
  <c r="U483" i="2"/>
  <c r="V483" i="2"/>
  <c r="S483" i="2"/>
  <c r="T483" i="2"/>
  <c r="L383" i="2"/>
  <c r="AJ376" i="2"/>
  <c r="AK376" i="2" s="1"/>
  <c r="W350" i="2"/>
  <c r="W366" i="2"/>
  <c r="W428" i="2"/>
  <c r="U475" i="2"/>
  <c r="V475" i="2"/>
  <c r="S475" i="2"/>
  <c r="T475" i="2"/>
  <c r="W496" i="2"/>
  <c r="T498" i="2"/>
  <c r="U498" i="2"/>
  <c r="V498" i="2"/>
  <c r="S498" i="2"/>
  <c r="W447" i="2"/>
  <c r="L463" i="2"/>
  <c r="K505" i="2" s="1"/>
  <c r="L505" i="2" s="1"/>
  <c r="T439" i="2"/>
  <c r="U439" i="2"/>
  <c r="V439" i="2"/>
  <c r="S439" i="2"/>
  <c r="U392" i="2"/>
  <c r="S392" i="2"/>
  <c r="T392" i="2"/>
  <c r="V392" i="2"/>
  <c r="AJ389" i="2"/>
  <c r="AK389" i="2" s="1"/>
  <c r="T494" i="2"/>
  <c r="U494" i="2"/>
  <c r="V494" i="2"/>
  <c r="S494" i="2"/>
  <c r="U416" i="2"/>
  <c r="V416" i="2"/>
  <c r="S416" i="2"/>
  <c r="T416" i="2"/>
  <c r="W452" i="2"/>
  <c r="S462" i="2"/>
  <c r="T462" i="2"/>
  <c r="U462" i="2"/>
  <c r="V462" i="2"/>
  <c r="W443" i="2"/>
  <c r="U440" i="2"/>
  <c r="S440" i="2"/>
  <c r="T440" i="2"/>
  <c r="V440" i="2"/>
  <c r="W506" i="2"/>
  <c r="V468" i="2"/>
  <c r="S468" i="2"/>
  <c r="T468" i="2"/>
  <c r="U468" i="2"/>
  <c r="S477" i="2"/>
  <c r="T477" i="2"/>
  <c r="U477" i="2"/>
  <c r="V477" i="2"/>
  <c r="L455" i="2"/>
  <c r="U495" i="2"/>
  <c r="V495" i="2"/>
  <c r="S495" i="2"/>
  <c r="T495" i="2"/>
  <c r="V449" i="2"/>
  <c r="T449" i="2"/>
  <c r="U449" i="2"/>
  <c r="S449" i="2"/>
  <c r="W391" i="2"/>
  <c r="AJ445" i="2"/>
  <c r="AK445" i="2" s="1"/>
  <c r="W424" i="2"/>
  <c r="AC454" i="2"/>
  <c r="AC398" i="2"/>
  <c r="W427" i="2"/>
  <c r="W466" i="2"/>
  <c r="V433" i="2"/>
  <c r="T433" i="2"/>
  <c r="U433" i="2"/>
  <c r="S433" i="2"/>
  <c r="T459" i="2"/>
  <c r="S459" i="2"/>
  <c r="U459" i="2"/>
  <c r="V459" i="2"/>
  <c r="W464" i="2"/>
  <c r="W384" i="2"/>
  <c r="AA392" i="2"/>
  <c r="AB392" i="2" s="1"/>
  <c r="W409" i="2"/>
  <c r="V421" i="2"/>
  <c r="S421" i="2"/>
  <c r="T421" i="2"/>
  <c r="U421" i="2"/>
  <c r="AJ416" i="2"/>
  <c r="AK416" i="2" s="1"/>
  <c r="W474" i="2"/>
  <c r="K491" i="2"/>
  <c r="L491" i="2" s="1"/>
  <c r="AJ391" i="2"/>
  <c r="AK391" i="2" s="1"/>
  <c r="AC402" i="2"/>
  <c r="W470" i="2"/>
  <c r="W503" i="2"/>
  <c r="K504" i="2"/>
  <c r="L504" i="2" s="1"/>
  <c r="AI455" i="2"/>
  <c r="AI442" i="2"/>
  <c r="K482" i="2"/>
  <c r="L482" i="2" s="1"/>
  <c r="S426" i="2"/>
  <c r="U426" i="2"/>
  <c r="V426" i="2"/>
  <c r="T426" i="2"/>
  <c r="W469" i="2"/>
  <c r="T435" i="2"/>
  <c r="V435" i="2"/>
  <c r="S435" i="2"/>
  <c r="U435" i="2"/>
  <c r="AF464" i="2"/>
  <c r="AG464" i="2" s="1"/>
  <c r="AF446" i="2"/>
  <c r="AG446" i="2" s="1"/>
  <c r="AE433" i="2"/>
  <c r="AE420" i="2"/>
  <c r="AF439" i="2"/>
  <c r="AG439" i="2" s="1"/>
  <c r="AF408" i="2"/>
  <c r="AG408" i="2" s="1"/>
  <c r="AF416" i="2"/>
  <c r="AG416" i="2" s="1"/>
  <c r="AE382" i="2"/>
  <c r="AA458" i="2" l="1"/>
  <c r="AB458" i="2" s="1"/>
  <c r="AQ508" i="2"/>
  <c r="C12" i="1" s="1"/>
  <c r="AE454" i="2"/>
  <c r="AF454" i="2" s="1"/>
  <c r="AG454" i="2" s="1"/>
  <c r="AI436" i="2"/>
  <c r="AJ436" i="2" s="1"/>
  <c r="AK436" i="2" s="1"/>
  <c r="AE430" i="2"/>
  <c r="AF430" i="2" s="1"/>
  <c r="AG430" i="2" s="1"/>
  <c r="AA441" i="2"/>
  <c r="AB441" i="2" s="1"/>
  <c r="AE396" i="2"/>
  <c r="AF396" i="2" s="1"/>
  <c r="AG396" i="2" s="1"/>
  <c r="AA437" i="2"/>
  <c r="AA490" i="2"/>
  <c r="AB490" i="2" s="1"/>
  <c r="AC490" i="2" s="1"/>
  <c r="AE406" i="2"/>
  <c r="AF406" i="2" s="1"/>
  <c r="AE393" i="2"/>
  <c r="AF357" i="2"/>
  <c r="AG357" i="2" s="1"/>
  <c r="AF368" i="2"/>
  <c r="AG368" i="2" s="1"/>
  <c r="AF341" i="2"/>
  <c r="AG341" i="2" s="1"/>
  <c r="AF359" i="2"/>
  <c r="AG359" i="2" s="1"/>
  <c r="AF311" i="2"/>
  <c r="AG311" i="2" s="1"/>
  <c r="AA446" i="2"/>
  <c r="AB446" i="2" s="1"/>
  <c r="AF365" i="2"/>
  <c r="AG365" i="2" s="1"/>
  <c r="AF308" i="2"/>
  <c r="AG308" i="2" s="1"/>
  <c r="AA438" i="2"/>
  <c r="AB438" i="2" s="1"/>
  <c r="AC438" i="2" s="1"/>
  <c r="AF385" i="2"/>
  <c r="AG385" i="2" s="1"/>
  <c r="AA431" i="2"/>
  <c r="AB431" i="2" s="1"/>
  <c r="AC431" i="2" s="1"/>
  <c r="AE473" i="2"/>
  <c r="AF473" i="2" s="1"/>
  <c r="AG473" i="2" s="1"/>
  <c r="AA504" i="2"/>
  <c r="AB504" i="2" s="1"/>
  <c r="AC504" i="2" s="1"/>
  <c r="AB302" i="2"/>
  <c r="AC302" i="2" s="1"/>
  <c r="AA407" i="2"/>
  <c r="AB407" i="2" s="1"/>
  <c r="AC407" i="2" s="1"/>
  <c r="AB468" i="2"/>
  <c r="AC468" i="2" s="1"/>
  <c r="AB394" i="2"/>
  <c r="AC394" i="2" s="1"/>
  <c r="AB413" i="2"/>
  <c r="AC413" i="2" s="1"/>
  <c r="AB474" i="2"/>
  <c r="AC474" i="2" s="1"/>
  <c r="AB382" i="2"/>
  <c r="AC382" i="2" s="1"/>
  <c r="AB505" i="2"/>
  <c r="AC505" i="2" s="1"/>
  <c r="AB411" i="2"/>
  <c r="AC411" i="2" s="1"/>
  <c r="AB472" i="2"/>
  <c r="AC472" i="2" s="1"/>
  <c r="AB324" i="2"/>
  <c r="AC324" i="2" s="1"/>
  <c r="AC461" i="2"/>
  <c r="AA405" i="2"/>
  <c r="AB405" i="2" s="1"/>
  <c r="AC405" i="2" s="1"/>
  <c r="AA383" i="2"/>
  <c r="AB383" i="2" s="1"/>
  <c r="AA376" i="2"/>
  <c r="AB376" i="2" s="1"/>
  <c r="AC355" i="2"/>
  <c r="AA358" i="2"/>
  <c r="AB358" i="2" s="1"/>
  <c r="AA469" i="2"/>
  <c r="AE436" i="2"/>
  <c r="AF436" i="2" s="1"/>
  <c r="AG436" i="2" s="1"/>
  <c r="AA372" i="2"/>
  <c r="AA493" i="2"/>
  <c r="AE432" i="2"/>
  <c r="AF432" i="2" s="1"/>
  <c r="AG432" i="2" s="1"/>
  <c r="AI505" i="2"/>
  <c r="AJ505" i="2" s="1"/>
  <c r="AK505" i="2" s="1"/>
  <c r="AI360" i="2"/>
  <c r="AJ348" i="2"/>
  <c r="AK348" i="2" s="1"/>
  <c r="AJ422" i="2"/>
  <c r="AK422" i="2" s="1"/>
  <c r="AC458" i="2"/>
  <c r="AG453" i="2"/>
  <c r="AE495" i="2"/>
  <c r="AF495" i="2" s="1"/>
  <c r="AG495" i="2" s="1"/>
  <c r="AA501" i="2"/>
  <c r="AF428" i="2"/>
  <c r="AG428" i="2" s="1"/>
  <c r="AI487" i="2"/>
  <c r="AJ487" i="2" s="1"/>
  <c r="AK487" i="2" s="1"/>
  <c r="AI467" i="2"/>
  <c r="AJ467" i="2" s="1"/>
  <c r="AK467" i="2" s="1"/>
  <c r="AF371" i="2"/>
  <c r="AG371" i="2" s="1"/>
  <c r="AJ407" i="2"/>
  <c r="AK407" i="2" s="1"/>
  <c r="AF426" i="2"/>
  <c r="AG426" i="2" s="1"/>
  <c r="AK396" i="2"/>
  <c r="AI438" i="2"/>
  <c r="AJ438" i="2" s="1"/>
  <c r="AK438" i="2" s="1"/>
  <c r="AI496" i="2"/>
  <c r="AJ496" i="2" s="1"/>
  <c r="AK496" i="2" s="1"/>
  <c r="AE405" i="2"/>
  <c r="AE493" i="2"/>
  <c r="AF493" i="2" s="1"/>
  <c r="AG493" i="2" s="1"/>
  <c r="AE461" i="2"/>
  <c r="AA443" i="2"/>
  <c r="AB443" i="2" s="1"/>
  <c r="AF402" i="2"/>
  <c r="AG402" i="2" s="1"/>
  <c r="W494" i="2"/>
  <c r="AE400" i="2"/>
  <c r="AF414" i="2"/>
  <c r="AG414" i="2" s="1"/>
  <c r="AE507" i="2"/>
  <c r="AF507" i="2" s="1"/>
  <c r="AG507" i="2" s="1"/>
  <c r="W499" i="2"/>
  <c r="AI494" i="2"/>
  <c r="AJ494" i="2" s="1"/>
  <c r="AK494" i="2" s="1"/>
  <c r="W493" i="2"/>
  <c r="W481" i="2"/>
  <c r="AI414" i="2"/>
  <c r="AI488" i="2"/>
  <c r="AJ488" i="2" s="1"/>
  <c r="AK488" i="2" s="1"/>
  <c r="W421" i="2"/>
  <c r="AA507" i="2"/>
  <c r="W477" i="2"/>
  <c r="W440" i="2"/>
  <c r="AJ447" i="2"/>
  <c r="AK447" i="2" s="1"/>
  <c r="AI433" i="2"/>
  <c r="AJ433" i="2" s="1"/>
  <c r="AK433" i="2" s="1"/>
  <c r="AA444" i="2"/>
  <c r="AA440" i="2"/>
  <c r="W495" i="2"/>
  <c r="AI466" i="2"/>
  <c r="AJ466" i="2" s="1"/>
  <c r="AK466" i="2" s="1"/>
  <c r="W392" i="2"/>
  <c r="W408" i="2"/>
  <c r="AC393" i="2"/>
  <c r="S505" i="2"/>
  <c r="T505" i="2"/>
  <c r="U505" i="2"/>
  <c r="V505" i="2"/>
  <c r="L465" i="2"/>
  <c r="V476" i="2"/>
  <c r="S476" i="2"/>
  <c r="T476" i="2"/>
  <c r="U476" i="2"/>
  <c r="AJ455" i="2"/>
  <c r="AK455" i="2" s="1"/>
  <c r="AC441" i="2"/>
  <c r="V504" i="2"/>
  <c r="S504" i="2"/>
  <c r="T504" i="2"/>
  <c r="U504" i="2"/>
  <c r="T486" i="2"/>
  <c r="U486" i="2"/>
  <c r="V486" i="2"/>
  <c r="S486" i="2"/>
  <c r="W490" i="2"/>
  <c r="V492" i="2"/>
  <c r="S492" i="2"/>
  <c r="T492" i="2"/>
  <c r="U492" i="2"/>
  <c r="W436" i="2"/>
  <c r="V500" i="2"/>
  <c r="S500" i="2"/>
  <c r="T500" i="2"/>
  <c r="U500" i="2"/>
  <c r="W435" i="2"/>
  <c r="T482" i="2"/>
  <c r="U482" i="2"/>
  <c r="V482" i="2"/>
  <c r="S482" i="2"/>
  <c r="U491" i="2"/>
  <c r="V491" i="2"/>
  <c r="S491" i="2"/>
  <c r="T491" i="2"/>
  <c r="AI481" i="2"/>
  <c r="AJ481" i="2" s="1"/>
  <c r="AK481" i="2" s="1"/>
  <c r="W462" i="2"/>
  <c r="AA494" i="2"/>
  <c r="W439" i="2"/>
  <c r="AI418" i="2"/>
  <c r="W483" i="2"/>
  <c r="AI440" i="2"/>
  <c r="W501" i="2"/>
  <c r="W457" i="2"/>
  <c r="U444" i="2"/>
  <c r="S444" i="2"/>
  <c r="T444" i="2"/>
  <c r="V444" i="2"/>
  <c r="S450" i="2"/>
  <c r="T450" i="2"/>
  <c r="U450" i="2"/>
  <c r="V450" i="2"/>
  <c r="AI479" i="2"/>
  <c r="AJ479" i="2" s="1"/>
  <c r="AK479" i="2" s="1"/>
  <c r="AI469" i="2"/>
  <c r="AJ469" i="2" s="1"/>
  <c r="AK469" i="2" s="1"/>
  <c r="AI477" i="2"/>
  <c r="AJ477" i="2" s="1"/>
  <c r="AK477" i="2" s="1"/>
  <c r="S458" i="2"/>
  <c r="U458" i="2"/>
  <c r="V458" i="2"/>
  <c r="T458" i="2"/>
  <c r="T455" i="2"/>
  <c r="U455" i="2"/>
  <c r="V455" i="2"/>
  <c r="S455" i="2"/>
  <c r="T383" i="2"/>
  <c r="V383" i="2"/>
  <c r="S383" i="2"/>
  <c r="U383" i="2"/>
  <c r="W426" i="2"/>
  <c r="AI458" i="2"/>
  <c r="W459" i="2"/>
  <c r="W449" i="2"/>
  <c r="W416" i="2"/>
  <c r="AI431" i="2"/>
  <c r="AI485" i="2"/>
  <c r="AJ485" i="2" s="1"/>
  <c r="AK485" i="2" s="1"/>
  <c r="AI468" i="2"/>
  <c r="AJ468" i="2" s="1"/>
  <c r="AK468" i="2" s="1"/>
  <c r="W442" i="2"/>
  <c r="W456" i="2"/>
  <c r="AJ442" i="2"/>
  <c r="AK442" i="2" s="1"/>
  <c r="AC392" i="2"/>
  <c r="W433" i="2"/>
  <c r="AA496" i="2"/>
  <c r="K497" i="2"/>
  <c r="L497" i="2" s="1"/>
  <c r="W468" i="2"/>
  <c r="U463" i="2"/>
  <c r="V463" i="2"/>
  <c r="S463" i="2"/>
  <c r="T463" i="2"/>
  <c r="W498" i="2"/>
  <c r="W475" i="2"/>
  <c r="K425" i="2"/>
  <c r="AI504" i="2"/>
  <c r="AJ504" i="2" s="1"/>
  <c r="AK504" i="2" s="1"/>
  <c r="W381" i="2"/>
  <c r="W451" i="2"/>
  <c r="W448" i="2"/>
  <c r="T478" i="2"/>
  <c r="U478" i="2"/>
  <c r="V478" i="2"/>
  <c r="S478" i="2"/>
  <c r="W485" i="2"/>
  <c r="AJ459" i="2"/>
  <c r="AK459" i="2" s="1"/>
  <c r="W453" i="2"/>
  <c r="W484" i="2"/>
  <c r="AE445" i="2"/>
  <c r="W472" i="2"/>
  <c r="AA457" i="2"/>
  <c r="AB457" i="2" s="1"/>
  <c r="AJ411" i="2"/>
  <c r="AK411" i="2" s="1"/>
  <c r="T423" i="2"/>
  <c r="U423" i="2"/>
  <c r="V423" i="2"/>
  <c r="S423" i="2"/>
  <c r="S434" i="2"/>
  <c r="T434" i="2"/>
  <c r="U434" i="2"/>
  <c r="V434" i="2"/>
  <c r="AE450" i="2"/>
  <c r="AE481" i="2"/>
  <c r="AF481" i="2" s="1"/>
  <c r="AG481" i="2" s="1"/>
  <c r="AE488" i="2"/>
  <c r="AF488" i="2" s="1"/>
  <c r="AG488" i="2" s="1"/>
  <c r="AE506" i="2"/>
  <c r="AF506" i="2" s="1"/>
  <c r="AG506" i="2" s="1"/>
  <c r="AF420" i="2"/>
  <c r="AG420" i="2" s="1"/>
  <c r="AE458" i="2"/>
  <c r="AF433" i="2"/>
  <c r="AG433" i="2" s="1"/>
  <c r="AF382" i="2"/>
  <c r="AG382" i="2" s="1"/>
  <c r="AE496" i="2" l="1"/>
  <c r="AF496" i="2" s="1"/>
  <c r="AG496" i="2" s="1"/>
  <c r="AI478" i="2"/>
  <c r="AJ478" i="2" s="1"/>
  <c r="AK478" i="2" s="1"/>
  <c r="AE472" i="2"/>
  <c r="AF472" i="2" s="1"/>
  <c r="AG472" i="2" s="1"/>
  <c r="AG406" i="2"/>
  <c r="AE448" i="2"/>
  <c r="AF448" i="2" s="1"/>
  <c r="AG448" i="2" s="1"/>
  <c r="AE438" i="2"/>
  <c r="AE401" i="2"/>
  <c r="AF401" i="2" s="1"/>
  <c r="AG401" i="2" s="1"/>
  <c r="AB437" i="2"/>
  <c r="AC437" i="2" s="1"/>
  <c r="AC446" i="2"/>
  <c r="AA488" i="2"/>
  <c r="AB488" i="2" s="1"/>
  <c r="AC488" i="2" s="1"/>
  <c r="AA344" i="2"/>
  <c r="AB344" i="2" s="1"/>
  <c r="AC344" i="2" s="1"/>
  <c r="AE407" i="2"/>
  <c r="AF407" i="2" s="1"/>
  <c r="AG407" i="2" s="1"/>
  <c r="AF393" i="2"/>
  <c r="AG393" i="2" s="1"/>
  <c r="AE410" i="2"/>
  <c r="AF410" i="2" s="1"/>
  <c r="AG410" i="2" s="1"/>
  <c r="AA455" i="2"/>
  <c r="AB455" i="2" s="1"/>
  <c r="AC455" i="2" s="1"/>
  <c r="AE353" i="2"/>
  <c r="AE383" i="2"/>
  <c r="AE399" i="2"/>
  <c r="AE350" i="2"/>
  <c r="AA453" i="2"/>
  <c r="AB453" i="2" s="1"/>
  <c r="AA424" i="2"/>
  <c r="AB424" i="2" s="1"/>
  <c r="AC424" i="2" s="1"/>
  <c r="AE427" i="2"/>
  <c r="AA436" i="2"/>
  <c r="AB436" i="2" s="1"/>
  <c r="AC436" i="2" s="1"/>
  <c r="AB507" i="2"/>
  <c r="AC507" i="2" s="1"/>
  <c r="AB493" i="2"/>
  <c r="AC493" i="2" s="1"/>
  <c r="AB469" i="2"/>
  <c r="AC469" i="2" s="1"/>
  <c r="AB440" i="2"/>
  <c r="AC440" i="2" s="1"/>
  <c r="AB501" i="2"/>
  <c r="AC501" i="2" s="1"/>
  <c r="AB372" i="2"/>
  <c r="AC372" i="2" s="1"/>
  <c r="AB496" i="2"/>
  <c r="AC496" i="2" s="1"/>
  <c r="AB494" i="2"/>
  <c r="AC494" i="2" s="1"/>
  <c r="AB444" i="2"/>
  <c r="AC444" i="2" s="1"/>
  <c r="AA366" i="2"/>
  <c r="AB366" i="2" s="1"/>
  <c r="AC366" i="2" s="1"/>
  <c r="AA449" i="2"/>
  <c r="AA503" i="2"/>
  <c r="AA447" i="2"/>
  <c r="AC376" i="2"/>
  <c r="AC383" i="2"/>
  <c r="AE478" i="2"/>
  <c r="AF478" i="2" s="1"/>
  <c r="AG478" i="2" s="1"/>
  <c r="AA397" i="2"/>
  <c r="AA473" i="2"/>
  <c r="AC358" i="2"/>
  <c r="AA500" i="2"/>
  <c r="AI390" i="2"/>
  <c r="AE413" i="2"/>
  <c r="AF413" i="2" s="1"/>
  <c r="AG413" i="2" s="1"/>
  <c r="AE470" i="2"/>
  <c r="AF470" i="2" s="1"/>
  <c r="AG470" i="2" s="1"/>
  <c r="AJ360" i="2"/>
  <c r="AK360" i="2" s="1"/>
  <c r="AI464" i="2"/>
  <c r="AJ464" i="2" s="1"/>
  <c r="AK464" i="2" s="1"/>
  <c r="AE456" i="2"/>
  <c r="AF456" i="2" s="1"/>
  <c r="AG456" i="2" s="1"/>
  <c r="AE444" i="2"/>
  <c r="AF444" i="2" s="1"/>
  <c r="AG444" i="2" s="1"/>
  <c r="AE474" i="2"/>
  <c r="AF474" i="2" s="1"/>
  <c r="AG474" i="2" s="1"/>
  <c r="AI489" i="2"/>
  <c r="AJ489" i="2" s="1"/>
  <c r="AK489" i="2" s="1"/>
  <c r="AE468" i="2"/>
  <c r="AF468" i="2" s="1"/>
  <c r="AG468" i="2" s="1"/>
  <c r="AI449" i="2"/>
  <c r="AF461" i="2"/>
  <c r="AG461" i="2" s="1"/>
  <c r="AI453" i="2"/>
  <c r="AJ453" i="2" s="1"/>
  <c r="AK453" i="2" s="1"/>
  <c r="AI501" i="2"/>
  <c r="AJ501" i="2" s="1"/>
  <c r="AK501" i="2" s="1"/>
  <c r="AF405" i="2"/>
  <c r="AG405" i="2" s="1"/>
  <c r="AF400" i="2"/>
  <c r="AG400" i="2" s="1"/>
  <c r="AC443" i="2"/>
  <c r="AJ414" i="2"/>
  <c r="AK414" i="2" s="1"/>
  <c r="W476" i="2"/>
  <c r="AA435" i="2"/>
  <c r="AB435" i="2" s="1"/>
  <c r="AA434" i="2"/>
  <c r="W455" i="2"/>
  <c r="W482" i="2"/>
  <c r="W478" i="2"/>
  <c r="L425" i="2"/>
  <c r="AJ440" i="2"/>
  <c r="AK440" i="2" s="1"/>
  <c r="W491" i="2"/>
  <c r="W486" i="2"/>
  <c r="AA483" i="2"/>
  <c r="AI497" i="2"/>
  <c r="AJ497" i="2" s="1"/>
  <c r="AK497" i="2" s="1"/>
  <c r="W463" i="2"/>
  <c r="S497" i="2"/>
  <c r="T497" i="2"/>
  <c r="U497" i="2"/>
  <c r="V497" i="2"/>
  <c r="AI475" i="2"/>
  <c r="AJ475" i="2" s="1"/>
  <c r="AK475" i="2" s="1"/>
  <c r="W383" i="2"/>
  <c r="W434" i="2"/>
  <c r="AI480" i="2"/>
  <c r="AJ480" i="2" s="1"/>
  <c r="AK480" i="2" s="1"/>
  <c r="AF445" i="2"/>
  <c r="AG445" i="2" s="1"/>
  <c r="AJ458" i="2"/>
  <c r="AK458" i="2" s="1"/>
  <c r="W444" i="2"/>
  <c r="W423" i="2"/>
  <c r="AC457" i="2"/>
  <c r="AA480" i="2"/>
  <c r="AI484" i="2"/>
  <c r="AJ484" i="2" s="1"/>
  <c r="AK484" i="2" s="1"/>
  <c r="W450" i="2"/>
  <c r="AJ418" i="2"/>
  <c r="AK418" i="2" s="1"/>
  <c r="W492" i="2"/>
  <c r="W504" i="2"/>
  <c r="S465" i="2"/>
  <c r="T465" i="2"/>
  <c r="U465" i="2"/>
  <c r="V465" i="2"/>
  <c r="AJ431" i="2"/>
  <c r="AK431" i="2" s="1"/>
  <c r="W458" i="2"/>
  <c r="W500" i="2"/>
  <c r="K507" i="2"/>
  <c r="L507" i="2" s="1"/>
  <c r="W505" i="2"/>
  <c r="AE475" i="2"/>
  <c r="AF475" i="2" s="1"/>
  <c r="AG475" i="2" s="1"/>
  <c r="AE462" i="2"/>
  <c r="AF458" i="2"/>
  <c r="AG458" i="2" s="1"/>
  <c r="AF450" i="2"/>
  <c r="AG450" i="2" s="1"/>
  <c r="AE424" i="2"/>
  <c r="AA386" i="2" l="1"/>
  <c r="AB386" i="2" s="1"/>
  <c r="AC386" i="2" s="1"/>
  <c r="AA482" i="2"/>
  <c r="AB482" i="2" s="1"/>
  <c r="AC482" i="2" s="1"/>
  <c r="AF438" i="2"/>
  <c r="AG438" i="2" s="1"/>
  <c r="AC453" i="2"/>
  <c r="AA495" i="2"/>
  <c r="AB495" i="2" s="1"/>
  <c r="AC495" i="2" s="1"/>
  <c r="AE452" i="2"/>
  <c r="AF452" i="2" s="1"/>
  <c r="AG452" i="2" s="1"/>
  <c r="AA479" i="2"/>
  <c r="AB479" i="2" s="1"/>
  <c r="AC479" i="2" s="1"/>
  <c r="AE490" i="2"/>
  <c r="AF490" i="2" s="1"/>
  <c r="AG490" i="2" s="1"/>
  <c r="AA466" i="2"/>
  <c r="AB466" i="2" s="1"/>
  <c r="AC466" i="2" s="1"/>
  <c r="AE449" i="2"/>
  <c r="AE443" i="2"/>
  <c r="AF443" i="2" s="1"/>
  <c r="AG443" i="2" s="1"/>
  <c r="AE435" i="2"/>
  <c r="AF350" i="2"/>
  <c r="AG350" i="2" s="1"/>
  <c r="AF449" i="2"/>
  <c r="AG449" i="2" s="1"/>
  <c r="AF399" i="2"/>
  <c r="AG399" i="2" s="1"/>
  <c r="AF383" i="2"/>
  <c r="AG383" i="2" s="1"/>
  <c r="AF353" i="2"/>
  <c r="AG353" i="2" s="1"/>
  <c r="AF427" i="2"/>
  <c r="AG427" i="2" s="1"/>
  <c r="AA486" i="2"/>
  <c r="AB486" i="2" s="1"/>
  <c r="AC486" i="2" s="1"/>
  <c r="AA414" i="2"/>
  <c r="AB480" i="2"/>
  <c r="AC480" i="2" s="1"/>
  <c r="AB473" i="2"/>
  <c r="AC473" i="2" s="1"/>
  <c r="AB449" i="2"/>
  <c r="AC449" i="2" s="1"/>
  <c r="AB483" i="2"/>
  <c r="AC483" i="2" s="1"/>
  <c r="AB434" i="2"/>
  <c r="AC434" i="2" s="1"/>
  <c r="AB397" i="2"/>
  <c r="AC397" i="2" s="1"/>
  <c r="AB500" i="2"/>
  <c r="AC500" i="2" s="1"/>
  <c r="AB447" i="2"/>
  <c r="AC447" i="2" s="1"/>
  <c r="AB503" i="2"/>
  <c r="AC503" i="2" s="1"/>
  <c r="AA418" i="2"/>
  <c r="AB418" i="2" s="1"/>
  <c r="AA425" i="2"/>
  <c r="AA400" i="2"/>
  <c r="AB400" i="2" s="1"/>
  <c r="AI402" i="2"/>
  <c r="AJ390" i="2"/>
  <c r="AK390" i="2" s="1"/>
  <c r="AE486" i="2"/>
  <c r="AF486" i="2" s="1"/>
  <c r="AG486" i="2" s="1"/>
  <c r="AA408" i="2"/>
  <c r="AB408" i="2" s="1"/>
  <c r="AA485" i="2"/>
  <c r="AE455" i="2"/>
  <c r="AF455" i="2" s="1"/>
  <c r="AG455" i="2" s="1"/>
  <c r="AI506" i="2"/>
  <c r="AJ506" i="2" s="1"/>
  <c r="AK506" i="2" s="1"/>
  <c r="AJ449" i="2"/>
  <c r="AK449" i="2" s="1"/>
  <c r="AE498" i="2"/>
  <c r="AF498" i="2" s="1"/>
  <c r="AG498" i="2" s="1"/>
  <c r="AE503" i="2"/>
  <c r="AF503" i="2" s="1"/>
  <c r="AG503" i="2" s="1"/>
  <c r="AE447" i="2"/>
  <c r="AE442" i="2"/>
  <c r="AC435" i="2"/>
  <c r="AA499" i="2"/>
  <c r="AE487" i="2"/>
  <c r="AF487" i="2" s="1"/>
  <c r="AG487" i="2" s="1"/>
  <c r="AA497" i="2"/>
  <c r="AI456" i="2"/>
  <c r="V425" i="2"/>
  <c r="S425" i="2"/>
  <c r="T425" i="2"/>
  <c r="U425" i="2"/>
  <c r="AI473" i="2"/>
  <c r="AJ473" i="2" s="1"/>
  <c r="AK473" i="2" s="1"/>
  <c r="AI460" i="2"/>
  <c r="AI500" i="2"/>
  <c r="AJ500" i="2" s="1"/>
  <c r="AK500" i="2" s="1"/>
  <c r="W497" i="2"/>
  <c r="AA478" i="2"/>
  <c r="AI482" i="2"/>
  <c r="AJ482" i="2" s="1"/>
  <c r="AK482" i="2" s="1"/>
  <c r="U507" i="2"/>
  <c r="V507" i="2"/>
  <c r="S507" i="2"/>
  <c r="T507" i="2"/>
  <c r="W465" i="2"/>
  <c r="K467" i="2"/>
  <c r="L467" i="2" s="1"/>
  <c r="AI495" i="2"/>
  <c r="AJ495" i="2" s="1"/>
  <c r="AK495" i="2" s="1"/>
  <c r="AE500" i="2"/>
  <c r="AF500" i="2" s="1"/>
  <c r="AG500" i="2" s="1"/>
  <c r="AF462" i="2"/>
  <c r="AG462" i="2" s="1"/>
  <c r="AE492" i="2"/>
  <c r="AF492" i="2" s="1"/>
  <c r="AG492" i="2" s="1"/>
  <c r="AF424" i="2"/>
  <c r="AG424" i="2" s="1"/>
  <c r="AA428" i="2" l="1"/>
  <c r="AB428" i="2" s="1"/>
  <c r="AC428" i="2" s="1"/>
  <c r="AE494" i="2"/>
  <c r="AF494" i="2" s="1"/>
  <c r="AG494" i="2" s="1"/>
  <c r="AE480" i="2"/>
  <c r="AF480" i="2" s="1"/>
  <c r="AG480" i="2" s="1"/>
  <c r="AE491" i="2"/>
  <c r="AF491" i="2" s="1"/>
  <c r="AG491" i="2" s="1"/>
  <c r="AE441" i="2"/>
  <c r="AF441" i="2" s="1"/>
  <c r="AG441" i="2" s="1"/>
  <c r="AF435" i="2"/>
  <c r="AG435" i="2" s="1"/>
  <c r="AE395" i="2"/>
  <c r="AE425" i="2"/>
  <c r="AE485" i="2"/>
  <c r="AF485" i="2" s="1"/>
  <c r="AG485" i="2" s="1"/>
  <c r="AE392" i="2"/>
  <c r="AB414" i="2"/>
  <c r="AC414" i="2" s="1"/>
  <c r="AE469" i="2"/>
  <c r="AF469" i="2" s="1"/>
  <c r="AG469" i="2" s="1"/>
  <c r="AA476" i="2"/>
  <c r="AB476" i="2" s="1"/>
  <c r="AC476" i="2" s="1"/>
  <c r="AA489" i="2"/>
  <c r="AB489" i="2" s="1"/>
  <c r="AC489" i="2" s="1"/>
  <c r="AB478" i="2"/>
  <c r="AC478" i="2" s="1"/>
  <c r="AB499" i="2"/>
  <c r="AC499" i="2" s="1"/>
  <c r="AA439" i="2"/>
  <c r="AB439" i="2" s="1"/>
  <c r="AC439" i="2" s="1"/>
  <c r="AB485" i="2"/>
  <c r="AC485" i="2" s="1"/>
  <c r="AB497" i="2"/>
  <c r="AC497" i="2" s="1"/>
  <c r="AB425" i="2"/>
  <c r="AA467" i="2" s="1"/>
  <c r="AA491" i="2"/>
  <c r="AC418" i="2"/>
  <c r="AC400" i="2"/>
  <c r="AE497" i="2"/>
  <c r="AF497" i="2" s="1"/>
  <c r="AG497" i="2" s="1"/>
  <c r="AI432" i="2"/>
  <c r="AJ402" i="2"/>
  <c r="AK402" i="2" s="1"/>
  <c r="AC408" i="2"/>
  <c r="AI491" i="2"/>
  <c r="AJ491" i="2" s="1"/>
  <c r="AK491" i="2" s="1"/>
  <c r="AF442" i="2"/>
  <c r="AG442" i="2" s="1"/>
  <c r="AF447" i="2"/>
  <c r="AG447" i="2" s="1"/>
  <c r="AJ456" i="2"/>
  <c r="AK456" i="2" s="1"/>
  <c r="AA477" i="2"/>
  <c r="AJ460" i="2"/>
  <c r="AK460" i="2" s="1"/>
  <c r="W425" i="2"/>
  <c r="U467" i="2"/>
  <c r="V467" i="2"/>
  <c r="S467" i="2"/>
  <c r="T467" i="2"/>
  <c r="W507" i="2"/>
  <c r="AE504" i="2"/>
  <c r="AF504" i="2" s="1"/>
  <c r="AG504" i="2" s="1"/>
  <c r="AE466" i="2"/>
  <c r="AF466" i="2" s="1"/>
  <c r="AG466" i="2" s="1"/>
  <c r="AA470" i="2" l="1"/>
  <c r="AB470" i="2" s="1"/>
  <c r="AC470" i="2" s="1"/>
  <c r="AE483" i="2"/>
  <c r="AF483" i="2" s="1"/>
  <c r="AG483" i="2" s="1"/>
  <c r="AE477" i="2"/>
  <c r="AF477" i="2" s="1"/>
  <c r="AG477" i="2" s="1"/>
  <c r="AF425" i="2"/>
  <c r="AG425" i="2" s="1"/>
  <c r="AF392" i="2"/>
  <c r="AG392" i="2" s="1"/>
  <c r="AF395" i="2"/>
  <c r="AG395" i="2" s="1"/>
  <c r="AA456" i="2"/>
  <c r="AB456" i="2" s="1"/>
  <c r="AC456" i="2" s="1"/>
  <c r="AC425" i="2"/>
  <c r="AB477" i="2"/>
  <c r="AC477" i="2" s="1"/>
  <c r="AB467" i="2"/>
  <c r="AC467" i="2" s="1"/>
  <c r="AB491" i="2"/>
  <c r="AC491" i="2" s="1"/>
  <c r="AA460" i="2"/>
  <c r="AB460" i="2" s="1"/>
  <c r="AC460" i="2" s="1"/>
  <c r="AA442" i="2"/>
  <c r="AA481" i="2"/>
  <c r="AI444" i="2"/>
  <c r="AJ444" i="2" s="1"/>
  <c r="AK444" i="2" s="1"/>
  <c r="AJ432" i="2"/>
  <c r="AK432" i="2" s="1"/>
  <c r="AE484" i="2"/>
  <c r="AF484" i="2" s="1"/>
  <c r="AG484" i="2" s="1"/>
  <c r="AA450" i="2"/>
  <c r="AB450" i="2" s="1"/>
  <c r="AE489" i="2"/>
  <c r="AF489" i="2" s="1"/>
  <c r="AG489" i="2" s="1"/>
  <c r="AI502" i="2"/>
  <c r="AJ502" i="2" s="1"/>
  <c r="AK502" i="2" s="1"/>
  <c r="AI498" i="2"/>
  <c r="AJ498" i="2" s="1"/>
  <c r="AK498" i="2" s="1"/>
  <c r="W467" i="2"/>
  <c r="W508" i="2" s="1"/>
  <c r="C4" i="1" s="1"/>
  <c r="AA498" i="2" l="1"/>
  <c r="AE434" i="2"/>
  <c r="AE437" i="2"/>
  <c r="AE467" i="2"/>
  <c r="AF467" i="2" s="1"/>
  <c r="AG467" i="2" s="1"/>
  <c r="AB481" i="2"/>
  <c r="AC481" i="2" s="1"/>
  <c r="AB498" i="2"/>
  <c r="AC498" i="2" s="1"/>
  <c r="AB442" i="2"/>
  <c r="AC442" i="2" s="1"/>
  <c r="AA502" i="2"/>
  <c r="AI474" i="2"/>
  <c r="AJ474" i="2" s="1"/>
  <c r="AK474" i="2" s="1"/>
  <c r="AK508" i="2" s="1"/>
  <c r="C9" i="1" s="1"/>
  <c r="AI486" i="2"/>
  <c r="AJ486" i="2" s="1"/>
  <c r="AK486" i="2" s="1"/>
  <c r="AC450" i="2"/>
  <c r="AF437" i="2" l="1"/>
  <c r="AG437" i="2" s="1"/>
  <c r="AF434" i="2"/>
  <c r="AG434" i="2" s="1"/>
  <c r="AA484" i="2"/>
  <c r="AB484" i="2" s="1"/>
  <c r="AC484" i="2" s="1"/>
  <c r="AB502" i="2"/>
  <c r="AC502" i="2" s="1"/>
  <c r="AA492" i="2"/>
  <c r="AE476" i="2" l="1"/>
  <c r="AF476" i="2" s="1"/>
  <c r="AG476" i="2" s="1"/>
  <c r="AG508" i="2"/>
  <c r="C8" i="1" s="1"/>
  <c r="AE479" i="2"/>
  <c r="AF479" i="2" s="1"/>
  <c r="AG479" i="2" s="1"/>
  <c r="AB492" i="2"/>
  <c r="AC492" i="2" s="1"/>
  <c r="AC508" i="2" s="1"/>
  <c r="C7" i="1" s="1"/>
  <c r="C14" i="1" l="1"/>
  <c r="C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tc={1618683B-8765-4BD8-A051-799EF0133377}</author>
    <author>tc={D3751AD9-96EE-4AEB-ADDB-5A071131D2D1}</author>
  </authors>
  <commentList>
    <comment ref="E1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converted, if necessary</t>
      </text>
    </comment>
    <comment ref="C38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value in Rupees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tc={89D053A4-50A1-4CBA-8020-9151CA2A8213}</author>
    <author>Moses Farley</author>
    <author>tc={2FA25C8A-074C-4192-BD80-3BDCBC1AB1BB}</author>
    <author>tc={212156F5-248F-43B7-9661-0A1CA6DFC00F}</author>
    <author>tc={3DB211C1-B927-4396-BF50-FC8D9806ADB2}</author>
    <author>tc={CF345AAF-F26E-4F10-9B3C-676B4E47349A}</author>
    <author>tc={8E2855F8-79F1-456F-A118-B0B489F0652D}</author>
  </authors>
  <commentList>
    <comment ref="I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just Municipal Corporations or Mun. Corps + Outgrowth figures?</t>
      </text>
    </comment>
    <comment ref="O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source: https://www.census2011.co.in/</t>
        </r>
      </text>
    </comment>
    <comment ref="I2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Cl)</t>
        </r>
      </text>
    </comment>
    <comment ref="I3" authorId="1" shapeId="0" xr:uid="{00000000-0006-0000-0400-000004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(NT)</t>
        </r>
      </text>
    </comment>
    <comment ref="I4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BBMP (M Corp. + OG) (Part)</t>
        </r>
      </text>
    </comment>
    <comment ref="N4" authorId="1" shapeId="0" xr:uid="{00000000-0006-0000-0400-000006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+ outgrowth </t>
        </r>
      </text>
    </comment>
    <comment ref="I5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Corp.)</t>
        </r>
      </text>
    </comment>
    <comment ref="I6" authorId="1" shapeId="0" xr:uid="{00000000-0006-0000-0400-000008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(M Corp.)</t>
        </r>
      </text>
    </comment>
    <comment ref="N6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+ outgrowth</t>
        </r>
      </text>
    </comment>
    <comment ref="I7" authorId="1" shapeId="0" xr:uid="{00000000-0006-0000-0400-00000A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(M Corp.) </t>
        </r>
      </text>
    </comment>
    <comment ref="N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+ outgrowth</t>
        </r>
      </text>
    </comment>
    <comment ref="I8" authorId="1" shapeId="0" xr:uid="{00000000-0006-0000-0400-00000C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(M Corp.)</t>
        </r>
      </text>
    </comment>
    <comment ref="I10" authorId="1" shapeId="0" xr:uid="{00000000-0006-0000-0400-00000D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(M.Corp)</t>
        </r>
      </text>
    </comment>
    <comment ref="N10" authorId="1" shapeId="0" xr:uid="{00000000-0006-0000-0400-00000E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+ outgrowth</t>
        </r>
      </text>
    </comment>
    <comment ref="I12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(NA)</t>
        </r>
      </text>
    </comment>
    <comment ref="I13" authorId="1" shapeId="0" xr:uid="{00000000-0006-0000-0400-000010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(M Corp.)</t>
        </r>
      </text>
    </comment>
    <comment ref="I14" authorId="2" shapeId="0" xr:uid="{00000000-0006-0000-04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exactly what makes up this Urban body</t>
      </text>
    </comment>
    <comment ref="N14" authorId="1" shapeId="0" xr:uid="{00000000-0006-0000-0400-000012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+ Outgrowth</t>
        </r>
      </text>
    </comment>
    <comment ref="I16" authorId="3" shapeId="0" xr:uid="{00000000-0006-0000-04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</t>
      </text>
    </comment>
    <comment ref="I17" authorId="1" shapeId="0" xr:uid="{00000000-0006-0000-0400-000014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(MCI)</t>
        </r>
      </text>
    </comment>
    <comment ref="I18" authorId="1" shapeId="0" xr:uid="{00000000-0006-0000-0400-000015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(NT)</t>
        </r>
      </text>
    </comment>
    <comment ref="I22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Corp.)</t>
        </r>
      </text>
    </comment>
    <comment ref="I23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(M Corp.)</t>
        </r>
      </text>
    </comment>
    <comment ref="N23" authorId="1" shapeId="0" xr:uid="{00000000-0006-0000-0400-000018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+ Outgrowth</t>
        </r>
      </text>
    </comment>
    <comment ref="I25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(MC)</t>
        </r>
      </text>
    </comment>
    <comment ref="I26" authorId="1" shapeId="0" xr:uid="{00000000-0006-0000-0400-00001A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Corp.)</t>
        </r>
      </text>
    </comment>
    <comment ref="I27" authorId="1" shapeId="0" xr:uid="{00000000-0006-0000-0400-00001B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Corp.)</t>
        </r>
      </text>
    </comment>
    <comment ref="K28" authorId="4" shapeId="0" xr:uid="{00000000-0006-0000-04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how they came about populations from the census to get # of HH's
Reply:
    indikosh</t>
      </text>
    </comment>
    <comment ref="I30" authorId="1" shapeId="0" xr:uid="{00000000-0006-0000-0400-00001D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(M Corp.)</t>
        </r>
      </text>
    </comment>
    <comment ref="I31" authorId="1" shapeId="0" xr:uid="{00000000-0006-0000-0400-00001E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Corp.)</t>
        </r>
      </text>
    </comment>
    <comment ref="N31" authorId="1" shapeId="0" xr:uid="{00000000-0006-0000-0400-00001F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+ outgrowth</t>
        </r>
      </text>
    </comment>
    <comment ref="M32" authorId="5" shapeId="0" xr:uid="{00000000-0006-0000-04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"The overall state average household size is 4.4 persons and it is similar in both rural and urban areas"</t>
      </text>
    </comment>
    <comment ref="I34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Corp.)</t>
        </r>
      </text>
    </comment>
    <comment ref="N34" authorId="1" shapeId="0" xr:uid="{00000000-0006-0000-0400-000022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+ outgrowth</t>
        </r>
      </text>
    </comment>
    <comment ref="I36" authorId="1" shapeId="0" xr:uid="{00000000-0006-0000-0400-000023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(MB)</t>
        </r>
      </text>
    </comment>
    <comment ref="I38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(M Corp.)</t>
        </r>
      </text>
    </comment>
    <comment ref="I39" authorId="1" shapeId="0" xr:uid="{00000000-0006-0000-0400-000025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Corp.)</t>
        </r>
      </text>
    </comment>
    <comment ref="N39" authorId="6" shapeId="0" xr:uid="{00000000-0006-0000-04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+ Outgrowth</t>
      </text>
    </comment>
    <comment ref="I40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 (M Corp.)</t>
        </r>
      </text>
    </comment>
    <comment ref="N40" authorId="1" shapeId="0" xr:uid="{00000000-0006-0000-0400-000028000000}">
      <text>
        <r>
          <rPr>
            <b/>
            <sz val="9"/>
            <color rgb="FF000000"/>
            <rFont val="Tahoma"/>
            <family val="2"/>
          </rPr>
          <t>Moses Farley: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Mun. corp + OG</t>
        </r>
      </text>
    </comment>
    <comment ref="K41" authorId="1" shapeId="0" xr:uid="{00000000-0006-0000-0400-000029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https://indikosh.com/city/708736/kurnool</t>
        </r>
      </text>
    </comment>
    <comment ref="N41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+ outgrowth</t>
        </r>
      </text>
    </comment>
    <comment ref="K42" authorId="1" shapeId="0" xr:uid="{00000000-0006-0000-0400-00002B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https://indikosh.com/city/63733/sirsa</t>
        </r>
      </text>
    </comment>
    <comment ref="K43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https://indikosh.com/dist/577769/aurangabad</t>
        </r>
      </text>
    </comment>
    <comment ref="K44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indikosh</t>
        </r>
      </text>
    </comment>
    <comment ref="K45" authorId="1" shapeId="0" xr:uid="{00000000-0006-0000-0400-00002E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indikosh</t>
        </r>
      </text>
    </comment>
    <comment ref="N45" authorId="1" shapeId="0" xr:uid="{00000000-0006-0000-0400-00002F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+ outgrowth</t>
        </r>
      </text>
    </comment>
    <comment ref="K46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indikosh</t>
        </r>
      </text>
    </comment>
    <comment ref="I47" authorId="1" shapeId="0" xr:uid="{00000000-0006-0000-0400-000031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MB + OG</t>
        </r>
      </text>
    </comment>
    <comment ref="K47" authorId="1" shapeId="0" xr:uid="{00000000-0006-0000-0400-000032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indikosh</t>
        </r>
      </text>
    </comment>
    <comment ref="K48" authorId="1" shapeId="0" xr:uid="{00000000-0006-0000-0400-000033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indikosh</t>
        </r>
      </text>
    </comment>
    <comment ref="L48" authorId="1" shapeId="0" xr:uid="{00000000-0006-0000-0400-000034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indikosh</t>
        </r>
      </text>
    </comment>
    <comment ref="I49" authorId="1" shapeId="0" xr:uid="{00000000-0006-0000-0400-000035000000}">
      <text>
        <r>
          <rPr>
            <b/>
            <sz val="9"/>
            <color indexed="81"/>
            <rFont val="Tahoma"/>
            <family val="2"/>
          </rPr>
          <t>Moses Farley:</t>
        </r>
        <r>
          <rPr>
            <sz val="9"/>
            <color indexed="81"/>
            <rFont val="Tahoma"/>
            <family val="2"/>
          </rPr>
          <t xml:space="preserve">
MB + OG</t>
        </r>
      </text>
    </comment>
  </commentList>
</comments>
</file>

<file path=xl/sharedStrings.xml><?xml version="1.0" encoding="utf-8"?>
<sst xmlns="http://schemas.openxmlformats.org/spreadsheetml/2006/main" count="1566" uniqueCount="402">
  <si>
    <t>Variable</t>
  </si>
  <si>
    <t>Category</t>
  </si>
  <si>
    <t>Source value</t>
  </si>
  <si>
    <t>S.No.</t>
  </si>
  <si>
    <t>ROADS</t>
  </si>
  <si>
    <t>Date</t>
  </si>
  <si>
    <t>Value in 2019</t>
  </si>
  <si>
    <t>Notes</t>
  </si>
  <si>
    <t>Annual investment cost in road safety program as % of all infrastructure projects</t>
  </si>
  <si>
    <t>https://www.who.int/management/programme/health_promotion/MakeRoadsSafe.pdf</t>
  </si>
  <si>
    <t>Affordability</t>
  </si>
  <si>
    <t>http://siteresources.worldbank.org/INTURBANTRANSPORT/Resources/cities_on_the_move.pdf</t>
  </si>
  <si>
    <t>gen</t>
  </si>
  <si>
    <t>WDI</t>
  </si>
  <si>
    <t>Megacities lower population limit</t>
  </si>
  <si>
    <t>Our city sampling method</t>
  </si>
  <si>
    <t>Tier 1 City lower population limit</t>
  </si>
  <si>
    <t>Tier 2 City lower population limit and Tier 3 upper population limit</t>
  </si>
  <si>
    <t>Inflation rate, USD 2019 = ______ USD 2016</t>
  </si>
  <si>
    <t>Inflation rate, USD 2019 = ______ 2015:</t>
  </si>
  <si>
    <t>Inflation rate, USD 2019 = ______ 2014:</t>
  </si>
  <si>
    <t>Inflation rate, USD 2019 = ______ 2013:</t>
  </si>
  <si>
    <t>Inflation rate, USD 2019 = ______ 2005:</t>
  </si>
  <si>
    <t>Inflation rate, USD 2019 = ______ 1997:</t>
  </si>
  <si>
    <t>PPP of India in 2016</t>
  </si>
  <si>
    <t>https://data.worldbank.org/indicator/PA.NUS.PPPC.RF?locations=IN</t>
  </si>
  <si>
    <t>https://data.worldbank.org/indicator/PA.NUS.FCRF?locations=IN</t>
  </si>
  <si>
    <t>https://www.xe.com/currencyconverter/convert/?Amount=1&amp;From=USD&amp;To=BOB</t>
  </si>
  <si>
    <t>roads</t>
  </si>
  <si>
    <t>Length of roads per capita (AVERAGE) (km/person)</t>
  </si>
  <si>
    <t>Percentage of total roads that are arterial (these need sidewalks)</t>
  </si>
  <si>
    <t>https://www.fhwa.dot.gov/policy/2013cpr/chap2.cfm#2</t>
  </si>
  <si>
    <t>Percentage of total roads that are sub-arterial (these need sidewalks)</t>
  </si>
  <si>
    <t>Percentage of total roads that are collector (no sidewalks)</t>
  </si>
  <si>
    <t>Percentage of total roads that are local (no sidewalks)</t>
  </si>
  <si>
    <t>Cost of building arterial road per km ($USD 2014/km)</t>
  </si>
  <si>
    <t>https://www.arkansashighways.com/roadway_design_division/Cost%20per%20Mile%20(JULY%202014).pdf</t>
  </si>
  <si>
    <t>Assumed to be equal to "4 lane undivided"</t>
  </si>
  <si>
    <t>Cost of building sub-arterial road per km ($USD 2014/km)</t>
  </si>
  <si>
    <t>2 Lane Arterial</t>
  </si>
  <si>
    <t>Cost of building collector road per km ($USD 2014/km)</t>
  </si>
  <si>
    <t>2 Lane collector</t>
  </si>
  <si>
    <t>Cost of building local road per km ($USD 2014/km)</t>
  </si>
  <si>
    <t>assumed to be equal to collector</t>
  </si>
  <si>
    <t>Annual O&amp;M costs for road maintenance, per km of  road ($USD 2014/km)</t>
  </si>
  <si>
    <t>http://documents.worldbank.org/curated/en/971161468314094302/pdf/339250rev.pdf</t>
  </si>
  <si>
    <t>Cost of paving 7 m road (($USD 1997/km) [arterials]</t>
  </si>
  <si>
    <t>http://web.worldbank.org/WBSITE/EXTERNAL/TOPICS/EXTTRANSPORT/EXTROADSHIGHWAYS/0,,contentMDK:20600628~menuPK:1476380~pagePK:148956~piPK:216618~theSitePK:338661~isCURL:Y,00.html</t>
  </si>
  <si>
    <t>Arterial is assumed 4 lanes</t>
  </si>
  <si>
    <t>Cost of paving 7 m road (($USD 1997/km) [sub-arterials]</t>
  </si>
  <si>
    <t>Overlay: SAC-V</t>
  </si>
  <si>
    <t>Cost of paving 6 m road ($USD 1996/km) [feeder &amp; collector]</t>
  </si>
  <si>
    <t>Maximum walking distance to a bus stop in city (km)</t>
  </si>
  <si>
    <t>Standard Bus</t>
  </si>
  <si>
    <t>Global Standard - SloCaT</t>
  </si>
  <si>
    <t>Per capita bus requirement, tier 1</t>
  </si>
  <si>
    <t>https://ppiaf.org/sites/ppiaf.org/files/documents/toolkits/UrbanBusToolkit/assets/1/1c/1c7.html</t>
  </si>
  <si>
    <t>arbitrary, range is 1.2-0.5</t>
  </si>
  <si>
    <t>Per capita bus requirement, tier 2</t>
  </si>
  <si>
    <t>Per capita bus requirement, tier 3</t>
  </si>
  <si>
    <t>www.bestundertaking.com/in/pdf/2018-19/2019-statement_of_account_english_16-17.pdf</t>
  </si>
  <si>
    <t>Buses</t>
  </si>
  <si>
    <t>Buses per garage/ buildings</t>
  </si>
  <si>
    <t>https://web.archive.org/web/20050212184403/http://www.bestundertaking.com/trans_engg.asp</t>
  </si>
  <si>
    <t>Cost of adding one bus shelter stop (USD 2015)</t>
  </si>
  <si>
    <t>Estimated Costs for Bus Shelters and Benches Program</t>
  </si>
  <si>
    <t xml:space="preserve">"ADA-compliant concrete pad, required for a bench - 1,200" ; benches cost 1500 each; </t>
  </si>
  <si>
    <t>Cost of adding one 17,000 square foot warehouse, which holds about 120 buses at max</t>
  </si>
  <si>
    <t>https://www.rsmeans.com/model-pages/bus-terminal.aspx</t>
  </si>
  <si>
    <t>Crosstown Bus station in NYC could hold 120 buses max, and was 17,000 square ft https://en.wikipedia.org/wiki/Bus_depots_of_MTA_Regional_Bus_Operations</t>
  </si>
  <si>
    <t>Item</t>
  </si>
  <si>
    <t>Cost (USD 2019)</t>
  </si>
  <si>
    <t>Comment</t>
  </si>
  <si>
    <t>Roads</t>
  </si>
  <si>
    <t>PUBLIC TRANSIT (BUSES)</t>
  </si>
  <si>
    <t xml:space="preserve">Affordability </t>
  </si>
  <si>
    <t>Repaving</t>
  </si>
  <si>
    <t>Urban Mobility Planning</t>
  </si>
  <si>
    <t>Additional Construction</t>
  </si>
  <si>
    <t>Maintenance</t>
  </si>
  <si>
    <t>Public Transport</t>
  </si>
  <si>
    <t>Length of Existing Roads that Require Repavement</t>
  </si>
  <si>
    <t>Road Repavement</t>
  </si>
  <si>
    <t xml:space="preserve">Bus Fleet </t>
  </si>
  <si>
    <t>Bus Stops</t>
  </si>
  <si>
    <t>New Road Construction</t>
  </si>
  <si>
    <t>Bus Depot/Terminals</t>
  </si>
  <si>
    <t>BRT Infrastructure (Forthcoming)</t>
  </si>
  <si>
    <t xml:space="preserve">Road Maintenance </t>
  </si>
  <si>
    <t>Operation &amp; Maintenance and Admin</t>
  </si>
  <si>
    <t>Road Safety</t>
  </si>
  <si>
    <t>Programs (10% of Total Infrastructure Cost)</t>
  </si>
  <si>
    <t>Bus Terminals</t>
  </si>
  <si>
    <t>Operation &amp; Maintenance Cost of Buses and Admin Costs of Transit Authority</t>
  </si>
  <si>
    <t>Planning and Management</t>
  </si>
  <si>
    <t>Cost of Developing a Plan for the City</t>
  </si>
  <si>
    <t>No</t>
  </si>
  <si>
    <t>City</t>
  </si>
  <si>
    <t>Year</t>
  </si>
  <si>
    <t>Average HH Size</t>
  </si>
  <si>
    <t>Number of HH</t>
  </si>
  <si>
    <t>Length of Roads Required</t>
  </si>
  <si>
    <t>Total New Roads Required</t>
  </si>
  <si>
    <t>Arterial</t>
  </si>
  <si>
    <t>Sub-Arterial</t>
  </si>
  <si>
    <t>Collector</t>
  </si>
  <si>
    <t>Local</t>
  </si>
  <si>
    <t>Total Buses Required</t>
  </si>
  <si>
    <t>Existing Buses in Operation</t>
  </si>
  <si>
    <t>Net Bus Addition</t>
  </si>
  <si>
    <t>Total Required Bus Stops</t>
  </si>
  <si>
    <t>Existing Bus Stops in Operation</t>
  </si>
  <si>
    <t>Net Bus Stop Addition</t>
  </si>
  <si>
    <t>Total Required Bus Terminals</t>
  </si>
  <si>
    <t>Existing Bus Terminals in Operation</t>
  </si>
  <si>
    <t>Net Bus Terminal Addition</t>
  </si>
  <si>
    <t>Cost of subsidy required</t>
  </si>
  <si>
    <t>COST (USD 2019)</t>
  </si>
  <si>
    <t>Distribution of road type, as % of total road lengths</t>
  </si>
  <si>
    <t xml:space="preserve">From U.S. National Highway Association: https://www.fhwa.dot.gov/policy/2013cpr/chap2.cfm#2 </t>
  </si>
  <si>
    <t>Using urbanized areas (50,000 or more in population) "miles" in exhibit 2-4 "Percentage of highway miles, lane miles, and VMT by Functional System and by size of area, 2010"</t>
  </si>
  <si>
    <t>Excluded freeway/expressway/interstate</t>
  </si>
  <si>
    <t>Miles (%)</t>
  </si>
  <si>
    <t>Urban only %</t>
  </si>
  <si>
    <t>Principal Arterial</t>
  </si>
  <si>
    <t>Minor Arterial</t>
  </si>
  <si>
    <t>Major Collector</t>
  </si>
  <si>
    <t>Minor Collector</t>
  </si>
  <si>
    <t>SUM</t>
  </si>
  <si>
    <t>2016, Rupee</t>
  </si>
  <si>
    <t>USD (2016)</t>
  </si>
  <si>
    <t>Total costs, minus interest paid expenditures</t>
  </si>
  <si>
    <t>Expenditures by B.E.S.T.</t>
  </si>
  <si>
    <t>Number of buses operated by B.E.S.T.</t>
  </si>
  <si>
    <t>Source:</t>
  </si>
  <si>
    <t>https://www.bestundertaking.com/in/page.asp?i=1</t>
  </si>
  <si>
    <t>Value:</t>
  </si>
  <si>
    <t>Variable:</t>
  </si>
  <si>
    <t>Adjusted to PPP of U.S.A. (USD 2019)</t>
  </si>
  <si>
    <t>Per bus cost in India (USD 2019)</t>
  </si>
  <si>
    <t>Admin, O&amp;M costs of standard bus system, per bus, adjusted to reflect prices in USA ($USD 2019)</t>
  </si>
  <si>
    <t>Calculating O&amp;M of standard buses (most of BEST routes are standard buses)</t>
  </si>
  <si>
    <t>Link: www.bestundertaking.com/in/pdf/2018-19/2019-statement_of_account_english_16-17.pdf</t>
  </si>
  <si>
    <t xml:space="preserve">Source: THE BRIHAN MUMBAI ELECTRIC SUPPLY AND TRANSPORT UNDERTAKING
(OF THE BRIHANMUMBAI MAHANAGARPAlIKA)
APPENDIX NO. E-1
GENERAL FINANCIAL STATISTICS 2016-2017 </t>
  </si>
  <si>
    <t>No.</t>
  </si>
  <si>
    <t>Maximum % of lowest quintile's per-capita monthly income that should be to spent on public transportation</t>
  </si>
  <si>
    <t>Planning, safety</t>
  </si>
  <si>
    <t>http://www.in2013dollars.com/us/inflation/2005?amount=1</t>
  </si>
  <si>
    <t>Global average cost of hybrid CNG bus (USD 2012)</t>
  </si>
  <si>
    <t>http://www.repic.ch/files/7114/4126/7442/Grutter_FinalReport_e_web.pdf</t>
  </si>
  <si>
    <t xml:space="preserve">Regional average change in population density (people/hectare)  (%) </t>
  </si>
  <si>
    <t>https://databank.worldbank.org/reports.aspx?source=2&amp;series=PA.NUS.PPP&amp;country=</t>
  </si>
  <si>
    <t>PPP of India in 2018</t>
  </si>
  <si>
    <t>Exchange rate for Rupee to USD in 2019 (July)</t>
  </si>
  <si>
    <t>Agartala</t>
  </si>
  <si>
    <t>Aizawl</t>
  </si>
  <si>
    <t>Bangalore</t>
  </si>
  <si>
    <t>Bhopal</t>
  </si>
  <si>
    <t>Bhubaneswar</t>
  </si>
  <si>
    <t>Chandigarh</t>
  </si>
  <si>
    <t>Chennai</t>
  </si>
  <si>
    <t>Daman</t>
  </si>
  <si>
    <t>Dehradun</t>
  </si>
  <si>
    <t>Dispur</t>
  </si>
  <si>
    <t>Gandhinagar</t>
  </si>
  <si>
    <t>Gangtok</t>
  </si>
  <si>
    <t>Hyderabad</t>
  </si>
  <si>
    <t>Imphal</t>
  </si>
  <si>
    <t>Itanagar</t>
  </si>
  <si>
    <t>Jaipur</t>
  </si>
  <si>
    <t>Kavaratti</t>
  </si>
  <si>
    <t>Kohima</t>
  </si>
  <si>
    <t>Kolkata</t>
  </si>
  <si>
    <t>Lucknow</t>
  </si>
  <si>
    <t>Mumbai</t>
  </si>
  <si>
    <t>New Delhi</t>
  </si>
  <si>
    <t>Panaji</t>
  </si>
  <si>
    <t>Patna</t>
  </si>
  <si>
    <t>Pondicherry</t>
  </si>
  <si>
    <t>Port Blair</t>
  </si>
  <si>
    <t>Raipur</t>
  </si>
  <si>
    <t>Ranchi</t>
  </si>
  <si>
    <t>Shillong</t>
  </si>
  <si>
    <t>Silvassa</t>
  </si>
  <si>
    <t>Simla</t>
  </si>
  <si>
    <t>Srinagar</t>
  </si>
  <si>
    <t>Thiruvananthapuram</t>
  </si>
  <si>
    <t>Kurnool</t>
  </si>
  <si>
    <t>Sirsa</t>
  </si>
  <si>
    <t>Aurangabad</t>
  </si>
  <si>
    <t>Bhiwani</t>
  </si>
  <si>
    <t>Jullundur</t>
  </si>
  <si>
    <t>Karur</t>
  </si>
  <si>
    <t>Jorhat</t>
  </si>
  <si>
    <t>Sopore</t>
  </si>
  <si>
    <t>Tezpur</t>
  </si>
  <si>
    <t>2011 Census</t>
  </si>
  <si>
    <t xml:space="preserve">Dehradun </t>
  </si>
  <si>
    <t xml:space="preserve">Gandhinagar </t>
  </si>
  <si>
    <t xml:space="preserve">Gangtok </t>
  </si>
  <si>
    <t>Imphal (MCI) ( Minor part)</t>
  </si>
  <si>
    <t>Imphal (MCI) (Major part)</t>
  </si>
  <si>
    <t xml:space="preserve">Imphal </t>
  </si>
  <si>
    <t>Jaipur (M Corp.) (Part)</t>
  </si>
  <si>
    <t xml:space="preserve">Panaji </t>
  </si>
  <si>
    <t>Name</t>
  </si>
  <si>
    <t>AVG</t>
  </si>
  <si>
    <t>RoC 11-19</t>
  </si>
  <si>
    <t>INFL 11 - 19</t>
  </si>
  <si>
    <t>Jammu and Kashmir</t>
  </si>
  <si>
    <t>Himachal Pradesh</t>
  </si>
  <si>
    <t>Punjab</t>
  </si>
  <si>
    <t>Uttaranchal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</si>
  <si>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</si>
  <si>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</si>
  <si>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</si>
  <si>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</si>
  <si>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</si>
  <si>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</si>
  <si>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</si>
  <si>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</si>
  <si>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</si>
  <si>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</si>
  <si>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</si>
  <si>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</si>
  <si>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</si>
  <si>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</si>
  <si>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</si>
  <si>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</si>
  <si>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</si>
  <si>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Chattisgarh</t>
  </si>
  <si>
    <t>Madhya Pradesh</t>
  </si>
  <si>
    <t>Gujarat</t>
  </si>
  <si>
    <t>Daman and Diu</t>
  </si>
  <si>
    <t>Dadra and Nagar Haveli</t>
  </si>
  <si>
    <t>Maharashtra</t>
  </si>
  <si>
    <t>Andhra Pradesh</t>
  </si>
  <si>
    <t>Karnataka</t>
  </si>
  <si>
    <t>Goa</t>
  </si>
  <si>
    <t>Lakshwadeep</t>
  </si>
  <si>
    <t>Kerala</t>
  </si>
  <si>
    <t>Tamil Nadu</t>
  </si>
  <si>
    <t>Andaman and Nicobar</t>
  </si>
  <si>
    <t>Telangana</t>
  </si>
  <si>
    <t>A1:J37</t>
  </si>
  <si>
    <t>https://databank.worldbank.org/source/country-partnership-strategy-for-india-(fy2013%5E17)/Type/TABLE/preview/on</t>
  </si>
  <si>
    <t>Urban Road Density (KMs Per 1000 Population)</t>
  </si>
  <si>
    <t>Kavarati</t>
  </si>
  <si>
    <t xml:space="preserve">Simla </t>
  </si>
  <si>
    <t>States Name</t>
  </si>
  <si>
    <t>Series Name</t>
  </si>
  <si>
    <t>2008 [YR2008]</t>
  </si>
  <si>
    <t xml:space="preserve"> Andaman and Nicobar Islands</t>
  </si>
  <si>
    <t xml:space="preserve"> Andhra Pradesh</t>
  </si>
  <si>
    <t xml:space="preserve"> Arunachal Pradesh</t>
  </si>
  <si>
    <t xml:space="preserve"> Assam</t>
  </si>
  <si>
    <t xml:space="preserve"> Bihar</t>
  </si>
  <si>
    <t xml:space="preserve"> Chandigarh</t>
  </si>
  <si>
    <t xml:space="preserve"> Chhattisgarh</t>
  </si>
  <si>
    <t xml:space="preserve"> Dadra and Nagar Haveli</t>
  </si>
  <si>
    <t xml:space="preserve"> Daman and Diu</t>
  </si>
  <si>
    <t xml:space="preserve"> Delhi</t>
  </si>
  <si>
    <t xml:space="preserve"> Goa</t>
  </si>
  <si>
    <t xml:space="preserve"> Gujarat</t>
  </si>
  <si>
    <t xml:space="preserve"> Haryana</t>
  </si>
  <si>
    <t xml:space="preserve"> Himachal Pradesh</t>
  </si>
  <si>
    <t>India</t>
  </si>
  <si>
    <t xml:space="preserve"> Jammu and Kashmir</t>
  </si>
  <si>
    <t xml:space="preserve"> Jharkhand</t>
  </si>
  <si>
    <t xml:space="preserve"> Karnataka</t>
  </si>
  <si>
    <t xml:space="preserve"> Kerala</t>
  </si>
  <si>
    <t xml:space="preserve"> Lakshadweep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</si>
  <si>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</si>
  <si>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</si>
  <si>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</si>
  <si>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</si>
  <si>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</si>
  <si>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</si>
  <si>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Odisha</t>
  </si>
  <si>
    <t xml:space="preserve"> Punjab</t>
  </si>
  <si>
    <t xml:space="preserve"> Rajasthan</t>
  </si>
  <si>
    <t xml:space="preserve"> Sikkim</t>
  </si>
  <si>
    <t xml:space="preserve"> Tamil Nadu</t>
  </si>
  <si>
    <t xml:space="preserve"> Tripura</t>
  </si>
  <si>
    <t xml:space="preserve"> Uttar Pradesh</t>
  </si>
  <si>
    <t xml:space="preserve"> Uttarakhand</t>
  </si>
  <si>
    <t xml:space="preserve"> West Bengal</t>
  </si>
  <si>
    <t>2009 [YR2009]</t>
  </si>
  <si>
    <t>2010 [YR2010]</t>
  </si>
  <si>
    <t>2011 [YR2011]</t>
  </si>
  <si>
    <t>..</t>
  </si>
  <si>
    <t>Average urban population growth (annual %) of past 10 years</t>
  </si>
  <si>
    <t>https://www.in2013dollars.com</t>
  </si>
  <si>
    <t>http://www.atlasofurbanexpansion.org/cities/view/Mumbai</t>
  </si>
  <si>
    <t>2000-2014</t>
  </si>
  <si>
    <t>Area Expansion Factor (annual % change, people/hectare)</t>
  </si>
  <si>
    <t>Sources: Atlas of Urban Expansion</t>
  </si>
  <si>
    <t>Red font indicates regional average</t>
  </si>
  <si>
    <t>Source</t>
  </si>
  <si>
    <t>Censusindia2011.com</t>
  </si>
  <si>
    <t>Atlas of Urban Expansion</t>
  </si>
  <si>
    <t>https://indikosh.com/city/708736/kurnool</t>
  </si>
  <si>
    <t>Current Length of Roads (km)</t>
  </si>
  <si>
    <t xml:space="preserve"> Puducherry</t>
  </si>
  <si>
    <t>Estimated Urban Road lengths using 2011 population (km)</t>
  </si>
  <si>
    <t>Source: WDI Data</t>
  </si>
  <si>
    <t>Source: India 2011 Population Census</t>
  </si>
  <si>
    <t>Population</t>
  </si>
  <si>
    <t xml:space="preserve">COST (USD 2019) 
</t>
  </si>
  <si>
    <t>Adequate and Accessible Bus Stops</t>
  </si>
  <si>
    <t>Average cost of public transit ticket (USD 2019)</t>
  </si>
  <si>
    <t>Average cost of one-way ticket on public transportation (USD 2019)</t>
  </si>
  <si>
    <t>Subsidy</t>
  </si>
  <si>
    <t>Average of other fare data - used for data gaps</t>
  </si>
  <si>
    <t>Adequate Length of Roads</t>
  </si>
  <si>
    <t>TOTAL (Million USD)</t>
  </si>
  <si>
    <t>TRU</t>
  </si>
  <si>
    <t>No. HH (2011)</t>
  </si>
  <si>
    <t>Total Population (2011)</t>
  </si>
  <si>
    <t>Avgerage HH size (2011)</t>
  </si>
  <si>
    <t>No. Inadadequate HH</t>
  </si>
  <si>
    <t>Inadequate housing demand (% total HH)</t>
  </si>
  <si>
    <t>Source (if not 2011 Census)</t>
  </si>
  <si>
    <t>Urban</t>
  </si>
  <si>
    <t>https://daman.nic.in/websites/planning_daman/documents/2017/statistical-dairy-2016-17.pdf</t>
  </si>
  <si>
    <t>https://www.telegraphindia.com/states/north-east/tips-from-bank-to-build-on-slums-dispur-plans-to-develop-shanty-towns-into-well-planned-housing-colonies/cid/1631921</t>
  </si>
  <si>
    <t>State average: http://mohua.gov.in/pdf/5c80e2225a124Handbook%20of%20Urban%20Statistics%202019.pdf</t>
  </si>
  <si>
    <t xml:space="preserve">Jammu </t>
  </si>
  <si>
    <t>National average: http://mohua.gov.in/pdf/5c80e2225a124Handbook%20of%20Urban%20Statistics%202019.pdf</t>
  </si>
  <si>
    <t>http://rchiips.org/pdf/state/Pondicherry.pdf</t>
  </si>
  <si>
    <t>No. HH from: http://censusindia.gov.in/2011census/dchb/3500_PART_B_DCHB_ANDAMAN%20&amp;%20NICOBAR%20ISLANDS.pdf</t>
  </si>
  <si>
    <t>Area (Sq.Km)</t>
  </si>
  <si>
    <t>Source: World Development Indicators (WDI) Data</t>
  </si>
  <si>
    <t>USD (2019)</t>
  </si>
  <si>
    <t>Average exchange rate of INR to USD in 2016</t>
  </si>
  <si>
    <t>Google Earth Pro Approximation</t>
  </si>
  <si>
    <t>Revised City Development Plan for Panaji, 2041 (2015)</t>
  </si>
  <si>
    <t xml:space="preserve">Naya Raipur Development Plan - 2031 </t>
  </si>
  <si>
    <t>Area (sq. km) source year</t>
  </si>
  <si>
    <r>
      <t>Area</t>
    </r>
    <r>
      <rPr>
        <i/>
        <sz val="11"/>
        <color rgb="FF000000"/>
        <rFont val="Calibri"/>
        <family val="2"/>
      </rPr>
      <t xml:space="preserve"> (sq.km)</t>
    </r>
    <r>
      <rPr>
        <sz val="11"/>
        <color rgb="FF000000"/>
        <rFont val="Calibri"/>
        <family val="2"/>
      </rPr>
      <t xml:space="preserve"> 2019</t>
    </r>
  </si>
  <si>
    <t xml:space="preserve"> Transportation Subsidy to the Lowest Quintile Households</t>
  </si>
  <si>
    <t>GOVERNMENT OF INDIA
MINISTRY OF TOURISM AND CULTURE
DEPARTMENT OF TOURISM
MARKET RESEARCH DIVISION
Final report
On
20-YEAR PERSPECTIVE PLAN FOR
DAMAN &amp; DIU
December 2002</t>
  </si>
  <si>
    <t>Smartcities</t>
  </si>
  <si>
    <t>assume</t>
  </si>
  <si>
    <t>https://www.tsrtc.telangana.gov.in/profile.php urban transport + electric buses (2019)</t>
  </si>
  <si>
    <t>https://www.enidhi.net/2019/07/exploring-imphal-manipur-around-using-public-transport.html</t>
  </si>
  <si>
    <t>http://www.arunachalipr.gov.in/?cat=5</t>
  </si>
  <si>
    <t>http://brtdata.org/location/asia/india/jaipur</t>
  </si>
  <si>
    <t>http://www.cirtindia.com/pdf/Fleet%20Strength%2031.03.17.pdf  (2017) use BSRTC even though rural, bc quoted to be only bus service listed here. (2017)</t>
  </si>
  <si>
    <t>District wise list of Bus Stations
Government of Assam
Assam State Transport Corporation
26 Dec 2019
Kamrup is only part of Guwahati included, which doesn't include dispur</t>
  </si>
  <si>
    <t>-</t>
  </si>
  <si>
    <t>.</t>
  </si>
  <si>
    <t>https://www.newindianexpress.com/cities/hyderabad/2019/mar/06/fleet-of-40-electric-buses-hits-hyderabad-roads-1947386.html</t>
  </si>
  <si>
    <t>Miyapur depot</t>
  </si>
  <si>
    <t>Existing Bus Depots in Operation</t>
  </si>
  <si>
    <t xml:space="preserve">COST (USD 2019) </t>
  </si>
  <si>
    <t>Average amount spent monthly on transit per household (USD 2019)</t>
  </si>
  <si>
    <t>Average Monthly Per Capita Household Income of the Lowest Quintile of Population (USD 2019)</t>
  </si>
  <si>
    <t>City Size</t>
  </si>
  <si>
    <t>https://shodhganga.inflibnet.ac.in/bitstream/10603/163672/15/15_chapter%207.pdf</t>
  </si>
  <si>
    <t>City Development Plan: Lucknow by Government of Uttar Pradesh</t>
  </si>
  <si>
    <t>https://www.bestundertaking.com/in/page.asp?i=27</t>
  </si>
  <si>
    <t>https://en.wikipedia.org/wiki/Brihanmumbai_Electric_Supply_and_Transport</t>
  </si>
  <si>
    <t>https://en.wikipedia.org/wiki/Delhi_Transport_Corporation</t>
  </si>
  <si>
    <t>http://dtc.nic.in/sites/default/files/All-PDF/dtc%2Bproperty.pdf</t>
  </si>
  <si>
    <t>Depots + terminals</t>
  </si>
  <si>
    <t>https://en.wikipedia.org/wiki/Raipur_and_Naya_Raipur_Bus_Rapid_Transit_System</t>
  </si>
  <si>
    <t>BRT fleet of Naya Raipur Mass Transport Ltd</t>
  </si>
  <si>
    <t>https://www.telegraphindia.com/states/jharkhand/26-city-buses-roll-out-in-ranchi/cid/1354548</t>
  </si>
  <si>
    <t>https://www.hrtchp.com/hrtc_info/Key-Statistics.html</t>
  </si>
  <si>
    <t>https://www.tribuneindia.com/news/archive/srinagar-gets-first-fleet-of-20-electric-buses-to-be-launched-today-798614</t>
  </si>
  <si>
    <t>20 electric buses added</t>
  </si>
  <si>
    <t>http://kurtc.in/fleet.html</t>
  </si>
  <si>
    <t>Works in 3 zones, so assumed 1/3 alloted to area</t>
  </si>
  <si>
    <t>https://www.apsrtc.ap.gov.in/Depots.php</t>
  </si>
  <si>
    <t>District Census Handbook: Kurnool, Village and Town Directory, Series-29 Part XII-A Table 18</t>
  </si>
  <si>
    <t>Table 18, public (A.P.S.R.T.C.) and private state carriages</t>
  </si>
  <si>
    <t>Master Plan for Guwahati Metropolitan Area - 2025, Guwahati Metropolitan Development Authority</t>
  </si>
  <si>
    <t>Revised City Development Plan - Panaji</t>
  </si>
  <si>
    <t>mini buses are 1/5 of a bus, KTC and private buses considered</t>
  </si>
  <si>
    <t>Kadamba bus terminal</t>
  </si>
  <si>
    <t>https://tcpd.py.gov.in/sites/default/files/FINAL%20REPORT%20-CDP-2036%20_6-11-2019.pdf</t>
  </si>
  <si>
    <t>50 for city bus operation, rest is for inter-city and village</t>
  </si>
  <si>
    <t>Maraimalai Adigal salai</t>
  </si>
  <si>
    <t>N/A if bus stops are accessible</t>
  </si>
  <si>
    <t>SmartCities</t>
  </si>
  <si>
    <t>Disability friendly</t>
  </si>
  <si>
    <t>Thiruvananthapuram Corporation Dept of Town and Country Planning Master Plan (Draft)</t>
  </si>
  <si>
    <t>https://smartnet.niua.org/sites/default/files/resources/RevisedAurangabadSmartCityPlan.pdf</t>
  </si>
  <si>
    <t>https://en.wikipedia.org/wiki/Aurangabad</t>
  </si>
  <si>
    <t>Central bus stand</t>
  </si>
  <si>
    <t>https://tcpharyana.gov.in/Development_Plan/Bhiwani/Bhiwani/FDP_2025/Bhiwani_FDP_2025_Exp_Note.pdf</t>
  </si>
  <si>
    <t>http://haryanahighway.com/Travel/roadways.htm</t>
  </si>
  <si>
    <t>inter-city buses</t>
  </si>
  <si>
    <t>http://www.jda.gov.in/wp-content/uploads/2016/03/Report-Master-Plan-Jalandhar.pdf</t>
  </si>
  <si>
    <t>Inter State Bus Terminal</t>
  </si>
  <si>
    <t>Rickshaws are used; "Jalandhar [Jullundur] does not have any qualified Urban Transport Planner and Traffic Engineer" (94)</t>
  </si>
  <si>
    <t>https://en.wikipedia.org/wiki/Jorhat</t>
  </si>
  <si>
    <t>Rickshaws are mainly used</t>
  </si>
  <si>
    <t>Inter State Bus terminus at Tarajan</t>
  </si>
  <si>
    <t>Average Monthly Household Income of the Lowest Quintile of Population (USD 2019)</t>
  </si>
  <si>
    <t>Subsidies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</si>
</sst>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_);_(* \(#,##0.00000\);_(* &quot;-&quot;??_);_(@_)"/>
    <numFmt numFmtId="165" formatCode="_(* #,##0.0000_);_(* \(#,##0.0000\);_(* &quot;-&quot;??_);_(@_)"/>
    <numFmt numFmtId="166" formatCode="&quot;$&quot;#,##0.00"/>
    <numFmt numFmtId="167" formatCode="_(* #,##0_);_(* \(#,##0\);_(* &quot;-&quot;??_);_(@_)"/>
    <numFmt numFmtId="168" formatCode="#,##0.0"/>
    <numFmt numFmtId="169" formatCode="_(* #,##0.000_);_(* \(#,##0.000\);_(* &quot;-&quot;??_);_(@_)"/>
    <numFmt numFmtId="170" formatCode="0.0%"/>
    <numFmt numFmtId="171" formatCode="_(* #,##0.0_);_(* \(#,##0.0\);_(* &quot;-&quot;??_);_(@_)"/>
    <numFmt numFmtId="172" formatCode="_([$INR]\ * #,##0.00_);_([$INR]\ * \(#,##0.00\);_([$INR]\ * &quot;-&quot;??_);_(@_)"/>
  </numFmts>
  <fonts count="5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i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2E75B5"/>
      <name val="Calibri"/>
      <family val="2"/>
    </font>
    <font>
      <sz val="9"/>
      <color rgb="FF000000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rgb="FF0070C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FF0000"/>
      <name val="Calibri"/>
      <family val="2"/>
    </font>
    <font>
      <i/>
      <sz val="10"/>
      <color rgb="FF000000"/>
      <name val="Calibri"/>
      <family val="2"/>
    </font>
    <font>
      <i/>
      <sz val="9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000000"/>
      <name val="Calibri"/>
      <family val="2"/>
    </font>
    <font>
      <b/>
      <i/>
      <u val="singleAccounting"/>
      <sz val="11"/>
      <color rgb="FF0070C0"/>
      <name val="Calibri"/>
      <family val="2"/>
    </font>
    <font>
      <b/>
      <i/>
      <u/>
      <sz val="11"/>
      <color rgb="FF0070C0"/>
      <name val="Calibri"/>
      <family val="2"/>
    </font>
    <font>
      <b/>
      <i/>
      <u val="singleAccounting"/>
      <sz val="11"/>
      <color rgb="FF2E75B5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rgb="FF000000"/>
      <name val="Tahoma"/>
      <family val="2"/>
    </font>
    <font>
      <sz val="11"/>
      <color rgb="FF1C1E21"/>
      <name val="Calibri"/>
      <family val="2"/>
    </font>
    <font>
      <sz val="11"/>
      <color rgb="FF00B050"/>
      <name val="Calibri"/>
      <family val="2"/>
    </font>
    <font>
      <i/>
      <u/>
      <sz val="11"/>
      <color theme="1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BFBFBF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1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6" fillId="0" borderId="4"/>
    <xf numFmtId="0" fontId="26" fillId="0" borderId="4"/>
    <xf numFmtId="0" fontId="20" fillId="0" borderId="4"/>
    <xf numFmtId="0" fontId="5" fillId="0" borderId="4"/>
    <xf numFmtId="9" fontId="28" fillId="0" borderId="0" applyFont="0" applyFill="0" applyBorder="0" applyAlignment="0" applyProtection="0"/>
  </cellStyleXfs>
  <cellXfs count="344">
    <xf numFmtId="0" fontId="0" fillId="0" borderId="0" xfId="0" applyFont="1" applyAlignment="1"/>
    <xf numFmtId="0" fontId="7" fillId="0" borderId="0" xfId="0" applyFont="1" applyAlignment="1">
      <alignment horizontal="center"/>
    </xf>
    <xf numFmtId="44" fontId="7" fillId="0" borderId="0" xfId="0" applyNumberFormat="1" applyFont="1" applyAlignment="1">
      <alignment horizontal="center"/>
    </xf>
    <xf numFmtId="44" fontId="0" fillId="0" borderId="1" xfId="0" applyNumberFormat="1" applyFont="1" applyBorder="1"/>
    <xf numFmtId="44" fontId="0" fillId="0" borderId="0" xfId="0" applyNumberFormat="1" applyFont="1"/>
    <xf numFmtId="0" fontId="8" fillId="0" borderId="0" xfId="0" applyFont="1"/>
    <xf numFmtId="0" fontId="9" fillId="0" borderId="0" xfId="0" applyFont="1" applyAlignment="1"/>
    <xf numFmtId="0" fontId="0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1" fillId="0" borderId="0" xfId="0" applyFont="1"/>
    <xf numFmtId="0" fontId="12" fillId="5" borderId="1" xfId="0" applyFont="1" applyFill="1" applyBorder="1" applyAlignment="1">
      <alignment vertical="center"/>
    </xf>
    <xf numFmtId="44" fontId="0" fillId="6" borderId="7" xfId="0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44" fontId="12" fillId="4" borderId="1" xfId="0" applyNumberFormat="1" applyFont="1" applyFill="1" applyBorder="1"/>
    <xf numFmtId="0" fontId="15" fillId="0" borderId="0" xfId="0" applyFont="1"/>
    <xf numFmtId="44" fontId="12" fillId="5" borderId="1" xfId="0" applyNumberFormat="1" applyFont="1" applyFill="1" applyBorder="1"/>
    <xf numFmtId="0" fontId="16" fillId="0" borderId="0" xfId="0" applyFont="1"/>
    <xf numFmtId="0" fontId="18" fillId="0" borderId="0" xfId="0" applyFont="1"/>
    <xf numFmtId="44" fontId="13" fillId="0" borderId="0" xfId="0" applyNumberFormat="1" applyFont="1"/>
    <xf numFmtId="0" fontId="0" fillId="0" borderId="0" xfId="0" applyFont="1" applyAlignment="1"/>
    <xf numFmtId="0" fontId="20" fillId="0" borderId="0" xfId="0" applyFont="1" applyAlignment="1">
      <alignment wrapText="1"/>
    </xf>
    <xf numFmtId="0" fontId="20" fillId="0" borderId="0" xfId="0" applyFont="1" applyAlignment="1"/>
    <xf numFmtId="0" fontId="21" fillId="0" borderId="0" xfId="1" applyAlignment="1"/>
    <xf numFmtId="0" fontId="20" fillId="0" borderId="0" xfId="0" applyFont="1"/>
    <xf numFmtId="0" fontId="0" fillId="0" borderId="0" xfId="0" applyFont="1" applyAlignment="1"/>
    <xf numFmtId="43" fontId="20" fillId="0" borderId="0" xfId="0" applyNumberFormat="1" applyFont="1"/>
    <xf numFmtId="1" fontId="20" fillId="5" borderId="1" xfId="0" applyNumberFormat="1" applyFont="1" applyFill="1" applyBorder="1" applyAlignment="1">
      <alignment horizontal="center"/>
    </xf>
    <xf numFmtId="1" fontId="20" fillId="8" borderId="1" xfId="0" applyNumberFormat="1" applyFont="1" applyFill="1" applyBorder="1" applyAlignment="1">
      <alignment horizontal="center" vertical="center"/>
    </xf>
    <xf numFmtId="1" fontId="20" fillId="5" borderId="1" xfId="0" applyNumberFormat="1" applyFont="1" applyFill="1" applyBorder="1"/>
    <xf numFmtId="0" fontId="16" fillId="0" borderId="4" xfId="0" applyFont="1" applyBorder="1"/>
    <xf numFmtId="0" fontId="0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5" fillId="10" borderId="10" xfId="0" applyFont="1" applyFill="1" applyBorder="1"/>
    <xf numFmtId="0" fontId="16" fillId="0" borderId="8" xfId="0" applyFont="1" applyBorder="1"/>
    <xf numFmtId="0" fontId="20" fillId="0" borderId="4" xfId="0" applyFont="1" applyBorder="1"/>
    <xf numFmtId="43" fontId="20" fillId="0" borderId="4" xfId="2" applyFont="1" applyBorder="1" applyAlignment="1"/>
    <xf numFmtId="0" fontId="0" fillId="0" borderId="4" xfId="0" applyFont="1" applyBorder="1" applyAlignment="1"/>
    <xf numFmtId="0" fontId="7" fillId="0" borderId="4" xfId="0" applyFont="1" applyBorder="1"/>
    <xf numFmtId="0" fontId="9" fillId="0" borderId="4" xfId="1" applyFont="1" applyBorder="1" applyAlignment="1"/>
    <xf numFmtId="0" fontId="8" fillId="0" borderId="4" xfId="0" applyFont="1" applyBorder="1"/>
    <xf numFmtId="0" fontId="20" fillId="0" borderId="17" xfId="0" applyFont="1" applyBorder="1" applyAlignment="1">
      <alignment wrapText="1"/>
    </xf>
    <xf numFmtId="0" fontId="20" fillId="0" borderId="18" xfId="0" applyFont="1" applyBorder="1"/>
    <xf numFmtId="0" fontId="20" fillId="0" borderId="18" xfId="0" applyFont="1" applyBorder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20" xfId="0" applyFont="1" applyBorder="1"/>
    <xf numFmtId="43" fontId="20" fillId="0" borderId="21" xfId="2" applyFont="1" applyBorder="1" applyAlignment="1"/>
    <xf numFmtId="0" fontId="0" fillId="0" borderId="12" xfId="0" applyFont="1" applyBorder="1" applyAlignment="1"/>
    <xf numFmtId="0" fontId="0" fillId="0" borderId="9" xfId="0" applyFont="1" applyBorder="1" applyAlignment="1"/>
    <xf numFmtId="0" fontId="0" fillId="0" borderId="13" xfId="0" applyFont="1" applyFill="1" applyBorder="1"/>
    <xf numFmtId="0" fontId="7" fillId="0" borderId="0" xfId="0" applyFont="1" applyAlignment="1">
      <alignment horizontal="left"/>
    </xf>
    <xf numFmtId="0" fontId="0" fillId="0" borderId="0" xfId="0"/>
    <xf numFmtId="44" fontId="0" fillId="0" borderId="0" xfId="3" applyFont="1"/>
    <xf numFmtId="44" fontId="0" fillId="0" borderId="0" xfId="0" applyNumberFormat="1" applyFont="1" applyAlignment="1">
      <alignment horizontal="center" vertical="center"/>
    </xf>
    <xf numFmtId="0" fontId="0" fillId="0" borderId="12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6" fillId="0" borderId="4" xfId="4"/>
    <xf numFmtId="0" fontId="23" fillId="0" borderId="4" xfId="4" applyFont="1"/>
    <xf numFmtId="0" fontId="23" fillId="0" borderId="4" xfId="4" applyFont="1" applyAlignment="1"/>
    <xf numFmtId="0" fontId="6" fillId="0" borderId="4" xfId="4" applyFont="1" applyAlignment="1"/>
    <xf numFmtId="0" fontId="21" fillId="0" borderId="0" xfId="1"/>
    <xf numFmtId="0" fontId="0" fillId="0" borderId="0" xfId="0" applyFont="1" applyFill="1" applyAlignment="1"/>
    <xf numFmtId="0" fontId="20" fillId="0" borderId="11" xfId="6" applyFont="1" applyBorder="1" applyAlignment="1"/>
    <xf numFmtId="0" fontId="20" fillId="0" borderId="12" xfId="6" applyFont="1" applyBorder="1" applyAlignment="1"/>
    <xf numFmtId="0" fontId="20" fillId="0" borderId="4" xfId="6" applyFont="1" applyBorder="1" applyAlignment="1"/>
    <xf numFmtId="167" fontId="14" fillId="0" borderId="4" xfId="6" applyNumberFormat="1" applyFont="1"/>
    <xf numFmtId="0" fontId="20" fillId="0" borderId="9" xfId="6" applyFont="1" applyBorder="1" applyAlignment="1"/>
    <xf numFmtId="0" fontId="29" fillId="0" borderId="4" xfId="0" applyFont="1" applyBorder="1" applyAlignment="1"/>
    <xf numFmtId="0" fontId="14" fillId="0" borderId="9" xfId="6" applyFont="1" applyBorder="1"/>
    <xf numFmtId="0" fontId="20" fillId="0" borderId="23" xfId="6" applyFont="1" applyBorder="1" applyAlignment="1"/>
    <xf numFmtId="0" fontId="20" fillId="0" borderId="24" xfId="6" applyFont="1" applyBorder="1" applyAlignment="1"/>
    <xf numFmtId="0" fontId="20" fillId="0" borderId="24" xfId="6" applyFont="1" applyBorder="1"/>
    <xf numFmtId="10" fontId="17" fillId="0" borderId="4" xfId="8" applyNumberFormat="1" applyFont="1" applyBorder="1" applyAlignment="1"/>
    <xf numFmtId="10" fontId="11" fillId="0" borderId="4" xfId="8" applyNumberFormat="1" applyFont="1" applyBorder="1" applyAlignment="1"/>
    <xf numFmtId="0" fontId="30" fillId="0" borderId="0" xfId="0" applyFont="1" applyAlignment="1"/>
    <xf numFmtId="9" fontId="30" fillId="0" borderId="0" xfId="8" applyFont="1" applyAlignment="1"/>
    <xf numFmtId="0" fontId="31" fillId="0" borderId="0" xfId="0" applyFont="1" applyAlignment="1"/>
    <xf numFmtId="9" fontId="31" fillId="0" borderId="0" xfId="8" applyFont="1" applyAlignment="1"/>
    <xf numFmtId="0" fontId="32" fillId="0" borderId="0" xfId="0" applyFont="1" applyAlignment="1"/>
    <xf numFmtId="9" fontId="32" fillId="0" borderId="0" xfId="8" applyFont="1" applyAlignment="1"/>
    <xf numFmtId="0" fontId="0" fillId="0" borderId="9" xfId="0" applyFont="1" applyFill="1" applyBorder="1" applyAlignment="1"/>
    <xf numFmtId="0" fontId="20" fillId="0" borderId="9" xfId="0" applyFont="1" applyFill="1" applyBorder="1" applyAlignment="1"/>
    <xf numFmtId="0" fontId="20" fillId="0" borderId="0" xfId="0" applyFont="1" applyFill="1" applyBorder="1" applyAlignment="1"/>
    <xf numFmtId="0" fontId="32" fillId="0" borderId="9" xfId="0" applyFont="1" applyFill="1" applyBorder="1" applyAlignment="1"/>
    <xf numFmtId="0" fontId="20" fillId="0" borderId="25" xfId="0" applyFont="1" applyFill="1" applyBorder="1" applyAlignment="1"/>
    <xf numFmtId="0" fontId="32" fillId="0" borderId="25" xfId="0" applyFont="1" applyFill="1" applyBorder="1" applyAlignment="1"/>
    <xf numFmtId="0" fontId="9" fillId="0" borderId="4" xfId="0" applyFont="1" applyFill="1" applyBorder="1"/>
    <xf numFmtId="0" fontId="12" fillId="0" borderId="4" xfId="0" applyFont="1" applyFill="1" applyBorder="1" applyAlignment="1">
      <alignment horizontal="center" vertical="center" wrapText="1"/>
    </xf>
    <xf numFmtId="44" fontId="12" fillId="0" borderId="4" xfId="0" applyNumberFormat="1" applyFont="1" applyFill="1" applyBorder="1"/>
    <xf numFmtId="44" fontId="19" fillId="0" borderId="4" xfId="0" applyNumberFormat="1" applyFont="1" applyFill="1" applyBorder="1"/>
    <xf numFmtId="0" fontId="33" fillId="0" borderId="0" xfId="0" applyFont="1" applyAlignment="1"/>
    <xf numFmtId="43" fontId="20" fillId="0" borderId="0" xfId="2" applyFont="1" applyAlignment="1"/>
    <xf numFmtId="43" fontId="0" fillId="0" borderId="0" xfId="2" applyFont="1" applyAlignment="1"/>
    <xf numFmtId="0" fontId="17" fillId="0" borderId="25" xfId="0" applyFont="1" applyFill="1" applyBorder="1" applyAlignment="1"/>
    <xf numFmtId="0" fontId="20" fillId="0" borderId="0" xfId="0" applyFont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44" fontId="12" fillId="12" borderId="1" xfId="0" applyNumberFormat="1" applyFont="1" applyFill="1" applyBorder="1"/>
    <xf numFmtId="44" fontId="12" fillId="12" borderId="1" xfId="0" applyNumberFormat="1" applyFont="1" applyFill="1" applyBorder="1" applyAlignment="1"/>
    <xf numFmtId="44" fontId="19" fillId="13" borderId="4" xfId="0" applyNumberFormat="1" applyFont="1" applyFill="1" applyBorder="1"/>
    <xf numFmtId="44" fontId="19" fillId="0" borderId="4" xfId="0" applyNumberFormat="1" applyFont="1" applyBorder="1"/>
    <xf numFmtId="44" fontId="34" fillId="13" borderId="0" xfId="0" applyNumberFormat="1" applyFont="1" applyFill="1" applyAlignment="1"/>
    <xf numFmtId="44" fontId="35" fillId="9" borderId="0" xfId="0" applyNumberFormat="1" applyFont="1" applyFill="1" applyAlignment="1"/>
    <xf numFmtId="44" fontId="35" fillId="13" borderId="0" xfId="3" applyFont="1" applyFill="1" applyAlignment="1"/>
    <xf numFmtId="0" fontId="20" fillId="8" borderId="1" xfId="0" applyFont="1" applyFill="1" applyBorder="1" applyAlignment="1">
      <alignment horizontal="center" vertical="center" wrapText="1"/>
    </xf>
    <xf numFmtId="0" fontId="20" fillId="12" borderId="1" xfId="0" applyFont="1" applyFill="1" applyBorder="1"/>
    <xf numFmtId="1" fontId="20" fillId="12" borderId="1" xfId="0" applyNumberFormat="1" applyFont="1" applyFill="1" applyBorder="1" applyAlignment="1">
      <alignment horizontal="center"/>
    </xf>
    <xf numFmtId="1" fontId="20" fillId="12" borderId="1" xfId="0" applyNumberFormat="1" applyFont="1" applyFill="1" applyBorder="1"/>
    <xf numFmtId="44" fontId="35" fillId="13" borderId="0" xfId="0" applyNumberFormat="1" applyFont="1" applyFill="1" applyAlignment="1"/>
    <xf numFmtId="44" fontId="34" fillId="0" borderId="0" xfId="0" applyNumberFormat="1" applyFont="1" applyAlignment="1"/>
    <xf numFmtId="44" fontId="13" fillId="9" borderId="1" xfId="0" applyNumberFormat="1" applyFont="1" applyFill="1" applyBorder="1" applyAlignment="1">
      <alignment horizontal="center" vertical="center" wrapText="1"/>
    </xf>
    <xf numFmtId="44" fontId="9" fillId="9" borderId="1" xfId="3" applyFont="1" applyFill="1" applyBorder="1" applyAlignment="1">
      <alignment horizontal="center" vertical="center" wrapText="1"/>
    </xf>
    <xf numFmtId="44" fontId="13" fillId="8" borderId="1" xfId="0" applyNumberFormat="1" applyFont="1" applyFill="1" applyBorder="1"/>
    <xf numFmtId="44" fontId="36" fillId="0" borderId="0" xfId="0" applyNumberFormat="1" applyFont="1"/>
    <xf numFmtId="0" fontId="0" fillId="0" borderId="0" xfId="0" applyNumberFormat="1" applyFont="1"/>
    <xf numFmtId="10" fontId="0" fillId="0" borderId="0" xfId="8" applyNumberFormat="1" applyFont="1" applyFill="1"/>
    <xf numFmtId="43" fontId="0" fillId="0" borderId="0" xfId="0" applyNumberFormat="1" applyFont="1" applyFill="1"/>
    <xf numFmtId="43" fontId="0" fillId="0" borderId="0" xfId="0" applyNumberFormat="1" applyFont="1" applyFill="1" applyAlignment="1"/>
    <xf numFmtId="0" fontId="23" fillId="0" borderId="4" xfId="0" applyFont="1" applyFill="1" applyBorder="1" applyAlignment="1">
      <alignment wrapText="1"/>
    </xf>
    <xf numFmtId="0" fontId="23" fillId="0" borderId="24" xfId="0" applyFont="1" applyFill="1" applyBorder="1" applyAlignment="1">
      <alignment wrapText="1"/>
    </xf>
    <xf numFmtId="0" fontId="23" fillId="0" borderId="0" xfId="0" applyFont="1" applyFill="1" applyAlignment="1">
      <alignment wrapText="1"/>
    </xf>
    <xf numFmtId="43" fontId="23" fillId="0" borderId="0" xfId="2" applyFont="1" applyFill="1" applyAlignment="1">
      <alignment wrapText="1"/>
    </xf>
    <xf numFmtId="9" fontId="23" fillId="0" borderId="0" xfId="8" applyFont="1" applyFill="1" applyAlignment="1">
      <alignment wrapText="1"/>
    </xf>
    <xf numFmtId="0" fontId="38" fillId="0" borderId="0" xfId="0" applyFont="1" applyFill="1" applyAlignment="1">
      <alignment wrapText="1"/>
    </xf>
    <xf numFmtId="0" fontId="39" fillId="0" borderId="4" xfId="0" applyFont="1" applyBorder="1"/>
    <xf numFmtId="49" fontId="39" fillId="0" borderId="4" xfId="4" applyNumberFormat="1" applyFont="1" applyFill="1"/>
    <xf numFmtId="43" fontId="39" fillId="0" borderId="0" xfId="2" applyFont="1" applyFill="1"/>
    <xf numFmtId="9" fontId="39" fillId="0" borderId="0" xfId="8" applyFont="1" applyFill="1"/>
    <xf numFmtId="170" fontId="37" fillId="0" borderId="0" xfId="8" applyNumberFormat="1" applyFont="1" applyFill="1"/>
    <xf numFmtId="43" fontId="40" fillId="0" borderId="0" xfId="2" applyFont="1" applyFill="1"/>
    <xf numFmtId="9" fontId="37" fillId="0" borderId="0" xfId="8" applyFont="1" applyFill="1"/>
    <xf numFmtId="0" fontId="40" fillId="0" borderId="0" xfId="1" applyFont="1"/>
    <xf numFmtId="0" fontId="41" fillId="0" borderId="4" xfId="0" applyFont="1" applyFill="1" applyBorder="1"/>
    <xf numFmtId="49" fontId="41" fillId="0" borderId="24" xfId="4" applyNumberFormat="1" applyFont="1" applyFill="1" applyBorder="1"/>
    <xf numFmtId="49" fontId="41" fillId="0" borderId="4" xfId="4" applyNumberFormat="1" applyFont="1" applyFill="1"/>
    <xf numFmtId="43" fontId="41" fillId="0" borderId="0" xfId="2" applyFont="1" applyFill="1"/>
    <xf numFmtId="9" fontId="41" fillId="0" borderId="0" xfId="8" applyFont="1" applyFill="1"/>
    <xf numFmtId="43" fontId="42" fillId="0" borderId="0" xfId="2" applyFont="1" applyFill="1"/>
    <xf numFmtId="49" fontId="39" fillId="0" borderId="24" xfId="4" applyNumberFormat="1" applyFont="1" applyFill="1" applyBorder="1"/>
    <xf numFmtId="0" fontId="39" fillId="0" borderId="4" xfId="0" applyFont="1" applyFill="1" applyBorder="1"/>
    <xf numFmtId="43" fontId="0" fillId="0" borderId="4" xfId="2" applyFont="1" applyBorder="1" applyAlignment="1"/>
    <xf numFmtId="0" fontId="20" fillId="0" borderId="11" xfId="2" applyNumberFormat="1" applyFont="1" applyBorder="1" applyAlignment="1"/>
    <xf numFmtId="0" fontId="20" fillId="0" borderId="13" xfId="2" applyNumberFormat="1" applyFont="1" applyBorder="1" applyAlignment="1"/>
    <xf numFmtId="0" fontId="20" fillId="0" borderId="12" xfId="8" applyNumberFormat="1" applyFont="1" applyBorder="1" applyAlignment="1">
      <alignment wrapText="1"/>
    </xf>
    <xf numFmtId="0" fontId="20" fillId="0" borderId="4" xfId="0" applyFont="1" applyBorder="1" applyAlignment="1"/>
    <xf numFmtId="44" fontId="20" fillId="0" borderId="21" xfId="0" applyNumberFormat="1" applyFont="1" applyBorder="1"/>
    <xf numFmtId="44" fontId="20" fillId="0" borderId="21" xfId="0" applyNumberFormat="1" applyFont="1" applyFill="1" applyBorder="1"/>
    <xf numFmtId="44" fontId="20" fillId="7" borderId="22" xfId="3" applyFont="1" applyFill="1" applyBorder="1"/>
    <xf numFmtId="44" fontId="20" fillId="0" borderId="4" xfId="0" applyNumberFormat="1" applyFont="1" applyBorder="1"/>
    <xf numFmtId="44" fontId="20" fillId="0" borderId="4" xfId="0" applyNumberFormat="1" applyFont="1" applyFill="1" applyBorder="1"/>
    <xf numFmtId="0" fontId="20" fillId="0" borderId="16" xfId="0" applyFont="1" applyBorder="1"/>
    <xf numFmtId="0" fontId="20" fillId="0" borderId="16" xfId="0" applyFont="1" applyBorder="1" applyAlignment="1"/>
    <xf numFmtId="0" fontId="44" fillId="0" borderId="16" xfId="0" applyFont="1" applyBorder="1" applyAlignment="1"/>
    <xf numFmtId="0" fontId="21" fillId="0" borderId="16" xfId="1" applyFont="1" applyBorder="1" applyAlignment="1"/>
    <xf numFmtId="169" fontId="20" fillId="0" borderId="16" xfId="0" applyNumberFormat="1" applyFont="1" applyBorder="1"/>
    <xf numFmtId="44" fontId="20" fillId="0" borderId="16" xfId="0" applyNumberFormat="1" applyFont="1" applyBorder="1"/>
    <xf numFmtId="43" fontId="20" fillId="0" borderId="16" xfId="0" applyNumberFormat="1" applyFont="1" applyBorder="1"/>
    <xf numFmtId="0" fontId="20" fillId="0" borderId="12" xfId="2" applyNumberFormat="1" applyFont="1" applyBorder="1" applyAlignment="1"/>
    <xf numFmtId="167" fontId="20" fillId="0" borderId="4" xfId="2" applyNumberFormat="1" applyFont="1" applyBorder="1" applyAlignment="1"/>
    <xf numFmtId="167" fontId="20" fillId="0" borderId="4" xfId="2" applyNumberFormat="1" applyFont="1" applyBorder="1"/>
    <xf numFmtId="171" fontId="20" fillId="0" borderId="12" xfId="2" applyNumberFormat="1" applyFont="1" applyBorder="1" applyAlignment="1">
      <alignment wrapText="1"/>
    </xf>
    <xf numFmtId="171" fontId="9" fillId="0" borderId="0" xfId="2" applyNumberFormat="1" applyFont="1" applyFill="1" applyAlignment="1"/>
    <xf numFmtId="171" fontId="45" fillId="0" borderId="0" xfId="2" applyNumberFormat="1" applyFont="1" applyFill="1" applyAlignment="1"/>
    <xf numFmtId="0" fontId="29" fillId="0" borderId="12" xfId="2" applyNumberFormat="1" applyFont="1" applyBorder="1" applyAlignment="1">
      <alignment wrapText="1"/>
    </xf>
    <xf numFmtId="43" fontId="46" fillId="0" borderId="0" xfId="2" applyFont="1" applyAlignment="1"/>
    <xf numFmtId="43" fontId="11" fillId="0" borderId="0" xfId="2" applyFont="1" applyAlignment="1"/>
    <xf numFmtId="0" fontId="20" fillId="0" borderId="0" xfId="0" applyFont="1" applyFill="1" applyAlignment="1">
      <alignment horizontal="center" vertical="center"/>
    </xf>
    <xf numFmtId="0" fontId="20" fillId="0" borderId="9" xfId="2" applyNumberFormat="1" applyFont="1" applyBorder="1" applyAlignment="1"/>
    <xf numFmtId="0" fontId="20" fillId="0" borderId="10" xfId="2" applyNumberFormat="1" applyFont="1" applyBorder="1" applyAlignment="1"/>
    <xf numFmtId="10" fontId="20" fillId="0" borderId="4" xfId="8" applyNumberFormat="1" applyFont="1" applyBorder="1" applyAlignment="1"/>
    <xf numFmtId="171" fontId="20" fillId="0" borderId="0" xfId="2" applyNumberFormat="1" applyFont="1" applyAlignment="1"/>
    <xf numFmtId="171" fontId="20" fillId="0" borderId="0" xfId="2" applyNumberFormat="1" applyFont="1" applyFill="1" applyAlignment="1"/>
    <xf numFmtId="171" fontId="20" fillId="0" borderId="0" xfId="2" applyNumberFormat="1" applyFont="1"/>
    <xf numFmtId="43" fontId="11" fillId="0" borderId="0" xfId="2" applyFont="1"/>
    <xf numFmtId="171" fontId="45" fillId="0" borderId="0" xfId="2" applyNumberFormat="1" applyFont="1" applyFill="1"/>
    <xf numFmtId="10" fontId="29" fillId="0" borderId="4" xfId="8" applyNumberFormat="1" applyFont="1" applyBorder="1" applyAlignment="1"/>
    <xf numFmtId="44" fontId="34" fillId="9" borderId="0" xfId="0" applyNumberFormat="1" applyFont="1" applyFill="1" applyAlignment="1"/>
    <xf numFmtId="0" fontId="20" fillId="9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13" borderId="0" xfId="0" applyFont="1" applyFill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44" fontId="20" fillId="9" borderId="1" xfId="3" applyFont="1" applyFill="1" applyBorder="1" applyAlignment="1">
      <alignment horizontal="center" vertical="center" wrapText="1"/>
    </xf>
    <xf numFmtId="167" fontId="20" fillId="0" borderId="0" xfId="0" applyNumberFormat="1" applyFont="1"/>
    <xf numFmtId="1" fontId="20" fillId="13" borderId="0" xfId="0" applyNumberFormat="1" applyFont="1" applyFill="1"/>
    <xf numFmtId="43" fontId="20" fillId="5" borderId="1" xfId="0" applyNumberFormat="1" applyFont="1" applyFill="1" applyBorder="1"/>
    <xf numFmtId="0" fontId="20" fillId="5" borderId="1" xfId="0" applyFont="1" applyFill="1" applyBorder="1"/>
    <xf numFmtId="44" fontId="20" fillId="9" borderId="0" xfId="3" applyFont="1" applyFill="1" applyAlignment="1"/>
    <xf numFmtId="44" fontId="20" fillId="8" borderId="1" xfId="3" applyFont="1" applyFill="1" applyBorder="1"/>
    <xf numFmtId="4" fontId="20" fillId="0" borderId="4" xfId="0" applyNumberFormat="1" applyFont="1" applyFill="1" applyBorder="1"/>
    <xf numFmtId="0" fontId="20" fillId="13" borderId="0" xfId="0" applyFont="1" applyFill="1" applyAlignment="1"/>
    <xf numFmtId="167" fontId="20" fillId="0" borderId="4" xfId="0" applyNumberFormat="1" applyFont="1" applyBorder="1"/>
    <xf numFmtId="43" fontId="20" fillId="0" borderId="4" xfId="0" applyNumberFormat="1" applyFont="1" applyBorder="1"/>
    <xf numFmtId="0" fontId="20" fillId="13" borderId="4" xfId="0" applyFont="1" applyFill="1" applyBorder="1" applyAlignment="1"/>
    <xf numFmtId="0" fontId="20" fillId="0" borderId="0" xfId="0" applyFont="1" applyFill="1" applyAlignment="1"/>
    <xf numFmtId="0" fontId="20" fillId="0" borderId="4" xfId="0" applyFont="1" applyFill="1" applyBorder="1" applyAlignment="1"/>
    <xf numFmtId="0" fontId="20" fillId="9" borderId="0" xfId="0" applyFont="1" applyFill="1" applyAlignment="1"/>
    <xf numFmtId="0" fontId="20" fillId="0" borderId="0" xfId="0" applyFont="1" applyFill="1" applyAlignment="1">
      <alignment horizontal="center"/>
    </xf>
    <xf numFmtId="44" fontId="20" fillId="0" borderId="0" xfId="3" applyFont="1" applyAlignment="1"/>
    <xf numFmtId="0" fontId="20" fillId="0" borderId="0" xfId="0" applyFont="1" applyAlignment="1">
      <alignment horizontal="center"/>
    </xf>
    <xf numFmtId="168" fontId="20" fillId="0" borderId="0" xfId="0" applyNumberFormat="1" applyFont="1"/>
    <xf numFmtId="168" fontId="45" fillId="0" borderId="0" xfId="0" applyNumberFormat="1" applyFont="1"/>
    <xf numFmtId="0" fontId="2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1" fillId="0" borderId="0" xfId="1" applyFont="1" applyFill="1" applyAlignment="1"/>
    <xf numFmtId="1" fontId="20" fillId="0" borderId="4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21" fillId="0" borderId="0" xfId="1" applyFont="1" applyFill="1" applyAlignment="1">
      <alignment horizontal="left"/>
    </xf>
    <xf numFmtId="1" fontId="20" fillId="0" borderId="4" xfId="0" applyNumberFormat="1" applyFont="1" applyFill="1" applyBorder="1" applyAlignment="1">
      <alignment horizontal="left" vertical="center"/>
    </xf>
    <xf numFmtId="1" fontId="21" fillId="0" borderId="4" xfId="1" applyNumberFormat="1" applyFont="1" applyFill="1" applyBorder="1" applyAlignment="1">
      <alignment horizontal="left" vertical="center"/>
    </xf>
    <xf numFmtId="0" fontId="20" fillId="0" borderId="29" xfId="0" applyFont="1" applyFill="1" applyBorder="1" applyAlignment="1"/>
    <xf numFmtId="0" fontId="20" fillId="7" borderId="28" xfId="0" applyFont="1" applyFill="1" applyBorder="1" applyAlignment="1">
      <alignment horizontal="center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14" borderId="28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/>
    </xf>
    <xf numFmtId="0" fontId="20" fillId="7" borderId="31" xfId="0" applyFont="1" applyFill="1" applyBorder="1" applyAlignment="1">
      <alignment horizontal="center" vertical="center" wrapText="1"/>
    </xf>
    <xf numFmtId="0" fontId="20" fillId="0" borderId="4" xfId="0" applyFont="1" applyFill="1" applyBorder="1"/>
    <xf numFmtId="0" fontId="20" fillId="0" borderId="24" xfId="0" applyFont="1" applyFill="1" applyBorder="1" applyAlignment="1"/>
    <xf numFmtId="0" fontId="20" fillId="0" borderId="24" xfId="0" applyFont="1" applyFill="1" applyBorder="1"/>
    <xf numFmtId="0" fontId="9" fillId="12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7" fontId="20" fillId="7" borderId="28" xfId="2" applyNumberFormat="1" applyFont="1" applyFill="1" applyBorder="1" applyAlignment="1">
      <alignment horizontal="center" vertical="center" wrapText="1"/>
    </xf>
    <xf numFmtId="167" fontId="20" fillId="0" borderId="0" xfId="2" applyNumberFormat="1" applyFont="1" applyFill="1" applyAlignment="1">
      <alignment horizontal="center" vertical="center"/>
    </xf>
    <xf numFmtId="167" fontId="27" fillId="0" borderId="1" xfId="2" applyNumberFormat="1" applyFont="1" applyFill="1" applyBorder="1" applyAlignment="1">
      <alignment horizontal="center" vertical="center"/>
    </xf>
    <xf numFmtId="167" fontId="20" fillId="0" borderId="1" xfId="2" applyNumberFormat="1" applyFont="1" applyFill="1" applyBorder="1" applyAlignment="1">
      <alignment horizontal="center" vertical="center"/>
    </xf>
    <xf numFmtId="167" fontId="27" fillId="0" borderId="0" xfId="2" applyNumberFormat="1" applyFont="1" applyFill="1" applyAlignment="1">
      <alignment horizontal="center" vertical="center"/>
    </xf>
    <xf numFmtId="167" fontId="17" fillId="0" borderId="0" xfId="2" applyNumberFormat="1" applyFont="1" applyFill="1" applyAlignment="1">
      <alignment horizontal="center" vertical="center"/>
    </xf>
    <xf numFmtId="167" fontId="9" fillId="0" borderId="0" xfId="2" applyNumberFormat="1" applyFont="1" applyFill="1" applyAlignment="1">
      <alignment horizontal="center" vertical="center"/>
    </xf>
    <xf numFmtId="0" fontId="23" fillId="0" borderId="4" xfId="4" applyFont="1" applyBorder="1"/>
    <xf numFmtId="0" fontId="48" fillId="0" borderId="4" xfId="0" applyFont="1" applyBorder="1"/>
    <xf numFmtId="49" fontId="4" fillId="0" borderId="4" xfId="4" applyNumberFormat="1" applyFont="1" applyBorder="1"/>
    <xf numFmtId="49" fontId="39" fillId="0" borderId="4" xfId="0" applyNumberFormat="1" applyFont="1" applyBorder="1"/>
    <xf numFmtId="0" fontId="4" fillId="0" borderId="4" xfId="4" applyFont="1" applyBorder="1"/>
    <xf numFmtId="49" fontId="4" fillId="11" borderId="4" xfId="4" applyNumberFormat="1" applyFont="1" applyFill="1" applyBorder="1"/>
    <xf numFmtId="49" fontId="39" fillId="11" borderId="4" xfId="0" applyNumberFormat="1" applyFont="1" applyFill="1" applyBorder="1"/>
    <xf numFmtId="0" fontId="4" fillId="0" borderId="4" xfId="4" applyFont="1" applyFill="1" applyBorder="1"/>
    <xf numFmtId="49" fontId="49" fillId="0" borderId="4" xfId="4" applyNumberFormat="1" applyFont="1" applyBorder="1"/>
    <xf numFmtId="49" fontId="49" fillId="0" borderId="4" xfId="0" applyNumberFormat="1" applyFont="1" applyBorder="1"/>
    <xf numFmtId="49" fontId="49" fillId="11" borderId="4" xfId="0" applyNumberFormat="1" applyFont="1" applyFill="1" applyBorder="1"/>
    <xf numFmtId="0" fontId="49" fillId="0" borderId="4" xfId="4" applyFont="1" applyBorder="1"/>
    <xf numFmtId="49" fontId="50" fillId="0" borderId="4" xfId="4" applyNumberFormat="1" applyFont="1" applyFill="1" applyBorder="1"/>
    <xf numFmtId="49" fontId="50" fillId="0" borderId="4" xfId="0" applyNumberFormat="1" applyFont="1" applyFill="1" applyBorder="1"/>
    <xf numFmtId="0" fontId="50" fillId="0" borderId="4" xfId="4" applyFont="1" applyFill="1" applyBorder="1"/>
    <xf numFmtId="49" fontId="4" fillId="0" borderId="4" xfId="4" applyNumberFormat="1" applyFont="1" applyFill="1" applyBorder="1"/>
    <xf numFmtId="49" fontId="39" fillId="0" borderId="4" xfId="0" applyNumberFormat="1" applyFont="1" applyFill="1" applyBorder="1"/>
    <xf numFmtId="49" fontId="51" fillId="0" borderId="4" xfId="4" applyNumberFormat="1" applyFont="1" applyFill="1" applyBorder="1"/>
    <xf numFmtId="49" fontId="51" fillId="0" borderId="4" xfId="0" applyNumberFormat="1" applyFont="1" applyFill="1" applyBorder="1"/>
    <xf numFmtId="0" fontId="51" fillId="0" borderId="4" xfId="4" applyFont="1" applyFill="1" applyBorder="1"/>
    <xf numFmtId="0" fontId="49" fillId="0" borderId="4" xfId="0" applyFont="1" applyBorder="1"/>
    <xf numFmtId="0" fontId="4" fillId="0" borderId="4" xfId="4" applyFont="1" applyFill="1" applyBorder="1" applyAlignment="1">
      <alignment horizontal="left"/>
    </xf>
    <xf numFmtId="43" fontId="4" fillId="0" borderId="4" xfId="2" applyFont="1" applyFill="1" applyBorder="1"/>
    <xf numFmtId="170" fontId="4" fillId="0" borderId="4" xfId="8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/>
    <xf numFmtId="0" fontId="0" fillId="0" borderId="10" xfId="0" applyFont="1" applyFill="1" applyBorder="1" applyAlignment="1"/>
    <xf numFmtId="0" fontId="14" fillId="0" borderId="9" xfId="0" applyFont="1" applyBorder="1"/>
    <xf numFmtId="0" fontId="0" fillId="0" borderId="1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17" fillId="0" borderId="4" xfId="0" applyFont="1" applyFill="1" applyBorder="1" applyAlignment="1"/>
    <xf numFmtId="0" fontId="0" fillId="0" borderId="34" xfId="0" applyFont="1" applyFill="1" applyBorder="1" applyAlignment="1"/>
    <xf numFmtId="0" fontId="0" fillId="0" borderId="35" xfId="0" applyFont="1" applyFill="1" applyBorder="1" applyAlignment="1"/>
    <xf numFmtId="0" fontId="0" fillId="0" borderId="28" xfId="0" applyFont="1" applyBorder="1" applyAlignment="1"/>
    <xf numFmtId="43" fontId="20" fillId="0" borderId="28" xfId="2" applyFont="1" applyBorder="1" applyAlignment="1"/>
    <xf numFmtId="0" fontId="20" fillId="0" borderId="26" xfId="0" applyFont="1" applyFill="1" applyBorder="1" applyAlignment="1"/>
    <xf numFmtId="0" fontId="20" fillId="0" borderId="27" xfId="0" applyFont="1" applyFill="1" applyBorder="1" applyAlignment="1"/>
    <xf numFmtId="0" fontId="20" fillId="0" borderId="26" xfId="0" applyFont="1" applyBorder="1" applyAlignment="1"/>
    <xf numFmtId="9" fontId="20" fillId="0" borderId="26" xfId="8" applyFont="1" applyBorder="1" applyAlignment="1"/>
    <xf numFmtId="9" fontId="20" fillId="0" borderId="0" xfId="8" applyFont="1" applyAlignment="1"/>
    <xf numFmtId="0" fontId="20" fillId="9" borderId="1" xfId="0" applyFont="1" applyFill="1" applyBorder="1" applyAlignment="1">
      <alignment horizontal="center" vertical="center" wrapText="1"/>
    </xf>
    <xf numFmtId="0" fontId="21" fillId="0" borderId="0" xfId="1" applyFont="1" applyFill="1" applyAlignment="1">
      <alignment horizontal="left" vertical="center"/>
    </xf>
    <xf numFmtId="167" fontId="20" fillId="0" borderId="0" xfId="2" applyNumberFormat="1" applyFont="1" applyFill="1" applyAlignment="1"/>
    <xf numFmtId="0" fontId="20" fillId="0" borderId="0" xfId="0" applyFont="1" applyFill="1" applyAlignment="1">
      <alignment horizontal="left"/>
    </xf>
    <xf numFmtId="44" fontId="0" fillId="0" borderId="4" xfId="0" applyNumberFormat="1" applyFont="1" applyBorder="1"/>
    <xf numFmtId="44" fontId="48" fillId="0" borderId="1" xfId="3" applyFont="1" applyFill="1" applyBorder="1" applyAlignment="1">
      <alignment wrapText="1"/>
    </xf>
    <xf numFmtId="0" fontId="9" fillId="5" borderId="1" xfId="0" applyFont="1" applyFill="1" applyBorder="1" applyAlignment="1">
      <alignment horizontal="center"/>
    </xf>
    <xf numFmtId="43" fontId="7" fillId="0" borderId="0" xfId="0" applyNumberFormat="1" applyFont="1" applyFill="1" applyAlignment="1">
      <alignment horizontal="center"/>
    </xf>
    <xf numFmtId="9" fontId="0" fillId="0" borderId="0" xfId="8" applyFont="1" applyFill="1"/>
    <xf numFmtId="0" fontId="0" fillId="0" borderId="0" xfId="3" applyNumberFormat="1" applyFont="1" applyFill="1"/>
    <xf numFmtId="164" fontId="0" fillId="0" borderId="0" xfId="0" applyNumberFormat="1" applyFont="1" applyFill="1"/>
    <xf numFmtId="43" fontId="0" fillId="0" borderId="1" xfId="0" applyNumberFormat="1" applyFont="1" applyFill="1" applyBorder="1"/>
    <xf numFmtId="165" fontId="0" fillId="0" borderId="0" xfId="0" applyNumberFormat="1" applyFont="1" applyFill="1"/>
    <xf numFmtId="0" fontId="0" fillId="0" borderId="0" xfId="0" applyFont="1" applyAlignment="1">
      <alignment horizontal="center" wrapText="1"/>
    </xf>
    <xf numFmtId="172" fontId="0" fillId="0" borderId="0" xfId="0" applyNumberFormat="1" applyFont="1" applyFill="1"/>
    <xf numFmtId="44" fontId="0" fillId="0" borderId="0" xfId="3" applyFont="1" applyFill="1"/>
    <xf numFmtId="0" fontId="20" fillId="0" borderId="0" xfId="0" applyFont="1" applyFill="1" applyAlignment="1">
      <alignment horizontal="center" vertical="center"/>
    </xf>
    <xf numFmtId="0" fontId="52" fillId="0" borderId="0" xfId="0" applyFont="1" applyFill="1" applyAlignment="1"/>
    <xf numFmtId="167" fontId="2" fillId="0" borderId="0" xfId="2" applyNumberFormat="1" applyFont="1" applyFill="1" applyAlignment="1">
      <alignment wrapText="1"/>
    </xf>
    <xf numFmtId="167" fontId="2" fillId="0" borderId="0" xfId="2" applyNumberFormat="1" applyFont="1"/>
    <xf numFmtId="167" fontId="2" fillId="0" borderId="0" xfId="2" applyNumberFormat="1" applyFont="1" applyFill="1"/>
    <xf numFmtId="0" fontId="2" fillId="0" borderId="0" xfId="0" applyFont="1"/>
    <xf numFmtId="167" fontId="17" fillId="0" borderId="1" xfId="2" applyNumberFormat="1" applyFont="1" applyFill="1" applyBorder="1" applyAlignment="1">
      <alignment horizontal="center" vertical="center"/>
    </xf>
    <xf numFmtId="169" fontId="0" fillId="0" borderId="0" xfId="0" applyNumberFormat="1" applyFont="1" applyFill="1"/>
    <xf numFmtId="0" fontId="20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0" fontId="1" fillId="0" borderId="0" xfId="0" applyFont="1"/>
    <xf numFmtId="167" fontId="17" fillId="0" borderId="4" xfId="2" applyNumberFormat="1" applyFont="1" applyFill="1" applyBorder="1" applyAlignment="1">
      <alignment horizontal="center" vertical="center"/>
    </xf>
    <xf numFmtId="43" fontId="20" fillId="0" borderId="0" xfId="0" applyNumberFormat="1" applyFont="1" applyAlignment="1"/>
    <xf numFmtId="44" fontId="3" fillId="0" borderId="4" xfId="3" applyFont="1" applyFill="1" applyBorder="1"/>
    <xf numFmtId="44" fontId="49" fillId="0" borderId="4" xfId="3" applyFont="1" applyFill="1" applyBorder="1"/>
    <xf numFmtId="44" fontId="50" fillId="0" borderId="4" xfId="3" applyFont="1" applyFill="1" applyBorder="1"/>
    <xf numFmtId="44" fontId="51" fillId="0" borderId="4" xfId="3" applyFont="1" applyFill="1" applyBorder="1"/>
    <xf numFmtId="44" fontId="39" fillId="0" borderId="4" xfId="3" applyFont="1" applyFill="1" applyBorder="1"/>
    <xf numFmtId="44" fontId="39" fillId="0" borderId="4" xfId="3" applyFont="1" applyFill="1" applyBorder="1" applyAlignment="1">
      <alignment horizontal="left"/>
    </xf>
    <xf numFmtId="44" fontId="4" fillId="0" borderId="4" xfId="3" applyFont="1" applyBorder="1"/>
    <xf numFmtId="44" fontId="0" fillId="9" borderId="0" xfId="3" applyFont="1" applyFill="1"/>
    <xf numFmtId="44" fontId="20" fillId="0" borderId="0" xfId="3" applyFont="1" applyFill="1" applyAlignment="1"/>
    <xf numFmtId="0" fontId="0" fillId="4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20" fillId="6" borderId="5" xfId="0" applyFont="1" applyFill="1" applyBorder="1" applyAlignment="1">
      <alignment horizontal="center" vertical="center"/>
    </xf>
    <xf numFmtId="0" fontId="9" fillId="0" borderId="6" xfId="0" applyFont="1" applyBorder="1"/>
    <xf numFmtId="166" fontId="20" fillId="5" borderId="4" xfId="0" applyNumberFormat="1" applyFont="1" applyFill="1" applyBorder="1" applyAlignment="1">
      <alignment horizontal="center" vertical="center" wrapText="1"/>
    </xf>
    <xf numFmtId="166" fontId="47" fillId="3" borderId="4" xfId="0" applyNumberFormat="1" applyFont="1" applyFill="1" applyBorder="1" applyAlignment="1">
      <alignment horizontal="center"/>
    </xf>
    <xf numFmtId="0" fontId="20" fillId="12" borderId="4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20" fillId="12" borderId="2" xfId="0" applyFont="1" applyFill="1" applyBorder="1" applyAlignment="1">
      <alignment horizontal="center" vertical="center"/>
    </xf>
    <xf numFmtId="0" fontId="9" fillId="13" borderId="3" xfId="0" applyFont="1" applyFill="1" applyBorder="1"/>
    <xf numFmtId="0" fontId="9" fillId="13" borderId="4" xfId="0" applyFont="1" applyFill="1" applyBorder="1"/>
    <xf numFmtId="0" fontId="20" fillId="5" borderId="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43" fontId="9" fillId="0" borderId="0" xfId="0" applyNumberFormat="1" applyFont="1"/>
    <xf numFmtId="0" fontId="17" fillId="12" borderId="1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7" fillId="5" borderId="1" xfId="0" applyFont="1" applyFill="1" applyBorder="1" applyAlignment="1">
      <alignment horizontal="center"/>
    </xf>
  </cellXfs>
  <cellStyles count="9">
    <cellStyle name="Comma" xfId="2" builtinId="3"/>
    <cellStyle name="Currency" xfId="3" builtinId="4"/>
    <cellStyle name="Hyperlink" xfId="1" builtinId="8"/>
    <cellStyle name="Normal" xfId="0" builtinId="0"/>
    <cellStyle name="Normal 2" xfId="4" xr:uid="{00000000-0005-0000-0000-000004000000}"/>
    <cellStyle name="Normal 3" xfId="7" xr:uid="{00000000-0005-0000-0000-000005000000}"/>
    <cellStyle name="Normal 4" xfId="5" xr:uid="{00000000-0005-0000-0000-000006000000}"/>
    <cellStyle name="Normal 4 2" xfId="6" xr:uid="{00000000-0005-0000-0000-000007000000}"/>
    <cellStyle name="Percent" xfId="8" builtinId="5"/>
  </cellStyles>
  <dxfs count="14">
    <dxf>
      <font>
        <b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USING%20IN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 - Housing"/>
      <sheetName val="Cost Calculations"/>
      <sheetName val="Variables"/>
      <sheetName val="State Urban CPI"/>
      <sheetName val="State CPI"/>
      <sheetName val="Housing Statistics"/>
      <sheetName val="Housing Costs"/>
      <sheetName val="Redevelopment Projects"/>
      <sheetName val="Populat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rley, Moses" id="{C312AC5E-55A1-4595-B12F-F4751E1999C1}" userId="Farley, Moses" providerId="None"/>
  <person displayName="Suzanne Schadel" id="{F54ADFB8-E257-482E-8B4D-187A500DC01B}" userId="f44dd92c4f2be793" providerId="Windows Live"/>
  <person displayName="Farley, Moses" id="{88B4F951-23FB-4274-82E7-6D8B1E23B33E}" userId="S::mcfarley@wm.edu::8aba86fc-d879-4750-8ff6-457d65e03fb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I1:Q49" totalsRowShown="0" headerRowDxfId="10" dataDxfId="9">
  <autoFilter ref="I1:Q49" xr:uid="{00000000-0009-0000-0100-000002000000}"/>
  <sortState xmlns:xlrd2="http://schemas.microsoft.com/office/spreadsheetml/2017/richdata2" ref="I2:O40">
    <sortCondition ref="I1:I40"/>
  </sortState>
  <tableColumns count="9">
    <tableColumn id="1" xr3:uid="{00000000-0010-0000-0000-000001000000}" name="2011 Census" dataDxfId="8"/>
    <tableColumn id="2" xr3:uid="{00000000-0010-0000-0000-000002000000}" name="TRU" dataDxfId="7"/>
    <tableColumn id="3" xr3:uid="{00000000-0010-0000-0000-000003000000}" name="No. HH (2011)" dataDxfId="6" dataCellStyle="Comma"/>
    <tableColumn id="4" xr3:uid="{00000000-0010-0000-0000-000004000000}" name="Total Population (2011)" dataDxfId="5" dataCellStyle="Comma"/>
    <tableColumn id="5" xr3:uid="{00000000-0010-0000-0000-000005000000}" name="Avgerage HH size (2011)" dataDxfId="4" dataCellStyle="Comma">
      <calculatedColumnFormula>Table1[[#This Row],[Total Population (2011)]]/Table1[[#This Row],[No. HH (2011)]]</calculatedColumnFormula>
    </tableColumn>
    <tableColumn id="6" xr3:uid="{00000000-0010-0000-0000-000006000000}" name="No. Inadadequate HH" dataDxfId="3" dataCellStyle="Comma"/>
    <tableColumn id="7" xr3:uid="{00000000-0010-0000-0000-000007000000}" name="Inadequate housing demand (% total HH)" dataDxfId="2" dataCellStyle="Percent">
      <calculatedColumnFormula>N2/K2</calculatedColumnFormula>
    </tableColumn>
    <tableColumn id="8" xr3:uid="{00000000-0010-0000-0000-000008000000}" name="Source (if not 2011 Census)" dataDxfId="1" dataCellStyle="Comma"/>
    <tableColumn id="9" xr3:uid="{00000000-0010-0000-0000-000009000000}" name="Average Monthly Per Capita Household Income of the Lowest Quintile of Population (USD 2019)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7-30T19:53:22.64" personId="{F54ADFB8-E257-482E-8B4D-187A500DC01B}" id="{1618683B-8765-4BD8-A051-799EF0133377}">
    <text>Values converted, if necessary</text>
  </threadedComment>
  <threadedComment ref="C38" dT="2019-07-30T19:24:55.11" personId="{F54ADFB8-E257-482E-8B4D-187A500DC01B}" id="{D3751AD9-96EE-4AEB-ADDB-5A071131D2D1}">
    <text>Original value in Rupees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" dT="2019-08-08T06:02:31.52" personId="{C312AC5E-55A1-4595-B12F-F4751E1999C1}" id="{89D053A4-50A1-4CBA-8020-9151CA2A8213}">
    <text>Use just Municipal Corporations or Mun. Corps + Outgrowth figures?</text>
  </threadedComment>
  <threadedComment ref="I14" dT="2019-08-07T05:15:46.18" personId="{88B4F951-23FB-4274-82E7-6D8B1E23B33E}" id="{2FA25C8A-074C-4192-BD80-3BDCBC1AB1BB}">
    <text>Not sure exactly what makes up this Urban body</text>
  </threadedComment>
  <threadedComment ref="I16" dT="2019-08-07T05:20:29.57" personId="{88B4F951-23FB-4274-82E7-6D8B1E23B33E}" id="{212156F5-248F-43B7-9661-0A1CA6DFC00F}">
    <text>Combine</text>
  </threadedComment>
  <threadedComment ref="K28" dT="2019-08-08T05:59:46.66" personId="{C312AC5E-55A1-4595-B12F-F4751E1999C1}" id="{3DB211C1-B927-4396-BF50-FC8D9806ADB2}">
    <text>Need to figure out how they came about populations from the census to get # of HH's</text>
  </threadedComment>
  <threadedComment ref="K28" dT="2019-08-13T15:09:56.75" personId="{C312AC5E-55A1-4595-B12F-F4751E1999C1}" id="{7D9212D3-BAAD-48B6-A6A0-94C0E6A8255E}" parentId="{3DB211C1-B927-4396-BF50-FC8D9806ADB2}">
    <text>indikosh</text>
  </threadedComment>
  <threadedComment ref="M32" dT="2019-12-13T03:13:26.28" personId="{F54ADFB8-E257-482E-8B4D-187A500DC01B}" id="{CF345AAF-F26E-4F10-9B3C-676B4E47349A}">
    <text>"The overall state average household size is 4.4 persons and it is similar in both rural and urban areas"</text>
  </threadedComment>
  <threadedComment ref="N39" dT="2019-08-08T06:10:46.38" personId="{C312AC5E-55A1-4595-B12F-F4751E1999C1}" id="{8E2855F8-79F1-456F-A118-B0B489F0652D}">
    <text>+ Outgrowth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PA.NUS.FCRF?locations=IN" TargetMode="External"/><Relationship Id="rId2" Type="http://schemas.openxmlformats.org/officeDocument/2006/relationships/hyperlink" Target="https://www.bestundertaking.com/in/page.asp?i=1" TargetMode="External"/><Relationship Id="rId1" Type="http://schemas.openxmlformats.org/officeDocument/2006/relationships/hyperlink" Target="http://www.bestundertaking.com/in/pdf/2018-19/2019-statement_of_account_english_16-17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e.com/currencyconverter/convert/?Amount=1&amp;From=USD&amp;To=BOB" TargetMode="External"/><Relationship Id="rId13" Type="http://schemas.openxmlformats.org/officeDocument/2006/relationships/hyperlink" Target="https://www.in2013dollars.com/" TargetMode="External"/><Relationship Id="rId3" Type="http://schemas.openxmlformats.org/officeDocument/2006/relationships/hyperlink" Target="http://documents.worldbank.org/curated/en/971161468314094302/pdf/339250rev.pdf" TargetMode="External"/><Relationship Id="rId7" Type="http://schemas.openxmlformats.org/officeDocument/2006/relationships/hyperlink" Target="https://databank.worldbank.org/reports.aspx?source=2&amp;series=PA.NUS.PPP&amp;country=" TargetMode="External"/><Relationship Id="rId12" Type="http://schemas.openxmlformats.org/officeDocument/2006/relationships/hyperlink" Target="https://www.in2013dollars.com/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fhwa.dot.gov/policy/2013cpr/chap2.cfm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siteresources.worldbank.org/INTURBANTRANSPORT/Resources/cities_on_the_move.pdf" TargetMode="External"/><Relationship Id="rId6" Type="http://schemas.openxmlformats.org/officeDocument/2006/relationships/hyperlink" Target="https://databank.worldbank.org/reports.aspx?source=2&amp;series=PA.NUS.PPP&amp;country=" TargetMode="External"/><Relationship Id="rId11" Type="http://schemas.openxmlformats.org/officeDocument/2006/relationships/hyperlink" Target="https://www.in2013dollars.com/" TargetMode="External"/><Relationship Id="rId5" Type="http://schemas.openxmlformats.org/officeDocument/2006/relationships/hyperlink" Target="http://www.repic.ch/files/7114/4126/7442/Grutter_FinalReport_e_web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in2013dollars.com/" TargetMode="External"/><Relationship Id="rId4" Type="http://schemas.openxmlformats.org/officeDocument/2006/relationships/hyperlink" Target="http://www.in2013dollars.com/us/inflation/2005?amount=1" TargetMode="External"/><Relationship Id="rId9" Type="http://schemas.openxmlformats.org/officeDocument/2006/relationships/hyperlink" Target="https://databank.worldbank.org/source/country-partnership-strategy-for-india-(fy2013%5E17)/Type/TABLE/preview/on" TargetMode="External"/><Relationship Id="rId14" Type="http://schemas.openxmlformats.org/officeDocument/2006/relationships/hyperlink" Target="http://www.atlasofurbanexpansion.org/cities/view/Mumba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dikosh.com/city/708736/kurnoo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hyperlink" Target="http://rchiips.org/pdf/state/Pondicherry.pdf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telegraphindia.com/states/north-east/tips-from-bank-to-build-on-slums-dispur-plans-to-develop-shanty-towns-into-well-planned-housing-colonies/cid/1631921" TargetMode="External"/><Relationship Id="rId1" Type="http://schemas.openxmlformats.org/officeDocument/2006/relationships/hyperlink" Target="https://daman.nic.in/websites/planning_daman/documents/2017/statistical-dairy-2016-17.pdf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indianexpress.com/cities/hyderabad/2019/mar/06/fleet-of-40-electric-buses-hits-hyderabad-roads-1947386.html" TargetMode="External"/><Relationship Id="rId13" Type="http://schemas.openxmlformats.org/officeDocument/2006/relationships/hyperlink" Target="http://dtc.nic.in/sites/default/files/All-PDF/dtc%2Bproperty.pdf" TargetMode="External"/><Relationship Id="rId18" Type="http://schemas.openxmlformats.org/officeDocument/2006/relationships/hyperlink" Target="https://www.tribuneindia.com/news/archive/srinagar-gets-first-fleet-of-20-electric-buses-to-be-launched-today-798614" TargetMode="External"/><Relationship Id="rId26" Type="http://schemas.openxmlformats.org/officeDocument/2006/relationships/hyperlink" Target="http://haryanahighway.com/Travel/roadways.htm" TargetMode="External"/><Relationship Id="rId3" Type="http://schemas.openxmlformats.org/officeDocument/2006/relationships/hyperlink" Target="http://www.arunachalipr.gov.in/?cat=5" TargetMode="External"/><Relationship Id="rId21" Type="http://schemas.openxmlformats.org/officeDocument/2006/relationships/hyperlink" Target="https://tcpd.py.gov.in/sites/default/files/FINAL%20REPORT%20-CDP-2036%20_6-11-2019.pdf" TargetMode="External"/><Relationship Id="rId7" Type="http://schemas.openxmlformats.org/officeDocument/2006/relationships/hyperlink" Target="https://www.tsrtc.telangana.gov.in/profile.php%20urban%20transport%20+%20electric%20buses%20(2019)" TargetMode="External"/><Relationship Id="rId12" Type="http://schemas.openxmlformats.org/officeDocument/2006/relationships/hyperlink" Target="https://en.wikipedia.org/wiki/Delhi_Transport_Corporation" TargetMode="External"/><Relationship Id="rId17" Type="http://schemas.openxmlformats.org/officeDocument/2006/relationships/hyperlink" Target="https://www.hrtchp.com/hrtc_info/Key-Statistics.html" TargetMode="External"/><Relationship Id="rId25" Type="http://schemas.openxmlformats.org/officeDocument/2006/relationships/hyperlink" Target="https://tcpharyana.gov.in/Development_Plan/Bhiwani/Bhiwani/FDP_2025/Bhiwani_FDP_2025_Exp_Note.pdf" TargetMode="External"/><Relationship Id="rId2" Type="http://schemas.openxmlformats.org/officeDocument/2006/relationships/hyperlink" Target="https://www.enidhi.net/2019/07/exploring-imphal-manipur-around-using-public-transport.html" TargetMode="External"/><Relationship Id="rId16" Type="http://schemas.openxmlformats.org/officeDocument/2006/relationships/hyperlink" Target="https://www.hrtchp.com/hrtc_info/Key-Statistics.html" TargetMode="External"/><Relationship Id="rId20" Type="http://schemas.openxmlformats.org/officeDocument/2006/relationships/hyperlink" Target="https://www.apsrtc.ap.gov.in/Depots.php" TargetMode="External"/><Relationship Id="rId29" Type="http://schemas.openxmlformats.org/officeDocument/2006/relationships/hyperlink" Target="https://en.wikipedia.org/wiki/Jorhat" TargetMode="External"/><Relationship Id="rId1" Type="http://schemas.openxmlformats.org/officeDocument/2006/relationships/hyperlink" Target="https://www.tsrtc.telangana.gov.in/profile.php%20urban%20transport%20+%20electric%20buses%20(2019)" TargetMode="External"/><Relationship Id="rId6" Type="http://schemas.openxmlformats.org/officeDocument/2006/relationships/hyperlink" Target="https://astc.assam.gov.in/frontimpotentdata/district-wise-list-of-bus-stations" TargetMode="External"/><Relationship Id="rId11" Type="http://schemas.openxmlformats.org/officeDocument/2006/relationships/hyperlink" Target="https://en.wikipedia.org/wiki/Brihanmumbai_Electric_Supply_and_Transport" TargetMode="External"/><Relationship Id="rId24" Type="http://schemas.openxmlformats.org/officeDocument/2006/relationships/hyperlink" Target="https://en.wikipedia.org/wiki/Aurangabad" TargetMode="External"/><Relationship Id="rId5" Type="http://schemas.openxmlformats.org/officeDocument/2006/relationships/hyperlink" Target="http://www.cirtindia.com/pdf/Fleet%20Strength%2031.03.17.pdf%20%20(2017)%20use%20BSRTC%20even%20though%20rural,%20bc%20quoted%20to%20be%20only%20bus%20service%20listed%20here.%20(2017)" TargetMode="External"/><Relationship Id="rId15" Type="http://schemas.openxmlformats.org/officeDocument/2006/relationships/hyperlink" Target="https://www.telegraphindia.com/states/jharkhand/26-city-buses-roll-out-in-ranchi/cid/1354548" TargetMode="External"/><Relationship Id="rId23" Type="http://schemas.openxmlformats.org/officeDocument/2006/relationships/hyperlink" Target="https://smartnet.niua.org/sites/default/files/resources/RevisedAurangabadSmartCityPlan.pdf" TargetMode="External"/><Relationship Id="rId28" Type="http://schemas.openxmlformats.org/officeDocument/2006/relationships/hyperlink" Target="http://www.jda.gov.in/wp-content/uploads/2016/03/Report-Master-Plan-Jalandhar.pdf" TargetMode="External"/><Relationship Id="rId10" Type="http://schemas.openxmlformats.org/officeDocument/2006/relationships/hyperlink" Target="https://www.bestundertaking.com/in/page.asp?i=27" TargetMode="External"/><Relationship Id="rId19" Type="http://schemas.openxmlformats.org/officeDocument/2006/relationships/hyperlink" Target="http://kurtc.in/fleet.html" TargetMode="External"/><Relationship Id="rId31" Type="http://schemas.openxmlformats.org/officeDocument/2006/relationships/hyperlink" Target="https://en.wikipedia.org/wiki/Jorhat" TargetMode="External"/><Relationship Id="rId4" Type="http://schemas.openxmlformats.org/officeDocument/2006/relationships/hyperlink" Target="http://brtdata.org/location/asia/india/jaipur" TargetMode="External"/><Relationship Id="rId9" Type="http://schemas.openxmlformats.org/officeDocument/2006/relationships/hyperlink" Target="https://shodhganga.inflibnet.ac.in/bitstream/10603/163672/15/15_chapter%207.pdf" TargetMode="External"/><Relationship Id="rId14" Type="http://schemas.openxmlformats.org/officeDocument/2006/relationships/hyperlink" Target="https://en.wikipedia.org/wiki/Raipur_and_Naya_Raipur_Bus_Rapid_Transit_System" TargetMode="External"/><Relationship Id="rId22" Type="http://schemas.openxmlformats.org/officeDocument/2006/relationships/hyperlink" Target="https://tcpd.py.gov.in/sites/default/files/FINAL%20REPORT%20-CDP-2036%20_6-11-2019.pdf" TargetMode="External"/><Relationship Id="rId27" Type="http://schemas.openxmlformats.org/officeDocument/2006/relationships/hyperlink" Target="http://www.jda.gov.in/wp-content/uploads/2016/03/Report-Master-Plan-Jalandhar.pdf" TargetMode="External"/><Relationship Id="rId30" Type="http://schemas.openxmlformats.org/officeDocument/2006/relationships/hyperlink" Target="https://en.wikipedia.org/wiki/Jorha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FD1001"/>
  <sheetViews>
    <sheetView workbookViewId="0">
      <selection activeCell="C24" sqref="C24"/>
    </sheetView>
  </sheetViews>
  <sheetFormatPr defaultColWidth="14.453125" defaultRowHeight="15" customHeight="1" x14ac:dyDescent="0.35"/>
  <cols>
    <col min="1" max="1" width="5.7265625" customWidth="1"/>
    <col min="2" max="2" width="39.7265625" customWidth="1"/>
    <col min="3" max="3" width="25.7265625" customWidth="1"/>
    <col min="4" max="4" width="75.453125" customWidth="1"/>
    <col min="5" max="26" width="8.7265625" customWidth="1"/>
  </cols>
  <sheetData>
    <row r="1" spans="1:16384" ht="14.25" customHeight="1" x14ac:dyDescent="0.35">
      <c r="A1" s="8" t="s">
        <v>3</v>
      </c>
      <c r="B1" s="9" t="s">
        <v>70</v>
      </c>
      <c r="C1" s="9" t="s">
        <v>71</v>
      </c>
      <c r="D1" s="10" t="s">
        <v>72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16384" ht="14.25" customHeight="1" x14ac:dyDescent="0.35">
      <c r="A2" s="323" t="s">
        <v>73</v>
      </c>
      <c r="B2" s="324"/>
      <c r="C2" s="325"/>
    </row>
    <row r="3" spans="1:16384" ht="14.25" customHeight="1" x14ac:dyDescent="0.35">
      <c r="A3" s="11">
        <v>1</v>
      </c>
      <c r="B3" t="s">
        <v>76</v>
      </c>
      <c r="C3" s="4">
        <f>'Cost Calculations'!R508</f>
        <v>78649917.306252599</v>
      </c>
    </row>
    <row r="4" spans="1:16384" ht="14.25" customHeight="1" x14ac:dyDescent="0.35">
      <c r="A4" s="11">
        <v>2</v>
      </c>
      <c r="B4" t="s">
        <v>78</v>
      </c>
      <c r="C4" s="4">
        <f>'Cost Calculations'!W508</f>
        <v>25442167988.891644</v>
      </c>
    </row>
    <row r="5" spans="1:16384" ht="14.25" customHeight="1" x14ac:dyDescent="0.35">
      <c r="A5" s="11">
        <v>3</v>
      </c>
      <c r="B5" t="s">
        <v>79</v>
      </c>
      <c r="C5" s="4">
        <f>'Cost Calculations'!X508</f>
        <v>176627909.66156986</v>
      </c>
    </row>
    <row r="6" spans="1:16384" ht="14.25" customHeight="1" x14ac:dyDescent="0.35">
      <c r="A6" s="323" t="s">
        <v>80</v>
      </c>
      <c r="B6" s="324"/>
      <c r="C6" s="325"/>
    </row>
    <row r="7" spans="1:16384" ht="14.25" customHeight="1" x14ac:dyDescent="0.35">
      <c r="A7" s="11">
        <v>1</v>
      </c>
      <c r="B7" t="s">
        <v>83</v>
      </c>
      <c r="C7" s="4">
        <f>'Cost Calculations'!AC508</f>
        <v>8212142400.000001</v>
      </c>
    </row>
    <row r="8" spans="1:16384" ht="14.25" customHeight="1" x14ac:dyDescent="0.35">
      <c r="A8" s="11">
        <v>2</v>
      </c>
      <c r="B8" t="s">
        <v>84</v>
      </c>
      <c r="C8" s="4">
        <f>'Cost Calculations'!AG508</f>
        <v>12587412.431999955</v>
      </c>
    </row>
    <row r="9" spans="1:16384" ht="14.25" customHeight="1" x14ac:dyDescent="0.35">
      <c r="A9" s="11">
        <v>3</v>
      </c>
      <c r="B9" t="s">
        <v>86</v>
      </c>
      <c r="C9" s="4">
        <f>'Cost Calculations'!AK508</f>
        <v>176869566.71999982</v>
      </c>
    </row>
    <row r="10" spans="1:16384" ht="14.25" customHeight="1" x14ac:dyDescent="0.35">
      <c r="A10" s="11">
        <v>4</v>
      </c>
      <c r="B10" s="13" t="s">
        <v>87</v>
      </c>
      <c r="C10" s="4">
        <v>0</v>
      </c>
    </row>
    <row r="11" spans="1:16384" ht="14.25" customHeight="1" x14ac:dyDescent="0.35">
      <c r="A11" s="11">
        <v>5</v>
      </c>
      <c r="B11" t="s">
        <v>89</v>
      </c>
      <c r="C11" s="4">
        <f>'Cost Calculations'!AL508</f>
        <v>101740113721.87202</v>
      </c>
    </row>
    <row r="12" spans="1:16384" s="31" customFormat="1" ht="14.25" customHeight="1" x14ac:dyDescent="0.35">
      <c r="A12" s="11">
        <v>6</v>
      </c>
      <c r="B12" s="28" t="s">
        <v>401</v>
      </c>
      <c r="C12" s="62">
        <f>'Cost Calculations'!AQ508</f>
        <v>6389086106.8222227</v>
      </c>
      <c r="D12" s="28"/>
      <c r="E12" s="11"/>
      <c r="F12" s="28"/>
      <c r="G12" s="11"/>
      <c r="H12" s="28"/>
      <c r="I12" s="11"/>
      <c r="J12" s="28"/>
      <c r="K12" s="11"/>
      <c r="L12" s="28"/>
      <c r="M12" s="11"/>
      <c r="N12" s="28"/>
      <c r="O12" s="11"/>
      <c r="P12" s="28"/>
      <c r="Q12" s="11"/>
      <c r="R12" s="28"/>
      <c r="S12" s="11"/>
      <c r="T12" s="28"/>
      <c r="U12" s="11"/>
      <c r="V12" s="28"/>
      <c r="W12" s="11"/>
      <c r="X12" s="28"/>
      <c r="Y12" s="11"/>
      <c r="Z12" s="28"/>
      <c r="AA12" s="11"/>
      <c r="AB12" s="28"/>
      <c r="AC12" s="11"/>
      <c r="AD12" s="28"/>
      <c r="AE12" s="11"/>
      <c r="AF12" s="28"/>
      <c r="AG12" s="11"/>
      <c r="AH12" s="28"/>
      <c r="AI12" s="11"/>
      <c r="AJ12" s="28"/>
      <c r="AK12" s="11"/>
      <c r="AL12" s="28"/>
      <c r="AM12" s="11"/>
      <c r="AN12" s="28"/>
      <c r="AO12" s="11"/>
      <c r="AP12" s="28"/>
      <c r="AQ12" s="11"/>
      <c r="AR12" s="28"/>
      <c r="AS12" s="11"/>
      <c r="AT12" s="28"/>
      <c r="AU12" s="11"/>
      <c r="AV12" s="28"/>
      <c r="AW12" s="11"/>
      <c r="AX12" s="28"/>
      <c r="AY12" s="11"/>
      <c r="AZ12" s="28"/>
      <c r="BA12" s="11"/>
      <c r="BB12" s="28"/>
      <c r="BC12" s="11"/>
      <c r="BD12" s="28"/>
      <c r="BE12" s="11"/>
      <c r="BF12" s="28"/>
      <c r="BG12" s="11"/>
      <c r="BH12" s="28"/>
      <c r="BI12" s="11"/>
      <c r="BJ12" s="28"/>
      <c r="BK12" s="11"/>
      <c r="BL12" s="28"/>
      <c r="BM12" s="11"/>
      <c r="BN12" s="28"/>
      <c r="BO12" s="11"/>
      <c r="BP12" s="28"/>
      <c r="BQ12" s="11"/>
      <c r="BR12" s="28"/>
      <c r="BS12" s="11"/>
      <c r="BT12" s="28"/>
      <c r="BU12" s="11"/>
      <c r="BV12" s="28"/>
      <c r="BW12" s="11"/>
      <c r="BX12" s="28"/>
      <c r="BY12" s="11"/>
      <c r="BZ12" s="28"/>
      <c r="CA12" s="11"/>
      <c r="CB12" s="28"/>
      <c r="CC12" s="11"/>
      <c r="CD12" s="28"/>
      <c r="CE12" s="11"/>
      <c r="CF12" s="28"/>
      <c r="CG12" s="11"/>
      <c r="CH12" s="28"/>
      <c r="CI12" s="11"/>
      <c r="CJ12" s="28"/>
      <c r="CK12" s="11"/>
      <c r="CL12" s="28"/>
      <c r="CM12" s="11"/>
      <c r="CN12" s="28"/>
      <c r="CO12" s="11"/>
      <c r="CP12" s="28"/>
      <c r="CQ12" s="11"/>
      <c r="CR12" s="28"/>
      <c r="CS12" s="11"/>
      <c r="CT12" s="28"/>
      <c r="CU12" s="11"/>
      <c r="CV12" s="28"/>
      <c r="CW12" s="11"/>
      <c r="CX12" s="28"/>
      <c r="CY12" s="11"/>
      <c r="CZ12" s="28"/>
      <c r="DA12" s="11"/>
      <c r="DB12" s="28"/>
      <c r="DC12" s="11"/>
      <c r="DD12" s="28"/>
      <c r="DE12" s="11"/>
      <c r="DF12" s="28"/>
      <c r="DG12" s="11"/>
      <c r="DH12" s="28"/>
      <c r="DI12" s="11"/>
      <c r="DJ12" s="28"/>
      <c r="DK12" s="11"/>
      <c r="DL12" s="28"/>
      <c r="DM12" s="11"/>
      <c r="DN12" s="28"/>
      <c r="DO12" s="11"/>
      <c r="DP12" s="28"/>
      <c r="DQ12" s="11"/>
      <c r="DR12" s="28"/>
      <c r="DS12" s="11"/>
      <c r="DT12" s="28"/>
      <c r="DU12" s="11"/>
      <c r="DV12" s="28"/>
      <c r="DW12" s="11"/>
      <c r="DX12" s="28"/>
      <c r="DY12" s="11"/>
      <c r="DZ12" s="28"/>
      <c r="EA12" s="11"/>
      <c r="EB12" s="28"/>
      <c r="EC12" s="11"/>
      <c r="ED12" s="28"/>
      <c r="EE12" s="11"/>
      <c r="EF12" s="28"/>
      <c r="EG12" s="11"/>
      <c r="EH12" s="28"/>
      <c r="EI12" s="11"/>
      <c r="EJ12" s="28"/>
      <c r="EK12" s="11"/>
      <c r="EL12" s="28"/>
      <c r="EM12" s="11"/>
      <c r="EN12" s="28"/>
      <c r="EO12" s="11"/>
      <c r="EP12" s="28"/>
      <c r="EQ12" s="11"/>
      <c r="ER12" s="28"/>
      <c r="ES12" s="11"/>
      <c r="ET12" s="28"/>
      <c r="EU12" s="11"/>
      <c r="EV12" s="28"/>
      <c r="EW12" s="11"/>
      <c r="EX12" s="28"/>
      <c r="EY12" s="11"/>
      <c r="EZ12" s="28"/>
      <c r="FA12" s="11"/>
      <c r="FB12" s="28"/>
      <c r="FC12" s="11"/>
      <c r="FD12" s="28"/>
      <c r="FE12" s="11"/>
      <c r="FF12" s="28"/>
      <c r="FG12" s="11"/>
      <c r="FH12" s="28"/>
      <c r="FI12" s="11"/>
      <c r="FJ12" s="28"/>
      <c r="FK12" s="11"/>
      <c r="FL12" s="28"/>
      <c r="FM12" s="11"/>
      <c r="FN12" s="28"/>
      <c r="FO12" s="11"/>
      <c r="FP12" s="28"/>
      <c r="FQ12" s="11"/>
      <c r="FR12" s="28"/>
      <c r="FS12" s="11"/>
      <c r="FT12" s="28"/>
      <c r="FU12" s="11"/>
      <c r="FV12" s="28"/>
      <c r="FW12" s="11"/>
      <c r="FX12" s="28"/>
      <c r="FY12" s="11"/>
      <c r="FZ12" s="28"/>
      <c r="GA12" s="11"/>
      <c r="GB12" s="28"/>
      <c r="GC12" s="11"/>
      <c r="GD12" s="28"/>
      <c r="GE12" s="11"/>
      <c r="GF12" s="28"/>
      <c r="GG12" s="11"/>
      <c r="GH12" s="28"/>
      <c r="GI12" s="11"/>
      <c r="GJ12" s="28"/>
      <c r="GK12" s="11"/>
      <c r="GL12" s="28"/>
      <c r="GM12" s="11"/>
      <c r="GN12" s="28"/>
      <c r="GO12" s="11"/>
      <c r="GP12" s="28"/>
      <c r="GQ12" s="11"/>
      <c r="GR12" s="28"/>
      <c r="GS12" s="11"/>
      <c r="GT12" s="28"/>
      <c r="GU12" s="11"/>
      <c r="GV12" s="28"/>
      <c r="GW12" s="11"/>
      <c r="GX12" s="28"/>
      <c r="GY12" s="11"/>
      <c r="GZ12" s="28"/>
      <c r="HA12" s="11"/>
      <c r="HB12" s="28"/>
      <c r="HC12" s="11"/>
      <c r="HD12" s="28"/>
      <c r="HE12" s="11"/>
      <c r="HF12" s="28"/>
      <c r="HG12" s="11"/>
      <c r="HH12" s="28"/>
      <c r="HI12" s="11"/>
      <c r="HJ12" s="28"/>
      <c r="HK12" s="11"/>
      <c r="HL12" s="28"/>
      <c r="HM12" s="11"/>
      <c r="HN12" s="28"/>
      <c r="HO12" s="11"/>
      <c r="HP12" s="28"/>
      <c r="HQ12" s="11"/>
      <c r="HR12" s="28"/>
      <c r="HS12" s="11"/>
      <c r="HT12" s="28"/>
      <c r="HU12" s="11"/>
      <c r="HV12" s="28"/>
      <c r="HW12" s="11"/>
      <c r="HX12" s="28"/>
      <c r="HY12" s="11"/>
      <c r="HZ12" s="28"/>
      <c r="IA12" s="11"/>
      <c r="IB12" s="28"/>
      <c r="IC12" s="11"/>
      <c r="ID12" s="28"/>
      <c r="IE12" s="11"/>
      <c r="IF12" s="28"/>
      <c r="IG12" s="11"/>
      <c r="IH12" s="28"/>
      <c r="II12" s="11"/>
      <c r="IJ12" s="28"/>
      <c r="IK12" s="11"/>
      <c r="IL12" s="28"/>
      <c r="IM12" s="11"/>
      <c r="IN12" s="28"/>
      <c r="IO12" s="11"/>
      <c r="IP12" s="28"/>
      <c r="IQ12" s="11"/>
      <c r="IR12" s="28"/>
      <c r="IS12" s="11"/>
      <c r="IT12" s="28"/>
      <c r="IU12" s="11"/>
      <c r="IV12" s="28"/>
      <c r="IW12" s="11"/>
      <c r="IX12" s="28"/>
      <c r="IY12" s="11"/>
      <c r="IZ12" s="28"/>
      <c r="JA12" s="11"/>
      <c r="JB12" s="28"/>
      <c r="JC12" s="11"/>
      <c r="JD12" s="28"/>
      <c r="JE12" s="11"/>
      <c r="JF12" s="28"/>
      <c r="JG12" s="11"/>
      <c r="JH12" s="28"/>
      <c r="JI12" s="11"/>
      <c r="JJ12" s="28"/>
      <c r="JK12" s="11"/>
      <c r="JL12" s="28"/>
      <c r="JM12" s="11"/>
      <c r="JN12" s="28"/>
      <c r="JO12" s="11"/>
      <c r="JP12" s="28"/>
      <c r="JQ12" s="11"/>
      <c r="JR12" s="28"/>
      <c r="JS12" s="11"/>
      <c r="JT12" s="28"/>
      <c r="JU12" s="11"/>
      <c r="JV12" s="28"/>
      <c r="JW12" s="11"/>
      <c r="JX12" s="28"/>
      <c r="JY12" s="11"/>
      <c r="JZ12" s="28"/>
      <c r="KA12" s="11"/>
      <c r="KB12" s="28"/>
      <c r="KC12" s="11"/>
      <c r="KD12" s="28"/>
      <c r="KE12" s="11"/>
      <c r="KF12" s="28"/>
      <c r="KG12" s="11"/>
      <c r="KH12" s="28"/>
      <c r="KI12" s="11"/>
      <c r="KJ12" s="28"/>
      <c r="KK12" s="11"/>
      <c r="KL12" s="28"/>
      <c r="KM12" s="11"/>
      <c r="KN12" s="28"/>
      <c r="KO12" s="11"/>
      <c r="KP12" s="28"/>
      <c r="KQ12" s="11"/>
      <c r="KR12" s="28"/>
      <c r="KS12" s="11"/>
      <c r="KT12" s="28"/>
      <c r="KU12" s="11"/>
      <c r="KV12" s="28"/>
      <c r="KW12" s="11"/>
      <c r="KX12" s="28"/>
      <c r="KY12" s="11"/>
      <c r="KZ12" s="28"/>
      <c r="LA12" s="11"/>
      <c r="LB12" s="28"/>
      <c r="LC12" s="11"/>
      <c r="LD12" s="28"/>
      <c r="LE12" s="11"/>
      <c r="LF12" s="28"/>
      <c r="LG12" s="11"/>
      <c r="LH12" s="28"/>
      <c r="LI12" s="11"/>
      <c r="LJ12" s="28"/>
      <c r="LK12" s="11"/>
      <c r="LL12" s="28"/>
      <c r="LM12" s="11"/>
      <c r="LN12" s="28"/>
      <c r="LO12" s="11"/>
      <c r="LP12" s="28"/>
      <c r="LQ12" s="11"/>
      <c r="LR12" s="28"/>
      <c r="LS12" s="11"/>
      <c r="LT12" s="28"/>
      <c r="LU12" s="11"/>
      <c r="LV12" s="28"/>
      <c r="LW12" s="11"/>
      <c r="LX12" s="28"/>
      <c r="LY12" s="11"/>
      <c r="LZ12" s="28"/>
      <c r="MA12" s="11"/>
      <c r="MB12" s="28"/>
      <c r="MC12" s="11"/>
      <c r="MD12" s="28"/>
      <c r="ME12" s="11"/>
      <c r="MF12" s="28"/>
      <c r="MG12" s="11"/>
      <c r="MH12" s="28"/>
      <c r="MI12" s="11"/>
      <c r="MJ12" s="28"/>
      <c r="MK12" s="11"/>
      <c r="ML12" s="28"/>
      <c r="MM12" s="11"/>
      <c r="MN12" s="28"/>
      <c r="MO12" s="11"/>
      <c r="MP12" s="28"/>
      <c r="MQ12" s="11"/>
      <c r="MR12" s="28"/>
      <c r="MS12" s="11"/>
      <c r="MT12" s="28"/>
      <c r="MU12" s="11"/>
      <c r="MV12" s="28"/>
      <c r="MW12" s="11"/>
      <c r="MX12" s="28"/>
      <c r="MY12" s="11"/>
      <c r="MZ12" s="28"/>
      <c r="NA12" s="11"/>
      <c r="NB12" s="28"/>
      <c r="NC12" s="11"/>
      <c r="ND12" s="28"/>
      <c r="NE12" s="11"/>
      <c r="NF12" s="28"/>
      <c r="NG12" s="11"/>
      <c r="NH12" s="28"/>
      <c r="NI12" s="11"/>
      <c r="NJ12" s="28"/>
      <c r="NK12" s="11"/>
      <c r="NL12" s="28"/>
      <c r="NM12" s="11"/>
      <c r="NN12" s="28"/>
      <c r="NO12" s="11"/>
      <c r="NP12" s="28"/>
      <c r="NQ12" s="11"/>
      <c r="NR12" s="28"/>
      <c r="NS12" s="11"/>
      <c r="NT12" s="28"/>
      <c r="NU12" s="11"/>
      <c r="NV12" s="28"/>
      <c r="NW12" s="11"/>
      <c r="NX12" s="28"/>
      <c r="NY12" s="11"/>
      <c r="NZ12" s="28"/>
      <c r="OA12" s="11"/>
      <c r="OB12" s="28"/>
      <c r="OC12" s="11"/>
      <c r="OD12" s="28"/>
      <c r="OE12" s="11"/>
      <c r="OF12" s="28"/>
      <c r="OG12" s="11"/>
      <c r="OH12" s="28"/>
      <c r="OI12" s="11"/>
      <c r="OJ12" s="28"/>
      <c r="OK12" s="11"/>
      <c r="OL12" s="28"/>
      <c r="OM12" s="11"/>
      <c r="ON12" s="28"/>
      <c r="OO12" s="11"/>
      <c r="OP12" s="28"/>
      <c r="OQ12" s="11"/>
      <c r="OR12" s="28"/>
      <c r="OS12" s="11"/>
      <c r="OT12" s="28"/>
      <c r="OU12" s="11"/>
      <c r="OV12" s="28"/>
      <c r="OW12" s="11"/>
      <c r="OX12" s="28"/>
      <c r="OY12" s="11"/>
      <c r="OZ12" s="28"/>
      <c r="PA12" s="11"/>
      <c r="PB12" s="28"/>
      <c r="PC12" s="11"/>
      <c r="PD12" s="28"/>
      <c r="PE12" s="11"/>
      <c r="PF12" s="28"/>
      <c r="PG12" s="11"/>
      <c r="PH12" s="28"/>
      <c r="PI12" s="11"/>
      <c r="PJ12" s="28"/>
      <c r="PK12" s="11"/>
      <c r="PL12" s="28"/>
      <c r="PM12" s="11"/>
      <c r="PN12" s="28"/>
      <c r="PO12" s="11"/>
      <c r="PP12" s="28"/>
      <c r="PQ12" s="11"/>
      <c r="PR12" s="28"/>
      <c r="PS12" s="11"/>
      <c r="PT12" s="28"/>
      <c r="PU12" s="11"/>
      <c r="PV12" s="28"/>
      <c r="PW12" s="11"/>
      <c r="PX12" s="28"/>
      <c r="PY12" s="11"/>
      <c r="PZ12" s="28"/>
      <c r="QA12" s="11"/>
      <c r="QB12" s="28"/>
      <c r="QC12" s="11"/>
      <c r="QD12" s="28"/>
      <c r="QE12" s="11"/>
      <c r="QF12" s="28"/>
      <c r="QG12" s="11"/>
      <c r="QH12" s="28"/>
      <c r="QI12" s="11"/>
      <c r="QJ12" s="28"/>
      <c r="QK12" s="11"/>
      <c r="QL12" s="28"/>
      <c r="QM12" s="11"/>
      <c r="QN12" s="28"/>
      <c r="QO12" s="11"/>
      <c r="QP12" s="28"/>
      <c r="QQ12" s="11"/>
      <c r="QR12" s="28"/>
      <c r="QS12" s="11"/>
      <c r="QT12" s="28"/>
      <c r="QU12" s="11"/>
      <c r="QV12" s="28"/>
      <c r="QW12" s="11"/>
      <c r="QX12" s="28"/>
      <c r="QY12" s="11"/>
      <c r="QZ12" s="28"/>
      <c r="RA12" s="11"/>
      <c r="RB12" s="28"/>
      <c r="RC12" s="11"/>
      <c r="RD12" s="28"/>
      <c r="RE12" s="11"/>
      <c r="RF12" s="28"/>
      <c r="RG12" s="11"/>
      <c r="RH12" s="28"/>
      <c r="RI12" s="11"/>
      <c r="RJ12" s="28"/>
      <c r="RK12" s="11"/>
      <c r="RL12" s="28"/>
      <c r="RM12" s="11"/>
      <c r="RN12" s="28"/>
      <c r="RO12" s="11"/>
      <c r="RP12" s="28"/>
      <c r="RQ12" s="11"/>
      <c r="RR12" s="28"/>
      <c r="RS12" s="11"/>
      <c r="RT12" s="28"/>
      <c r="RU12" s="11"/>
      <c r="RV12" s="28"/>
      <c r="RW12" s="11"/>
      <c r="RX12" s="28"/>
      <c r="RY12" s="11"/>
      <c r="RZ12" s="28"/>
      <c r="SA12" s="11"/>
      <c r="SB12" s="28"/>
      <c r="SC12" s="11"/>
      <c r="SD12" s="28"/>
      <c r="SE12" s="11"/>
      <c r="SF12" s="28"/>
      <c r="SG12" s="11"/>
      <c r="SH12" s="28"/>
      <c r="SI12" s="11"/>
      <c r="SJ12" s="28"/>
      <c r="SK12" s="11"/>
      <c r="SL12" s="28"/>
      <c r="SM12" s="11"/>
      <c r="SN12" s="28"/>
      <c r="SO12" s="11"/>
      <c r="SP12" s="28"/>
      <c r="SQ12" s="11"/>
      <c r="SR12" s="28"/>
      <c r="SS12" s="11"/>
      <c r="ST12" s="28"/>
      <c r="SU12" s="11"/>
      <c r="SV12" s="28"/>
      <c r="SW12" s="11"/>
      <c r="SX12" s="28"/>
      <c r="SY12" s="11"/>
      <c r="SZ12" s="28"/>
      <c r="TA12" s="11"/>
      <c r="TB12" s="28"/>
      <c r="TC12" s="11"/>
      <c r="TD12" s="28"/>
      <c r="TE12" s="11"/>
      <c r="TF12" s="28"/>
      <c r="TG12" s="11"/>
      <c r="TH12" s="28"/>
      <c r="TI12" s="11"/>
      <c r="TJ12" s="28"/>
      <c r="TK12" s="11"/>
      <c r="TL12" s="28"/>
      <c r="TM12" s="11"/>
      <c r="TN12" s="28"/>
      <c r="TO12" s="11"/>
      <c r="TP12" s="28"/>
      <c r="TQ12" s="11"/>
      <c r="TR12" s="28"/>
      <c r="TS12" s="11"/>
      <c r="TT12" s="28"/>
      <c r="TU12" s="11"/>
      <c r="TV12" s="28"/>
      <c r="TW12" s="11"/>
      <c r="TX12" s="28"/>
      <c r="TY12" s="11"/>
      <c r="TZ12" s="28"/>
      <c r="UA12" s="11"/>
      <c r="UB12" s="28"/>
      <c r="UC12" s="11"/>
      <c r="UD12" s="28"/>
      <c r="UE12" s="11"/>
      <c r="UF12" s="28"/>
      <c r="UG12" s="11"/>
      <c r="UH12" s="28"/>
      <c r="UI12" s="11"/>
      <c r="UJ12" s="28"/>
      <c r="UK12" s="11"/>
      <c r="UL12" s="28"/>
      <c r="UM12" s="11"/>
      <c r="UN12" s="28"/>
      <c r="UO12" s="11"/>
      <c r="UP12" s="28"/>
      <c r="UQ12" s="11"/>
      <c r="UR12" s="28"/>
      <c r="US12" s="11"/>
      <c r="UT12" s="28"/>
      <c r="UU12" s="11"/>
      <c r="UV12" s="28"/>
      <c r="UW12" s="11"/>
      <c r="UX12" s="28"/>
      <c r="UY12" s="11"/>
      <c r="UZ12" s="28"/>
      <c r="VA12" s="11"/>
      <c r="VB12" s="28"/>
      <c r="VC12" s="11"/>
      <c r="VD12" s="28"/>
      <c r="VE12" s="11"/>
      <c r="VF12" s="28"/>
      <c r="VG12" s="11"/>
      <c r="VH12" s="28"/>
      <c r="VI12" s="11"/>
      <c r="VJ12" s="28"/>
      <c r="VK12" s="11"/>
      <c r="VL12" s="28"/>
      <c r="VM12" s="11"/>
      <c r="VN12" s="28"/>
      <c r="VO12" s="11"/>
      <c r="VP12" s="28"/>
      <c r="VQ12" s="11"/>
      <c r="VR12" s="28"/>
      <c r="VS12" s="11"/>
      <c r="VT12" s="28"/>
      <c r="VU12" s="11"/>
      <c r="VV12" s="28"/>
      <c r="VW12" s="11"/>
      <c r="VX12" s="28"/>
      <c r="VY12" s="11"/>
      <c r="VZ12" s="28"/>
      <c r="WA12" s="11"/>
      <c r="WB12" s="28"/>
      <c r="WC12" s="11"/>
      <c r="WD12" s="28"/>
      <c r="WE12" s="11"/>
      <c r="WF12" s="28"/>
      <c r="WG12" s="11"/>
      <c r="WH12" s="28"/>
      <c r="WI12" s="11"/>
      <c r="WJ12" s="28"/>
      <c r="WK12" s="11"/>
      <c r="WL12" s="28"/>
      <c r="WM12" s="11"/>
      <c r="WN12" s="28"/>
      <c r="WO12" s="11"/>
      <c r="WP12" s="28"/>
      <c r="WQ12" s="11"/>
      <c r="WR12" s="28"/>
      <c r="WS12" s="11"/>
      <c r="WT12" s="28"/>
      <c r="WU12" s="11"/>
      <c r="WV12" s="28"/>
      <c r="WW12" s="11"/>
      <c r="WX12" s="28"/>
      <c r="WY12" s="11"/>
      <c r="WZ12" s="28"/>
      <c r="XA12" s="11"/>
      <c r="XB12" s="28"/>
      <c r="XC12" s="11"/>
      <c r="XD12" s="28"/>
      <c r="XE12" s="11"/>
      <c r="XF12" s="28"/>
      <c r="XG12" s="11"/>
      <c r="XH12" s="28"/>
      <c r="XI12" s="11"/>
      <c r="XJ12" s="28"/>
      <c r="XK12" s="11"/>
      <c r="XL12" s="28"/>
      <c r="XM12" s="11"/>
      <c r="XN12" s="28"/>
      <c r="XO12" s="11"/>
      <c r="XP12" s="28"/>
      <c r="XQ12" s="11"/>
      <c r="XR12" s="28"/>
      <c r="XS12" s="11"/>
      <c r="XT12" s="28"/>
      <c r="XU12" s="11"/>
      <c r="XV12" s="28"/>
      <c r="XW12" s="11"/>
      <c r="XX12" s="28"/>
      <c r="XY12" s="11"/>
      <c r="XZ12" s="28"/>
      <c r="YA12" s="11"/>
      <c r="YB12" s="28"/>
      <c r="YC12" s="11"/>
      <c r="YD12" s="28"/>
      <c r="YE12" s="11"/>
      <c r="YF12" s="28"/>
      <c r="YG12" s="11"/>
      <c r="YH12" s="28"/>
      <c r="YI12" s="11"/>
      <c r="YJ12" s="28"/>
      <c r="YK12" s="11"/>
      <c r="YL12" s="28"/>
      <c r="YM12" s="11"/>
      <c r="YN12" s="28"/>
      <c r="YO12" s="11"/>
      <c r="YP12" s="28"/>
      <c r="YQ12" s="11"/>
      <c r="YR12" s="28"/>
      <c r="YS12" s="11"/>
      <c r="YT12" s="28"/>
      <c r="YU12" s="11"/>
      <c r="YV12" s="28"/>
      <c r="YW12" s="11"/>
      <c r="YX12" s="28"/>
      <c r="YY12" s="11"/>
      <c r="YZ12" s="28"/>
      <c r="ZA12" s="11"/>
      <c r="ZB12" s="28"/>
      <c r="ZC12" s="11"/>
      <c r="ZD12" s="28"/>
      <c r="ZE12" s="11"/>
      <c r="ZF12" s="28"/>
      <c r="ZG12" s="11"/>
      <c r="ZH12" s="28"/>
      <c r="ZI12" s="11"/>
      <c r="ZJ12" s="28"/>
      <c r="ZK12" s="11"/>
      <c r="ZL12" s="28"/>
      <c r="ZM12" s="11"/>
      <c r="ZN12" s="28"/>
      <c r="ZO12" s="11"/>
      <c r="ZP12" s="28"/>
      <c r="ZQ12" s="11"/>
      <c r="ZR12" s="28"/>
      <c r="ZS12" s="11"/>
      <c r="ZT12" s="28"/>
      <c r="ZU12" s="11"/>
      <c r="ZV12" s="28"/>
      <c r="ZW12" s="11"/>
      <c r="ZX12" s="28"/>
      <c r="ZY12" s="11"/>
      <c r="ZZ12" s="28"/>
      <c r="AAA12" s="11"/>
      <c r="AAB12" s="28"/>
      <c r="AAC12" s="11"/>
      <c r="AAD12" s="28"/>
      <c r="AAE12" s="11"/>
      <c r="AAF12" s="28"/>
      <c r="AAG12" s="11"/>
      <c r="AAH12" s="28"/>
      <c r="AAI12" s="11"/>
      <c r="AAJ12" s="28"/>
      <c r="AAK12" s="11"/>
      <c r="AAL12" s="28"/>
      <c r="AAM12" s="11"/>
      <c r="AAN12" s="28"/>
      <c r="AAO12" s="11"/>
      <c r="AAP12" s="28"/>
      <c r="AAQ12" s="11"/>
      <c r="AAR12" s="28"/>
      <c r="AAS12" s="11"/>
      <c r="AAT12" s="28"/>
      <c r="AAU12" s="11"/>
      <c r="AAV12" s="28"/>
      <c r="AAW12" s="11"/>
      <c r="AAX12" s="28"/>
      <c r="AAY12" s="11"/>
      <c r="AAZ12" s="28"/>
      <c r="ABA12" s="11"/>
      <c r="ABB12" s="28"/>
      <c r="ABC12" s="11"/>
      <c r="ABD12" s="28"/>
      <c r="ABE12" s="11"/>
      <c r="ABF12" s="28"/>
      <c r="ABG12" s="11"/>
      <c r="ABH12" s="28"/>
      <c r="ABI12" s="11"/>
      <c r="ABJ12" s="28"/>
      <c r="ABK12" s="11"/>
      <c r="ABL12" s="28"/>
      <c r="ABM12" s="11"/>
      <c r="ABN12" s="28"/>
      <c r="ABO12" s="11"/>
      <c r="ABP12" s="28"/>
      <c r="ABQ12" s="11"/>
      <c r="ABR12" s="28"/>
      <c r="ABS12" s="11"/>
      <c r="ABT12" s="28"/>
      <c r="ABU12" s="11"/>
      <c r="ABV12" s="28"/>
      <c r="ABW12" s="11"/>
      <c r="ABX12" s="28"/>
      <c r="ABY12" s="11"/>
      <c r="ABZ12" s="28"/>
      <c r="ACA12" s="11"/>
      <c r="ACB12" s="28"/>
      <c r="ACC12" s="11"/>
      <c r="ACD12" s="28"/>
      <c r="ACE12" s="11"/>
      <c r="ACF12" s="28"/>
      <c r="ACG12" s="11"/>
      <c r="ACH12" s="28"/>
      <c r="ACI12" s="11"/>
      <c r="ACJ12" s="28"/>
      <c r="ACK12" s="11"/>
      <c r="ACL12" s="28"/>
      <c r="ACM12" s="11"/>
      <c r="ACN12" s="28"/>
      <c r="ACO12" s="11"/>
      <c r="ACP12" s="28"/>
      <c r="ACQ12" s="11"/>
      <c r="ACR12" s="28"/>
      <c r="ACS12" s="11"/>
      <c r="ACT12" s="28"/>
      <c r="ACU12" s="11"/>
      <c r="ACV12" s="28"/>
      <c r="ACW12" s="11"/>
      <c r="ACX12" s="28"/>
      <c r="ACY12" s="11"/>
      <c r="ACZ12" s="28"/>
      <c r="ADA12" s="11"/>
      <c r="ADB12" s="28"/>
      <c r="ADC12" s="11"/>
      <c r="ADD12" s="28"/>
      <c r="ADE12" s="11"/>
      <c r="ADF12" s="28"/>
      <c r="ADG12" s="11"/>
      <c r="ADH12" s="28"/>
      <c r="ADI12" s="11"/>
      <c r="ADJ12" s="28"/>
      <c r="ADK12" s="11"/>
      <c r="ADL12" s="28"/>
      <c r="ADM12" s="11"/>
      <c r="ADN12" s="28"/>
      <c r="ADO12" s="11"/>
      <c r="ADP12" s="28"/>
      <c r="ADQ12" s="11"/>
      <c r="ADR12" s="28"/>
      <c r="ADS12" s="11"/>
      <c r="ADT12" s="28"/>
      <c r="ADU12" s="11"/>
      <c r="ADV12" s="28"/>
      <c r="ADW12" s="11"/>
      <c r="ADX12" s="28"/>
      <c r="ADY12" s="11"/>
      <c r="ADZ12" s="28"/>
      <c r="AEA12" s="11"/>
      <c r="AEB12" s="28"/>
      <c r="AEC12" s="11"/>
      <c r="AED12" s="28"/>
      <c r="AEE12" s="11"/>
      <c r="AEF12" s="28"/>
      <c r="AEG12" s="11"/>
      <c r="AEH12" s="28"/>
      <c r="AEI12" s="11"/>
      <c r="AEJ12" s="28"/>
      <c r="AEK12" s="11"/>
      <c r="AEL12" s="28"/>
      <c r="AEM12" s="11"/>
      <c r="AEN12" s="28"/>
      <c r="AEO12" s="11"/>
      <c r="AEP12" s="28"/>
      <c r="AEQ12" s="11"/>
      <c r="AER12" s="28"/>
      <c r="AES12" s="11"/>
      <c r="AET12" s="28"/>
      <c r="AEU12" s="11"/>
      <c r="AEV12" s="28"/>
      <c r="AEW12" s="11"/>
      <c r="AEX12" s="28"/>
      <c r="AEY12" s="11"/>
      <c r="AEZ12" s="28"/>
      <c r="AFA12" s="11"/>
      <c r="AFB12" s="28"/>
      <c r="AFC12" s="11"/>
      <c r="AFD12" s="28"/>
      <c r="AFE12" s="11"/>
      <c r="AFF12" s="28"/>
      <c r="AFG12" s="11"/>
      <c r="AFH12" s="28"/>
      <c r="AFI12" s="11"/>
      <c r="AFJ12" s="28"/>
      <c r="AFK12" s="11"/>
      <c r="AFL12" s="28"/>
      <c r="AFM12" s="11"/>
      <c r="AFN12" s="28"/>
      <c r="AFO12" s="11"/>
      <c r="AFP12" s="28"/>
      <c r="AFQ12" s="11"/>
      <c r="AFR12" s="28"/>
      <c r="AFS12" s="11"/>
      <c r="AFT12" s="28"/>
      <c r="AFU12" s="11"/>
      <c r="AFV12" s="28"/>
      <c r="AFW12" s="11"/>
      <c r="AFX12" s="28"/>
      <c r="AFY12" s="11"/>
      <c r="AFZ12" s="28"/>
      <c r="AGA12" s="11"/>
      <c r="AGB12" s="28"/>
      <c r="AGC12" s="11"/>
      <c r="AGD12" s="28"/>
      <c r="AGE12" s="11"/>
      <c r="AGF12" s="28"/>
      <c r="AGG12" s="11"/>
      <c r="AGH12" s="28"/>
      <c r="AGI12" s="11"/>
      <c r="AGJ12" s="28"/>
      <c r="AGK12" s="11"/>
      <c r="AGL12" s="28"/>
      <c r="AGM12" s="11"/>
      <c r="AGN12" s="28"/>
      <c r="AGO12" s="11"/>
      <c r="AGP12" s="28"/>
      <c r="AGQ12" s="11"/>
      <c r="AGR12" s="28"/>
      <c r="AGS12" s="11"/>
      <c r="AGT12" s="28"/>
      <c r="AGU12" s="11"/>
      <c r="AGV12" s="28"/>
      <c r="AGW12" s="11"/>
      <c r="AGX12" s="28"/>
      <c r="AGY12" s="11"/>
      <c r="AGZ12" s="28"/>
      <c r="AHA12" s="11"/>
      <c r="AHB12" s="28"/>
      <c r="AHC12" s="11"/>
      <c r="AHD12" s="28"/>
      <c r="AHE12" s="11"/>
      <c r="AHF12" s="28"/>
      <c r="AHG12" s="11"/>
      <c r="AHH12" s="28"/>
      <c r="AHI12" s="11"/>
      <c r="AHJ12" s="28"/>
      <c r="AHK12" s="11"/>
      <c r="AHL12" s="28"/>
      <c r="AHM12" s="11"/>
      <c r="AHN12" s="28"/>
      <c r="AHO12" s="11"/>
      <c r="AHP12" s="28"/>
      <c r="AHQ12" s="11"/>
      <c r="AHR12" s="28"/>
      <c r="AHS12" s="11"/>
      <c r="AHT12" s="28"/>
      <c r="AHU12" s="11"/>
      <c r="AHV12" s="28"/>
      <c r="AHW12" s="11"/>
      <c r="AHX12" s="28"/>
      <c r="AHY12" s="11"/>
      <c r="AHZ12" s="28"/>
      <c r="AIA12" s="11"/>
      <c r="AIB12" s="28"/>
      <c r="AIC12" s="11"/>
      <c r="AID12" s="28"/>
      <c r="AIE12" s="11"/>
      <c r="AIF12" s="28"/>
      <c r="AIG12" s="11"/>
      <c r="AIH12" s="28"/>
      <c r="AII12" s="11"/>
      <c r="AIJ12" s="28"/>
      <c r="AIK12" s="11"/>
      <c r="AIL12" s="28"/>
      <c r="AIM12" s="11"/>
      <c r="AIN12" s="28"/>
      <c r="AIO12" s="11"/>
      <c r="AIP12" s="28"/>
      <c r="AIQ12" s="11"/>
      <c r="AIR12" s="28"/>
      <c r="AIS12" s="11"/>
      <c r="AIT12" s="28"/>
      <c r="AIU12" s="11"/>
      <c r="AIV12" s="28"/>
      <c r="AIW12" s="11"/>
      <c r="AIX12" s="28"/>
      <c r="AIY12" s="11"/>
      <c r="AIZ12" s="28"/>
      <c r="AJA12" s="11"/>
      <c r="AJB12" s="28"/>
      <c r="AJC12" s="11"/>
      <c r="AJD12" s="28"/>
      <c r="AJE12" s="11"/>
      <c r="AJF12" s="28"/>
      <c r="AJG12" s="11"/>
      <c r="AJH12" s="28"/>
      <c r="AJI12" s="11"/>
      <c r="AJJ12" s="28"/>
      <c r="AJK12" s="11"/>
      <c r="AJL12" s="28"/>
      <c r="AJM12" s="11"/>
      <c r="AJN12" s="28"/>
      <c r="AJO12" s="11"/>
      <c r="AJP12" s="28"/>
      <c r="AJQ12" s="11"/>
      <c r="AJR12" s="28"/>
      <c r="AJS12" s="11"/>
      <c r="AJT12" s="28"/>
      <c r="AJU12" s="11"/>
      <c r="AJV12" s="28"/>
      <c r="AJW12" s="11"/>
      <c r="AJX12" s="28"/>
      <c r="AJY12" s="11"/>
      <c r="AJZ12" s="28"/>
      <c r="AKA12" s="11"/>
      <c r="AKB12" s="28"/>
      <c r="AKC12" s="11"/>
      <c r="AKD12" s="28"/>
      <c r="AKE12" s="11"/>
      <c r="AKF12" s="28"/>
      <c r="AKG12" s="11"/>
      <c r="AKH12" s="28"/>
      <c r="AKI12" s="11"/>
      <c r="AKJ12" s="28"/>
      <c r="AKK12" s="11"/>
      <c r="AKL12" s="28"/>
      <c r="AKM12" s="11"/>
      <c r="AKN12" s="28"/>
      <c r="AKO12" s="11"/>
      <c r="AKP12" s="28"/>
      <c r="AKQ12" s="11"/>
      <c r="AKR12" s="28"/>
      <c r="AKS12" s="11"/>
      <c r="AKT12" s="28"/>
      <c r="AKU12" s="11"/>
      <c r="AKV12" s="28"/>
      <c r="AKW12" s="11"/>
      <c r="AKX12" s="28"/>
      <c r="AKY12" s="11"/>
      <c r="AKZ12" s="28"/>
      <c r="ALA12" s="11"/>
      <c r="ALB12" s="28"/>
      <c r="ALC12" s="11"/>
      <c r="ALD12" s="28"/>
      <c r="ALE12" s="11"/>
      <c r="ALF12" s="28"/>
      <c r="ALG12" s="11"/>
      <c r="ALH12" s="28"/>
      <c r="ALI12" s="11"/>
      <c r="ALJ12" s="28"/>
      <c r="ALK12" s="11"/>
      <c r="ALL12" s="28"/>
      <c r="ALM12" s="11"/>
      <c r="ALN12" s="28"/>
      <c r="ALO12" s="11"/>
      <c r="ALP12" s="28"/>
      <c r="ALQ12" s="11"/>
      <c r="ALR12" s="28"/>
      <c r="ALS12" s="11"/>
      <c r="ALT12" s="28"/>
      <c r="ALU12" s="11"/>
      <c r="ALV12" s="28"/>
      <c r="ALW12" s="11"/>
      <c r="ALX12" s="28"/>
      <c r="ALY12" s="11"/>
      <c r="ALZ12" s="28"/>
      <c r="AMA12" s="11"/>
      <c r="AMB12" s="28"/>
      <c r="AMC12" s="11"/>
      <c r="AMD12" s="28"/>
      <c r="AME12" s="11"/>
      <c r="AMF12" s="28"/>
      <c r="AMG12" s="11"/>
      <c r="AMH12" s="28"/>
      <c r="AMI12" s="11"/>
      <c r="AMJ12" s="28"/>
      <c r="AMK12" s="11"/>
      <c r="AML12" s="28"/>
      <c r="AMM12" s="11"/>
      <c r="AMN12" s="28"/>
      <c r="AMO12" s="11"/>
      <c r="AMP12" s="28"/>
      <c r="AMQ12" s="11"/>
      <c r="AMR12" s="28"/>
      <c r="AMS12" s="11"/>
      <c r="AMT12" s="28"/>
      <c r="AMU12" s="11"/>
      <c r="AMV12" s="28"/>
      <c r="AMW12" s="11"/>
      <c r="AMX12" s="28"/>
      <c r="AMY12" s="11"/>
      <c r="AMZ12" s="28"/>
      <c r="ANA12" s="11"/>
      <c r="ANB12" s="28"/>
      <c r="ANC12" s="11"/>
      <c r="AND12" s="28"/>
      <c r="ANE12" s="11"/>
      <c r="ANF12" s="28"/>
      <c r="ANG12" s="11"/>
      <c r="ANH12" s="28"/>
      <c r="ANI12" s="11"/>
      <c r="ANJ12" s="28"/>
      <c r="ANK12" s="11"/>
      <c r="ANL12" s="28"/>
      <c r="ANM12" s="11"/>
      <c r="ANN12" s="28"/>
      <c r="ANO12" s="11"/>
      <c r="ANP12" s="28"/>
      <c r="ANQ12" s="11"/>
      <c r="ANR12" s="28"/>
      <c r="ANS12" s="11"/>
      <c r="ANT12" s="28"/>
      <c r="ANU12" s="11"/>
      <c r="ANV12" s="28"/>
      <c r="ANW12" s="11"/>
      <c r="ANX12" s="28"/>
      <c r="ANY12" s="11"/>
      <c r="ANZ12" s="28"/>
      <c r="AOA12" s="11"/>
      <c r="AOB12" s="28"/>
      <c r="AOC12" s="11"/>
      <c r="AOD12" s="28"/>
      <c r="AOE12" s="11"/>
      <c r="AOF12" s="28"/>
      <c r="AOG12" s="11"/>
      <c r="AOH12" s="28"/>
      <c r="AOI12" s="11"/>
      <c r="AOJ12" s="28"/>
      <c r="AOK12" s="11"/>
      <c r="AOL12" s="28"/>
      <c r="AOM12" s="11"/>
      <c r="AON12" s="28"/>
      <c r="AOO12" s="11"/>
      <c r="AOP12" s="28"/>
      <c r="AOQ12" s="11"/>
      <c r="AOR12" s="28"/>
      <c r="AOS12" s="11"/>
      <c r="AOT12" s="28"/>
      <c r="AOU12" s="11"/>
      <c r="AOV12" s="28"/>
      <c r="AOW12" s="11"/>
      <c r="AOX12" s="28"/>
      <c r="AOY12" s="11"/>
      <c r="AOZ12" s="28"/>
      <c r="APA12" s="11"/>
      <c r="APB12" s="28"/>
      <c r="APC12" s="11"/>
      <c r="APD12" s="28"/>
      <c r="APE12" s="11"/>
      <c r="APF12" s="28"/>
      <c r="APG12" s="11"/>
      <c r="APH12" s="28"/>
      <c r="API12" s="11"/>
      <c r="APJ12" s="28"/>
      <c r="APK12" s="11"/>
      <c r="APL12" s="28"/>
      <c r="APM12" s="11"/>
      <c r="APN12" s="28"/>
      <c r="APO12" s="11"/>
      <c r="APP12" s="28"/>
      <c r="APQ12" s="11"/>
      <c r="APR12" s="28"/>
      <c r="APS12" s="11"/>
      <c r="APT12" s="28"/>
      <c r="APU12" s="11"/>
      <c r="APV12" s="28"/>
      <c r="APW12" s="11"/>
      <c r="APX12" s="28"/>
      <c r="APY12" s="11"/>
      <c r="APZ12" s="28"/>
      <c r="AQA12" s="11"/>
      <c r="AQB12" s="28"/>
      <c r="AQC12" s="11"/>
      <c r="AQD12" s="28"/>
      <c r="AQE12" s="11"/>
      <c r="AQF12" s="28"/>
      <c r="AQG12" s="11"/>
      <c r="AQH12" s="28"/>
      <c r="AQI12" s="11"/>
      <c r="AQJ12" s="28"/>
      <c r="AQK12" s="11"/>
      <c r="AQL12" s="28"/>
      <c r="AQM12" s="11"/>
      <c r="AQN12" s="28"/>
      <c r="AQO12" s="11"/>
      <c r="AQP12" s="28"/>
      <c r="AQQ12" s="11"/>
      <c r="AQR12" s="28"/>
      <c r="AQS12" s="11"/>
      <c r="AQT12" s="28"/>
      <c r="AQU12" s="11"/>
      <c r="AQV12" s="28"/>
      <c r="AQW12" s="11"/>
      <c r="AQX12" s="28"/>
      <c r="AQY12" s="11"/>
      <c r="AQZ12" s="28"/>
      <c r="ARA12" s="11"/>
      <c r="ARB12" s="28"/>
      <c r="ARC12" s="11"/>
      <c r="ARD12" s="28"/>
      <c r="ARE12" s="11"/>
      <c r="ARF12" s="28"/>
      <c r="ARG12" s="11"/>
      <c r="ARH12" s="28"/>
      <c r="ARI12" s="11"/>
      <c r="ARJ12" s="28"/>
      <c r="ARK12" s="11"/>
      <c r="ARL12" s="28"/>
      <c r="ARM12" s="11"/>
      <c r="ARN12" s="28"/>
      <c r="ARO12" s="11"/>
      <c r="ARP12" s="28"/>
      <c r="ARQ12" s="11"/>
      <c r="ARR12" s="28"/>
      <c r="ARS12" s="11"/>
      <c r="ART12" s="28"/>
      <c r="ARU12" s="11"/>
      <c r="ARV12" s="28"/>
      <c r="ARW12" s="11"/>
      <c r="ARX12" s="28"/>
      <c r="ARY12" s="11"/>
      <c r="ARZ12" s="28"/>
      <c r="ASA12" s="11"/>
      <c r="ASB12" s="28"/>
      <c r="ASC12" s="11"/>
      <c r="ASD12" s="28"/>
      <c r="ASE12" s="11"/>
      <c r="ASF12" s="28"/>
      <c r="ASG12" s="11"/>
      <c r="ASH12" s="28"/>
      <c r="ASI12" s="11"/>
      <c r="ASJ12" s="28"/>
      <c r="ASK12" s="11"/>
      <c r="ASL12" s="28"/>
      <c r="ASM12" s="11"/>
      <c r="ASN12" s="28"/>
      <c r="ASO12" s="11"/>
      <c r="ASP12" s="28"/>
      <c r="ASQ12" s="11"/>
      <c r="ASR12" s="28"/>
      <c r="ASS12" s="11"/>
      <c r="AST12" s="28"/>
      <c r="ASU12" s="11"/>
      <c r="ASV12" s="28"/>
      <c r="ASW12" s="11"/>
      <c r="ASX12" s="28"/>
      <c r="ASY12" s="11"/>
      <c r="ASZ12" s="28"/>
      <c r="ATA12" s="11"/>
      <c r="ATB12" s="28"/>
      <c r="ATC12" s="11"/>
      <c r="ATD12" s="28"/>
      <c r="ATE12" s="11"/>
      <c r="ATF12" s="28"/>
      <c r="ATG12" s="11"/>
      <c r="ATH12" s="28"/>
      <c r="ATI12" s="11"/>
      <c r="ATJ12" s="28"/>
      <c r="ATK12" s="11"/>
      <c r="ATL12" s="28"/>
      <c r="ATM12" s="11"/>
      <c r="ATN12" s="28"/>
      <c r="ATO12" s="11"/>
      <c r="ATP12" s="28"/>
      <c r="ATQ12" s="11"/>
      <c r="ATR12" s="28"/>
      <c r="ATS12" s="11"/>
      <c r="ATT12" s="28"/>
      <c r="ATU12" s="11"/>
      <c r="ATV12" s="28"/>
      <c r="ATW12" s="11"/>
      <c r="ATX12" s="28"/>
      <c r="ATY12" s="11"/>
      <c r="ATZ12" s="28"/>
      <c r="AUA12" s="11"/>
      <c r="AUB12" s="28"/>
      <c r="AUC12" s="11"/>
      <c r="AUD12" s="28"/>
      <c r="AUE12" s="11"/>
      <c r="AUF12" s="28"/>
      <c r="AUG12" s="11"/>
      <c r="AUH12" s="28"/>
      <c r="AUI12" s="11"/>
      <c r="AUJ12" s="28"/>
      <c r="AUK12" s="11"/>
      <c r="AUL12" s="28"/>
      <c r="AUM12" s="11"/>
      <c r="AUN12" s="28"/>
      <c r="AUO12" s="11"/>
      <c r="AUP12" s="28"/>
      <c r="AUQ12" s="11"/>
      <c r="AUR12" s="28"/>
      <c r="AUS12" s="11"/>
      <c r="AUT12" s="28"/>
      <c r="AUU12" s="11"/>
      <c r="AUV12" s="28"/>
      <c r="AUW12" s="11"/>
      <c r="AUX12" s="28"/>
      <c r="AUY12" s="11"/>
      <c r="AUZ12" s="28"/>
      <c r="AVA12" s="11"/>
      <c r="AVB12" s="28"/>
      <c r="AVC12" s="11"/>
      <c r="AVD12" s="28"/>
      <c r="AVE12" s="11"/>
      <c r="AVF12" s="28"/>
      <c r="AVG12" s="11"/>
      <c r="AVH12" s="28"/>
      <c r="AVI12" s="11"/>
      <c r="AVJ12" s="28"/>
      <c r="AVK12" s="11"/>
      <c r="AVL12" s="28"/>
      <c r="AVM12" s="11"/>
      <c r="AVN12" s="28"/>
      <c r="AVO12" s="11"/>
      <c r="AVP12" s="28"/>
      <c r="AVQ12" s="11"/>
      <c r="AVR12" s="28"/>
      <c r="AVS12" s="11"/>
      <c r="AVT12" s="28"/>
      <c r="AVU12" s="11"/>
      <c r="AVV12" s="28"/>
      <c r="AVW12" s="11"/>
      <c r="AVX12" s="28"/>
      <c r="AVY12" s="11"/>
      <c r="AVZ12" s="28"/>
      <c r="AWA12" s="11"/>
      <c r="AWB12" s="28"/>
      <c r="AWC12" s="11"/>
      <c r="AWD12" s="28"/>
      <c r="AWE12" s="11"/>
      <c r="AWF12" s="28"/>
      <c r="AWG12" s="11"/>
      <c r="AWH12" s="28"/>
      <c r="AWI12" s="11"/>
      <c r="AWJ12" s="28"/>
      <c r="AWK12" s="11"/>
      <c r="AWL12" s="28"/>
      <c r="AWM12" s="11"/>
      <c r="AWN12" s="28"/>
      <c r="AWO12" s="11"/>
      <c r="AWP12" s="28"/>
      <c r="AWQ12" s="11"/>
      <c r="AWR12" s="28"/>
      <c r="AWS12" s="11"/>
      <c r="AWT12" s="28"/>
      <c r="AWU12" s="11"/>
      <c r="AWV12" s="28"/>
      <c r="AWW12" s="11"/>
      <c r="AWX12" s="28"/>
      <c r="AWY12" s="11"/>
      <c r="AWZ12" s="28"/>
      <c r="AXA12" s="11"/>
      <c r="AXB12" s="28"/>
      <c r="AXC12" s="11"/>
      <c r="AXD12" s="28"/>
      <c r="AXE12" s="11"/>
      <c r="AXF12" s="28"/>
      <c r="AXG12" s="11"/>
      <c r="AXH12" s="28"/>
      <c r="AXI12" s="11"/>
      <c r="AXJ12" s="28"/>
      <c r="AXK12" s="11"/>
      <c r="AXL12" s="28"/>
      <c r="AXM12" s="11"/>
      <c r="AXN12" s="28"/>
      <c r="AXO12" s="11"/>
      <c r="AXP12" s="28"/>
      <c r="AXQ12" s="11"/>
      <c r="AXR12" s="28"/>
      <c r="AXS12" s="11"/>
      <c r="AXT12" s="28"/>
      <c r="AXU12" s="11"/>
      <c r="AXV12" s="28"/>
      <c r="AXW12" s="11"/>
      <c r="AXX12" s="28"/>
      <c r="AXY12" s="11"/>
      <c r="AXZ12" s="28"/>
      <c r="AYA12" s="11"/>
      <c r="AYB12" s="28"/>
      <c r="AYC12" s="11"/>
      <c r="AYD12" s="28"/>
      <c r="AYE12" s="11"/>
      <c r="AYF12" s="28"/>
      <c r="AYG12" s="11"/>
      <c r="AYH12" s="28"/>
      <c r="AYI12" s="11"/>
      <c r="AYJ12" s="28"/>
      <c r="AYK12" s="11"/>
      <c r="AYL12" s="28"/>
      <c r="AYM12" s="11"/>
      <c r="AYN12" s="28"/>
      <c r="AYO12" s="11"/>
      <c r="AYP12" s="28"/>
      <c r="AYQ12" s="11"/>
      <c r="AYR12" s="28"/>
      <c r="AYS12" s="11"/>
      <c r="AYT12" s="28"/>
      <c r="AYU12" s="11"/>
      <c r="AYV12" s="28"/>
      <c r="AYW12" s="11"/>
      <c r="AYX12" s="28"/>
      <c r="AYY12" s="11"/>
      <c r="AYZ12" s="28"/>
      <c r="AZA12" s="11"/>
      <c r="AZB12" s="28"/>
      <c r="AZC12" s="11"/>
      <c r="AZD12" s="28"/>
      <c r="AZE12" s="11"/>
      <c r="AZF12" s="28"/>
      <c r="AZG12" s="11"/>
      <c r="AZH12" s="28"/>
      <c r="AZI12" s="11"/>
      <c r="AZJ12" s="28"/>
      <c r="AZK12" s="11"/>
      <c r="AZL12" s="28"/>
      <c r="AZM12" s="11"/>
      <c r="AZN12" s="28"/>
      <c r="AZO12" s="11"/>
      <c r="AZP12" s="28"/>
      <c r="AZQ12" s="11"/>
      <c r="AZR12" s="28"/>
      <c r="AZS12" s="11"/>
      <c r="AZT12" s="28"/>
      <c r="AZU12" s="11"/>
      <c r="AZV12" s="28"/>
      <c r="AZW12" s="11"/>
      <c r="AZX12" s="28"/>
      <c r="AZY12" s="11"/>
      <c r="AZZ12" s="28"/>
      <c r="BAA12" s="11"/>
      <c r="BAB12" s="28"/>
      <c r="BAC12" s="11"/>
      <c r="BAD12" s="28"/>
      <c r="BAE12" s="11"/>
      <c r="BAF12" s="28"/>
      <c r="BAG12" s="11"/>
      <c r="BAH12" s="28"/>
      <c r="BAI12" s="11"/>
      <c r="BAJ12" s="28"/>
      <c r="BAK12" s="11"/>
      <c r="BAL12" s="28"/>
      <c r="BAM12" s="11"/>
      <c r="BAN12" s="28"/>
      <c r="BAO12" s="11"/>
      <c r="BAP12" s="28"/>
      <c r="BAQ12" s="11"/>
      <c r="BAR12" s="28"/>
      <c r="BAS12" s="11"/>
      <c r="BAT12" s="28"/>
      <c r="BAU12" s="11"/>
      <c r="BAV12" s="28"/>
      <c r="BAW12" s="11"/>
      <c r="BAX12" s="28"/>
      <c r="BAY12" s="11"/>
      <c r="BAZ12" s="28"/>
      <c r="BBA12" s="11"/>
      <c r="BBB12" s="28"/>
      <c r="BBC12" s="11"/>
      <c r="BBD12" s="28"/>
      <c r="BBE12" s="11"/>
      <c r="BBF12" s="28"/>
      <c r="BBG12" s="11"/>
      <c r="BBH12" s="28"/>
      <c r="BBI12" s="11"/>
      <c r="BBJ12" s="28"/>
      <c r="BBK12" s="11"/>
      <c r="BBL12" s="28"/>
      <c r="BBM12" s="11"/>
      <c r="BBN12" s="28"/>
      <c r="BBO12" s="11"/>
      <c r="BBP12" s="28"/>
      <c r="BBQ12" s="11"/>
      <c r="BBR12" s="28"/>
      <c r="BBS12" s="11"/>
      <c r="BBT12" s="28"/>
      <c r="BBU12" s="11"/>
      <c r="BBV12" s="28"/>
      <c r="BBW12" s="11"/>
      <c r="BBX12" s="28"/>
      <c r="BBY12" s="11"/>
      <c r="BBZ12" s="28"/>
      <c r="BCA12" s="11"/>
      <c r="BCB12" s="28"/>
      <c r="BCC12" s="11"/>
      <c r="BCD12" s="28"/>
      <c r="BCE12" s="11"/>
      <c r="BCF12" s="28"/>
      <c r="BCG12" s="11"/>
      <c r="BCH12" s="28"/>
      <c r="BCI12" s="11"/>
      <c r="BCJ12" s="28"/>
      <c r="BCK12" s="11"/>
      <c r="BCL12" s="28"/>
      <c r="BCM12" s="11"/>
      <c r="BCN12" s="28"/>
      <c r="BCO12" s="11"/>
      <c r="BCP12" s="28"/>
      <c r="BCQ12" s="11"/>
      <c r="BCR12" s="28"/>
      <c r="BCS12" s="11"/>
      <c r="BCT12" s="28"/>
      <c r="BCU12" s="11"/>
      <c r="BCV12" s="28"/>
      <c r="BCW12" s="11"/>
      <c r="BCX12" s="28"/>
      <c r="BCY12" s="11"/>
      <c r="BCZ12" s="28"/>
      <c r="BDA12" s="11"/>
      <c r="BDB12" s="28"/>
      <c r="BDC12" s="11"/>
      <c r="BDD12" s="28"/>
      <c r="BDE12" s="11"/>
      <c r="BDF12" s="28"/>
      <c r="BDG12" s="11"/>
      <c r="BDH12" s="28"/>
      <c r="BDI12" s="11"/>
      <c r="BDJ12" s="28"/>
      <c r="BDK12" s="11"/>
      <c r="BDL12" s="28"/>
      <c r="BDM12" s="11"/>
      <c r="BDN12" s="28"/>
      <c r="BDO12" s="11"/>
      <c r="BDP12" s="28"/>
      <c r="BDQ12" s="11"/>
      <c r="BDR12" s="28"/>
      <c r="BDS12" s="11"/>
      <c r="BDT12" s="28"/>
      <c r="BDU12" s="11"/>
      <c r="BDV12" s="28"/>
      <c r="BDW12" s="11"/>
      <c r="BDX12" s="28"/>
      <c r="BDY12" s="11"/>
      <c r="BDZ12" s="28"/>
      <c r="BEA12" s="11"/>
      <c r="BEB12" s="28"/>
      <c r="BEC12" s="11"/>
      <c r="BED12" s="28"/>
      <c r="BEE12" s="11"/>
      <c r="BEF12" s="28"/>
      <c r="BEG12" s="11"/>
      <c r="BEH12" s="28"/>
      <c r="BEI12" s="11"/>
      <c r="BEJ12" s="28"/>
      <c r="BEK12" s="11"/>
      <c r="BEL12" s="28"/>
      <c r="BEM12" s="11"/>
      <c r="BEN12" s="28"/>
      <c r="BEO12" s="11"/>
      <c r="BEP12" s="28"/>
      <c r="BEQ12" s="11"/>
      <c r="BER12" s="28"/>
      <c r="BES12" s="11"/>
      <c r="BET12" s="28"/>
      <c r="BEU12" s="11"/>
      <c r="BEV12" s="28"/>
      <c r="BEW12" s="11"/>
      <c r="BEX12" s="28"/>
      <c r="BEY12" s="11"/>
      <c r="BEZ12" s="28"/>
      <c r="BFA12" s="11"/>
      <c r="BFB12" s="28"/>
      <c r="BFC12" s="11"/>
      <c r="BFD12" s="28"/>
      <c r="BFE12" s="11"/>
      <c r="BFF12" s="28"/>
      <c r="BFG12" s="11"/>
      <c r="BFH12" s="28"/>
      <c r="BFI12" s="11"/>
      <c r="BFJ12" s="28"/>
      <c r="BFK12" s="11"/>
      <c r="BFL12" s="28"/>
      <c r="BFM12" s="11"/>
      <c r="BFN12" s="28"/>
      <c r="BFO12" s="11"/>
      <c r="BFP12" s="28"/>
      <c r="BFQ12" s="11"/>
      <c r="BFR12" s="28"/>
      <c r="BFS12" s="11"/>
      <c r="BFT12" s="28"/>
      <c r="BFU12" s="11"/>
      <c r="BFV12" s="28"/>
      <c r="BFW12" s="11"/>
      <c r="BFX12" s="28"/>
      <c r="BFY12" s="11"/>
      <c r="BFZ12" s="28"/>
      <c r="BGA12" s="11"/>
      <c r="BGB12" s="28"/>
      <c r="BGC12" s="11"/>
      <c r="BGD12" s="28"/>
      <c r="BGE12" s="11"/>
      <c r="BGF12" s="28"/>
      <c r="BGG12" s="11"/>
      <c r="BGH12" s="28"/>
      <c r="BGI12" s="11"/>
      <c r="BGJ12" s="28"/>
      <c r="BGK12" s="11"/>
      <c r="BGL12" s="28"/>
      <c r="BGM12" s="11"/>
      <c r="BGN12" s="28"/>
      <c r="BGO12" s="11"/>
      <c r="BGP12" s="28"/>
      <c r="BGQ12" s="11"/>
      <c r="BGR12" s="28"/>
      <c r="BGS12" s="11"/>
      <c r="BGT12" s="28"/>
      <c r="BGU12" s="11"/>
      <c r="BGV12" s="28"/>
      <c r="BGW12" s="11"/>
      <c r="BGX12" s="28"/>
      <c r="BGY12" s="11"/>
      <c r="BGZ12" s="28"/>
      <c r="BHA12" s="11"/>
      <c r="BHB12" s="28"/>
      <c r="BHC12" s="11"/>
      <c r="BHD12" s="28"/>
      <c r="BHE12" s="11"/>
      <c r="BHF12" s="28"/>
      <c r="BHG12" s="11"/>
      <c r="BHH12" s="28"/>
      <c r="BHI12" s="11"/>
      <c r="BHJ12" s="28"/>
      <c r="BHK12" s="11"/>
      <c r="BHL12" s="28"/>
      <c r="BHM12" s="11"/>
      <c r="BHN12" s="28"/>
      <c r="BHO12" s="11"/>
      <c r="BHP12" s="28"/>
      <c r="BHQ12" s="11"/>
      <c r="BHR12" s="28"/>
      <c r="BHS12" s="11"/>
      <c r="BHT12" s="28"/>
      <c r="BHU12" s="11"/>
      <c r="BHV12" s="28"/>
      <c r="BHW12" s="11"/>
      <c r="BHX12" s="28"/>
      <c r="BHY12" s="11"/>
      <c r="BHZ12" s="28"/>
      <c r="BIA12" s="11"/>
      <c r="BIB12" s="28"/>
      <c r="BIC12" s="11"/>
      <c r="BID12" s="28"/>
      <c r="BIE12" s="11"/>
      <c r="BIF12" s="28"/>
      <c r="BIG12" s="11"/>
      <c r="BIH12" s="28"/>
      <c r="BII12" s="11"/>
      <c r="BIJ12" s="28"/>
      <c r="BIK12" s="11"/>
      <c r="BIL12" s="28"/>
      <c r="BIM12" s="11"/>
      <c r="BIN12" s="28"/>
      <c r="BIO12" s="11"/>
      <c r="BIP12" s="28"/>
      <c r="BIQ12" s="11"/>
      <c r="BIR12" s="28"/>
      <c r="BIS12" s="11"/>
      <c r="BIT12" s="28"/>
      <c r="BIU12" s="11"/>
      <c r="BIV12" s="28"/>
      <c r="BIW12" s="11"/>
      <c r="BIX12" s="28"/>
      <c r="BIY12" s="11"/>
      <c r="BIZ12" s="28"/>
      <c r="BJA12" s="11"/>
      <c r="BJB12" s="28"/>
      <c r="BJC12" s="11"/>
      <c r="BJD12" s="28"/>
      <c r="BJE12" s="11"/>
      <c r="BJF12" s="28"/>
      <c r="BJG12" s="11"/>
      <c r="BJH12" s="28"/>
      <c r="BJI12" s="11"/>
      <c r="BJJ12" s="28"/>
      <c r="BJK12" s="11"/>
      <c r="BJL12" s="28"/>
      <c r="BJM12" s="11"/>
      <c r="BJN12" s="28"/>
      <c r="BJO12" s="11"/>
      <c r="BJP12" s="28"/>
      <c r="BJQ12" s="11"/>
      <c r="BJR12" s="28"/>
      <c r="BJS12" s="11"/>
      <c r="BJT12" s="28"/>
      <c r="BJU12" s="11"/>
      <c r="BJV12" s="28"/>
      <c r="BJW12" s="11"/>
      <c r="BJX12" s="28"/>
      <c r="BJY12" s="11"/>
      <c r="BJZ12" s="28"/>
      <c r="BKA12" s="11"/>
      <c r="BKB12" s="28"/>
      <c r="BKC12" s="11"/>
      <c r="BKD12" s="28"/>
      <c r="BKE12" s="11"/>
      <c r="BKF12" s="28"/>
      <c r="BKG12" s="11"/>
      <c r="BKH12" s="28"/>
      <c r="BKI12" s="11"/>
      <c r="BKJ12" s="28"/>
      <c r="BKK12" s="11"/>
      <c r="BKL12" s="28"/>
      <c r="BKM12" s="11"/>
      <c r="BKN12" s="28"/>
      <c r="BKO12" s="11"/>
      <c r="BKP12" s="28"/>
      <c r="BKQ12" s="11"/>
      <c r="BKR12" s="28"/>
      <c r="BKS12" s="11"/>
      <c r="BKT12" s="28"/>
      <c r="BKU12" s="11"/>
      <c r="BKV12" s="28"/>
      <c r="BKW12" s="11"/>
      <c r="BKX12" s="28"/>
      <c r="BKY12" s="11"/>
      <c r="BKZ12" s="28"/>
      <c r="BLA12" s="11"/>
      <c r="BLB12" s="28"/>
      <c r="BLC12" s="11"/>
      <c r="BLD12" s="28"/>
      <c r="BLE12" s="11"/>
      <c r="BLF12" s="28"/>
      <c r="BLG12" s="11"/>
      <c r="BLH12" s="28"/>
      <c r="BLI12" s="11"/>
      <c r="BLJ12" s="28"/>
      <c r="BLK12" s="11"/>
      <c r="BLL12" s="28"/>
      <c r="BLM12" s="11"/>
      <c r="BLN12" s="28"/>
      <c r="BLO12" s="11"/>
      <c r="BLP12" s="28"/>
      <c r="BLQ12" s="11"/>
      <c r="BLR12" s="28"/>
      <c r="BLS12" s="11"/>
      <c r="BLT12" s="28"/>
      <c r="BLU12" s="11"/>
      <c r="BLV12" s="28"/>
      <c r="BLW12" s="11"/>
      <c r="BLX12" s="28"/>
      <c r="BLY12" s="11"/>
      <c r="BLZ12" s="28"/>
      <c r="BMA12" s="11"/>
      <c r="BMB12" s="28"/>
      <c r="BMC12" s="11"/>
      <c r="BMD12" s="28"/>
      <c r="BME12" s="11"/>
      <c r="BMF12" s="28"/>
      <c r="BMG12" s="11"/>
      <c r="BMH12" s="28"/>
      <c r="BMI12" s="11"/>
      <c r="BMJ12" s="28"/>
      <c r="BMK12" s="11"/>
      <c r="BML12" s="28"/>
      <c r="BMM12" s="11"/>
      <c r="BMN12" s="28"/>
      <c r="BMO12" s="11"/>
      <c r="BMP12" s="28"/>
      <c r="BMQ12" s="11"/>
      <c r="BMR12" s="28"/>
      <c r="BMS12" s="11"/>
      <c r="BMT12" s="28"/>
      <c r="BMU12" s="11"/>
      <c r="BMV12" s="28"/>
      <c r="BMW12" s="11"/>
      <c r="BMX12" s="28"/>
      <c r="BMY12" s="11"/>
      <c r="BMZ12" s="28"/>
      <c r="BNA12" s="11"/>
      <c r="BNB12" s="28"/>
      <c r="BNC12" s="11"/>
      <c r="BND12" s="28"/>
      <c r="BNE12" s="11"/>
      <c r="BNF12" s="28"/>
      <c r="BNG12" s="11"/>
      <c r="BNH12" s="28"/>
      <c r="BNI12" s="11"/>
      <c r="BNJ12" s="28"/>
      <c r="BNK12" s="11"/>
      <c r="BNL12" s="28"/>
      <c r="BNM12" s="11"/>
      <c r="BNN12" s="28"/>
      <c r="BNO12" s="11"/>
      <c r="BNP12" s="28"/>
      <c r="BNQ12" s="11"/>
      <c r="BNR12" s="28"/>
      <c r="BNS12" s="11"/>
      <c r="BNT12" s="28"/>
      <c r="BNU12" s="11"/>
      <c r="BNV12" s="28"/>
      <c r="BNW12" s="11"/>
      <c r="BNX12" s="28"/>
      <c r="BNY12" s="11"/>
      <c r="BNZ12" s="28"/>
      <c r="BOA12" s="11"/>
      <c r="BOB12" s="28"/>
      <c r="BOC12" s="11"/>
      <c r="BOD12" s="28"/>
      <c r="BOE12" s="11"/>
      <c r="BOF12" s="28"/>
      <c r="BOG12" s="11"/>
      <c r="BOH12" s="28"/>
      <c r="BOI12" s="11"/>
      <c r="BOJ12" s="28"/>
      <c r="BOK12" s="11"/>
      <c r="BOL12" s="28"/>
      <c r="BOM12" s="11"/>
      <c r="BON12" s="28"/>
      <c r="BOO12" s="11"/>
      <c r="BOP12" s="28"/>
      <c r="BOQ12" s="11"/>
      <c r="BOR12" s="28"/>
      <c r="BOS12" s="11"/>
      <c r="BOT12" s="28"/>
      <c r="BOU12" s="11"/>
      <c r="BOV12" s="28"/>
      <c r="BOW12" s="11"/>
      <c r="BOX12" s="28"/>
      <c r="BOY12" s="11"/>
      <c r="BOZ12" s="28"/>
      <c r="BPA12" s="11"/>
      <c r="BPB12" s="28"/>
      <c r="BPC12" s="11"/>
      <c r="BPD12" s="28"/>
      <c r="BPE12" s="11"/>
      <c r="BPF12" s="28"/>
      <c r="BPG12" s="11"/>
      <c r="BPH12" s="28"/>
      <c r="BPI12" s="11"/>
      <c r="BPJ12" s="28"/>
      <c r="BPK12" s="11"/>
      <c r="BPL12" s="28"/>
      <c r="BPM12" s="11"/>
      <c r="BPN12" s="28"/>
      <c r="BPO12" s="11"/>
      <c r="BPP12" s="28"/>
      <c r="BPQ12" s="11"/>
      <c r="BPR12" s="28"/>
      <c r="BPS12" s="11"/>
      <c r="BPT12" s="28"/>
      <c r="BPU12" s="11"/>
      <c r="BPV12" s="28"/>
      <c r="BPW12" s="11"/>
      <c r="BPX12" s="28"/>
      <c r="BPY12" s="11"/>
      <c r="BPZ12" s="28"/>
      <c r="BQA12" s="11"/>
      <c r="BQB12" s="28"/>
      <c r="BQC12" s="11"/>
      <c r="BQD12" s="28"/>
      <c r="BQE12" s="11"/>
      <c r="BQF12" s="28"/>
      <c r="BQG12" s="11"/>
      <c r="BQH12" s="28"/>
      <c r="BQI12" s="11"/>
      <c r="BQJ12" s="28"/>
      <c r="BQK12" s="11"/>
      <c r="BQL12" s="28"/>
      <c r="BQM12" s="11"/>
      <c r="BQN12" s="28"/>
      <c r="BQO12" s="11"/>
      <c r="BQP12" s="28"/>
      <c r="BQQ12" s="11"/>
      <c r="BQR12" s="28"/>
      <c r="BQS12" s="11"/>
      <c r="BQT12" s="28"/>
      <c r="BQU12" s="11"/>
      <c r="BQV12" s="28"/>
      <c r="BQW12" s="11"/>
      <c r="BQX12" s="28"/>
      <c r="BQY12" s="11"/>
      <c r="BQZ12" s="28"/>
      <c r="BRA12" s="11"/>
      <c r="BRB12" s="28"/>
      <c r="BRC12" s="11"/>
      <c r="BRD12" s="28"/>
      <c r="BRE12" s="11"/>
      <c r="BRF12" s="28"/>
      <c r="BRG12" s="11"/>
      <c r="BRH12" s="28"/>
      <c r="BRI12" s="11"/>
      <c r="BRJ12" s="28"/>
      <c r="BRK12" s="11"/>
      <c r="BRL12" s="28"/>
      <c r="BRM12" s="11"/>
      <c r="BRN12" s="28"/>
      <c r="BRO12" s="11"/>
      <c r="BRP12" s="28"/>
      <c r="BRQ12" s="11"/>
      <c r="BRR12" s="28"/>
      <c r="BRS12" s="11"/>
      <c r="BRT12" s="28"/>
      <c r="BRU12" s="11"/>
      <c r="BRV12" s="28"/>
      <c r="BRW12" s="11"/>
      <c r="BRX12" s="28"/>
      <c r="BRY12" s="11"/>
      <c r="BRZ12" s="28"/>
      <c r="BSA12" s="11"/>
      <c r="BSB12" s="28"/>
      <c r="BSC12" s="11"/>
      <c r="BSD12" s="28"/>
      <c r="BSE12" s="11"/>
      <c r="BSF12" s="28"/>
      <c r="BSG12" s="11"/>
      <c r="BSH12" s="28"/>
      <c r="BSI12" s="11"/>
      <c r="BSJ12" s="28"/>
      <c r="BSK12" s="11"/>
      <c r="BSL12" s="28"/>
      <c r="BSM12" s="11"/>
      <c r="BSN12" s="28"/>
      <c r="BSO12" s="11"/>
      <c r="BSP12" s="28"/>
      <c r="BSQ12" s="11"/>
      <c r="BSR12" s="28"/>
      <c r="BSS12" s="11"/>
      <c r="BST12" s="28"/>
      <c r="BSU12" s="11"/>
      <c r="BSV12" s="28"/>
      <c r="BSW12" s="11"/>
      <c r="BSX12" s="28"/>
      <c r="BSY12" s="11"/>
      <c r="BSZ12" s="28"/>
      <c r="BTA12" s="11"/>
      <c r="BTB12" s="28"/>
      <c r="BTC12" s="11"/>
      <c r="BTD12" s="28"/>
      <c r="BTE12" s="11"/>
      <c r="BTF12" s="28"/>
      <c r="BTG12" s="11"/>
      <c r="BTH12" s="28"/>
      <c r="BTI12" s="11"/>
      <c r="BTJ12" s="28"/>
      <c r="BTK12" s="11"/>
      <c r="BTL12" s="28"/>
      <c r="BTM12" s="11"/>
      <c r="BTN12" s="28"/>
      <c r="BTO12" s="11"/>
      <c r="BTP12" s="28"/>
      <c r="BTQ12" s="11"/>
      <c r="BTR12" s="28"/>
      <c r="BTS12" s="11"/>
      <c r="BTT12" s="28"/>
      <c r="BTU12" s="11"/>
      <c r="BTV12" s="28"/>
      <c r="BTW12" s="11"/>
      <c r="BTX12" s="28"/>
      <c r="BTY12" s="11"/>
      <c r="BTZ12" s="28"/>
      <c r="BUA12" s="11"/>
      <c r="BUB12" s="28"/>
      <c r="BUC12" s="11"/>
      <c r="BUD12" s="28"/>
      <c r="BUE12" s="11"/>
      <c r="BUF12" s="28"/>
      <c r="BUG12" s="11"/>
      <c r="BUH12" s="28"/>
      <c r="BUI12" s="11"/>
      <c r="BUJ12" s="28"/>
      <c r="BUK12" s="11"/>
      <c r="BUL12" s="28"/>
      <c r="BUM12" s="11"/>
      <c r="BUN12" s="28"/>
      <c r="BUO12" s="11"/>
      <c r="BUP12" s="28"/>
      <c r="BUQ12" s="11"/>
      <c r="BUR12" s="28"/>
      <c r="BUS12" s="11"/>
      <c r="BUT12" s="28"/>
      <c r="BUU12" s="11"/>
      <c r="BUV12" s="28"/>
      <c r="BUW12" s="11"/>
      <c r="BUX12" s="28"/>
      <c r="BUY12" s="11"/>
      <c r="BUZ12" s="28"/>
      <c r="BVA12" s="11"/>
      <c r="BVB12" s="28"/>
      <c r="BVC12" s="11"/>
      <c r="BVD12" s="28"/>
      <c r="BVE12" s="11"/>
      <c r="BVF12" s="28"/>
      <c r="BVG12" s="11"/>
      <c r="BVH12" s="28"/>
      <c r="BVI12" s="11"/>
      <c r="BVJ12" s="28"/>
      <c r="BVK12" s="11"/>
      <c r="BVL12" s="28"/>
      <c r="BVM12" s="11"/>
      <c r="BVN12" s="28"/>
      <c r="BVO12" s="11"/>
      <c r="BVP12" s="28"/>
      <c r="BVQ12" s="11"/>
      <c r="BVR12" s="28"/>
      <c r="BVS12" s="11"/>
      <c r="BVT12" s="28"/>
      <c r="BVU12" s="11"/>
      <c r="BVV12" s="28"/>
      <c r="BVW12" s="11"/>
      <c r="BVX12" s="28"/>
      <c r="BVY12" s="11"/>
      <c r="BVZ12" s="28"/>
      <c r="BWA12" s="11"/>
      <c r="BWB12" s="28"/>
      <c r="BWC12" s="11"/>
      <c r="BWD12" s="28"/>
      <c r="BWE12" s="11"/>
      <c r="BWF12" s="28"/>
      <c r="BWG12" s="11"/>
      <c r="BWH12" s="28"/>
      <c r="BWI12" s="11"/>
      <c r="BWJ12" s="28"/>
      <c r="BWK12" s="11"/>
      <c r="BWL12" s="28"/>
      <c r="BWM12" s="11"/>
      <c r="BWN12" s="28"/>
      <c r="BWO12" s="11"/>
      <c r="BWP12" s="28"/>
      <c r="BWQ12" s="11"/>
      <c r="BWR12" s="28"/>
      <c r="BWS12" s="11"/>
      <c r="BWT12" s="28"/>
      <c r="BWU12" s="11"/>
      <c r="BWV12" s="28"/>
      <c r="BWW12" s="11"/>
      <c r="BWX12" s="28"/>
      <c r="BWY12" s="11"/>
      <c r="BWZ12" s="28"/>
      <c r="BXA12" s="11"/>
      <c r="BXB12" s="28"/>
      <c r="BXC12" s="11"/>
      <c r="BXD12" s="28"/>
      <c r="BXE12" s="11"/>
      <c r="BXF12" s="28"/>
      <c r="BXG12" s="11"/>
      <c r="BXH12" s="28"/>
      <c r="BXI12" s="11"/>
      <c r="BXJ12" s="28"/>
      <c r="BXK12" s="11"/>
      <c r="BXL12" s="28"/>
      <c r="BXM12" s="11"/>
      <c r="BXN12" s="28"/>
      <c r="BXO12" s="11"/>
      <c r="BXP12" s="28"/>
      <c r="BXQ12" s="11"/>
      <c r="BXR12" s="28"/>
      <c r="BXS12" s="11"/>
      <c r="BXT12" s="28"/>
      <c r="BXU12" s="11"/>
      <c r="BXV12" s="28"/>
      <c r="BXW12" s="11"/>
      <c r="BXX12" s="28"/>
      <c r="BXY12" s="11"/>
      <c r="BXZ12" s="28"/>
      <c r="BYA12" s="11"/>
      <c r="BYB12" s="28"/>
      <c r="BYC12" s="11"/>
      <c r="BYD12" s="28"/>
      <c r="BYE12" s="11"/>
      <c r="BYF12" s="28"/>
      <c r="BYG12" s="11"/>
      <c r="BYH12" s="28"/>
      <c r="BYI12" s="11"/>
      <c r="BYJ12" s="28"/>
      <c r="BYK12" s="11"/>
      <c r="BYL12" s="28"/>
      <c r="BYM12" s="11"/>
      <c r="BYN12" s="28"/>
      <c r="BYO12" s="11"/>
      <c r="BYP12" s="28"/>
      <c r="BYQ12" s="11"/>
      <c r="BYR12" s="28"/>
      <c r="BYS12" s="11"/>
      <c r="BYT12" s="28"/>
      <c r="BYU12" s="11"/>
      <c r="BYV12" s="28"/>
      <c r="BYW12" s="11"/>
      <c r="BYX12" s="28"/>
      <c r="BYY12" s="11"/>
      <c r="BYZ12" s="28"/>
      <c r="BZA12" s="11"/>
      <c r="BZB12" s="28"/>
      <c r="BZC12" s="11"/>
      <c r="BZD12" s="28"/>
      <c r="BZE12" s="11"/>
      <c r="BZF12" s="28"/>
      <c r="BZG12" s="11"/>
      <c r="BZH12" s="28"/>
      <c r="BZI12" s="11"/>
      <c r="BZJ12" s="28"/>
      <c r="BZK12" s="11"/>
      <c r="BZL12" s="28"/>
      <c r="BZM12" s="11"/>
      <c r="BZN12" s="28"/>
      <c r="BZO12" s="11"/>
      <c r="BZP12" s="28"/>
      <c r="BZQ12" s="11"/>
      <c r="BZR12" s="28"/>
      <c r="BZS12" s="11"/>
      <c r="BZT12" s="28"/>
      <c r="BZU12" s="11"/>
      <c r="BZV12" s="28"/>
      <c r="BZW12" s="11"/>
      <c r="BZX12" s="28"/>
      <c r="BZY12" s="11"/>
      <c r="BZZ12" s="28"/>
      <c r="CAA12" s="11"/>
      <c r="CAB12" s="28"/>
      <c r="CAC12" s="11"/>
      <c r="CAD12" s="28"/>
      <c r="CAE12" s="11"/>
      <c r="CAF12" s="28"/>
      <c r="CAG12" s="11"/>
      <c r="CAH12" s="28"/>
      <c r="CAI12" s="11"/>
      <c r="CAJ12" s="28"/>
      <c r="CAK12" s="11"/>
      <c r="CAL12" s="28"/>
      <c r="CAM12" s="11"/>
      <c r="CAN12" s="28"/>
      <c r="CAO12" s="11"/>
      <c r="CAP12" s="28"/>
      <c r="CAQ12" s="11"/>
      <c r="CAR12" s="28"/>
      <c r="CAS12" s="11"/>
      <c r="CAT12" s="28"/>
      <c r="CAU12" s="11"/>
      <c r="CAV12" s="28"/>
      <c r="CAW12" s="11"/>
      <c r="CAX12" s="28"/>
      <c r="CAY12" s="11"/>
      <c r="CAZ12" s="28"/>
      <c r="CBA12" s="11"/>
      <c r="CBB12" s="28"/>
      <c r="CBC12" s="11"/>
      <c r="CBD12" s="28"/>
      <c r="CBE12" s="11"/>
      <c r="CBF12" s="28"/>
      <c r="CBG12" s="11"/>
      <c r="CBH12" s="28"/>
      <c r="CBI12" s="11"/>
      <c r="CBJ12" s="28"/>
      <c r="CBK12" s="11"/>
      <c r="CBL12" s="28"/>
      <c r="CBM12" s="11"/>
      <c r="CBN12" s="28"/>
      <c r="CBO12" s="11"/>
      <c r="CBP12" s="28"/>
      <c r="CBQ12" s="11"/>
      <c r="CBR12" s="28"/>
      <c r="CBS12" s="11"/>
      <c r="CBT12" s="28"/>
      <c r="CBU12" s="11"/>
      <c r="CBV12" s="28"/>
      <c r="CBW12" s="11"/>
      <c r="CBX12" s="28"/>
      <c r="CBY12" s="11"/>
      <c r="CBZ12" s="28"/>
      <c r="CCA12" s="11"/>
      <c r="CCB12" s="28"/>
      <c r="CCC12" s="11"/>
      <c r="CCD12" s="28"/>
      <c r="CCE12" s="11"/>
      <c r="CCF12" s="28"/>
      <c r="CCG12" s="11"/>
      <c r="CCH12" s="28"/>
      <c r="CCI12" s="11"/>
      <c r="CCJ12" s="28"/>
      <c r="CCK12" s="11"/>
      <c r="CCL12" s="28"/>
      <c r="CCM12" s="11"/>
      <c r="CCN12" s="28"/>
      <c r="CCO12" s="11"/>
      <c r="CCP12" s="28"/>
      <c r="CCQ12" s="11"/>
      <c r="CCR12" s="28"/>
      <c r="CCS12" s="11"/>
      <c r="CCT12" s="28"/>
      <c r="CCU12" s="11"/>
      <c r="CCV12" s="28"/>
      <c r="CCW12" s="11"/>
      <c r="CCX12" s="28"/>
      <c r="CCY12" s="11"/>
      <c r="CCZ12" s="28"/>
      <c r="CDA12" s="11"/>
      <c r="CDB12" s="28"/>
      <c r="CDC12" s="11"/>
      <c r="CDD12" s="28"/>
      <c r="CDE12" s="11"/>
      <c r="CDF12" s="28"/>
      <c r="CDG12" s="11"/>
      <c r="CDH12" s="28"/>
      <c r="CDI12" s="11"/>
      <c r="CDJ12" s="28"/>
      <c r="CDK12" s="11"/>
      <c r="CDL12" s="28"/>
      <c r="CDM12" s="11"/>
      <c r="CDN12" s="28"/>
      <c r="CDO12" s="11"/>
      <c r="CDP12" s="28"/>
      <c r="CDQ12" s="11"/>
      <c r="CDR12" s="28"/>
      <c r="CDS12" s="11"/>
      <c r="CDT12" s="28"/>
      <c r="CDU12" s="11"/>
      <c r="CDV12" s="28"/>
      <c r="CDW12" s="11"/>
      <c r="CDX12" s="28"/>
      <c r="CDY12" s="11"/>
      <c r="CDZ12" s="28"/>
      <c r="CEA12" s="11"/>
      <c r="CEB12" s="28"/>
      <c r="CEC12" s="11"/>
      <c r="CED12" s="28"/>
      <c r="CEE12" s="11"/>
      <c r="CEF12" s="28"/>
      <c r="CEG12" s="11"/>
      <c r="CEH12" s="28"/>
      <c r="CEI12" s="11"/>
      <c r="CEJ12" s="28"/>
      <c r="CEK12" s="11"/>
      <c r="CEL12" s="28"/>
      <c r="CEM12" s="11"/>
      <c r="CEN12" s="28"/>
      <c r="CEO12" s="11"/>
      <c r="CEP12" s="28"/>
      <c r="CEQ12" s="11"/>
      <c r="CER12" s="28"/>
      <c r="CES12" s="11"/>
      <c r="CET12" s="28"/>
      <c r="CEU12" s="11"/>
      <c r="CEV12" s="28"/>
      <c r="CEW12" s="11"/>
      <c r="CEX12" s="28"/>
      <c r="CEY12" s="11"/>
      <c r="CEZ12" s="28"/>
      <c r="CFA12" s="11"/>
      <c r="CFB12" s="28"/>
      <c r="CFC12" s="11"/>
      <c r="CFD12" s="28"/>
      <c r="CFE12" s="11"/>
      <c r="CFF12" s="28"/>
      <c r="CFG12" s="11"/>
      <c r="CFH12" s="28"/>
      <c r="CFI12" s="11"/>
      <c r="CFJ12" s="28"/>
      <c r="CFK12" s="11"/>
      <c r="CFL12" s="28"/>
      <c r="CFM12" s="11"/>
      <c r="CFN12" s="28"/>
      <c r="CFO12" s="11"/>
      <c r="CFP12" s="28"/>
      <c r="CFQ12" s="11"/>
      <c r="CFR12" s="28"/>
      <c r="CFS12" s="11"/>
      <c r="CFT12" s="28"/>
      <c r="CFU12" s="11"/>
      <c r="CFV12" s="28"/>
      <c r="CFW12" s="11"/>
      <c r="CFX12" s="28"/>
      <c r="CFY12" s="11"/>
      <c r="CFZ12" s="28"/>
      <c r="CGA12" s="11"/>
      <c r="CGB12" s="28"/>
      <c r="CGC12" s="11"/>
      <c r="CGD12" s="28"/>
      <c r="CGE12" s="11"/>
      <c r="CGF12" s="28"/>
      <c r="CGG12" s="11"/>
      <c r="CGH12" s="28"/>
      <c r="CGI12" s="11"/>
      <c r="CGJ12" s="28"/>
      <c r="CGK12" s="11"/>
      <c r="CGL12" s="28"/>
      <c r="CGM12" s="11"/>
      <c r="CGN12" s="28"/>
      <c r="CGO12" s="11"/>
      <c r="CGP12" s="28"/>
      <c r="CGQ12" s="11"/>
      <c r="CGR12" s="28"/>
      <c r="CGS12" s="11"/>
      <c r="CGT12" s="28"/>
      <c r="CGU12" s="11"/>
      <c r="CGV12" s="28"/>
      <c r="CGW12" s="11"/>
      <c r="CGX12" s="28"/>
      <c r="CGY12" s="11"/>
      <c r="CGZ12" s="28"/>
      <c r="CHA12" s="11"/>
      <c r="CHB12" s="28"/>
      <c r="CHC12" s="11"/>
      <c r="CHD12" s="28"/>
      <c r="CHE12" s="11"/>
      <c r="CHF12" s="28"/>
      <c r="CHG12" s="11"/>
      <c r="CHH12" s="28"/>
      <c r="CHI12" s="11"/>
      <c r="CHJ12" s="28"/>
      <c r="CHK12" s="11"/>
      <c r="CHL12" s="28"/>
      <c r="CHM12" s="11"/>
      <c r="CHN12" s="28"/>
      <c r="CHO12" s="11"/>
      <c r="CHP12" s="28"/>
      <c r="CHQ12" s="11"/>
      <c r="CHR12" s="28"/>
      <c r="CHS12" s="11"/>
      <c r="CHT12" s="28"/>
      <c r="CHU12" s="11"/>
      <c r="CHV12" s="28"/>
      <c r="CHW12" s="11"/>
      <c r="CHX12" s="28"/>
      <c r="CHY12" s="11"/>
      <c r="CHZ12" s="28"/>
      <c r="CIA12" s="11"/>
      <c r="CIB12" s="28"/>
      <c r="CIC12" s="11"/>
      <c r="CID12" s="28"/>
      <c r="CIE12" s="11"/>
      <c r="CIF12" s="28"/>
      <c r="CIG12" s="11"/>
      <c r="CIH12" s="28"/>
      <c r="CII12" s="11"/>
      <c r="CIJ12" s="28"/>
      <c r="CIK12" s="11"/>
      <c r="CIL12" s="28"/>
      <c r="CIM12" s="11"/>
      <c r="CIN12" s="28"/>
      <c r="CIO12" s="11"/>
      <c r="CIP12" s="28"/>
      <c r="CIQ12" s="11"/>
      <c r="CIR12" s="28"/>
      <c r="CIS12" s="11"/>
      <c r="CIT12" s="28"/>
      <c r="CIU12" s="11"/>
      <c r="CIV12" s="28"/>
      <c r="CIW12" s="11"/>
      <c r="CIX12" s="28"/>
      <c r="CIY12" s="11"/>
      <c r="CIZ12" s="28"/>
      <c r="CJA12" s="11"/>
      <c r="CJB12" s="28"/>
      <c r="CJC12" s="11"/>
      <c r="CJD12" s="28"/>
      <c r="CJE12" s="11"/>
      <c r="CJF12" s="28"/>
      <c r="CJG12" s="11"/>
      <c r="CJH12" s="28"/>
      <c r="CJI12" s="11"/>
      <c r="CJJ12" s="28"/>
      <c r="CJK12" s="11"/>
      <c r="CJL12" s="28"/>
      <c r="CJM12" s="11"/>
      <c r="CJN12" s="28"/>
      <c r="CJO12" s="11"/>
      <c r="CJP12" s="28"/>
      <c r="CJQ12" s="11"/>
      <c r="CJR12" s="28"/>
      <c r="CJS12" s="11"/>
      <c r="CJT12" s="28"/>
      <c r="CJU12" s="11"/>
      <c r="CJV12" s="28"/>
      <c r="CJW12" s="11"/>
      <c r="CJX12" s="28"/>
      <c r="CJY12" s="11"/>
      <c r="CJZ12" s="28"/>
      <c r="CKA12" s="11"/>
      <c r="CKB12" s="28"/>
      <c r="CKC12" s="11"/>
      <c r="CKD12" s="28"/>
      <c r="CKE12" s="11"/>
      <c r="CKF12" s="28"/>
      <c r="CKG12" s="11"/>
      <c r="CKH12" s="28"/>
      <c r="CKI12" s="11"/>
      <c r="CKJ12" s="28"/>
      <c r="CKK12" s="11"/>
      <c r="CKL12" s="28"/>
      <c r="CKM12" s="11"/>
      <c r="CKN12" s="28"/>
      <c r="CKO12" s="11"/>
      <c r="CKP12" s="28"/>
      <c r="CKQ12" s="11"/>
      <c r="CKR12" s="28"/>
      <c r="CKS12" s="11"/>
      <c r="CKT12" s="28"/>
      <c r="CKU12" s="11"/>
      <c r="CKV12" s="28"/>
      <c r="CKW12" s="11"/>
      <c r="CKX12" s="28"/>
      <c r="CKY12" s="11"/>
      <c r="CKZ12" s="28"/>
      <c r="CLA12" s="11"/>
      <c r="CLB12" s="28"/>
      <c r="CLC12" s="11"/>
      <c r="CLD12" s="28"/>
      <c r="CLE12" s="11"/>
      <c r="CLF12" s="28"/>
      <c r="CLG12" s="11"/>
      <c r="CLH12" s="28"/>
      <c r="CLI12" s="11"/>
      <c r="CLJ12" s="28"/>
      <c r="CLK12" s="11"/>
      <c r="CLL12" s="28"/>
      <c r="CLM12" s="11"/>
      <c r="CLN12" s="28"/>
      <c r="CLO12" s="11"/>
      <c r="CLP12" s="28"/>
      <c r="CLQ12" s="11"/>
      <c r="CLR12" s="28"/>
      <c r="CLS12" s="11"/>
      <c r="CLT12" s="28"/>
      <c r="CLU12" s="11"/>
      <c r="CLV12" s="28"/>
      <c r="CLW12" s="11"/>
      <c r="CLX12" s="28"/>
      <c r="CLY12" s="11"/>
      <c r="CLZ12" s="28"/>
      <c r="CMA12" s="11"/>
      <c r="CMB12" s="28"/>
      <c r="CMC12" s="11"/>
      <c r="CMD12" s="28"/>
      <c r="CME12" s="11"/>
      <c r="CMF12" s="28"/>
      <c r="CMG12" s="11"/>
      <c r="CMH12" s="28"/>
      <c r="CMI12" s="11"/>
      <c r="CMJ12" s="28"/>
      <c r="CMK12" s="11"/>
      <c r="CML12" s="28"/>
      <c r="CMM12" s="11"/>
      <c r="CMN12" s="28"/>
      <c r="CMO12" s="11"/>
      <c r="CMP12" s="28"/>
      <c r="CMQ12" s="11"/>
      <c r="CMR12" s="28"/>
      <c r="CMS12" s="11"/>
      <c r="CMT12" s="28"/>
      <c r="CMU12" s="11"/>
      <c r="CMV12" s="28"/>
      <c r="CMW12" s="11"/>
      <c r="CMX12" s="28"/>
      <c r="CMY12" s="11"/>
      <c r="CMZ12" s="28"/>
      <c r="CNA12" s="11"/>
      <c r="CNB12" s="28"/>
      <c r="CNC12" s="11"/>
      <c r="CND12" s="28"/>
      <c r="CNE12" s="11"/>
      <c r="CNF12" s="28"/>
      <c r="CNG12" s="11"/>
      <c r="CNH12" s="28"/>
      <c r="CNI12" s="11"/>
      <c r="CNJ12" s="28"/>
      <c r="CNK12" s="11"/>
      <c r="CNL12" s="28"/>
      <c r="CNM12" s="11"/>
      <c r="CNN12" s="28"/>
      <c r="CNO12" s="11"/>
      <c r="CNP12" s="28"/>
      <c r="CNQ12" s="11"/>
      <c r="CNR12" s="28"/>
      <c r="CNS12" s="11"/>
      <c r="CNT12" s="28"/>
      <c r="CNU12" s="11"/>
      <c r="CNV12" s="28"/>
      <c r="CNW12" s="11"/>
      <c r="CNX12" s="28"/>
      <c r="CNY12" s="11"/>
      <c r="CNZ12" s="28"/>
      <c r="COA12" s="11"/>
      <c r="COB12" s="28"/>
      <c r="COC12" s="11"/>
      <c r="COD12" s="28"/>
      <c r="COE12" s="11"/>
      <c r="COF12" s="28"/>
      <c r="COG12" s="11"/>
      <c r="COH12" s="28"/>
      <c r="COI12" s="11"/>
      <c r="COJ12" s="28"/>
      <c r="COK12" s="11"/>
      <c r="COL12" s="28"/>
      <c r="COM12" s="11"/>
      <c r="CON12" s="28"/>
      <c r="COO12" s="11"/>
      <c r="COP12" s="28"/>
      <c r="COQ12" s="11"/>
      <c r="COR12" s="28"/>
      <c r="COS12" s="11"/>
      <c r="COT12" s="28"/>
      <c r="COU12" s="11"/>
      <c r="COV12" s="28"/>
      <c r="COW12" s="11"/>
      <c r="COX12" s="28"/>
      <c r="COY12" s="11"/>
      <c r="COZ12" s="28"/>
      <c r="CPA12" s="11"/>
      <c r="CPB12" s="28"/>
      <c r="CPC12" s="11"/>
      <c r="CPD12" s="28"/>
      <c r="CPE12" s="11"/>
      <c r="CPF12" s="28"/>
      <c r="CPG12" s="11"/>
      <c r="CPH12" s="28"/>
      <c r="CPI12" s="11"/>
      <c r="CPJ12" s="28"/>
      <c r="CPK12" s="11"/>
      <c r="CPL12" s="28"/>
      <c r="CPM12" s="11"/>
      <c r="CPN12" s="28"/>
      <c r="CPO12" s="11"/>
      <c r="CPP12" s="28"/>
      <c r="CPQ12" s="11"/>
      <c r="CPR12" s="28"/>
      <c r="CPS12" s="11"/>
      <c r="CPT12" s="28"/>
      <c r="CPU12" s="11"/>
      <c r="CPV12" s="28"/>
      <c r="CPW12" s="11"/>
      <c r="CPX12" s="28"/>
      <c r="CPY12" s="11"/>
      <c r="CPZ12" s="28"/>
      <c r="CQA12" s="11"/>
      <c r="CQB12" s="28"/>
      <c r="CQC12" s="11"/>
      <c r="CQD12" s="28"/>
      <c r="CQE12" s="11"/>
      <c r="CQF12" s="28"/>
      <c r="CQG12" s="11"/>
      <c r="CQH12" s="28"/>
      <c r="CQI12" s="11"/>
      <c r="CQJ12" s="28"/>
      <c r="CQK12" s="11"/>
      <c r="CQL12" s="28"/>
      <c r="CQM12" s="11"/>
      <c r="CQN12" s="28"/>
      <c r="CQO12" s="11"/>
      <c r="CQP12" s="28"/>
      <c r="CQQ12" s="11"/>
      <c r="CQR12" s="28"/>
      <c r="CQS12" s="11"/>
      <c r="CQT12" s="28"/>
      <c r="CQU12" s="11"/>
      <c r="CQV12" s="28"/>
      <c r="CQW12" s="11"/>
      <c r="CQX12" s="28"/>
      <c r="CQY12" s="11"/>
      <c r="CQZ12" s="28"/>
      <c r="CRA12" s="11"/>
      <c r="CRB12" s="28"/>
      <c r="CRC12" s="11"/>
      <c r="CRD12" s="28"/>
      <c r="CRE12" s="11"/>
      <c r="CRF12" s="28"/>
      <c r="CRG12" s="11"/>
      <c r="CRH12" s="28"/>
      <c r="CRI12" s="11"/>
      <c r="CRJ12" s="28"/>
      <c r="CRK12" s="11"/>
      <c r="CRL12" s="28"/>
      <c r="CRM12" s="11"/>
      <c r="CRN12" s="28"/>
      <c r="CRO12" s="11"/>
      <c r="CRP12" s="28"/>
      <c r="CRQ12" s="11"/>
      <c r="CRR12" s="28"/>
      <c r="CRS12" s="11"/>
      <c r="CRT12" s="28"/>
      <c r="CRU12" s="11"/>
      <c r="CRV12" s="28"/>
      <c r="CRW12" s="11"/>
      <c r="CRX12" s="28"/>
      <c r="CRY12" s="11"/>
      <c r="CRZ12" s="28"/>
      <c r="CSA12" s="11"/>
      <c r="CSB12" s="28"/>
      <c r="CSC12" s="11"/>
      <c r="CSD12" s="28"/>
      <c r="CSE12" s="11"/>
      <c r="CSF12" s="28"/>
      <c r="CSG12" s="11"/>
      <c r="CSH12" s="28"/>
      <c r="CSI12" s="11"/>
      <c r="CSJ12" s="28"/>
      <c r="CSK12" s="11"/>
      <c r="CSL12" s="28"/>
      <c r="CSM12" s="11"/>
      <c r="CSN12" s="28"/>
      <c r="CSO12" s="11"/>
      <c r="CSP12" s="28"/>
      <c r="CSQ12" s="11"/>
      <c r="CSR12" s="28"/>
      <c r="CSS12" s="11"/>
      <c r="CST12" s="28"/>
      <c r="CSU12" s="11"/>
      <c r="CSV12" s="28"/>
      <c r="CSW12" s="11"/>
      <c r="CSX12" s="28"/>
      <c r="CSY12" s="11"/>
      <c r="CSZ12" s="28"/>
      <c r="CTA12" s="11"/>
      <c r="CTB12" s="28"/>
      <c r="CTC12" s="11"/>
      <c r="CTD12" s="28"/>
      <c r="CTE12" s="11"/>
      <c r="CTF12" s="28"/>
      <c r="CTG12" s="11"/>
      <c r="CTH12" s="28"/>
      <c r="CTI12" s="11"/>
      <c r="CTJ12" s="28"/>
      <c r="CTK12" s="11"/>
      <c r="CTL12" s="28"/>
      <c r="CTM12" s="11"/>
      <c r="CTN12" s="28"/>
      <c r="CTO12" s="11"/>
      <c r="CTP12" s="28"/>
      <c r="CTQ12" s="11"/>
      <c r="CTR12" s="28"/>
      <c r="CTS12" s="11"/>
      <c r="CTT12" s="28"/>
      <c r="CTU12" s="11"/>
      <c r="CTV12" s="28"/>
      <c r="CTW12" s="11"/>
      <c r="CTX12" s="28"/>
      <c r="CTY12" s="11"/>
      <c r="CTZ12" s="28"/>
      <c r="CUA12" s="11"/>
      <c r="CUB12" s="28"/>
      <c r="CUC12" s="11"/>
      <c r="CUD12" s="28"/>
      <c r="CUE12" s="11"/>
      <c r="CUF12" s="28"/>
      <c r="CUG12" s="11"/>
      <c r="CUH12" s="28"/>
      <c r="CUI12" s="11"/>
      <c r="CUJ12" s="28"/>
      <c r="CUK12" s="11"/>
      <c r="CUL12" s="28"/>
      <c r="CUM12" s="11"/>
      <c r="CUN12" s="28"/>
      <c r="CUO12" s="11"/>
      <c r="CUP12" s="28"/>
      <c r="CUQ12" s="11"/>
      <c r="CUR12" s="28"/>
      <c r="CUS12" s="11"/>
      <c r="CUT12" s="28"/>
      <c r="CUU12" s="11"/>
      <c r="CUV12" s="28"/>
      <c r="CUW12" s="11"/>
      <c r="CUX12" s="28"/>
      <c r="CUY12" s="11"/>
      <c r="CUZ12" s="28"/>
      <c r="CVA12" s="11"/>
      <c r="CVB12" s="28"/>
      <c r="CVC12" s="11"/>
      <c r="CVD12" s="28"/>
      <c r="CVE12" s="11"/>
      <c r="CVF12" s="28"/>
      <c r="CVG12" s="11"/>
      <c r="CVH12" s="28"/>
      <c r="CVI12" s="11"/>
      <c r="CVJ12" s="28"/>
      <c r="CVK12" s="11"/>
      <c r="CVL12" s="28"/>
      <c r="CVM12" s="11"/>
      <c r="CVN12" s="28"/>
      <c r="CVO12" s="11"/>
      <c r="CVP12" s="28"/>
      <c r="CVQ12" s="11"/>
      <c r="CVR12" s="28"/>
      <c r="CVS12" s="11"/>
      <c r="CVT12" s="28"/>
      <c r="CVU12" s="11"/>
      <c r="CVV12" s="28"/>
      <c r="CVW12" s="11"/>
      <c r="CVX12" s="28"/>
      <c r="CVY12" s="11"/>
      <c r="CVZ12" s="28"/>
      <c r="CWA12" s="11"/>
      <c r="CWB12" s="28"/>
      <c r="CWC12" s="11"/>
      <c r="CWD12" s="28"/>
      <c r="CWE12" s="11"/>
      <c r="CWF12" s="28"/>
      <c r="CWG12" s="11"/>
      <c r="CWH12" s="28"/>
      <c r="CWI12" s="11"/>
      <c r="CWJ12" s="28"/>
      <c r="CWK12" s="11"/>
      <c r="CWL12" s="28"/>
      <c r="CWM12" s="11"/>
      <c r="CWN12" s="28"/>
      <c r="CWO12" s="11"/>
      <c r="CWP12" s="28"/>
      <c r="CWQ12" s="11"/>
      <c r="CWR12" s="28"/>
      <c r="CWS12" s="11"/>
      <c r="CWT12" s="28"/>
      <c r="CWU12" s="11"/>
      <c r="CWV12" s="28"/>
      <c r="CWW12" s="11"/>
      <c r="CWX12" s="28"/>
      <c r="CWY12" s="11"/>
      <c r="CWZ12" s="28"/>
      <c r="CXA12" s="11"/>
      <c r="CXB12" s="28"/>
      <c r="CXC12" s="11"/>
      <c r="CXD12" s="28"/>
      <c r="CXE12" s="11"/>
      <c r="CXF12" s="28"/>
      <c r="CXG12" s="11"/>
      <c r="CXH12" s="28"/>
      <c r="CXI12" s="11"/>
      <c r="CXJ12" s="28"/>
      <c r="CXK12" s="11"/>
      <c r="CXL12" s="28"/>
      <c r="CXM12" s="11"/>
      <c r="CXN12" s="28"/>
      <c r="CXO12" s="11"/>
      <c r="CXP12" s="28"/>
      <c r="CXQ12" s="11"/>
      <c r="CXR12" s="28"/>
      <c r="CXS12" s="11"/>
      <c r="CXT12" s="28"/>
      <c r="CXU12" s="11"/>
      <c r="CXV12" s="28"/>
      <c r="CXW12" s="11"/>
      <c r="CXX12" s="28"/>
      <c r="CXY12" s="11"/>
      <c r="CXZ12" s="28"/>
      <c r="CYA12" s="11"/>
      <c r="CYB12" s="28"/>
      <c r="CYC12" s="11"/>
      <c r="CYD12" s="28"/>
      <c r="CYE12" s="11"/>
      <c r="CYF12" s="28"/>
      <c r="CYG12" s="11"/>
      <c r="CYH12" s="28"/>
      <c r="CYI12" s="11"/>
      <c r="CYJ12" s="28"/>
      <c r="CYK12" s="11"/>
      <c r="CYL12" s="28"/>
      <c r="CYM12" s="11"/>
      <c r="CYN12" s="28"/>
      <c r="CYO12" s="11"/>
      <c r="CYP12" s="28"/>
      <c r="CYQ12" s="11"/>
      <c r="CYR12" s="28"/>
      <c r="CYS12" s="11"/>
      <c r="CYT12" s="28"/>
      <c r="CYU12" s="11"/>
      <c r="CYV12" s="28"/>
      <c r="CYW12" s="11"/>
      <c r="CYX12" s="28"/>
      <c r="CYY12" s="11"/>
      <c r="CYZ12" s="28"/>
      <c r="CZA12" s="11"/>
      <c r="CZB12" s="28"/>
      <c r="CZC12" s="11"/>
      <c r="CZD12" s="28"/>
      <c r="CZE12" s="11"/>
      <c r="CZF12" s="28"/>
      <c r="CZG12" s="11"/>
      <c r="CZH12" s="28"/>
      <c r="CZI12" s="11"/>
      <c r="CZJ12" s="28"/>
      <c r="CZK12" s="11"/>
      <c r="CZL12" s="28"/>
      <c r="CZM12" s="11"/>
      <c r="CZN12" s="28"/>
      <c r="CZO12" s="11"/>
      <c r="CZP12" s="28"/>
      <c r="CZQ12" s="11"/>
      <c r="CZR12" s="28"/>
      <c r="CZS12" s="11"/>
      <c r="CZT12" s="28"/>
      <c r="CZU12" s="11"/>
      <c r="CZV12" s="28"/>
      <c r="CZW12" s="11"/>
      <c r="CZX12" s="28"/>
      <c r="CZY12" s="11"/>
      <c r="CZZ12" s="28"/>
      <c r="DAA12" s="11"/>
      <c r="DAB12" s="28"/>
      <c r="DAC12" s="11"/>
      <c r="DAD12" s="28"/>
      <c r="DAE12" s="11"/>
      <c r="DAF12" s="28"/>
      <c r="DAG12" s="11"/>
      <c r="DAH12" s="28"/>
      <c r="DAI12" s="11"/>
      <c r="DAJ12" s="28"/>
      <c r="DAK12" s="11"/>
      <c r="DAL12" s="28"/>
      <c r="DAM12" s="11"/>
      <c r="DAN12" s="28"/>
      <c r="DAO12" s="11"/>
      <c r="DAP12" s="28"/>
      <c r="DAQ12" s="11"/>
      <c r="DAR12" s="28"/>
      <c r="DAS12" s="11"/>
      <c r="DAT12" s="28"/>
      <c r="DAU12" s="11"/>
      <c r="DAV12" s="28"/>
      <c r="DAW12" s="11"/>
      <c r="DAX12" s="28"/>
      <c r="DAY12" s="11"/>
      <c r="DAZ12" s="28"/>
      <c r="DBA12" s="11"/>
      <c r="DBB12" s="28"/>
      <c r="DBC12" s="11"/>
      <c r="DBD12" s="28"/>
      <c r="DBE12" s="11"/>
      <c r="DBF12" s="28"/>
      <c r="DBG12" s="11"/>
      <c r="DBH12" s="28"/>
      <c r="DBI12" s="11"/>
      <c r="DBJ12" s="28"/>
      <c r="DBK12" s="11"/>
      <c r="DBL12" s="28"/>
      <c r="DBM12" s="11"/>
      <c r="DBN12" s="28"/>
      <c r="DBO12" s="11"/>
      <c r="DBP12" s="28"/>
      <c r="DBQ12" s="11"/>
      <c r="DBR12" s="28"/>
      <c r="DBS12" s="11"/>
      <c r="DBT12" s="28"/>
      <c r="DBU12" s="11"/>
      <c r="DBV12" s="28"/>
      <c r="DBW12" s="11"/>
      <c r="DBX12" s="28"/>
      <c r="DBY12" s="11"/>
      <c r="DBZ12" s="28"/>
      <c r="DCA12" s="11"/>
      <c r="DCB12" s="28"/>
      <c r="DCC12" s="11"/>
      <c r="DCD12" s="28"/>
      <c r="DCE12" s="11"/>
      <c r="DCF12" s="28"/>
      <c r="DCG12" s="11"/>
      <c r="DCH12" s="28"/>
      <c r="DCI12" s="11"/>
      <c r="DCJ12" s="28"/>
      <c r="DCK12" s="11"/>
      <c r="DCL12" s="28"/>
      <c r="DCM12" s="11"/>
      <c r="DCN12" s="28"/>
      <c r="DCO12" s="11"/>
      <c r="DCP12" s="28"/>
      <c r="DCQ12" s="11"/>
      <c r="DCR12" s="28"/>
      <c r="DCS12" s="11"/>
      <c r="DCT12" s="28"/>
      <c r="DCU12" s="11"/>
      <c r="DCV12" s="28"/>
      <c r="DCW12" s="11"/>
      <c r="DCX12" s="28"/>
      <c r="DCY12" s="11"/>
      <c r="DCZ12" s="28"/>
      <c r="DDA12" s="11"/>
      <c r="DDB12" s="28"/>
      <c r="DDC12" s="11"/>
      <c r="DDD12" s="28"/>
      <c r="DDE12" s="11"/>
      <c r="DDF12" s="28"/>
      <c r="DDG12" s="11"/>
      <c r="DDH12" s="28"/>
      <c r="DDI12" s="11"/>
      <c r="DDJ12" s="28"/>
      <c r="DDK12" s="11"/>
      <c r="DDL12" s="28"/>
      <c r="DDM12" s="11"/>
      <c r="DDN12" s="28"/>
      <c r="DDO12" s="11"/>
      <c r="DDP12" s="28"/>
      <c r="DDQ12" s="11"/>
      <c r="DDR12" s="28"/>
      <c r="DDS12" s="11"/>
      <c r="DDT12" s="28"/>
      <c r="DDU12" s="11"/>
      <c r="DDV12" s="28"/>
      <c r="DDW12" s="11"/>
      <c r="DDX12" s="28"/>
      <c r="DDY12" s="11"/>
      <c r="DDZ12" s="28"/>
      <c r="DEA12" s="11"/>
      <c r="DEB12" s="28"/>
      <c r="DEC12" s="11"/>
      <c r="DED12" s="28"/>
      <c r="DEE12" s="11"/>
      <c r="DEF12" s="28"/>
      <c r="DEG12" s="11"/>
      <c r="DEH12" s="28"/>
      <c r="DEI12" s="11"/>
      <c r="DEJ12" s="28"/>
      <c r="DEK12" s="11"/>
      <c r="DEL12" s="28"/>
      <c r="DEM12" s="11"/>
      <c r="DEN12" s="28"/>
      <c r="DEO12" s="11"/>
      <c r="DEP12" s="28"/>
      <c r="DEQ12" s="11"/>
      <c r="DER12" s="28"/>
      <c r="DES12" s="11"/>
      <c r="DET12" s="28"/>
      <c r="DEU12" s="11"/>
      <c r="DEV12" s="28"/>
      <c r="DEW12" s="11"/>
      <c r="DEX12" s="28"/>
      <c r="DEY12" s="11"/>
      <c r="DEZ12" s="28"/>
      <c r="DFA12" s="11"/>
      <c r="DFB12" s="28"/>
      <c r="DFC12" s="11"/>
      <c r="DFD12" s="28"/>
      <c r="DFE12" s="11"/>
      <c r="DFF12" s="28"/>
      <c r="DFG12" s="11"/>
      <c r="DFH12" s="28"/>
      <c r="DFI12" s="11"/>
      <c r="DFJ12" s="28"/>
      <c r="DFK12" s="11"/>
      <c r="DFL12" s="28"/>
      <c r="DFM12" s="11"/>
      <c r="DFN12" s="28"/>
      <c r="DFO12" s="11"/>
      <c r="DFP12" s="28"/>
      <c r="DFQ12" s="11"/>
      <c r="DFR12" s="28"/>
      <c r="DFS12" s="11"/>
      <c r="DFT12" s="28"/>
      <c r="DFU12" s="11"/>
      <c r="DFV12" s="28"/>
      <c r="DFW12" s="11"/>
      <c r="DFX12" s="28"/>
      <c r="DFY12" s="11"/>
      <c r="DFZ12" s="28"/>
      <c r="DGA12" s="11"/>
      <c r="DGB12" s="28"/>
      <c r="DGC12" s="11"/>
      <c r="DGD12" s="28"/>
      <c r="DGE12" s="11"/>
      <c r="DGF12" s="28"/>
      <c r="DGG12" s="11"/>
      <c r="DGH12" s="28"/>
      <c r="DGI12" s="11"/>
      <c r="DGJ12" s="28"/>
      <c r="DGK12" s="11"/>
      <c r="DGL12" s="28"/>
      <c r="DGM12" s="11"/>
      <c r="DGN12" s="28"/>
      <c r="DGO12" s="11"/>
      <c r="DGP12" s="28"/>
      <c r="DGQ12" s="11"/>
      <c r="DGR12" s="28"/>
      <c r="DGS12" s="11"/>
      <c r="DGT12" s="28"/>
      <c r="DGU12" s="11"/>
      <c r="DGV12" s="28"/>
      <c r="DGW12" s="11"/>
      <c r="DGX12" s="28"/>
      <c r="DGY12" s="11"/>
      <c r="DGZ12" s="28"/>
      <c r="DHA12" s="11"/>
      <c r="DHB12" s="28"/>
      <c r="DHC12" s="11"/>
      <c r="DHD12" s="28"/>
      <c r="DHE12" s="11"/>
      <c r="DHF12" s="28"/>
      <c r="DHG12" s="11"/>
      <c r="DHH12" s="28"/>
      <c r="DHI12" s="11"/>
      <c r="DHJ12" s="28"/>
      <c r="DHK12" s="11"/>
      <c r="DHL12" s="28"/>
      <c r="DHM12" s="11"/>
      <c r="DHN12" s="28"/>
      <c r="DHO12" s="11"/>
      <c r="DHP12" s="28"/>
      <c r="DHQ12" s="11"/>
      <c r="DHR12" s="28"/>
      <c r="DHS12" s="11"/>
      <c r="DHT12" s="28"/>
      <c r="DHU12" s="11"/>
      <c r="DHV12" s="28"/>
      <c r="DHW12" s="11"/>
      <c r="DHX12" s="28"/>
      <c r="DHY12" s="11"/>
      <c r="DHZ12" s="28"/>
      <c r="DIA12" s="11"/>
      <c r="DIB12" s="28"/>
      <c r="DIC12" s="11"/>
      <c r="DID12" s="28"/>
      <c r="DIE12" s="11"/>
      <c r="DIF12" s="28"/>
      <c r="DIG12" s="11"/>
      <c r="DIH12" s="28"/>
      <c r="DII12" s="11"/>
      <c r="DIJ12" s="28"/>
      <c r="DIK12" s="11"/>
      <c r="DIL12" s="28"/>
      <c r="DIM12" s="11"/>
      <c r="DIN12" s="28"/>
      <c r="DIO12" s="11"/>
      <c r="DIP12" s="28"/>
      <c r="DIQ12" s="11"/>
      <c r="DIR12" s="28"/>
      <c r="DIS12" s="11"/>
      <c r="DIT12" s="28"/>
      <c r="DIU12" s="11"/>
      <c r="DIV12" s="28"/>
      <c r="DIW12" s="11"/>
      <c r="DIX12" s="28"/>
      <c r="DIY12" s="11"/>
      <c r="DIZ12" s="28"/>
      <c r="DJA12" s="11"/>
      <c r="DJB12" s="28"/>
      <c r="DJC12" s="11"/>
      <c r="DJD12" s="28"/>
      <c r="DJE12" s="11"/>
      <c r="DJF12" s="28"/>
      <c r="DJG12" s="11"/>
      <c r="DJH12" s="28"/>
      <c r="DJI12" s="11"/>
      <c r="DJJ12" s="28"/>
      <c r="DJK12" s="11"/>
      <c r="DJL12" s="28"/>
      <c r="DJM12" s="11"/>
      <c r="DJN12" s="28"/>
      <c r="DJO12" s="11"/>
      <c r="DJP12" s="28"/>
      <c r="DJQ12" s="11"/>
      <c r="DJR12" s="28"/>
      <c r="DJS12" s="11"/>
      <c r="DJT12" s="28"/>
      <c r="DJU12" s="11"/>
      <c r="DJV12" s="28"/>
      <c r="DJW12" s="11"/>
      <c r="DJX12" s="28"/>
      <c r="DJY12" s="11"/>
      <c r="DJZ12" s="28"/>
      <c r="DKA12" s="11"/>
      <c r="DKB12" s="28"/>
      <c r="DKC12" s="11"/>
      <c r="DKD12" s="28"/>
      <c r="DKE12" s="11"/>
      <c r="DKF12" s="28"/>
      <c r="DKG12" s="11"/>
      <c r="DKH12" s="28"/>
      <c r="DKI12" s="11"/>
      <c r="DKJ12" s="28"/>
      <c r="DKK12" s="11"/>
      <c r="DKL12" s="28"/>
      <c r="DKM12" s="11"/>
      <c r="DKN12" s="28"/>
      <c r="DKO12" s="11"/>
      <c r="DKP12" s="28"/>
      <c r="DKQ12" s="11"/>
      <c r="DKR12" s="28"/>
      <c r="DKS12" s="11"/>
      <c r="DKT12" s="28"/>
      <c r="DKU12" s="11"/>
      <c r="DKV12" s="28"/>
      <c r="DKW12" s="11"/>
      <c r="DKX12" s="28"/>
      <c r="DKY12" s="11"/>
      <c r="DKZ12" s="28"/>
      <c r="DLA12" s="11"/>
      <c r="DLB12" s="28"/>
      <c r="DLC12" s="11"/>
      <c r="DLD12" s="28"/>
      <c r="DLE12" s="11"/>
      <c r="DLF12" s="28"/>
      <c r="DLG12" s="11"/>
      <c r="DLH12" s="28"/>
      <c r="DLI12" s="11"/>
      <c r="DLJ12" s="28"/>
      <c r="DLK12" s="11"/>
      <c r="DLL12" s="28"/>
      <c r="DLM12" s="11"/>
      <c r="DLN12" s="28"/>
      <c r="DLO12" s="11"/>
      <c r="DLP12" s="28"/>
      <c r="DLQ12" s="11"/>
      <c r="DLR12" s="28"/>
      <c r="DLS12" s="11"/>
      <c r="DLT12" s="28"/>
      <c r="DLU12" s="11"/>
      <c r="DLV12" s="28"/>
      <c r="DLW12" s="11"/>
      <c r="DLX12" s="28"/>
      <c r="DLY12" s="11"/>
      <c r="DLZ12" s="28"/>
      <c r="DMA12" s="11"/>
      <c r="DMB12" s="28"/>
      <c r="DMC12" s="11"/>
      <c r="DMD12" s="28"/>
      <c r="DME12" s="11"/>
      <c r="DMF12" s="28"/>
      <c r="DMG12" s="11"/>
      <c r="DMH12" s="28"/>
      <c r="DMI12" s="11"/>
      <c r="DMJ12" s="28"/>
      <c r="DMK12" s="11"/>
      <c r="DML12" s="28"/>
      <c r="DMM12" s="11"/>
      <c r="DMN12" s="28"/>
      <c r="DMO12" s="11"/>
      <c r="DMP12" s="28"/>
      <c r="DMQ12" s="11"/>
      <c r="DMR12" s="28"/>
      <c r="DMS12" s="11"/>
      <c r="DMT12" s="28"/>
      <c r="DMU12" s="11"/>
      <c r="DMV12" s="28"/>
      <c r="DMW12" s="11"/>
      <c r="DMX12" s="28"/>
      <c r="DMY12" s="11"/>
      <c r="DMZ12" s="28"/>
      <c r="DNA12" s="11"/>
      <c r="DNB12" s="28"/>
      <c r="DNC12" s="11"/>
      <c r="DND12" s="28"/>
      <c r="DNE12" s="11"/>
      <c r="DNF12" s="28"/>
      <c r="DNG12" s="11"/>
      <c r="DNH12" s="28"/>
      <c r="DNI12" s="11"/>
      <c r="DNJ12" s="28"/>
      <c r="DNK12" s="11"/>
      <c r="DNL12" s="28"/>
      <c r="DNM12" s="11"/>
      <c r="DNN12" s="28"/>
      <c r="DNO12" s="11"/>
      <c r="DNP12" s="28"/>
      <c r="DNQ12" s="11"/>
      <c r="DNR12" s="28"/>
      <c r="DNS12" s="11"/>
      <c r="DNT12" s="28"/>
      <c r="DNU12" s="11"/>
      <c r="DNV12" s="28"/>
      <c r="DNW12" s="11"/>
      <c r="DNX12" s="28"/>
      <c r="DNY12" s="11"/>
      <c r="DNZ12" s="28"/>
      <c r="DOA12" s="11"/>
      <c r="DOB12" s="28"/>
      <c r="DOC12" s="11"/>
      <c r="DOD12" s="28"/>
      <c r="DOE12" s="11"/>
      <c r="DOF12" s="28"/>
      <c r="DOG12" s="11"/>
      <c r="DOH12" s="28"/>
      <c r="DOI12" s="11"/>
      <c r="DOJ12" s="28"/>
      <c r="DOK12" s="11"/>
      <c r="DOL12" s="28"/>
      <c r="DOM12" s="11"/>
      <c r="DON12" s="28"/>
      <c r="DOO12" s="11"/>
      <c r="DOP12" s="28"/>
      <c r="DOQ12" s="11"/>
      <c r="DOR12" s="28"/>
      <c r="DOS12" s="11"/>
      <c r="DOT12" s="28"/>
      <c r="DOU12" s="11"/>
      <c r="DOV12" s="28"/>
      <c r="DOW12" s="11"/>
      <c r="DOX12" s="28"/>
      <c r="DOY12" s="11"/>
      <c r="DOZ12" s="28"/>
      <c r="DPA12" s="11"/>
      <c r="DPB12" s="28"/>
      <c r="DPC12" s="11"/>
      <c r="DPD12" s="28"/>
      <c r="DPE12" s="11"/>
      <c r="DPF12" s="28"/>
      <c r="DPG12" s="11"/>
      <c r="DPH12" s="28"/>
      <c r="DPI12" s="11"/>
      <c r="DPJ12" s="28"/>
      <c r="DPK12" s="11"/>
      <c r="DPL12" s="28"/>
      <c r="DPM12" s="11"/>
      <c r="DPN12" s="28"/>
      <c r="DPO12" s="11"/>
      <c r="DPP12" s="28"/>
      <c r="DPQ12" s="11"/>
      <c r="DPR12" s="28"/>
      <c r="DPS12" s="11"/>
      <c r="DPT12" s="28"/>
      <c r="DPU12" s="11"/>
      <c r="DPV12" s="28"/>
      <c r="DPW12" s="11"/>
      <c r="DPX12" s="28"/>
      <c r="DPY12" s="11"/>
      <c r="DPZ12" s="28"/>
      <c r="DQA12" s="11"/>
      <c r="DQB12" s="28"/>
      <c r="DQC12" s="11"/>
      <c r="DQD12" s="28"/>
      <c r="DQE12" s="11"/>
      <c r="DQF12" s="28"/>
      <c r="DQG12" s="11"/>
      <c r="DQH12" s="28"/>
      <c r="DQI12" s="11"/>
      <c r="DQJ12" s="28"/>
      <c r="DQK12" s="11"/>
      <c r="DQL12" s="28"/>
      <c r="DQM12" s="11"/>
      <c r="DQN12" s="28"/>
      <c r="DQO12" s="11"/>
      <c r="DQP12" s="28"/>
      <c r="DQQ12" s="11"/>
      <c r="DQR12" s="28"/>
      <c r="DQS12" s="11"/>
      <c r="DQT12" s="28"/>
      <c r="DQU12" s="11"/>
      <c r="DQV12" s="28"/>
      <c r="DQW12" s="11"/>
      <c r="DQX12" s="28"/>
      <c r="DQY12" s="11"/>
      <c r="DQZ12" s="28"/>
      <c r="DRA12" s="11"/>
      <c r="DRB12" s="28"/>
      <c r="DRC12" s="11"/>
      <c r="DRD12" s="28"/>
      <c r="DRE12" s="11"/>
      <c r="DRF12" s="28"/>
      <c r="DRG12" s="11"/>
      <c r="DRH12" s="28"/>
      <c r="DRI12" s="11"/>
      <c r="DRJ12" s="28"/>
      <c r="DRK12" s="11"/>
      <c r="DRL12" s="28"/>
      <c r="DRM12" s="11"/>
      <c r="DRN12" s="28"/>
      <c r="DRO12" s="11"/>
      <c r="DRP12" s="28"/>
      <c r="DRQ12" s="11"/>
      <c r="DRR12" s="28"/>
      <c r="DRS12" s="11"/>
      <c r="DRT12" s="28"/>
      <c r="DRU12" s="11"/>
      <c r="DRV12" s="28"/>
      <c r="DRW12" s="11"/>
      <c r="DRX12" s="28"/>
      <c r="DRY12" s="11"/>
      <c r="DRZ12" s="28"/>
      <c r="DSA12" s="11"/>
      <c r="DSB12" s="28"/>
      <c r="DSC12" s="11"/>
      <c r="DSD12" s="28"/>
      <c r="DSE12" s="11"/>
      <c r="DSF12" s="28"/>
      <c r="DSG12" s="11"/>
      <c r="DSH12" s="28"/>
      <c r="DSI12" s="11"/>
      <c r="DSJ12" s="28"/>
      <c r="DSK12" s="11"/>
      <c r="DSL12" s="28"/>
      <c r="DSM12" s="11"/>
      <c r="DSN12" s="28"/>
      <c r="DSO12" s="11"/>
      <c r="DSP12" s="28"/>
      <c r="DSQ12" s="11"/>
      <c r="DSR12" s="28"/>
      <c r="DSS12" s="11"/>
      <c r="DST12" s="28"/>
      <c r="DSU12" s="11"/>
      <c r="DSV12" s="28"/>
      <c r="DSW12" s="11"/>
      <c r="DSX12" s="28"/>
      <c r="DSY12" s="11"/>
      <c r="DSZ12" s="28"/>
      <c r="DTA12" s="11"/>
      <c r="DTB12" s="28"/>
      <c r="DTC12" s="11"/>
      <c r="DTD12" s="28"/>
      <c r="DTE12" s="11"/>
      <c r="DTF12" s="28"/>
      <c r="DTG12" s="11"/>
      <c r="DTH12" s="28"/>
      <c r="DTI12" s="11"/>
      <c r="DTJ12" s="28"/>
      <c r="DTK12" s="11"/>
      <c r="DTL12" s="28"/>
      <c r="DTM12" s="11"/>
      <c r="DTN12" s="28"/>
      <c r="DTO12" s="11"/>
      <c r="DTP12" s="28"/>
      <c r="DTQ12" s="11"/>
      <c r="DTR12" s="28"/>
      <c r="DTS12" s="11"/>
      <c r="DTT12" s="28"/>
      <c r="DTU12" s="11"/>
      <c r="DTV12" s="28"/>
      <c r="DTW12" s="11"/>
      <c r="DTX12" s="28"/>
      <c r="DTY12" s="11"/>
      <c r="DTZ12" s="28"/>
      <c r="DUA12" s="11"/>
      <c r="DUB12" s="28"/>
      <c r="DUC12" s="11"/>
      <c r="DUD12" s="28"/>
      <c r="DUE12" s="11"/>
      <c r="DUF12" s="28"/>
      <c r="DUG12" s="11"/>
      <c r="DUH12" s="28"/>
      <c r="DUI12" s="11"/>
      <c r="DUJ12" s="28"/>
      <c r="DUK12" s="11"/>
      <c r="DUL12" s="28"/>
      <c r="DUM12" s="11"/>
      <c r="DUN12" s="28"/>
      <c r="DUO12" s="11"/>
      <c r="DUP12" s="28"/>
      <c r="DUQ12" s="11"/>
      <c r="DUR12" s="28"/>
      <c r="DUS12" s="11"/>
      <c r="DUT12" s="28"/>
      <c r="DUU12" s="11"/>
      <c r="DUV12" s="28"/>
      <c r="DUW12" s="11"/>
      <c r="DUX12" s="28"/>
      <c r="DUY12" s="11"/>
      <c r="DUZ12" s="28"/>
      <c r="DVA12" s="11"/>
      <c r="DVB12" s="28"/>
      <c r="DVC12" s="11"/>
      <c r="DVD12" s="28"/>
      <c r="DVE12" s="11"/>
      <c r="DVF12" s="28"/>
      <c r="DVG12" s="11"/>
      <c r="DVH12" s="28"/>
      <c r="DVI12" s="11"/>
      <c r="DVJ12" s="28"/>
      <c r="DVK12" s="11"/>
      <c r="DVL12" s="28"/>
      <c r="DVM12" s="11"/>
      <c r="DVN12" s="28"/>
      <c r="DVO12" s="11"/>
      <c r="DVP12" s="28"/>
      <c r="DVQ12" s="11"/>
      <c r="DVR12" s="28"/>
      <c r="DVS12" s="11"/>
      <c r="DVT12" s="28"/>
      <c r="DVU12" s="11"/>
      <c r="DVV12" s="28"/>
      <c r="DVW12" s="11"/>
      <c r="DVX12" s="28"/>
      <c r="DVY12" s="11"/>
      <c r="DVZ12" s="28"/>
      <c r="DWA12" s="11"/>
      <c r="DWB12" s="28"/>
      <c r="DWC12" s="11"/>
      <c r="DWD12" s="28"/>
      <c r="DWE12" s="11"/>
      <c r="DWF12" s="28"/>
      <c r="DWG12" s="11"/>
      <c r="DWH12" s="28"/>
      <c r="DWI12" s="11"/>
      <c r="DWJ12" s="28"/>
      <c r="DWK12" s="11"/>
      <c r="DWL12" s="28"/>
      <c r="DWM12" s="11"/>
      <c r="DWN12" s="28"/>
      <c r="DWO12" s="11"/>
      <c r="DWP12" s="28"/>
      <c r="DWQ12" s="11"/>
      <c r="DWR12" s="28"/>
      <c r="DWS12" s="11"/>
      <c r="DWT12" s="28"/>
      <c r="DWU12" s="11"/>
      <c r="DWV12" s="28"/>
      <c r="DWW12" s="11"/>
      <c r="DWX12" s="28"/>
      <c r="DWY12" s="11"/>
      <c r="DWZ12" s="28"/>
      <c r="DXA12" s="11"/>
      <c r="DXB12" s="28"/>
      <c r="DXC12" s="11"/>
      <c r="DXD12" s="28"/>
      <c r="DXE12" s="11"/>
      <c r="DXF12" s="28"/>
      <c r="DXG12" s="11"/>
      <c r="DXH12" s="28"/>
      <c r="DXI12" s="11"/>
      <c r="DXJ12" s="28"/>
      <c r="DXK12" s="11"/>
      <c r="DXL12" s="28"/>
      <c r="DXM12" s="11"/>
      <c r="DXN12" s="28"/>
      <c r="DXO12" s="11"/>
      <c r="DXP12" s="28"/>
      <c r="DXQ12" s="11"/>
      <c r="DXR12" s="28"/>
      <c r="DXS12" s="11"/>
      <c r="DXT12" s="28"/>
      <c r="DXU12" s="11"/>
      <c r="DXV12" s="28"/>
      <c r="DXW12" s="11"/>
      <c r="DXX12" s="28"/>
      <c r="DXY12" s="11"/>
      <c r="DXZ12" s="28"/>
      <c r="DYA12" s="11"/>
      <c r="DYB12" s="28"/>
      <c r="DYC12" s="11"/>
      <c r="DYD12" s="28"/>
      <c r="DYE12" s="11"/>
      <c r="DYF12" s="28"/>
      <c r="DYG12" s="11"/>
      <c r="DYH12" s="28"/>
      <c r="DYI12" s="11"/>
      <c r="DYJ12" s="28"/>
      <c r="DYK12" s="11"/>
      <c r="DYL12" s="28"/>
      <c r="DYM12" s="11"/>
      <c r="DYN12" s="28"/>
      <c r="DYO12" s="11"/>
      <c r="DYP12" s="28"/>
      <c r="DYQ12" s="11"/>
      <c r="DYR12" s="28"/>
      <c r="DYS12" s="11"/>
      <c r="DYT12" s="28"/>
      <c r="DYU12" s="11"/>
      <c r="DYV12" s="28"/>
      <c r="DYW12" s="11"/>
      <c r="DYX12" s="28"/>
      <c r="DYY12" s="11"/>
      <c r="DYZ12" s="28"/>
      <c r="DZA12" s="11"/>
      <c r="DZB12" s="28"/>
      <c r="DZC12" s="11"/>
      <c r="DZD12" s="28"/>
      <c r="DZE12" s="11"/>
      <c r="DZF12" s="28"/>
      <c r="DZG12" s="11"/>
      <c r="DZH12" s="28"/>
      <c r="DZI12" s="11"/>
      <c r="DZJ12" s="28"/>
      <c r="DZK12" s="11"/>
      <c r="DZL12" s="28"/>
      <c r="DZM12" s="11"/>
      <c r="DZN12" s="28"/>
      <c r="DZO12" s="11"/>
      <c r="DZP12" s="28"/>
      <c r="DZQ12" s="11"/>
      <c r="DZR12" s="28"/>
      <c r="DZS12" s="11"/>
      <c r="DZT12" s="28"/>
      <c r="DZU12" s="11"/>
      <c r="DZV12" s="28"/>
      <c r="DZW12" s="11"/>
      <c r="DZX12" s="28"/>
      <c r="DZY12" s="11"/>
      <c r="DZZ12" s="28"/>
      <c r="EAA12" s="11"/>
      <c r="EAB12" s="28"/>
      <c r="EAC12" s="11"/>
      <c r="EAD12" s="28"/>
      <c r="EAE12" s="11"/>
      <c r="EAF12" s="28"/>
      <c r="EAG12" s="11"/>
      <c r="EAH12" s="28"/>
      <c r="EAI12" s="11"/>
      <c r="EAJ12" s="28"/>
      <c r="EAK12" s="11"/>
      <c r="EAL12" s="28"/>
      <c r="EAM12" s="11"/>
      <c r="EAN12" s="28"/>
      <c r="EAO12" s="11"/>
      <c r="EAP12" s="28"/>
      <c r="EAQ12" s="11"/>
      <c r="EAR12" s="28"/>
      <c r="EAS12" s="11"/>
      <c r="EAT12" s="28"/>
      <c r="EAU12" s="11"/>
      <c r="EAV12" s="28"/>
      <c r="EAW12" s="11"/>
      <c r="EAX12" s="28"/>
      <c r="EAY12" s="11"/>
      <c r="EAZ12" s="28"/>
      <c r="EBA12" s="11"/>
      <c r="EBB12" s="28"/>
      <c r="EBC12" s="11"/>
      <c r="EBD12" s="28"/>
      <c r="EBE12" s="11"/>
      <c r="EBF12" s="28"/>
      <c r="EBG12" s="11"/>
      <c r="EBH12" s="28"/>
      <c r="EBI12" s="11"/>
      <c r="EBJ12" s="28"/>
      <c r="EBK12" s="11"/>
      <c r="EBL12" s="28"/>
      <c r="EBM12" s="11"/>
      <c r="EBN12" s="28"/>
      <c r="EBO12" s="11"/>
      <c r="EBP12" s="28"/>
      <c r="EBQ12" s="11"/>
      <c r="EBR12" s="28"/>
      <c r="EBS12" s="11"/>
      <c r="EBT12" s="28"/>
      <c r="EBU12" s="11"/>
      <c r="EBV12" s="28"/>
      <c r="EBW12" s="11"/>
      <c r="EBX12" s="28"/>
      <c r="EBY12" s="11"/>
      <c r="EBZ12" s="28"/>
      <c r="ECA12" s="11"/>
      <c r="ECB12" s="28"/>
      <c r="ECC12" s="11"/>
      <c r="ECD12" s="28"/>
      <c r="ECE12" s="11"/>
      <c r="ECF12" s="28"/>
      <c r="ECG12" s="11"/>
      <c r="ECH12" s="28"/>
      <c r="ECI12" s="11"/>
      <c r="ECJ12" s="28"/>
      <c r="ECK12" s="11"/>
      <c r="ECL12" s="28"/>
      <c r="ECM12" s="11"/>
      <c r="ECN12" s="28"/>
      <c r="ECO12" s="11"/>
      <c r="ECP12" s="28"/>
      <c r="ECQ12" s="11"/>
      <c r="ECR12" s="28"/>
      <c r="ECS12" s="11"/>
      <c r="ECT12" s="28"/>
      <c r="ECU12" s="11"/>
      <c r="ECV12" s="28"/>
      <c r="ECW12" s="11"/>
      <c r="ECX12" s="28"/>
      <c r="ECY12" s="11"/>
      <c r="ECZ12" s="28"/>
      <c r="EDA12" s="11"/>
      <c r="EDB12" s="28"/>
      <c r="EDC12" s="11"/>
      <c r="EDD12" s="28"/>
      <c r="EDE12" s="11"/>
      <c r="EDF12" s="28"/>
      <c r="EDG12" s="11"/>
      <c r="EDH12" s="28"/>
      <c r="EDI12" s="11"/>
      <c r="EDJ12" s="28"/>
      <c r="EDK12" s="11"/>
      <c r="EDL12" s="28"/>
      <c r="EDM12" s="11"/>
      <c r="EDN12" s="28"/>
      <c r="EDO12" s="11"/>
      <c r="EDP12" s="28"/>
      <c r="EDQ12" s="11"/>
      <c r="EDR12" s="28"/>
      <c r="EDS12" s="11"/>
      <c r="EDT12" s="28"/>
      <c r="EDU12" s="11"/>
      <c r="EDV12" s="28"/>
      <c r="EDW12" s="11"/>
      <c r="EDX12" s="28"/>
      <c r="EDY12" s="11"/>
      <c r="EDZ12" s="28"/>
      <c r="EEA12" s="11"/>
      <c r="EEB12" s="28"/>
      <c r="EEC12" s="11"/>
      <c r="EED12" s="28"/>
      <c r="EEE12" s="11"/>
      <c r="EEF12" s="28"/>
      <c r="EEG12" s="11"/>
      <c r="EEH12" s="28"/>
      <c r="EEI12" s="11"/>
      <c r="EEJ12" s="28"/>
      <c r="EEK12" s="11"/>
      <c r="EEL12" s="28"/>
      <c r="EEM12" s="11"/>
      <c r="EEN12" s="28"/>
      <c r="EEO12" s="11"/>
      <c r="EEP12" s="28"/>
      <c r="EEQ12" s="11"/>
      <c r="EER12" s="28"/>
      <c r="EES12" s="11"/>
      <c r="EET12" s="28"/>
      <c r="EEU12" s="11"/>
      <c r="EEV12" s="28"/>
      <c r="EEW12" s="11"/>
      <c r="EEX12" s="28"/>
      <c r="EEY12" s="11"/>
      <c r="EEZ12" s="28"/>
      <c r="EFA12" s="11"/>
      <c r="EFB12" s="28"/>
      <c r="EFC12" s="11"/>
      <c r="EFD12" s="28"/>
      <c r="EFE12" s="11"/>
      <c r="EFF12" s="28"/>
      <c r="EFG12" s="11"/>
      <c r="EFH12" s="28"/>
      <c r="EFI12" s="11"/>
      <c r="EFJ12" s="28"/>
      <c r="EFK12" s="11"/>
      <c r="EFL12" s="28"/>
      <c r="EFM12" s="11"/>
      <c r="EFN12" s="28"/>
      <c r="EFO12" s="11"/>
      <c r="EFP12" s="28"/>
      <c r="EFQ12" s="11"/>
      <c r="EFR12" s="28"/>
      <c r="EFS12" s="11"/>
      <c r="EFT12" s="28"/>
      <c r="EFU12" s="11"/>
      <c r="EFV12" s="28"/>
      <c r="EFW12" s="11"/>
      <c r="EFX12" s="28"/>
      <c r="EFY12" s="11"/>
      <c r="EFZ12" s="28"/>
      <c r="EGA12" s="11"/>
      <c r="EGB12" s="28"/>
      <c r="EGC12" s="11"/>
      <c r="EGD12" s="28"/>
      <c r="EGE12" s="11"/>
      <c r="EGF12" s="28"/>
      <c r="EGG12" s="11"/>
      <c r="EGH12" s="28"/>
      <c r="EGI12" s="11"/>
      <c r="EGJ12" s="28"/>
      <c r="EGK12" s="11"/>
      <c r="EGL12" s="28"/>
      <c r="EGM12" s="11"/>
      <c r="EGN12" s="28"/>
      <c r="EGO12" s="11"/>
      <c r="EGP12" s="28"/>
      <c r="EGQ12" s="11"/>
      <c r="EGR12" s="28"/>
      <c r="EGS12" s="11"/>
      <c r="EGT12" s="28"/>
      <c r="EGU12" s="11"/>
      <c r="EGV12" s="28"/>
      <c r="EGW12" s="11"/>
      <c r="EGX12" s="28"/>
      <c r="EGY12" s="11"/>
      <c r="EGZ12" s="28"/>
      <c r="EHA12" s="11"/>
      <c r="EHB12" s="28"/>
      <c r="EHC12" s="11"/>
      <c r="EHD12" s="28"/>
      <c r="EHE12" s="11"/>
      <c r="EHF12" s="28"/>
      <c r="EHG12" s="11"/>
      <c r="EHH12" s="28"/>
      <c r="EHI12" s="11"/>
      <c r="EHJ12" s="28"/>
      <c r="EHK12" s="11"/>
      <c r="EHL12" s="28"/>
      <c r="EHM12" s="11"/>
      <c r="EHN12" s="28"/>
      <c r="EHO12" s="11"/>
      <c r="EHP12" s="28"/>
      <c r="EHQ12" s="11"/>
      <c r="EHR12" s="28"/>
      <c r="EHS12" s="11"/>
      <c r="EHT12" s="28"/>
      <c r="EHU12" s="11"/>
      <c r="EHV12" s="28"/>
      <c r="EHW12" s="11"/>
      <c r="EHX12" s="28"/>
      <c r="EHY12" s="11"/>
      <c r="EHZ12" s="28"/>
      <c r="EIA12" s="11"/>
      <c r="EIB12" s="28"/>
      <c r="EIC12" s="11"/>
      <c r="EID12" s="28"/>
      <c r="EIE12" s="11"/>
      <c r="EIF12" s="28"/>
      <c r="EIG12" s="11"/>
      <c r="EIH12" s="28"/>
      <c r="EII12" s="11"/>
      <c r="EIJ12" s="28"/>
      <c r="EIK12" s="11"/>
      <c r="EIL12" s="28"/>
      <c r="EIM12" s="11"/>
      <c r="EIN12" s="28"/>
      <c r="EIO12" s="11"/>
      <c r="EIP12" s="28"/>
      <c r="EIQ12" s="11"/>
      <c r="EIR12" s="28"/>
      <c r="EIS12" s="11"/>
      <c r="EIT12" s="28"/>
      <c r="EIU12" s="11"/>
      <c r="EIV12" s="28"/>
      <c r="EIW12" s="11"/>
      <c r="EIX12" s="28"/>
      <c r="EIY12" s="11"/>
      <c r="EIZ12" s="28"/>
      <c r="EJA12" s="11"/>
      <c r="EJB12" s="28"/>
      <c r="EJC12" s="11"/>
      <c r="EJD12" s="28"/>
      <c r="EJE12" s="11"/>
      <c r="EJF12" s="28"/>
      <c r="EJG12" s="11"/>
      <c r="EJH12" s="28"/>
      <c r="EJI12" s="11"/>
      <c r="EJJ12" s="28"/>
      <c r="EJK12" s="11"/>
      <c r="EJL12" s="28"/>
      <c r="EJM12" s="11"/>
      <c r="EJN12" s="28"/>
      <c r="EJO12" s="11"/>
      <c r="EJP12" s="28"/>
      <c r="EJQ12" s="11"/>
      <c r="EJR12" s="28"/>
      <c r="EJS12" s="11"/>
      <c r="EJT12" s="28"/>
      <c r="EJU12" s="11"/>
      <c r="EJV12" s="28"/>
      <c r="EJW12" s="11"/>
      <c r="EJX12" s="28"/>
      <c r="EJY12" s="11"/>
      <c r="EJZ12" s="28"/>
      <c r="EKA12" s="11"/>
      <c r="EKB12" s="28"/>
      <c r="EKC12" s="11"/>
      <c r="EKD12" s="28"/>
      <c r="EKE12" s="11"/>
      <c r="EKF12" s="28"/>
      <c r="EKG12" s="11"/>
      <c r="EKH12" s="28"/>
      <c r="EKI12" s="11"/>
      <c r="EKJ12" s="28"/>
      <c r="EKK12" s="11"/>
      <c r="EKL12" s="28"/>
      <c r="EKM12" s="11"/>
      <c r="EKN12" s="28"/>
      <c r="EKO12" s="11"/>
      <c r="EKP12" s="28"/>
      <c r="EKQ12" s="11"/>
      <c r="EKR12" s="28"/>
      <c r="EKS12" s="11"/>
      <c r="EKT12" s="28"/>
      <c r="EKU12" s="11"/>
      <c r="EKV12" s="28"/>
      <c r="EKW12" s="11"/>
      <c r="EKX12" s="28"/>
      <c r="EKY12" s="11"/>
      <c r="EKZ12" s="28"/>
      <c r="ELA12" s="11"/>
      <c r="ELB12" s="28"/>
      <c r="ELC12" s="11"/>
      <c r="ELD12" s="28"/>
      <c r="ELE12" s="11"/>
      <c r="ELF12" s="28"/>
      <c r="ELG12" s="11"/>
      <c r="ELH12" s="28"/>
      <c r="ELI12" s="11"/>
      <c r="ELJ12" s="28"/>
      <c r="ELK12" s="11"/>
      <c r="ELL12" s="28"/>
      <c r="ELM12" s="11"/>
      <c r="ELN12" s="28"/>
      <c r="ELO12" s="11"/>
      <c r="ELP12" s="28"/>
      <c r="ELQ12" s="11"/>
      <c r="ELR12" s="28"/>
      <c r="ELS12" s="11"/>
      <c r="ELT12" s="28"/>
      <c r="ELU12" s="11"/>
      <c r="ELV12" s="28"/>
      <c r="ELW12" s="11"/>
      <c r="ELX12" s="28"/>
      <c r="ELY12" s="11"/>
      <c r="ELZ12" s="28"/>
      <c r="EMA12" s="11"/>
      <c r="EMB12" s="28"/>
      <c r="EMC12" s="11"/>
      <c r="EMD12" s="28"/>
      <c r="EME12" s="11"/>
      <c r="EMF12" s="28"/>
      <c r="EMG12" s="11"/>
      <c r="EMH12" s="28"/>
      <c r="EMI12" s="11"/>
      <c r="EMJ12" s="28"/>
      <c r="EMK12" s="11"/>
      <c r="EML12" s="28"/>
      <c r="EMM12" s="11"/>
      <c r="EMN12" s="28"/>
      <c r="EMO12" s="11"/>
      <c r="EMP12" s="28"/>
      <c r="EMQ12" s="11"/>
      <c r="EMR12" s="28"/>
      <c r="EMS12" s="11"/>
      <c r="EMT12" s="28"/>
      <c r="EMU12" s="11"/>
      <c r="EMV12" s="28"/>
      <c r="EMW12" s="11"/>
      <c r="EMX12" s="28"/>
      <c r="EMY12" s="11"/>
      <c r="EMZ12" s="28"/>
      <c r="ENA12" s="11"/>
      <c r="ENB12" s="28"/>
      <c r="ENC12" s="11"/>
      <c r="END12" s="28"/>
      <c r="ENE12" s="11"/>
      <c r="ENF12" s="28"/>
      <c r="ENG12" s="11"/>
      <c r="ENH12" s="28"/>
      <c r="ENI12" s="11"/>
      <c r="ENJ12" s="28"/>
      <c r="ENK12" s="11"/>
      <c r="ENL12" s="28"/>
      <c r="ENM12" s="11"/>
      <c r="ENN12" s="28"/>
      <c r="ENO12" s="11"/>
      <c r="ENP12" s="28"/>
      <c r="ENQ12" s="11"/>
      <c r="ENR12" s="28"/>
      <c r="ENS12" s="11"/>
      <c r="ENT12" s="28"/>
      <c r="ENU12" s="11"/>
      <c r="ENV12" s="28"/>
      <c r="ENW12" s="11"/>
      <c r="ENX12" s="28"/>
      <c r="ENY12" s="11"/>
      <c r="ENZ12" s="28"/>
      <c r="EOA12" s="11"/>
      <c r="EOB12" s="28"/>
      <c r="EOC12" s="11"/>
      <c r="EOD12" s="28"/>
      <c r="EOE12" s="11"/>
      <c r="EOF12" s="28"/>
      <c r="EOG12" s="11"/>
      <c r="EOH12" s="28"/>
      <c r="EOI12" s="11"/>
      <c r="EOJ12" s="28"/>
      <c r="EOK12" s="11"/>
      <c r="EOL12" s="28"/>
      <c r="EOM12" s="11"/>
      <c r="EON12" s="28"/>
      <c r="EOO12" s="11"/>
      <c r="EOP12" s="28"/>
      <c r="EOQ12" s="11"/>
      <c r="EOR12" s="28"/>
      <c r="EOS12" s="11"/>
      <c r="EOT12" s="28"/>
      <c r="EOU12" s="11"/>
      <c r="EOV12" s="28"/>
      <c r="EOW12" s="11"/>
      <c r="EOX12" s="28"/>
      <c r="EOY12" s="11"/>
      <c r="EOZ12" s="28"/>
      <c r="EPA12" s="11"/>
      <c r="EPB12" s="28"/>
      <c r="EPC12" s="11"/>
      <c r="EPD12" s="28"/>
      <c r="EPE12" s="11"/>
      <c r="EPF12" s="28"/>
      <c r="EPG12" s="11"/>
      <c r="EPH12" s="28"/>
      <c r="EPI12" s="11"/>
      <c r="EPJ12" s="28"/>
      <c r="EPK12" s="11"/>
      <c r="EPL12" s="28"/>
      <c r="EPM12" s="11"/>
      <c r="EPN12" s="28"/>
      <c r="EPO12" s="11"/>
      <c r="EPP12" s="28"/>
      <c r="EPQ12" s="11"/>
      <c r="EPR12" s="28"/>
      <c r="EPS12" s="11"/>
      <c r="EPT12" s="28"/>
      <c r="EPU12" s="11"/>
      <c r="EPV12" s="28"/>
      <c r="EPW12" s="11"/>
      <c r="EPX12" s="28"/>
      <c r="EPY12" s="11"/>
      <c r="EPZ12" s="28"/>
      <c r="EQA12" s="11"/>
      <c r="EQB12" s="28"/>
      <c r="EQC12" s="11"/>
      <c r="EQD12" s="28"/>
      <c r="EQE12" s="11"/>
      <c r="EQF12" s="28"/>
      <c r="EQG12" s="11"/>
      <c r="EQH12" s="28"/>
      <c r="EQI12" s="11"/>
      <c r="EQJ12" s="28"/>
      <c r="EQK12" s="11"/>
      <c r="EQL12" s="28"/>
      <c r="EQM12" s="11"/>
      <c r="EQN12" s="28"/>
      <c r="EQO12" s="11"/>
      <c r="EQP12" s="28"/>
      <c r="EQQ12" s="11"/>
      <c r="EQR12" s="28"/>
      <c r="EQS12" s="11"/>
      <c r="EQT12" s="28"/>
      <c r="EQU12" s="11"/>
      <c r="EQV12" s="28"/>
      <c r="EQW12" s="11"/>
      <c r="EQX12" s="28"/>
      <c r="EQY12" s="11"/>
      <c r="EQZ12" s="28"/>
      <c r="ERA12" s="11"/>
      <c r="ERB12" s="28"/>
      <c r="ERC12" s="11"/>
      <c r="ERD12" s="28"/>
      <c r="ERE12" s="11"/>
      <c r="ERF12" s="28"/>
      <c r="ERG12" s="11"/>
      <c r="ERH12" s="28"/>
      <c r="ERI12" s="11"/>
      <c r="ERJ12" s="28"/>
      <c r="ERK12" s="11"/>
      <c r="ERL12" s="28"/>
      <c r="ERM12" s="11"/>
      <c r="ERN12" s="28"/>
      <c r="ERO12" s="11"/>
      <c r="ERP12" s="28"/>
      <c r="ERQ12" s="11"/>
      <c r="ERR12" s="28"/>
      <c r="ERS12" s="11"/>
      <c r="ERT12" s="28"/>
      <c r="ERU12" s="11"/>
      <c r="ERV12" s="28"/>
      <c r="ERW12" s="11"/>
      <c r="ERX12" s="28"/>
      <c r="ERY12" s="11"/>
      <c r="ERZ12" s="28"/>
      <c r="ESA12" s="11"/>
      <c r="ESB12" s="28"/>
      <c r="ESC12" s="11"/>
      <c r="ESD12" s="28"/>
      <c r="ESE12" s="11"/>
      <c r="ESF12" s="28"/>
      <c r="ESG12" s="11"/>
      <c r="ESH12" s="28"/>
      <c r="ESI12" s="11"/>
      <c r="ESJ12" s="28"/>
      <c r="ESK12" s="11"/>
      <c r="ESL12" s="28"/>
      <c r="ESM12" s="11"/>
      <c r="ESN12" s="28"/>
      <c r="ESO12" s="11"/>
      <c r="ESP12" s="28"/>
      <c r="ESQ12" s="11"/>
      <c r="ESR12" s="28"/>
      <c r="ESS12" s="11"/>
      <c r="EST12" s="28"/>
      <c r="ESU12" s="11"/>
      <c r="ESV12" s="28"/>
      <c r="ESW12" s="11"/>
      <c r="ESX12" s="28"/>
      <c r="ESY12" s="11"/>
      <c r="ESZ12" s="28"/>
      <c r="ETA12" s="11"/>
      <c r="ETB12" s="28"/>
      <c r="ETC12" s="11"/>
      <c r="ETD12" s="28"/>
      <c r="ETE12" s="11"/>
      <c r="ETF12" s="28"/>
      <c r="ETG12" s="11"/>
      <c r="ETH12" s="28"/>
      <c r="ETI12" s="11"/>
      <c r="ETJ12" s="28"/>
      <c r="ETK12" s="11"/>
      <c r="ETL12" s="28"/>
      <c r="ETM12" s="11"/>
      <c r="ETN12" s="28"/>
      <c r="ETO12" s="11"/>
      <c r="ETP12" s="28"/>
      <c r="ETQ12" s="11"/>
      <c r="ETR12" s="28"/>
      <c r="ETS12" s="11"/>
      <c r="ETT12" s="28"/>
      <c r="ETU12" s="11"/>
      <c r="ETV12" s="28"/>
      <c r="ETW12" s="11"/>
      <c r="ETX12" s="28"/>
      <c r="ETY12" s="11"/>
      <c r="ETZ12" s="28"/>
      <c r="EUA12" s="11"/>
      <c r="EUB12" s="28"/>
      <c r="EUC12" s="11"/>
      <c r="EUD12" s="28"/>
      <c r="EUE12" s="11"/>
      <c r="EUF12" s="28"/>
      <c r="EUG12" s="11"/>
      <c r="EUH12" s="28"/>
      <c r="EUI12" s="11"/>
      <c r="EUJ12" s="28"/>
      <c r="EUK12" s="11"/>
      <c r="EUL12" s="28"/>
      <c r="EUM12" s="11"/>
      <c r="EUN12" s="28"/>
      <c r="EUO12" s="11"/>
      <c r="EUP12" s="28"/>
      <c r="EUQ12" s="11"/>
      <c r="EUR12" s="28"/>
      <c r="EUS12" s="11"/>
      <c r="EUT12" s="28"/>
      <c r="EUU12" s="11"/>
      <c r="EUV12" s="28"/>
      <c r="EUW12" s="11"/>
      <c r="EUX12" s="28"/>
      <c r="EUY12" s="11"/>
      <c r="EUZ12" s="28"/>
      <c r="EVA12" s="11"/>
      <c r="EVB12" s="28"/>
      <c r="EVC12" s="11"/>
      <c r="EVD12" s="28"/>
      <c r="EVE12" s="11"/>
      <c r="EVF12" s="28"/>
      <c r="EVG12" s="11"/>
      <c r="EVH12" s="28"/>
      <c r="EVI12" s="11"/>
      <c r="EVJ12" s="28"/>
      <c r="EVK12" s="11"/>
      <c r="EVL12" s="28"/>
      <c r="EVM12" s="11"/>
      <c r="EVN12" s="28"/>
      <c r="EVO12" s="11"/>
      <c r="EVP12" s="28"/>
      <c r="EVQ12" s="11"/>
      <c r="EVR12" s="28"/>
      <c r="EVS12" s="11"/>
      <c r="EVT12" s="28"/>
      <c r="EVU12" s="11"/>
      <c r="EVV12" s="28"/>
      <c r="EVW12" s="11"/>
      <c r="EVX12" s="28"/>
      <c r="EVY12" s="11"/>
      <c r="EVZ12" s="28"/>
      <c r="EWA12" s="11"/>
      <c r="EWB12" s="28"/>
      <c r="EWC12" s="11"/>
      <c r="EWD12" s="28"/>
      <c r="EWE12" s="11"/>
      <c r="EWF12" s="28"/>
      <c r="EWG12" s="11"/>
      <c r="EWH12" s="28"/>
      <c r="EWI12" s="11"/>
      <c r="EWJ12" s="28"/>
      <c r="EWK12" s="11"/>
      <c r="EWL12" s="28"/>
      <c r="EWM12" s="11"/>
      <c r="EWN12" s="28"/>
      <c r="EWO12" s="11"/>
      <c r="EWP12" s="28"/>
      <c r="EWQ12" s="11"/>
      <c r="EWR12" s="28"/>
      <c r="EWS12" s="11"/>
      <c r="EWT12" s="28"/>
      <c r="EWU12" s="11"/>
      <c r="EWV12" s="28"/>
      <c r="EWW12" s="11"/>
      <c r="EWX12" s="28"/>
      <c r="EWY12" s="11"/>
      <c r="EWZ12" s="28"/>
      <c r="EXA12" s="11"/>
      <c r="EXB12" s="28"/>
      <c r="EXC12" s="11"/>
      <c r="EXD12" s="28"/>
      <c r="EXE12" s="11"/>
      <c r="EXF12" s="28"/>
      <c r="EXG12" s="11"/>
      <c r="EXH12" s="28"/>
      <c r="EXI12" s="11"/>
      <c r="EXJ12" s="28"/>
      <c r="EXK12" s="11"/>
      <c r="EXL12" s="28"/>
      <c r="EXM12" s="11"/>
      <c r="EXN12" s="28"/>
      <c r="EXO12" s="11"/>
      <c r="EXP12" s="28"/>
      <c r="EXQ12" s="11"/>
      <c r="EXR12" s="28"/>
      <c r="EXS12" s="11"/>
      <c r="EXT12" s="28"/>
      <c r="EXU12" s="11"/>
      <c r="EXV12" s="28"/>
      <c r="EXW12" s="11"/>
      <c r="EXX12" s="28"/>
      <c r="EXY12" s="11"/>
      <c r="EXZ12" s="28"/>
      <c r="EYA12" s="11"/>
      <c r="EYB12" s="28"/>
      <c r="EYC12" s="11"/>
      <c r="EYD12" s="28"/>
      <c r="EYE12" s="11"/>
      <c r="EYF12" s="28"/>
      <c r="EYG12" s="11"/>
      <c r="EYH12" s="28"/>
      <c r="EYI12" s="11"/>
      <c r="EYJ12" s="28"/>
      <c r="EYK12" s="11"/>
      <c r="EYL12" s="28"/>
      <c r="EYM12" s="11"/>
      <c r="EYN12" s="28"/>
      <c r="EYO12" s="11"/>
      <c r="EYP12" s="28"/>
      <c r="EYQ12" s="11"/>
      <c r="EYR12" s="28"/>
      <c r="EYS12" s="11"/>
      <c r="EYT12" s="28"/>
      <c r="EYU12" s="11"/>
      <c r="EYV12" s="28"/>
      <c r="EYW12" s="11"/>
      <c r="EYX12" s="28"/>
      <c r="EYY12" s="11"/>
      <c r="EYZ12" s="28"/>
      <c r="EZA12" s="11"/>
      <c r="EZB12" s="28"/>
      <c r="EZC12" s="11"/>
      <c r="EZD12" s="28"/>
      <c r="EZE12" s="11"/>
      <c r="EZF12" s="28"/>
      <c r="EZG12" s="11"/>
      <c r="EZH12" s="28"/>
      <c r="EZI12" s="11"/>
      <c r="EZJ12" s="28"/>
      <c r="EZK12" s="11"/>
      <c r="EZL12" s="28"/>
      <c r="EZM12" s="11"/>
      <c r="EZN12" s="28"/>
      <c r="EZO12" s="11"/>
      <c r="EZP12" s="28"/>
      <c r="EZQ12" s="11"/>
      <c r="EZR12" s="28"/>
      <c r="EZS12" s="11"/>
      <c r="EZT12" s="28"/>
      <c r="EZU12" s="11"/>
      <c r="EZV12" s="28"/>
      <c r="EZW12" s="11"/>
      <c r="EZX12" s="28"/>
      <c r="EZY12" s="11"/>
      <c r="EZZ12" s="28"/>
      <c r="FAA12" s="11"/>
      <c r="FAB12" s="28"/>
      <c r="FAC12" s="11"/>
      <c r="FAD12" s="28"/>
      <c r="FAE12" s="11"/>
      <c r="FAF12" s="28"/>
      <c r="FAG12" s="11"/>
      <c r="FAH12" s="28"/>
      <c r="FAI12" s="11"/>
      <c r="FAJ12" s="28"/>
      <c r="FAK12" s="11"/>
      <c r="FAL12" s="28"/>
      <c r="FAM12" s="11"/>
      <c r="FAN12" s="28"/>
      <c r="FAO12" s="11"/>
      <c r="FAP12" s="28"/>
      <c r="FAQ12" s="11"/>
      <c r="FAR12" s="28"/>
      <c r="FAS12" s="11"/>
      <c r="FAT12" s="28"/>
      <c r="FAU12" s="11"/>
      <c r="FAV12" s="28"/>
      <c r="FAW12" s="11"/>
      <c r="FAX12" s="28"/>
      <c r="FAY12" s="11"/>
      <c r="FAZ12" s="28"/>
      <c r="FBA12" s="11"/>
      <c r="FBB12" s="28"/>
      <c r="FBC12" s="11"/>
      <c r="FBD12" s="28"/>
      <c r="FBE12" s="11"/>
      <c r="FBF12" s="28"/>
      <c r="FBG12" s="11"/>
      <c r="FBH12" s="28"/>
      <c r="FBI12" s="11"/>
      <c r="FBJ12" s="28"/>
      <c r="FBK12" s="11"/>
      <c r="FBL12" s="28"/>
      <c r="FBM12" s="11"/>
      <c r="FBN12" s="28"/>
      <c r="FBO12" s="11"/>
      <c r="FBP12" s="28"/>
      <c r="FBQ12" s="11"/>
      <c r="FBR12" s="28"/>
      <c r="FBS12" s="11"/>
      <c r="FBT12" s="28"/>
      <c r="FBU12" s="11"/>
      <c r="FBV12" s="28"/>
      <c r="FBW12" s="11"/>
      <c r="FBX12" s="28"/>
      <c r="FBY12" s="11"/>
      <c r="FBZ12" s="28"/>
      <c r="FCA12" s="11"/>
      <c r="FCB12" s="28"/>
      <c r="FCC12" s="11"/>
      <c r="FCD12" s="28"/>
      <c r="FCE12" s="11"/>
      <c r="FCF12" s="28"/>
      <c r="FCG12" s="11"/>
      <c r="FCH12" s="28"/>
      <c r="FCI12" s="11"/>
      <c r="FCJ12" s="28"/>
      <c r="FCK12" s="11"/>
      <c r="FCL12" s="28"/>
      <c r="FCM12" s="11"/>
      <c r="FCN12" s="28"/>
      <c r="FCO12" s="11"/>
      <c r="FCP12" s="28"/>
      <c r="FCQ12" s="11"/>
      <c r="FCR12" s="28"/>
      <c r="FCS12" s="11"/>
      <c r="FCT12" s="28"/>
      <c r="FCU12" s="11"/>
      <c r="FCV12" s="28"/>
      <c r="FCW12" s="11"/>
      <c r="FCX12" s="28"/>
      <c r="FCY12" s="11"/>
      <c r="FCZ12" s="28"/>
      <c r="FDA12" s="11"/>
      <c r="FDB12" s="28"/>
      <c r="FDC12" s="11"/>
      <c r="FDD12" s="28"/>
      <c r="FDE12" s="11"/>
      <c r="FDF12" s="28"/>
      <c r="FDG12" s="11"/>
      <c r="FDH12" s="28"/>
      <c r="FDI12" s="11"/>
      <c r="FDJ12" s="28"/>
      <c r="FDK12" s="11"/>
      <c r="FDL12" s="28"/>
      <c r="FDM12" s="11"/>
      <c r="FDN12" s="28"/>
      <c r="FDO12" s="11"/>
      <c r="FDP12" s="28"/>
      <c r="FDQ12" s="11"/>
      <c r="FDR12" s="28"/>
      <c r="FDS12" s="11"/>
      <c r="FDT12" s="28"/>
      <c r="FDU12" s="11"/>
      <c r="FDV12" s="28"/>
      <c r="FDW12" s="11"/>
      <c r="FDX12" s="28"/>
      <c r="FDY12" s="11"/>
      <c r="FDZ12" s="28"/>
      <c r="FEA12" s="11"/>
      <c r="FEB12" s="28"/>
      <c r="FEC12" s="11"/>
      <c r="FED12" s="28"/>
      <c r="FEE12" s="11"/>
      <c r="FEF12" s="28"/>
      <c r="FEG12" s="11"/>
      <c r="FEH12" s="28"/>
      <c r="FEI12" s="11"/>
      <c r="FEJ12" s="28"/>
      <c r="FEK12" s="11"/>
      <c r="FEL12" s="28"/>
      <c r="FEM12" s="11"/>
      <c r="FEN12" s="28"/>
      <c r="FEO12" s="11"/>
      <c r="FEP12" s="28"/>
      <c r="FEQ12" s="11"/>
      <c r="FER12" s="28"/>
      <c r="FES12" s="11"/>
      <c r="FET12" s="28"/>
      <c r="FEU12" s="11"/>
      <c r="FEV12" s="28"/>
      <c r="FEW12" s="11"/>
      <c r="FEX12" s="28"/>
      <c r="FEY12" s="11"/>
      <c r="FEZ12" s="28"/>
      <c r="FFA12" s="11"/>
      <c r="FFB12" s="28"/>
      <c r="FFC12" s="11"/>
      <c r="FFD12" s="28"/>
      <c r="FFE12" s="11"/>
      <c r="FFF12" s="28"/>
      <c r="FFG12" s="11"/>
      <c r="FFH12" s="28"/>
      <c r="FFI12" s="11"/>
      <c r="FFJ12" s="28"/>
      <c r="FFK12" s="11"/>
      <c r="FFL12" s="28"/>
      <c r="FFM12" s="11"/>
      <c r="FFN12" s="28"/>
      <c r="FFO12" s="11"/>
      <c r="FFP12" s="28"/>
      <c r="FFQ12" s="11"/>
      <c r="FFR12" s="28"/>
      <c r="FFS12" s="11"/>
      <c r="FFT12" s="28"/>
      <c r="FFU12" s="11"/>
      <c r="FFV12" s="28"/>
      <c r="FFW12" s="11"/>
      <c r="FFX12" s="28"/>
      <c r="FFY12" s="11"/>
      <c r="FFZ12" s="28"/>
      <c r="FGA12" s="11"/>
      <c r="FGB12" s="28"/>
      <c r="FGC12" s="11"/>
      <c r="FGD12" s="28"/>
      <c r="FGE12" s="11"/>
      <c r="FGF12" s="28"/>
      <c r="FGG12" s="11"/>
      <c r="FGH12" s="28"/>
      <c r="FGI12" s="11"/>
      <c r="FGJ12" s="28"/>
      <c r="FGK12" s="11"/>
      <c r="FGL12" s="28"/>
      <c r="FGM12" s="11"/>
      <c r="FGN12" s="28"/>
      <c r="FGO12" s="11"/>
      <c r="FGP12" s="28"/>
      <c r="FGQ12" s="11"/>
      <c r="FGR12" s="28"/>
      <c r="FGS12" s="11"/>
      <c r="FGT12" s="28"/>
      <c r="FGU12" s="11"/>
      <c r="FGV12" s="28"/>
      <c r="FGW12" s="11"/>
      <c r="FGX12" s="28"/>
      <c r="FGY12" s="11"/>
      <c r="FGZ12" s="28"/>
      <c r="FHA12" s="11"/>
      <c r="FHB12" s="28"/>
      <c r="FHC12" s="11"/>
      <c r="FHD12" s="28"/>
      <c r="FHE12" s="11"/>
      <c r="FHF12" s="28"/>
      <c r="FHG12" s="11"/>
      <c r="FHH12" s="28"/>
      <c r="FHI12" s="11"/>
      <c r="FHJ12" s="28"/>
      <c r="FHK12" s="11"/>
      <c r="FHL12" s="28"/>
      <c r="FHM12" s="11"/>
      <c r="FHN12" s="28"/>
      <c r="FHO12" s="11"/>
      <c r="FHP12" s="28"/>
      <c r="FHQ12" s="11"/>
      <c r="FHR12" s="28"/>
      <c r="FHS12" s="11"/>
      <c r="FHT12" s="28"/>
      <c r="FHU12" s="11"/>
      <c r="FHV12" s="28"/>
      <c r="FHW12" s="11"/>
      <c r="FHX12" s="28"/>
      <c r="FHY12" s="11"/>
      <c r="FHZ12" s="28"/>
      <c r="FIA12" s="11"/>
      <c r="FIB12" s="28"/>
      <c r="FIC12" s="11"/>
      <c r="FID12" s="28"/>
      <c r="FIE12" s="11"/>
      <c r="FIF12" s="28"/>
      <c r="FIG12" s="11"/>
      <c r="FIH12" s="28"/>
      <c r="FII12" s="11"/>
      <c r="FIJ12" s="28"/>
      <c r="FIK12" s="11"/>
      <c r="FIL12" s="28"/>
      <c r="FIM12" s="11"/>
      <c r="FIN12" s="28"/>
      <c r="FIO12" s="11"/>
      <c r="FIP12" s="28"/>
      <c r="FIQ12" s="11"/>
      <c r="FIR12" s="28"/>
      <c r="FIS12" s="11"/>
      <c r="FIT12" s="28"/>
      <c r="FIU12" s="11"/>
      <c r="FIV12" s="28"/>
      <c r="FIW12" s="11"/>
      <c r="FIX12" s="28"/>
      <c r="FIY12" s="11"/>
      <c r="FIZ12" s="28"/>
      <c r="FJA12" s="11"/>
      <c r="FJB12" s="28"/>
      <c r="FJC12" s="11"/>
      <c r="FJD12" s="28"/>
      <c r="FJE12" s="11"/>
      <c r="FJF12" s="28"/>
      <c r="FJG12" s="11"/>
      <c r="FJH12" s="28"/>
      <c r="FJI12" s="11"/>
      <c r="FJJ12" s="28"/>
      <c r="FJK12" s="11"/>
      <c r="FJL12" s="28"/>
      <c r="FJM12" s="11"/>
      <c r="FJN12" s="28"/>
      <c r="FJO12" s="11"/>
      <c r="FJP12" s="28"/>
      <c r="FJQ12" s="11"/>
      <c r="FJR12" s="28"/>
      <c r="FJS12" s="11"/>
      <c r="FJT12" s="28"/>
      <c r="FJU12" s="11"/>
      <c r="FJV12" s="28"/>
      <c r="FJW12" s="11"/>
      <c r="FJX12" s="28"/>
      <c r="FJY12" s="11"/>
      <c r="FJZ12" s="28"/>
      <c r="FKA12" s="11"/>
      <c r="FKB12" s="28"/>
      <c r="FKC12" s="11"/>
      <c r="FKD12" s="28"/>
      <c r="FKE12" s="11"/>
      <c r="FKF12" s="28"/>
      <c r="FKG12" s="11"/>
      <c r="FKH12" s="28"/>
      <c r="FKI12" s="11"/>
      <c r="FKJ12" s="28"/>
      <c r="FKK12" s="11"/>
      <c r="FKL12" s="28"/>
      <c r="FKM12" s="11"/>
      <c r="FKN12" s="28"/>
      <c r="FKO12" s="11"/>
      <c r="FKP12" s="28"/>
      <c r="FKQ12" s="11"/>
      <c r="FKR12" s="28"/>
      <c r="FKS12" s="11"/>
      <c r="FKT12" s="28"/>
      <c r="FKU12" s="11"/>
      <c r="FKV12" s="28"/>
      <c r="FKW12" s="11"/>
      <c r="FKX12" s="28"/>
      <c r="FKY12" s="11"/>
      <c r="FKZ12" s="28"/>
      <c r="FLA12" s="11"/>
      <c r="FLB12" s="28"/>
      <c r="FLC12" s="11"/>
      <c r="FLD12" s="28"/>
      <c r="FLE12" s="11"/>
      <c r="FLF12" s="28"/>
      <c r="FLG12" s="11"/>
      <c r="FLH12" s="28"/>
      <c r="FLI12" s="11"/>
      <c r="FLJ12" s="28"/>
      <c r="FLK12" s="11"/>
      <c r="FLL12" s="28"/>
      <c r="FLM12" s="11"/>
      <c r="FLN12" s="28"/>
      <c r="FLO12" s="11"/>
      <c r="FLP12" s="28"/>
      <c r="FLQ12" s="11"/>
      <c r="FLR12" s="28"/>
      <c r="FLS12" s="11"/>
      <c r="FLT12" s="28"/>
      <c r="FLU12" s="11"/>
      <c r="FLV12" s="28"/>
      <c r="FLW12" s="11"/>
      <c r="FLX12" s="28"/>
      <c r="FLY12" s="11"/>
      <c r="FLZ12" s="28"/>
      <c r="FMA12" s="11"/>
      <c r="FMB12" s="28"/>
      <c r="FMC12" s="11"/>
      <c r="FMD12" s="28"/>
      <c r="FME12" s="11"/>
      <c r="FMF12" s="28"/>
      <c r="FMG12" s="11"/>
      <c r="FMH12" s="28"/>
      <c r="FMI12" s="11"/>
      <c r="FMJ12" s="28"/>
      <c r="FMK12" s="11"/>
      <c r="FML12" s="28"/>
      <c r="FMM12" s="11"/>
      <c r="FMN12" s="28"/>
      <c r="FMO12" s="11"/>
      <c r="FMP12" s="28"/>
      <c r="FMQ12" s="11"/>
      <c r="FMR12" s="28"/>
      <c r="FMS12" s="11"/>
      <c r="FMT12" s="28"/>
      <c r="FMU12" s="11"/>
      <c r="FMV12" s="28"/>
      <c r="FMW12" s="11"/>
      <c r="FMX12" s="28"/>
      <c r="FMY12" s="11"/>
      <c r="FMZ12" s="28"/>
      <c r="FNA12" s="11"/>
      <c r="FNB12" s="28"/>
      <c r="FNC12" s="11"/>
      <c r="FND12" s="28"/>
      <c r="FNE12" s="11"/>
      <c r="FNF12" s="28"/>
      <c r="FNG12" s="11"/>
      <c r="FNH12" s="28"/>
      <c r="FNI12" s="11"/>
      <c r="FNJ12" s="28"/>
      <c r="FNK12" s="11"/>
      <c r="FNL12" s="28"/>
      <c r="FNM12" s="11"/>
      <c r="FNN12" s="28"/>
      <c r="FNO12" s="11"/>
      <c r="FNP12" s="28"/>
      <c r="FNQ12" s="11"/>
      <c r="FNR12" s="28"/>
      <c r="FNS12" s="11"/>
      <c r="FNT12" s="28"/>
      <c r="FNU12" s="11"/>
      <c r="FNV12" s="28"/>
      <c r="FNW12" s="11"/>
      <c r="FNX12" s="28"/>
      <c r="FNY12" s="11"/>
      <c r="FNZ12" s="28"/>
      <c r="FOA12" s="11"/>
      <c r="FOB12" s="28"/>
      <c r="FOC12" s="11"/>
      <c r="FOD12" s="28"/>
      <c r="FOE12" s="11"/>
      <c r="FOF12" s="28"/>
      <c r="FOG12" s="11"/>
      <c r="FOH12" s="28"/>
      <c r="FOI12" s="11"/>
      <c r="FOJ12" s="28"/>
      <c r="FOK12" s="11"/>
      <c r="FOL12" s="28"/>
      <c r="FOM12" s="11"/>
      <c r="FON12" s="28"/>
      <c r="FOO12" s="11"/>
      <c r="FOP12" s="28"/>
      <c r="FOQ12" s="11"/>
      <c r="FOR12" s="28"/>
      <c r="FOS12" s="11"/>
      <c r="FOT12" s="28"/>
      <c r="FOU12" s="11"/>
      <c r="FOV12" s="28"/>
      <c r="FOW12" s="11"/>
      <c r="FOX12" s="28"/>
      <c r="FOY12" s="11"/>
      <c r="FOZ12" s="28"/>
      <c r="FPA12" s="11"/>
      <c r="FPB12" s="28"/>
      <c r="FPC12" s="11"/>
      <c r="FPD12" s="28"/>
      <c r="FPE12" s="11"/>
      <c r="FPF12" s="28"/>
      <c r="FPG12" s="11"/>
      <c r="FPH12" s="28"/>
      <c r="FPI12" s="11"/>
      <c r="FPJ12" s="28"/>
      <c r="FPK12" s="11"/>
      <c r="FPL12" s="28"/>
      <c r="FPM12" s="11"/>
      <c r="FPN12" s="28"/>
      <c r="FPO12" s="11"/>
      <c r="FPP12" s="28"/>
      <c r="FPQ12" s="11"/>
      <c r="FPR12" s="28"/>
      <c r="FPS12" s="11"/>
      <c r="FPT12" s="28"/>
      <c r="FPU12" s="11"/>
      <c r="FPV12" s="28"/>
      <c r="FPW12" s="11"/>
      <c r="FPX12" s="28"/>
      <c r="FPY12" s="11"/>
      <c r="FPZ12" s="28"/>
      <c r="FQA12" s="11"/>
      <c r="FQB12" s="28"/>
      <c r="FQC12" s="11"/>
      <c r="FQD12" s="28"/>
      <c r="FQE12" s="11"/>
      <c r="FQF12" s="28"/>
      <c r="FQG12" s="11"/>
      <c r="FQH12" s="28"/>
      <c r="FQI12" s="11"/>
      <c r="FQJ12" s="28"/>
      <c r="FQK12" s="11"/>
      <c r="FQL12" s="28"/>
      <c r="FQM12" s="11"/>
      <c r="FQN12" s="28"/>
      <c r="FQO12" s="11"/>
      <c r="FQP12" s="28"/>
      <c r="FQQ12" s="11"/>
      <c r="FQR12" s="28"/>
      <c r="FQS12" s="11"/>
      <c r="FQT12" s="28"/>
      <c r="FQU12" s="11"/>
      <c r="FQV12" s="28"/>
      <c r="FQW12" s="11"/>
      <c r="FQX12" s="28"/>
      <c r="FQY12" s="11"/>
      <c r="FQZ12" s="28"/>
      <c r="FRA12" s="11"/>
      <c r="FRB12" s="28"/>
      <c r="FRC12" s="11"/>
      <c r="FRD12" s="28"/>
      <c r="FRE12" s="11"/>
      <c r="FRF12" s="28"/>
      <c r="FRG12" s="11"/>
      <c r="FRH12" s="28"/>
      <c r="FRI12" s="11"/>
      <c r="FRJ12" s="28"/>
      <c r="FRK12" s="11"/>
      <c r="FRL12" s="28"/>
      <c r="FRM12" s="11"/>
      <c r="FRN12" s="28"/>
      <c r="FRO12" s="11"/>
      <c r="FRP12" s="28"/>
      <c r="FRQ12" s="11"/>
      <c r="FRR12" s="28"/>
      <c r="FRS12" s="11"/>
      <c r="FRT12" s="28"/>
      <c r="FRU12" s="11"/>
      <c r="FRV12" s="28"/>
      <c r="FRW12" s="11"/>
      <c r="FRX12" s="28"/>
      <c r="FRY12" s="11"/>
      <c r="FRZ12" s="28"/>
      <c r="FSA12" s="11"/>
      <c r="FSB12" s="28"/>
      <c r="FSC12" s="11"/>
      <c r="FSD12" s="28"/>
      <c r="FSE12" s="11"/>
      <c r="FSF12" s="28"/>
      <c r="FSG12" s="11"/>
      <c r="FSH12" s="28"/>
      <c r="FSI12" s="11"/>
      <c r="FSJ12" s="28"/>
      <c r="FSK12" s="11"/>
      <c r="FSL12" s="28"/>
      <c r="FSM12" s="11"/>
      <c r="FSN12" s="28"/>
      <c r="FSO12" s="11"/>
      <c r="FSP12" s="28"/>
      <c r="FSQ12" s="11"/>
      <c r="FSR12" s="28"/>
      <c r="FSS12" s="11"/>
      <c r="FST12" s="28"/>
      <c r="FSU12" s="11"/>
      <c r="FSV12" s="28"/>
      <c r="FSW12" s="11"/>
      <c r="FSX12" s="28"/>
      <c r="FSY12" s="11"/>
      <c r="FSZ12" s="28"/>
      <c r="FTA12" s="11"/>
      <c r="FTB12" s="28"/>
      <c r="FTC12" s="11"/>
      <c r="FTD12" s="28"/>
      <c r="FTE12" s="11"/>
      <c r="FTF12" s="28"/>
      <c r="FTG12" s="11"/>
      <c r="FTH12" s="28"/>
      <c r="FTI12" s="11"/>
      <c r="FTJ12" s="28"/>
      <c r="FTK12" s="11"/>
      <c r="FTL12" s="28"/>
      <c r="FTM12" s="11"/>
      <c r="FTN12" s="28"/>
      <c r="FTO12" s="11"/>
      <c r="FTP12" s="28"/>
      <c r="FTQ12" s="11"/>
      <c r="FTR12" s="28"/>
      <c r="FTS12" s="11"/>
      <c r="FTT12" s="28"/>
      <c r="FTU12" s="11"/>
      <c r="FTV12" s="28"/>
      <c r="FTW12" s="11"/>
      <c r="FTX12" s="28"/>
      <c r="FTY12" s="11"/>
      <c r="FTZ12" s="28"/>
      <c r="FUA12" s="11"/>
      <c r="FUB12" s="28"/>
      <c r="FUC12" s="11"/>
      <c r="FUD12" s="28"/>
      <c r="FUE12" s="11"/>
      <c r="FUF12" s="28"/>
      <c r="FUG12" s="11"/>
      <c r="FUH12" s="28"/>
      <c r="FUI12" s="11"/>
      <c r="FUJ12" s="28"/>
      <c r="FUK12" s="11"/>
      <c r="FUL12" s="28"/>
      <c r="FUM12" s="11"/>
      <c r="FUN12" s="28"/>
      <c r="FUO12" s="11"/>
      <c r="FUP12" s="28"/>
      <c r="FUQ12" s="11"/>
      <c r="FUR12" s="28"/>
      <c r="FUS12" s="11"/>
      <c r="FUT12" s="28"/>
      <c r="FUU12" s="11"/>
      <c r="FUV12" s="28"/>
      <c r="FUW12" s="11"/>
      <c r="FUX12" s="28"/>
      <c r="FUY12" s="11"/>
      <c r="FUZ12" s="28"/>
      <c r="FVA12" s="11"/>
      <c r="FVB12" s="28"/>
      <c r="FVC12" s="11"/>
      <c r="FVD12" s="28"/>
      <c r="FVE12" s="11"/>
      <c r="FVF12" s="28"/>
      <c r="FVG12" s="11"/>
      <c r="FVH12" s="28"/>
      <c r="FVI12" s="11"/>
      <c r="FVJ12" s="28"/>
      <c r="FVK12" s="11"/>
      <c r="FVL12" s="28"/>
      <c r="FVM12" s="11"/>
      <c r="FVN12" s="28"/>
      <c r="FVO12" s="11"/>
      <c r="FVP12" s="28"/>
      <c r="FVQ12" s="11"/>
      <c r="FVR12" s="28"/>
      <c r="FVS12" s="11"/>
      <c r="FVT12" s="28"/>
      <c r="FVU12" s="11"/>
      <c r="FVV12" s="28"/>
      <c r="FVW12" s="11"/>
      <c r="FVX12" s="28"/>
      <c r="FVY12" s="11"/>
      <c r="FVZ12" s="28"/>
      <c r="FWA12" s="11"/>
      <c r="FWB12" s="28"/>
      <c r="FWC12" s="11"/>
      <c r="FWD12" s="28"/>
      <c r="FWE12" s="11"/>
      <c r="FWF12" s="28"/>
      <c r="FWG12" s="11"/>
      <c r="FWH12" s="28"/>
      <c r="FWI12" s="11"/>
      <c r="FWJ12" s="28"/>
      <c r="FWK12" s="11"/>
      <c r="FWL12" s="28"/>
      <c r="FWM12" s="11"/>
      <c r="FWN12" s="28"/>
      <c r="FWO12" s="11"/>
      <c r="FWP12" s="28"/>
      <c r="FWQ12" s="11"/>
      <c r="FWR12" s="28"/>
      <c r="FWS12" s="11"/>
      <c r="FWT12" s="28"/>
      <c r="FWU12" s="11"/>
      <c r="FWV12" s="28"/>
      <c r="FWW12" s="11"/>
      <c r="FWX12" s="28"/>
      <c r="FWY12" s="11"/>
      <c r="FWZ12" s="28"/>
      <c r="FXA12" s="11"/>
      <c r="FXB12" s="28"/>
      <c r="FXC12" s="11"/>
      <c r="FXD12" s="28"/>
      <c r="FXE12" s="11"/>
      <c r="FXF12" s="28"/>
      <c r="FXG12" s="11"/>
      <c r="FXH12" s="28"/>
      <c r="FXI12" s="11"/>
      <c r="FXJ12" s="28"/>
      <c r="FXK12" s="11"/>
      <c r="FXL12" s="28"/>
      <c r="FXM12" s="11"/>
      <c r="FXN12" s="28"/>
      <c r="FXO12" s="11"/>
      <c r="FXP12" s="28"/>
      <c r="FXQ12" s="11"/>
      <c r="FXR12" s="28"/>
      <c r="FXS12" s="11"/>
      <c r="FXT12" s="28"/>
      <c r="FXU12" s="11"/>
      <c r="FXV12" s="28"/>
      <c r="FXW12" s="11"/>
      <c r="FXX12" s="28"/>
      <c r="FXY12" s="11"/>
      <c r="FXZ12" s="28"/>
      <c r="FYA12" s="11"/>
      <c r="FYB12" s="28"/>
      <c r="FYC12" s="11"/>
      <c r="FYD12" s="28"/>
      <c r="FYE12" s="11"/>
      <c r="FYF12" s="28"/>
      <c r="FYG12" s="11"/>
      <c r="FYH12" s="28"/>
      <c r="FYI12" s="11"/>
      <c r="FYJ12" s="28"/>
      <c r="FYK12" s="11"/>
      <c r="FYL12" s="28"/>
      <c r="FYM12" s="11"/>
      <c r="FYN12" s="28"/>
      <c r="FYO12" s="11"/>
      <c r="FYP12" s="28"/>
      <c r="FYQ12" s="11"/>
      <c r="FYR12" s="28"/>
      <c r="FYS12" s="11"/>
      <c r="FYT12" s="28"/>
      <c r="FYU12" s="11"/>
      <c r="FYV12" s="28"/>
      <c r="FYW12" s="11"/>
      <c r="FYX12" s="28"/>
      <c r="FYY12" s="11"/>
      <c r="FYZ12" s="28"/>
      <c r="FZA12" s="11"/>
      <c r="FZB12" s="28"/>
      <c r="FZC12" s="11"/>
      <c r="FZD12" s="28"/>
      <c r="FZE12" s="11"/>
      <c r="FZF12" s="28"/>
      <c r="FZG12" s="11"/>
      <c r="FZH12" s="28"/>
      <c r="FZI12" s="11"/>
      <c r="FZJ12" s="28"/>
      <c r="FZK12" s="11"/>
      <c r="FZL12" s="28"/>
      <c r="FZM12" s="11"/>
      <c r="FZN12" s="28"/>
      <c r="FZO12" s="11"/>
      <c r="FZP12" s="28"/>
      <c r="FZQ12" s="11"/>
      <c r="FZR12" s="28"/>
      <c r="FZS12" s="11"/>
      <c r="FZT12" s="28"/>
      <c r="FZU12" s="11"/>
      <c r="FZV12" s="28"/>
      <c r="FZW12" s="11"/>
      <c r="FZX12" s="28"/>
      <c r="FZY12" s="11"/>
      <c r="FZZ12" s="28"/>
      <c r="GAA12" s="11"/>
      <c r="GAB12" s="28"/>
      <c r="GAC12" s="11"/>
      <c r="GAD12" s="28"/>
      <c r="GAE12" s="11"/>
      <c r="GAF12" s="28"/>
      <c r="GAG12" s="11"/>
      <c r="GAH12" s="28"/>
      <c r="GAI12" s="11"/>
      <c r="GAJ12" s="28"/>
      <c r="GAK12" s="11"/>
      <c r="GAL12" s="28"/>
      <c r="GAM12" s="11"/>
      <c r="GAN12" s="28"/>
      <c r="GAO12" s="11"/>
      <c r="GAP12" s="28"/>
      <c r="GAQ12" s="11"/>
      <c r="GAR12" s="28"/>
      <c r="GAS12" s="11"/>
      <c r="GAT12" s="28"/>
      <c r="GAU12" s="11"/>
      <c r="GAV12" s="28"/>
      <c r="GAW12" s="11"/>
      <c r="GAX12" s="28"/>
      <c r="GAY12" s="11"/>
      <c r="GAZ12" s="28"/>
      <c r="GBA12" s="11"/>
      <c r="GBB12" s="28"/>
      <c r="GBC12" s="11"/>
      <c r="GBD12" s="28"/>
      <c r="GBE12" s="11"/>
      <c r="GBF12" s="28"/>
      <c r="GBG12" s="11"/>
      <c r="GBH12" s="28"/>
      <c r="GBI12" s="11"/>
      <c r="GBJ12" s="28"/>
      <c r="GBK12" s="11"/>
      <c r="GBL12" s="28"/>
      <c r="GBM12" s="11"/>
      <c r="GBN12" s="28"/>
      <c r="GBO12" s="11"/>
      <c r="GBP12" s="28"/>
      <c r="GBQ12" s="11"/>
      <c r="GBR12" s="28"/>
      <c r="GBS12" s="11"/>
      <c r="GBT12" s="28"/>
      <c r="GBU12" s="11"/>
      <c r="GBV12" s="28"/>
      <c r="GBW12" s="11"/>
      <c r="GBX12" s="28"/>
      <c r="GBY12" s="11"/>
      <c r="GBZ12" s="28"/>
      <c r="GCA12" s="11"/>
      <c r="GCB12" s="28"/>
      <c r="GCC12" s="11"/>
      <c r="GCD12" s="28"/>
      <c r="GCE12" s="11"/>
      <c r="GCF12" s="28"/>
      <c r="GCG12" s="11"/>
      <c r="GCH12" s="28"/>
      <c r="GCI12" s="11"/>
      <c r="GCJ12" s="28"/>
      <c r="GCK12" s="11"/>
      <c r="GCL12" s="28"/>
      <c r="GCM12" s="11"/>
      <c r="GCN12" s="28"/>
      <c r="GCO12" s="11"/>
      <c r="GCP12" s="28"/>
      <c r="GCQ12" s="11"/>
      <c r="GCR12" s="28"/>
      <c r="GCS12" s="11"/>
      <c r="GCT12" s="28"/>
      <c r="GCU12" s="11"/>
      <c r="GCV12" s="28"/>
      <c r="GCW12" s="11"/>
      <c r="GCX12" s="28"/>
      <c r="GCY12" s="11"/>
      <c r="GCZ12" s="28"/>
      <c r="GDA12" s="11"/>
      <c r="GDB12" s="28"/>
      <c r="GDC12" s="11"/>
      <c r="GDD12" s="28"/>
      <c r="GDE12" s="11"/>
      <c r="GDF12" s="28"/>
      <c r="GDG12" s="11"/>
      <c r="GDH12" s="28"/>
      <c r="GDI12" s="11"/>
      <c r="GDJ12" s="28"/>
      <c r="GDK12" s="11"/>
      <c r="GDL12" s="28"/>
      <c r="GDM12" s="11"/>
      <c r="GDN12" s="28"/>
      <c r="GDO12" s="11"/>
      <c r="GDP12" s="28"/>
      <c r="GDQ12" s="11"/>
      <c r="GDR12" s="28"/>
      <c r="GDS12" s="11"/>
      <c r="GDT12" s="28"/>
      <c r="GDU12" s="11"/>
      <c r="GDV12" s="28"/>
      <c r="GDW12" s="11"/>
      <c r="GDX12" s="28"/>
      <c r="GDY12" s="11"/>
      <c r="GDZ12" s="28"/>
      <c r="GEA12" s="11"/>
      <c r="GEB12" s="28"/>
      <c r="GEC12" s="11"/>
      <c r="GED12" s="28"/>
      <c r="GEE12" s="11"/>
      <c r="GEF12" s="28"/>
      <c r="GEG12" s="11"/>
      <c r="GEH12" s="28"/>
      <c r="GEI12" s="11"/>
      <c r="GEJ12" s="28"/>
      <c r="GEK12" s="11"/>
      <c r="GEL12" s="28"/>
      <c r="GEM12" s="11"/>
      <c r="GEN12" s="28"/>
      <c r="GEO12" s="11"/>
      <c r="GEP12" s="28"/>
      <c r="GEQ12" s="11"/>
      <c r="GER12" s="28"/>
      <c r="GES12" s="11"/>
      <c r="GET12" s="28"/>
      <c r="GEU12" s="11"/>
      <c r="GEV12" s="28"/>
      <c r="GEW12" s="11"/>
      <c r="GEX12" s="28"/>
      <c r="GEY12" s="11"/>
      <c r="GEZ12" s="28"/>
      <c r="GFA12" s="11"/>
      <c r="GFB12" s="28"/>
      <c r="GFC12" s="11"/>
      <c r="GFD12" s="28"/>
      <c r="GFE12" s="11"/>
      <c r="GFF12" s="28"/>
      <c r="GFG12" s="11"/>
      <c r="GFH12" s="28"/>
      <c r="GFI12" s="11"/>
      <c r="GFJ12" s="28"/>
      <c r="GFK12" s="11"/>
      <c r="GFL12" s="28"/>
      <c r="GFM12" s="11"/>
      <c r="GFN12" s="28"/>
      <c r="GFO12" s="11"/>
      <c r="GFP12" s="28"/>
      <c r="GFQ12" s="11"/>
      <c r="GFR12" s="28"/>
      <c r="GFS12" s="11"/>
      <c r="GFT12" s="28"/>
      <c r="GFU12" s="11"/>
      <c r="GFV12" s="28"/>
      <c r="GFW12" s="11"/>
      <c r="GFX12" s="28"/>
      <c r="GFY12" s="11"/>
      <c r="GFZ12" s="28"/>
      <c r="GGA12" s="11"/>
      <c r="GGB12" s="28"/>
      <c r="GGC12" s="11"/>
      <c r="GGD12" s="28"/>
      <c r="GGE12" s="11"/>
      <c r="GGF12" s="28"/>
      <c r="GGG12" s="11"/>
      <c r="GGH12" s="28"/>
      <c r="GGI12" s="11"/>
      <c r="GGJ12" s="28"/>
      <c r="GGK12" s="11"/>
      <c r="GGL12" s="28"/>
      <c r="GGM12" s="11"/>
      <c r="GGN12" s="28"/>
      <c r="GGO12" s="11"/>
      <c r="GGP12" s="28"/>
      <c r="GGQ12" s="11"/>
      <c r="GGR12" s="28"/>
      <c r="GGS12" s="11"/>
      <c r="GGT12" s="28"/>
      <c r="GGU12" s="11"/>
      <c r="GGV12" s="28"/>
      <c r="GGW12" s="11"/>
      <c r="GGX12" s="28"/>
      <c r="GGY12" s="11"/>
      <c r="GGZ12" s="28"/>
      <c r="GHA12" s="11"/>
      <c r="GHB12" s="28"/>
      <c r="GHC12" s="11"/>
      <c r="GHD12" s="28"/>
      <c r="GHE12" s="11"/>
      <c r="GHF12" s="28"/>
      <c r="GHG12" s="11"/>
      <c r="GHH12" s="28"/>
      <c r="GHI12" s="11"/>
      <c r="GHJ12" s="28"/>
      <c r="GHK12" s="11"/>
      <c r="GHL12" s="28"/>
      <c r="GHM12" s="11"/>
      <c r="GHN12" s="28"/>
      <c r="GHO12" s="11"/>
      <c r="GHP12" s="28"/>
      <c r="GHQ12" s="11"/>
      <c r="GHR12" s="28"/>
      <c r="GHS12" s="11"/>
      <c r="GHT12" s="28"/>
      <c r="GHU12" s="11"/>
      <c r="GHV12" s="28"/>
      <c r="GHW12" s="11"/>
      <c r="GHX12" s="28"/>
      <c r="GHY12" s="11"/>
      <c r="GHZ12" s="28"/>
      <c r="GIA12" s="11"/>
      <c r="GIB12" s="28"/>
      <c r="GIC12" s="11"/>
      <c r="GID12" s="28"/>
      <c r="GIE12" s="11"/>
      <c r="GIF12" s="28"/>
      <c r="GIG12" s="11"/>
      <c r="GIH12" s="28"/>
      <c r="GII12" s="11"/>
      <c r="GIJ12" s="28"/>
      <c r="GIK12" s="11"/>
      <c r="GIL12" s="28"/>
      <c r="GIM12" s="11"/>
      <c r="GIN12" s="28"/>
      <c r="GIO12" s="11"/>
      <c r="GIP12" s="28"/>
      <c r="GIQ12" s="11"/>
      <c r="GIR12" s="28"/>
      <c r="GIS12" s="11"/>
      <c r="GIT12" s="28"/>
      <c r="GIU12" s="11"/>
      <c r="GIV12" s="28"/>
      <c r="GIW12" s="11"/>
      <c r="GIX12" s="28"/>
      <c r="GIY12" s="11"/>
      <c r="GIZ12" s="28"/>
      <c r="GJA12" s="11"/>
      <c r="GJB12" s="28"/>
      <c r="GJC12" s="11"/>
      <c r="GJD12" s="28"/>
      <c r="GJE12" s="11"/>
      <c r="GJF12" s="28"/>
      <c r="GJG12" s="11"/>
      <c r="GJH12" s="28"/>
      <c r="GJI12" s="11"/>
      <c r="GJJ12" s="28"/>
      <c r="GJK12" s="11"/>
      <c r="GJL12" s="28"/>
      <c r="GJM12" s="11"/>
      <c r="GJN12" s="28"/>
      <c r="GJO12" s="11"/>
      <c r="GJP12" s="28"/>
      <c r="GJQ12" s="11"/>
      <c r="GJR12" s="28"/>
      <c r="GJS12" s="11"/>
      <c r="GJT12" s="28"/>
      <c r="GJU12" s="11"/>
      <c r="GJV12" s="28"/>
      <c r="GJW12" s="11"/>
      <c r="GJX12" s="28"/>
      <c r="GJY12" s="11"/>
      <c r="GJZ12" s="28"/>
      <c r="GKA12" s="11"/>
      <c r="GKB12" s="28"/>
      <c r="GKC12" s="11"/>
      <c r="GKD12" s="28"/>
      <c r="GKE12" s="11"/>
      <c r="GKF12" s="28"/>
      <c r="GKG12" s="11"/>
      <c r="GKH12" s="28"/>
      <c r="GKI12" s="11"/>
      <c r="GKJ12" s="28"/>
      <c r="GKK12" s="11"/>
      <c r="GKL12" s="28"/>
      <c r="GKM12" s="11"/>
      <c r="GKN12" s="28"/>
      <c r="GKO12" s="11"/>
      <c r="GKP12" s="28"/>
      <c r="GKQ12" s="11"/>
      <c r="GKR12" s="28"/>
      <c r="GKS12" s="11"/>
      <c r="GKT12" s="28"/>
      <c r="GKU12" s="11"/>
      <c r="GKV12" s="28"/>
      <c r="GKW12" s="11"/>
      <c r="GKX12" s="28"/>
      <c r="GKY12" s="11"/>
      <c r="GKZ12" s="28"/>
      <c r="GLA12" s="11"/>
      <c r="GLB12" s="28"/>
      <c r="GLC12" s="11"/>
      <c r="GLD12" s="28"/>
      <c r="GLE12" s="11"/>
      <c r="GLF12" s="28"/>
      <c r="GLG12" s="11"/>
      <c r="GLH12" s="28"/>
      <c r="GLI12" s="11"/>
      <c r="GLJ12" s="28"/>
      <c r="GLK12" s="11"/>
      <c r="GLL12" s="28"/>
      <c r="GLM12" s="11"/>
      <c r="GLN12" s="28"/>
      <c r="GLO12" s="11"/>
      <c r="GLP12" s="28"/>
      <c r="GLQ12" s="11"/>
      <c r="GLR12" s="28"/>
      <c r="GLS12" s="11"/>
      <c r="GLT12" s="28"/>
      <c r="GLU12" s="11"/>
      <c r="GLV12" s="28"/>
      <c r="GLW12" s="11"/>
      <c r="GLX12" s="28"/>
      <c r="GLY12" s="11"/>
      <c r="GLZ12" s="28"/>
      <c r="GMA12" s="11"/>
      <c r="GMB12" s="28"/>
      <c r="GMC12" s="11"/>
      <c r="GMD12" s="28"/>
      <c r="GME12" s="11"/>
      <c r="GMF12" s="28"/>
      <c r="GMG12" s="11"/>
      <c r="GMH12" s="28"/>
      <c r="GMI12" s="11"/>
      <c r="GMJ12" s="28"/>
      <c r="GMK12" s="11"/>
      <c r="GML12" s="28"/>
      <c r="GMM12" s="11"/>
      <c r="GMN12" s="28"/>
      <c r="GMO12" s="11"/>
      <c r="GMP12" s="28"/>
      <c r="GMQ12" s="11"/>
      <c r="GMR12" s="28"/>
      <c r="GMS12" s="11"/>
      <c r="GMT12" s="28"/>
      <c r="GMU12" s="11"/>
      <c r="GMV12" s="28"/>
      <c r="GMW12" s="11"/>
      <c r="GMX12" s="28"/>
      <c r="GMY12" s="11"/>
      <c r="GMZ12" s="28"/>
      <c r="GNA12" s="11"/>
      <c r="GNB12" s="28"/>
      <c r="GNC12" s="11"/>
      <c r="GND12" s="28"/>
      <c r="GNE12" s="11"/>
      <c r="GNF12" s="28"/>
      <c r="GNG12" s="11"/>
      <c r="GNH12" s="28"/>
      <c r="GNI12" s="11"/>
      <c r="GNJ12" s="28"/>
      <c r="GNK12" s="11"/>
      <c r="GNL12" s="28"/>
      <c r="GNM12" s="11"/>
      <c r="GNN12" s="28"/>
      <c r="GNO12" s="11"/>
      <c r="GNP12" s="28"/>
      <c r="GNQ12" s="11"/>
      <c r="GNR12" s="28"/>
      <c r="GNS12" s="11"/>
      <c r="GNT12" s="28"/>
      <c r="GNU12" s="11"/>
      <c r="GNV12" s="28"/>
      <c r="GNW12" s="11"/>
      <c r="GNX12" s="28"/>
      <c r="GNY12" s="11"/>
      <c r="GNZ12" s="28"/>
      <c r="GOA12" s="11"/>
      <c r="GOB12" s="28"/>
      <c r="GOC12" s="11"/>
      <c r="GOD12" s="28"/>
      <c r="GOE12" s="11"/>
      <c r="GOF12" s="28"/>
      <c r="GOG12" s="11"/>
      <c r="GOH12" s="28"/>
      <c r="GOI12" s="11"/>
      <c r="GOJ12" s="28"/>
      <c r="GOK12" s="11"/>
      <c r="GOL12" s="28"/>
      <c r="GOM12" s="11"/>
      <c r="GON12" s="28"/>
      <c r="GOO12" s="11"/>
      <c r="GOP12" s="28"/>
      <c r="GOQ12" s="11"/>
      <c r="GOR12" s="28"/>
      <c r="GOS12" s="11"/>
      <c r="GOT12" s="28"/>
      <c r="GOU12" s="11"/>
      <c r="GOV12" s="28"/>
      <c r="GOW12" s="11"/>
      <c r="GOX12" s="28"/>
      <c r="GOY12" s="11"/>
      <c r="GOZ12" s="28"/>
      <c r="GPA12" s="11"/>
      <c r="GPB12" s="28"/>
      <c r="GPC12" s="11"/>
      <c r="GPD12" s="28"/>
      <c r="GPE12" s="11"/>
      <c r="GPF12" s="28"/>
      <c r="GPG12" s="11"/>
      <c r="GPH12" s="28"/>
      <c r="GPI12" s="11"/>
      <c r="GPJ12" s="28"/>
      <c r="GPK12" s="11"/>
      <c r="GPL12" s="28"/>
      <c r="GPM12" s="11"/>
      <c r="GPN12" s="28"/>
      <c r="GPO12" s="11"/>
      <c r="GPP12" s="28"/>
      <c r="GPQ12" s="11"/>
      <c r="GPR12" s="28"/>
      <c r="GPS12" s="11"/>
      <c r="GPT12" s="28"/>
      <c r="GPU12" s="11"/>
      <c r="GPV12" s="28"/>
      <c r="GPW12" s="11"/>
      <c r="GPX12" s="28"/>
      <c r="GPY12" s="11"/>
      <c r="GPZ12" s="28"/>
      <c r="GQA12" s="11"/>
      <c r="GQB12" s="28"/>
      <c r="GQC12" s="11"/>
      <c r="GQD12" s="28"/>
      <c r="GQE12" s="11"/>
      <c r="GQF12" s="28"/>
      <c r="GQG12" s="11"/>
      <c r="GQH12" s="28"/>
      <c r="GQI12" s="11"/>
      <c r="GQJ12" s="28"/>
      <c r="GQK12" s="11"/>
      <c r="GQL12" s="28"/>
      <c r="GQM12" s="11"/>
      <c r="GQN12" s="28"/>
      <c r="GQO12" s="11"/>
      <c r="GQP12" s="28"/>
      <c r="GQQ12" s="11"/>
      <c r="GQR12" s="28"/>
      <c r="GQS12" s="11"/>
      <c r="GQT12" s="28"/>
      <c r="GQU12" s="11"/>
      <c r="GQV12" s="28"/>
      <c r="GQW12" s="11"/>
      <c r="GQX12" s="28"/>
      <c r="GQY12" s="11"/>
      <c r="GQZ12" s="28"/>
      <c r="GRA12" s="11"/>
      <c r="GRB12" s="28"/>
      <c r="GRC12" s="11"/>
      <c r="GRD12" s="28"/>
      <c r="GRE12" s="11"/>
      <c r="GRF12" s="28"/>
      <c r="GRG12" s="11"/>
      <c r="GRH12" s="28"/>
      <c r="GRI12" s="11"/>
      <c r="GRJ12" s="28"/>
      <c r="GRK12" s="11"/>
      <c r="GRL12" s="28"/>
      <c r="GRM12" s="11"/>
      <c r="GRN12" s="28"/>
      <c r="GRO12" s="11"/>
      <c r="GRP12" s="28"/>
      <c r="GRQ12" s="11"/>
      <c r="GRR12" s="28"/>
      <c r="GRS12" s="11"/>
      <c r="GRT12" s="28"/>
      <c r="GRU12" s="11"/>
      <c r="GRV12" s="28"/>
      <c r="GRW12" s="11"/>
      <c r="GRX12" s="28"/>
      <c r="GRY12" s="11"/>
      <c r="GRZ12" s="28"/>
      <c r="GSA12" s="11"/>
      <c r="GSB12" s="28"/>
      <c r="GSC12" s="11"/>
      <c r="GSD12" s="28"/>
      <c r="GSE12" s="11"/>
      <c r="GSF12" s="28"/>
      <c r="GSG12" s="11"/>
      <c r="GSH12" s="28"/>
      <c r="GSI12" s="11"/>
      <c r="GSJ12" s="28"/>
      <c r="GSK12" s="11"/>
      <c r="GSL12" s="28"/>
      <c r="GSM12" s="11"/>
      <c r="GSN12" s="28"/>
      <c r="GSO12" s="11"/>
      <c r="GSP12" s="28"/>
      <c r="GSQ12" s="11"/>
      <c r="GSR12" s="28"/>
      <c r="GSS12" s="11"/>
      <c r="GST12" s="28"/>
      <c r="GSU12" s="11"/>
      <c r="GSV12" s="28"/>
      <c r="GSW12" s="11"/>
      <c r="GSX12" s="28"/>
      <c r="GSY12" s="11"/>
      <c r="GSZ12" s="28"/>
      <c r="GTA12" s="11"/>
      <c r="GTB12" s="28"/>
      <c r="GTC12" s="11"/>
      <c r="GTD12" s="28"/>
      <c r="GTE12" s="11"/>
      <c r="GTF12" s="28"/>
      <c r="GTG12" s="11"/>
      <c r="GTH12" s="28"/>
      <c r="GTI12" s="11"/>
      <c r="GTJ12" s="28"/>
      <c r="GTK12" s="11"/>
      <c r="GTL12" s="28"/>
      <c r="GTM12" s="11"/>
      <c r="GTN12" s="28"/>
      <c r="GTO12" s="11"/>
      <c r="GTP12" s="28"/>
      <c r="GTQ12" s="11"/>
      <c r="GTR12" s="28"/>
      <c r="GTS12" s="11"/>
      <c r="GTT12" s="28"/>
      <c r="GTU12" s="11"/>
      <c r="GTV12" s="28"/>
      <c r="GTW12" s="11"/>
      <c r="GTX12" s="28"/>
      <c r="GTY12" s="11"/>
      <c r="GTZ12" s="28"/>
      <c r="GUA12" s="11"/>
      <c r="GUB12" s="28"/>
      <c r="GUC12" s="11"/>
      <c r="GUD12" s="28"/>
      <c r="GUE12" s="11"/>
      <c r="GUF12" s="28"/>
      <c r="GUG12" s="11"/>
      <c r="GUH12" s="28"/>
      <c r="GUI12" s="11"/>
      <c r="GUJ12" s="28"/>
      <c r="GUK12" s="11"/>
      <c r="GUL12" s="28"/>
      <c r="GUM12" s="11"/>
      <c r="GUN12" s="28"/>
      <c r="GUO12" s="11"/>
      <c r="GUP12" s="28"/>
      <c r="GUQ12" s="11"/>
      <c r="GUR12" s="28"/>
      <c r="GUS12" s="11"/>
      <c r="GUT12" s="28"/>
      <c r="GUU12" s="11"/>
      <c r="GUV12" s="28"/>
      <c r="GUW12" s="11"/>
      <c r="GUX12" s="28"/>
      <c r="GUY12" s="11"/>
      <c r="GUZ12" s="28"/>
      <c r="GVA12" s="11"/>
      <c r="GVB12" s="28"/>
      <c r="GVC12" s="11"/>
      <c r="GVD12" s="28"/>
      <c r="GVE12" s="11"/>
      <c r="GVF12" s="28"/>
      <c r="GVG12" s="11"/>
      <c r="GVH12" s="28"/>
      <c r="GVI12" s="11"/>
      <c r="GVJ12" s="28"/>
      <c r="GVK12" s="11"/>
      <c r="GVL12" s="28"/>
      <c r="GVM12" s="11"/>
      <c r="GVN12" s="28"/>
      <c r="GVO12" s="11"/>
      <c r="GVP12" s="28"/>
      <c r="GVQ12" s="11"/>
      <c r="GVR12" s="28"/>
      <c r="GVS12" s="11"/>
      <c r="GVT12" s="28"/>
      <c r="GVU12" s="11"/>
      <c r="GVV12" s="28"/>
      <c r="GVW12" s="11"/>
      <c r="GVX12" s="28"/>
      <c r="GVY12" s="11"/>
      <c r="GVZ12" s="28"/>
      <c r="GWA12" s="11"/>
      <c r="GWB12" s="28"/>
      <c r="GWC12" s="11"/>
      <c r="GWD12" s="28"/>
      <c r="GWE12" s="11"/>
      <c r="GWF12" s="28"/>
      <c r="GWG12" s="11"/>
      <c r="GWH12" s="28"/>
      <c r="GWI12" s="11"/>
      <c r="GWJ12" s="28"/>
      <c r="GWK12" s="11"/>
      <c r="GWL12" s="28"/>
      <c r="GWM12" s="11"/>
      <c r="GWN12" s="28"/>
      <c r="GWO12" s="11"/>
      <c r="GWP12" s="28"/>
      <c r="GWQ12" s="11"/>
      <c r="GWR12" s="28"/>
      <c r="GWS12" s="11"/>
      <c r="GWT12" s="28"/>
      <c r="GWU12" s="11"/>
      <c r="GWV12" s="28"/>
      <c r="GWW12" s="11"/>
      <c r="GWX12" s="28"/>
      <c r="GWY12" s="11"/>
      <c r="GWZ12" s="28"/>
      <c r="GXA12" s="11"/>
      <c r="GXB12" s="28"/>
      <c r="GXC12" s="11"/>
      <c r="GXD12" s="28"/>
      <c r="GXE12" s="11"/>
      <c r="GXF12" s="28"/>
      <c r="GXG12" s="11"/>
      <c r="GXH12" s="28"/>
      <c r="GXI12" s="11"/>
      <c r="GXJ12" s="28"/>
      <c r="GXK12" s="11"/>
      <c r="GXL12" s="28"/>
      <c r="GXM12" s="11"/>
      <c r="GXN12" s="28"/>
      <c r="GXO12" s="11"/>
      <c r="GXP12" s="28"/>
      <c r="GXQ12" s="11"/>
      <c r="GXR12" s="28"/>
      <c r="GXS12" s="11"/>
      <c r="GXT12" s="28"/>
      <c r="GXU12" s="11"/>
      <c r="GXV12" s="28"/>
      <c r="GXW12" s="11"/>
      <c r="GXX12" s="28"/>
      <c r="GXY12" s="11"/>
      <c r="GXZ12" s="28"/>
      <c r="GYA12" s="11"/>
      <c r="GYB12" s="28"/>
      <c r="GYC12" s="11"/>
      <c r="GYD12" s="28"/>
      <c r="GYE12" s="11"/>
      <c r="GYF12" s="28"/>
      <c r="GYG12" s="11"/>
      <c r="GYH12" s="28"/>
      <c r="GYI12" s="11"/>
      <c r="GYJ12" s="28"/>
      <c r="GYK12" s="11"/>
      <c r="GYL12" s="28"/>
      <c r="GYM12" s="11"/>
      <c r="GYN12" s="28"/>
      <c r="GYO12" s="11"/>
      <c r="GYP12" s="28"/>
      <c r="GYQ12" s="11"/>
      <c r="GYR12" s="28"/>
      <c r="GYS12" s="11"/>
      <c r="GYT12" s="28"/>
      <c r="GYU12" s="11"/>
      <c r="GYV12" s="28"/>
      <c r="GYW12" s="11"/>
      <c r="GYX12" s="28"/>
      <c r="GYY12" s="11"/>
      <c r="GYZ12" s="28"/>
      <c r="GZA12" s="11"/>
      <c r="GZB12" s="28"/>
      <c r="GZC12" s="11"/>
      <c r="GZD12" s="28"/>
      <c r="GZE12" s="11"/>
      <c r="GZF12" s="28"/>
      <c r="GZG12" s="11"/>
      <c r="GZH12" s="28"/>
      <c r="GZI12" s="11"/>
      <c r="GZJ12" s="28"/>
      <c r="GZK12" s="11"/>
      <c r="GZL12" s="28"/>
      <c r="GZM12" s="11"/>
      <c r="GZN12" s="28"/>
      <c r="GZO12" s="11"/>
      <c r="GZP12" s="28"/>
      <c r="GZQ12" s="11"/>
      <c r="GZR12" s="28"/>
      <c r="GZS12" s="11"/>
      <c r="GZT12" s="28"/>
      <c r="GZU12" s="11"/>
      <c r="GZV12" s="28"/>
      <c r="GZW12" s="11"/>
      <c r="GZX12" s="28"/>
      <c r="GZY12" s="11"/>
      <c r="GZZ12" s="28"/>
      <c r="HAA12" s="11"/>
      <c r="HAB12" s="28"/>
      <c r="HAC12" s="11"/>
      <c r="HAD12" s="28"/>
      <c r="HAE12" s="11"/>
      <c r="HAF12" s="28"/>
      <c r="HAG12" s="11"/>
      <c r="HAH12" s="28"/>
      <c r="HAI12" s="11"/>
      <c r="HAJ12" s="28"/>
      <c r="HAK12" s="11"/>
      <c r="HAL12" s="28"/>
      <c r="HAM12" s="11"/>
      <c r="HAN12" s="28"/>
      <c r="HAO12" s="11"/>
      <c r="HAP12" s="28"/>
      <c r="HAQ12" s="11"/>
      <c r="HAR12" s="28"/>
      <c r="HAS12" s="11"/>
      <c r="HAT12" s="28"/>
      <c r="HAU12" s="11"/>
      <c r="HAV12" s="28"/>
      <c r="HAW12" s="11"/>
      <c r="HAX12" s="28"/>
      <c r="HAY12" s="11"/>
      <c r="HAZ12" s="28"/>
      <c r="HBA12" s="11"/>
      <c r="HBB12" s="28"/>
      <c r="HBC12" s="11"/>
      <c r="HBD12" s="28"/>
      <c r="HBE12" s="11"/>
      <c r="HBF12" s="28"/>
      <c r="HBG12" s="11"/>
      <c r="HBH12" s="28"/>
      <c r="HBI12" s="11"/>
      <c r="HBJ12" s="28"/>
      <c r="HBK12" s="11"/>
      <c r="HBL12" s="28"/>
      <c r="HBM12" s="11"/>
      <c r="HBN12" s="28"/>
      <c r="HBO12" s="11"/>
      <c r="HBP12" s="28"/>
      <c r="HBQ12" s="11"/>
      <c r="HBR12" s="28"/>
      <c r="HBS12" s="11"/>
      <c r="HBT12" s="28"/>
      <c r="HBU12" s="11"/>
      <c r="HBV12" s="28"/>
      <c r="HBW12" s="11"/>
      <c r="HBX12" s="28"/>
      <c r="HBY12" s="11"/>
      <c r="HBZ12" s="28"/>
      <c r="HCA12" s="11"/>
      <c r="HCB12" s="28"/>
      <c r="HCC12" s="11"/>
      <c r="HCD12" s="28"/>
      <c r="HCE12" s="11"/>
      <c r="HCF12" s="28"/>
      <c r="HCG12" s="11"/>
      <c r="HCH12" s="28"/>
      <c r="HCI12" s="11"/>
      <c r="HCJ12" s="28"/>
      <c r="HCK12" s="11"/>
      <c r="HCL12" s="28"/>
      <c r="HCM12" s="11"/>
      <c r="HCN12" s="28"/>
      <c r="HCO12" s="11"/>
      <c r="HCP12" s="28"/>
      <c r="HCQ12" s="11"/>
      <c r="HCR12" s="28"/>
      <c r="HCS12" s="11"/>
      <c r="HCT12" s="28"/>
      <c r="HCU12" s="11"/>
      <c r="HCV12" s="28"/>
      <c r="HCW12" s="11"/>
      <c r="HCX12" s="28"/>
      <c r="HCY12" s="11"/>
      <c r="HCZ12" s="28"/>
      <c r="HDA12" s="11"/>
      <c r="HDB12" s="28"/>
      <c r="HDC12" s="11"/>
      <c r="HDD12" s="28"/>
      <c r="HDE12" s="11"/>
      <c r="HDF12" s="28"/>
      <c r="HDG12" s="11"/>
      <c r="HDH12" s="28"/>
      <c r="HDI12" s="11"/>
      <c r="HDJ12" s="28"/>
      <c r="HDK12" s="11"/>
      <c r="HDL12" s="28"/>
      <c r="HDM12" s="11"/>
      <c r="HDN12" s="28"/>
      <c r="HDO12" s="11"/>
      <c r="HDP12" s="28"/>
      <c r="HDQ12" s="11"/>
      <c r="HDR12" s="28"/>
      <c r="HDS12" s="11"/>
      <c r="HDT12" s="28"/>
      <c r="HDU12" s="11"/>
      <c r="HDV12" s="28"/>
      <c r="HDW12" s="11"/>
      <c r="HDX12" s="28"/>
      <c r="HDY12" s="11"/>
      <c r="HDZ12" s="28"/>
      <c r="HEA12" s="11"/>
      <c r="HEB12" s="28"/>
      <c r="HEC12" s="11"/>
      <c r="HED12" s="28"/>
      <c r="HEE12" s="11"/>
      <c r="HEF12" s="28"/>
      <c r="HEG12" s="11"/>
      <c r="HEH12" s="28"/>
      <c r="HEI12" s="11"/>
      <c r="HEJ12" s="28"/>
      <c r="HEK12" s="11"/>
      <c r="HEL12" s="28"/>
      <c r="HEM12" s="11"/>
      <c r="HEN12" s="28"/>
      <c r="HEO12" s="11"/>
      <c r="HEP12" s="28"/>
      <c r="HEQ12" s="11"/>
      <c r="HER12" s="28"/>
      <c r="HES12" s="11"/>
      <c r="HET12" s="28"/>
      <c r="HEU12" s="11"/>
      <c r="HEV12" s="28"/>
      <c r="HEW12" s="11"/>
      <c r="HEX12" s="28"/>
      <c r="HEY12" s="11"/>
      <c r="HEZ12" s="28"/>
      <c r="HFA12" s="11"/>
      <c r="HFB12" s="28"/>
      <c r="HFC12" s="11"/>
      <c r="HFD12" s="28"/>
      <c r="HFE12" s="11"/>
      <c r="HFF12" s="28"/>
      <c r="HFG12" s="11"/>
      <c r="HFH12" s="28"/>
      <c r="HFI12" s="11"/>
      <c r="HFJ12" s="28"/>
      <c r="HFK12" s="11"/>
      <c r="HFL12" s="28"/>
      <c r="HFM12" s="11"/>
      <c r="HFN12" s="28"/>
      <c r="HFO12" s="11"/>
      <c r="HFP12" s="28"/>
      <c r="HFQ12" s="11"/>
      <c r="HFR12" s="28"/>
      <c r="HFS12" s="11"/>
      <c r="HFT12" s="28"/>
      <c r="HFU12" s="11"/>
      <c r="HFV12" s="28"/>
      <c r="HFW12" s="11"/>
      <c r="HFX12" s="28"/>
      <c r="HFY12" s="11"/>
      <c r="HFZ12" s="28"/>
      <c r="HGA12" s="11"/>
      <c r="HGB12" s="28"/>
      <c r="HGC12" s="11"/>
      <c r="HGD12" s="28"/>
      <c r="HGE12" s="11"/>
      <c r="HGF12" s="28"/>
      <c r="HGG12" s="11"/>
      <c r="HGH12" s="28"/>
      <c r="HGI12" s="11"/>
      <c r="HGJ12" s="28"/>
      <c r="HGK12" s="11"/>
      <c r="HGL12" s="28"/>
      <c r="HGM12" s="11"/>
      <c r="HGN12" s="28"/>
      <c r="HGO12" s="11"/>
      <c r="HGP12" s="28"/>
      <c r="HGQ12" s="11"/>
      <c r="HGR12" s="28"/>
      <c r="HGS12" s="11"/>
      <c r="HGT12" s="28"/>
      <c r="HGU12" s="11"/>
      <c r="HGV12" s="28"/>
      <c r="HGW12" s="11"/>
      <c r="HGX12" s="28"/>
      <c r="HGY12" s="11"/>
      <c r="HGZ12" s="28"/>
      <c r="HHA12" s="11"/>
      <c r="HHB12" s="28"/>
      <c r="HHC12" s="11"/>
      <c r="HHD12" s="28"/>
      <c r="HHE12" s="11"/>
      <c r="HHF12" s="28"/>
      <c r="HHG12" s="11"/>
      <c r="HHH12" s="28"/>
      <c r="HHI12" s="11"/>
      <c r="HHJ12" s="28"/>
      <c r="HHK12" s="11"/>
      <c r="HHL12" s="28"/>
      <c r="HHM12" s="11"/>
      <c r="HHN12" s="28"/>
      <c r="HHO12" s="11"/>
      <c r="HHP12" s="28"/>
      <c r="HHQ12" s="11"/>
      <c r="HHR12" s="28"/>
      <c r="HHS12" s="11"/>
      <c r="HHT12" s="28"/>
      <c r="HHU12" s="11"/>
      <c r="HHV12" s="28"/>
      <c r="HHW12" s="11"/>
      <c r="HHX12" s="28"/>
      <c r="HHY12" s="11"/>
      <c r="HHZ12" s="28"/>
      <c r="HIA12" s="11"/>
      <c r="HIB12" s="28"/>
      <c r="HIC12" s="11"/>
      <c r="HID12" s="28"/>
      <c r="HIE12" s="11"/>
      <c r="HIF12" s="28"/>
      <c r="HIG12" s="11"/>
      <c r="HIH12" s="28"/>
      <c r="HII12" s="11"/>
      <c r="HIJ12" s="28"/>
      <c r="HIK12" s="11"/>
      <c r="HIL12" s="28"/>
      <c r="HIM12" s="11"/>
      <c r="HIN12" s="28"/>
      <c r="HIO12" s="11"/>
      <c r="HIP12" s="28"/>
      <c r="HIQ12" s="11"/>
      <c r="HIR12" s="28"/>
      <c r="HIS12" s="11"/>
      <c r="HIT12" s="28"/>
      <c r="HIU12" s="11"/>
      <c r="HIV12" s="28"/>
      <c r="HIW12" s="11"/>
      <c r="HIX12" s="28"/>
      <c r="HIY12" s="11"/>
      <c r="HIZ12" s="28"/>
      <c r="HJA12" s="11"/>
      <c r="HJB12" s="28"/>
      <c r="HJC12" s="11"/>
      <c r="HJD12" s="28"/>
      <c r="HJE12" s="11"/>
      <c r="HJF12" s="28"/>
      <c r="HJG12" s="11"/>
      <c r="HJH12" s="28"/>
      <c r="HJI12" s="11"/>
      <c r="HJJ12" s="28"/>
      <c r="HJK12" s="11"/>
      <c r="HJL12" s="28"/>
      <c r="HJM12" s="11"/>
      <c r="HJN12" s="28"/>
      <c r="HJO12" s="11"/>
      <c r="HJP12" s="28"/>
      <c r="HJQ12" s="11"/>
      <c r="HJR12" s="28"/>
      <c r="HJS12" s="11"/>
      <c r="HJT12" s="28"/>
      <c r="HJU12" s="11"/>
      <c r="HJV12" s="28"/>
      <c r="HJW12" s="11"/>
      <c r="HJX12" s="28"/>
      <c r="HJY12" s="11"/>
      <c r="HJZ12" s="28"/>
      <c r="HKA12" s="11"/>
      <c r="HKB12" s="28"/>
      <c r="HKC12" s="11"/>
      <c r="HKD12" s="28"/>
      <c r="HKE12" s="11"/>
      <c r="HKF12" s="28"/>
      <c r="HKG12" s="11"/>
      <c r="HKH12" s="28"/>
      <c r="HKI12" s="11"/>
      <c r="HKJ12" s="28"/>
      <c r="HKK12" s="11"/>
      <c r="HKL12" s="28"/>
      <c r="HKM12" s="11"/>
      <c r="HKN12" s="28"/>
      <c r="HKO12" s="11"/>
      <c r="HKP12" s="28"/>
      <c r="HKQ12" s="11"/>
      <c r="HKR12" s="28"/>
      <c r="HKS12" s="11"/>
      <c r="HKT12" s="28"/>
      <c r="HKU12" s="11"/>
      <c r="HKV12" s="28"/>
      <c r="HKW12" s="11"/>
      <c r="HKX12" s="28"/>
      <c r="HKY12" s="11"/>
      <c r="HKZ12" s="28"/>
      <c r="HLA12" s="11"/>
      <c r="HLB12" s="28"/>
      <c r="HLC12" s="11"/>
      <c r="HLD12" s="28"/>
      <c r="HLE12" s="11"/>
      <c r="HLF12" s="28"/>
      <c r="HLG12" s="11"/>
      <c r="HLH12" s="28"/>
      <c r="HLI12" s="11"/>
      <c r="HLJ12" s="28"/>
      <c r="HLK12" s="11"/>
      <c r="HLL12" s="28"/>
      <c r="HLM12" s="11"/>
      <c r="HLN12" s="28"/>
      <c r="HLO12" s="11"/>
      <c r="HLP12" s="28"/>
      <c r="HLQ12" s="11"/>
      <c r="HLR12" s="28"/>
      <c r="HLS12" s="11"/>
      <c r="HLT12" s="28"/>
      <c r="HLU12" s="11"/>
      <c r="HLV12" s="28"/>
      <c r="HLW12" s="11"/>
      <c r="HLX12" s="28"/>
      <c r="HLY12" s="11"/>
      <c r="HLZ12" s="28"/>
      <c r="HMA12" s="11"/>
      <c r="HMB12" s="28"/>
      <c r="HMC12" s="11"/>
      <c r="HMD12" s="28"/>
      <c r="HME12" s="11"/>
      <c r="HMF12" s="28"/>
      <c r="HMG12" s="11"/>
      <c r="HMH12" s="28"/>
      <c r="HMI12" s="11"/>
      <c r="HMJ12" s="28"/>
      <c r="HMK12" s="11"/>
      <c r="HML12" s="28"/>
      <c r="HMM12" s="11"/>
      <c r="HMN12" s="28"/>
      <c r="HMO12" s="11"/>
      <c r="HMP12" s="28"/>
      <c r="HMQ12" s="11"/>
      <c r="HMR12" s="28"/>
      <c r="HMS12" s="11"/>
      <c r="HMT12" s="28"/>
      <c r="HMU12" s="11"/>
      <c r="HMV12" s="28"/>
      <c r="HMW12" s="11"/>
      <c r="HMX12" s="28"/>
      <c r="HMY12" s="11"/>
      <c r="HMZ12" s="28"/>
      <c r="HNA12" s="11"/>
      <c r="HNB12" s="28"/>
      <c r="HNC12" s="11"/>
      <c r="HND12" s="28"/>
      <c r="HNE12" s="11"/>
      <c r="HNF12" s="28"/>
      <c r="HNG12" s="11"/>
      <c r="HNH12" s="28"/>
      <c r="HNI12" s="11"/>
      <c r="HNJ12" s="28"/>
      <c r="HNK12" s="11"/>
      <c r="HNL12" s="28"/>
      <c r="HNM12" s="11"/>
      <c r="HNN12" s="28"/>
      <c r="HNO12" s="11"/>
      <c r="HNP12" s="28"/>
      <c r="HNQ12" s="11"/>
      <c r="HNR12" s="28"/>
      <c r="HNS12" s="11"/>
      <c r="HNT12" s="28"/>
      <c r="HNU12" s="11"/>
      <c r="HNV12" s="28"/>
      <c r="HNW12" s="11"/>
      <c r="HNX12" s="28"/>
      <c r="HNY12" s="11"/>
      <c r="HNZ12" s="28"/>
      <c r="HOA12" s="11"/>
      <c r="HOB12" s="28"/>
      <c r="HOC12" s="11"/>
      <c r="HOD12" s="28"/>
      <c r="HOE12" s="11"/>
      <c r="HOF12" s="28"/>
      <c r="HOG12" s="11"/>
      <c r="HOH12" s="28"/>
      <c r="HOI12" s="11"/>
      <c r="HOJ12" s="28"/>
      <c r="HOK12" s="11"/>
      <c r="HOL12" s="28"/>
      <c r="HOM12" s="11"/>
      <c r="HON12" s="28"/>
      <c r="HOO12" s="11"/>
      <c r="HOP12" s="28"/>
      <c r="HOQ12" s="11"/>
      <c r="HOR12" s="28"/>
      <c r="HOS12" s="11"/>
      <c r="HOT12" s="28"/>
      <c r="HOU12" s="11"/>
      <c r="HOV12" s="28"/>
      <c r="HOW12" s="11"/>
      <c r="HOX12" s="28"/>
      <c r="HOY12" s="11"/>
      <c r="HOZ12" s="28"/>
      <c r="HPA12" s="11"/>
      <c r="HPB12" s="28"/>
      <c r="HPC12" s="11"/>
      <c r="HPD12" s="28"/>
      <c r="HPE12" s="11"/>
      <c r="HPF12" s="28"/>
      <c r="HPG12" s="11"/>
      <c r="HPH12" s="28"/>
      <c r="HPI12" s="11"/>
      <c r="HPJ12" s="28"/>
      <c r="HPK12" s="11"/>
      <c r="HPL12" s="28"/>
      <c r="HPM12" s="11"/>
      <c r="HPN12" s="28"/>
      <c r="HPO12" s="11"/>
      <c r="HPP12" s="28"/>
      <c r="HPQ12" s="11"/>
      <c r="HPR12" s="28"/>
      <c r="HPS12" s="11"/>
      <c r="HPT12" s="28"/>
      <c r="HPU12" s="11"/>
      <c r="HPV12" s="28"/>
      <c r="HPW12" s="11"/>
      <c r="HPX12" s="28"/>
      <c r="HPY12" s="11"/>
      <c r="HPZ12" s="28"/>
      <c r="HQA12" s="11"/>
      <c r="HQB12" s="28"/>
      <c r="HQC12" s="11"/>
      <c r="HQD12" s="28"/>
      <c r="HQE12" s="11"/>
      <c r="HQF12" s="28"/>
      <c r="HQG12" s="11"/>
      <c r="HQH12" s="28"/>
      <c r="HQI12" s="11"/>
      <c r="HQJ12" s="28"/>
      <c r="HQK12" s="11"/>
      <c r="HQL12" s="28"/>
      <c r="HQM12" s="11"/>
      <c r="HQN12" s="28"/>
      <c r="HQO12" s="11"/>
      <c r="HQP12" s="28"/>
      <c r="HQQ12" s="11"/>
      <c r="HQR12" s="28"/>
      <c r="HQS12" s="11"/>
      <c r="HQT12" s="28"/>
      <c r="HQU12" s="11"/>
      <c r="HQV12" s="28"/>
      <c r="HQW12" s="11"/>
      <c r="HQX12" s="28"/>
      <c r="HQY12" s="11"/>
      <c r="HQZ12" s="28"/>
      <c r="HRA12" s="11"/>
      <c r="HRB12" s="28"/>
      <c r="HRC12" s="11"/>
      <c r="HRD12" s="28"/>
      <c r="HRE12" s="11"/>
      <c r="HRF12" s="28"/>
      <c r="HRG12" s="11"/>
      <c r="HRH12" s="28"/>
      <c r="HRI12" s="11"/>
      <c r="HRJ12" s="28"/>
      <c r="HRK12" s="11"/>
      <c r="HRL12" s="28"/>
      <c r="HRM12" s="11"/>
      <c r="HRN12" s="28"/>
      <c r="HRO12" s="11"/>
      <c r="HRP12" s="28"/>
      <c r="HRQ12" s="11"/>
      <c r="HRR12" s="28"/>
      <c r="HRS12" s="11"/>
      <c r="HRT12" s="28"/>
      <c r="HRU12" s="11"/>
      <c r="HRV12" s="28"/>
      <c r="HRW12" s="11"/>
      <c r="HRX12" s="28"/>
      <c r="HRY12" s="11"/>
      <c r="HRZ12" s="28"/>
      <c r="HSA12" s="11"/>
      <c r="HSB12" s="28"/>
      <c r="HSC12" s="11"/>
      <c r="HSD12" s="28"/>
      <c r="HSE12" s="11"/>
      <c r="HSF12" s="28"/>
      <c r="HSG12" s="11"/>
      <c r="HSH12" s="28"/>
      <c r="HSI12" s="11"/>
      <c r="HSJ12" s="28"/>
      <c r="HSK12" s="11"/>
      <c r="HSL12" s="28"/>
      <c r="HSM12" s="11"/>
      <c r="HSN12" s="28"/>
      <c r="HSO12" s="11"/>
      <c r="HSP12" s="28"/>
      <c r="HSQ12" s="11"/>
      <c r="HSR12" s="28"/>
      <c r="HSS12" s="11"/>
      <c r="HST12" s="28"/>
      <c r="HSU12" s="11"/>
      <c r="HSV12" s="28"/>
      <c r="HSW12" s="11"/>
      <c r="HSX12" s="28"/>
      <c r="HSY12" s="11"/>
      <c r="HSZ12" s="28"/>
      <c r="HTA12" s="11"/>
      <c r="HTB12" s="28"/>
      <c r="HTC12" s="11"/>
      <c r="HTD12" s="28"/>
      <c r="HTE12" s="11"/>
      <c r="HTF12" s="28"/>
      <c r="HTG12" s="11"/>
      <c r="HTH12" s="28"/>
      <c r="HTI12" s="11"/>
      <c r="HTJ12" s="28"/>
      <c r="HTK12" s="11"/>
      <c r="HTL12" s="28"/>
      <c r="HTM12" s="11"/>
      <c r="HTN12" s="28"/>
      <c r="HTO12" s="11"/>
      <c r="HTP12" s="28"/>
      <c r="HTQ12" s="11"/>
      <c r="HTR12" s="28"/>
      <c r="HTS12" s="11"/>
      <c r="HTT12" s="28"/>
      <c r="HTU12" s="11"/>
      <c r="HTV12" s="28"/>
      <c r="HTW12" s="11"/>
      <c r="HTX12" s="28"/>
      <c r="HTY12" s="11"/>
      <c r="HTZ12" s="28"/>
      <c r="HUA12" s="11"/>
      <c r="HUB12" s="28"/>
      <c r="HUC12" s="11"/>
      <c r="HUD12" s="28"/>
      <c r="HUE12" s="11"/>
      <c r="HUF12" s="28"/>
      <c r="HUG12" s="11"/>
      <c r="HUH12" s="28"/>
      <c r="HUI12" s="11"/>
      <c r="HUJ12" s="28"/>
      <c r="HUK12" s="11"/>
      <c r="HUL12" s="28"/>
      <c r="HUM12" s="11"/>
      <c r="HUN12" s="28"/>
      <c r="HUO12" s="11"/>
      <c r="HUP12" s="28"/>
      <c r="HUQ12" s="11"/>
      <c r="HUR12" s="28"/>
      <c r="HUS12" s="11"/>
      <c r="HUT12" s="28"/>
      <c r="HUU12" s="11"/>
      <c r="HUV12" s="28"/>
      <c r="HUW12" s="11"/>
      <c r="HUX12" s="28"/>
      <c r="HUY12" s="11"/>
      <c r="HUZ12" s="28"/>
      <c r="HVA12" s="11"/>
      <c r="HVB12" s="28"/>
      <c r="HVC12" s="11"/>
      <c r="HVD12" s="28"/>
      <c r="HVE12" s="11"/>
      <c r="HVF12" s="28"/>
      <c r="HVG12" s="11"/>
      <c r="HVH12" s="28"/>
      <c r="HVI12" s="11"/>
      <c r="HVJ12" s="28"/>
      <c r="HVK12" s="11"/>
      <c r="HVL12" s="28"/>
      <c r="HVM12" s="11"/>
      <c r="HVN12" s="28"/>
      <c r="HVO12" s="11"/>
      <c r="HVP12" s="28"/>
      <c r="HVQ12" s="11"/>
      <c r="HVR12" s="28"/>
      <c r="HVS12" s="11"/>
      <c r="HVT12" s="28"/>
      <c r="HVU12" s="11"/>
      <c r="HVV12" s="28"/>
      <c r="HVW12" s="11"/>
      <c r="HVX12" s="28"/>
      <c r="HVY12" s="11"/>
      <c r="HVZ12" s="28"/>
      <c r="HWA12" s="11"/>
      <c r="HWB12" s="28"/>
      <c r="HWC12" s="11"/>
      <c r="HWD12" s="28"/>
      <c r="HWE12" s="11"/>
      <c r="HWF12" s="28"/>
      <c r="HWG12" s="11"/>
      <c r="HWH12" s="28"/>
      <c r="HWI12" s="11"/>
      <c r="HWJ12" s="28"/>
      <c r="HWK12" s="11"/>
      <c r="HWL12" s="28"/>
      <c r="HWM12" s="11"/>
      <c r="HWN12" s="28"/>
      <c r="HWO12" s="11"/>
      <c r="HWP12" s="28"/>
      <c r="HWQ12" s="11"/>
      <c r="HWR12" s="28"/>
      <c r="HWS12" s="11"/>
      <c r="HWT12" s="28"/>
      <c r="HWU12" s="11"/>
      <c r="HWV12" s="28"/>
      <c r="HWW12" s="11"/>
      <c r="HWX12" s="28"/>
      <c r="HWY12" s="11"/>
      <c r="HWZ12" s="28"/>
      <c r="HXA12" s="11"/>
      <c r="HXB12" s="28"/>
      <c r="HXC12" s="11"/>
      <c r="HXD12" s="28"/>
      <c r="HXE12" s="11"/>
      <c r="HXF12" s="28"/>
      <c r="HXG12" s="11"/>
      <c r="HXH12" s="28"/>
      <c r="HXI12" s="11"/>
      <c r="HXJ12" s="28"/>
      <c r="HXK12" s="11"/>
      <c r="HXL12" s="28"/>
      <c r="HXM12" s="11"/>
      <c r="HXN12" s="28"/>
      <c r="HXO12" s="11"/>
      <c r="HXP12" s="28"/>
      <c r="HXQ12" s="11"/>
      <c r="HXR12" s="28"/>
      <c r="HXS12" s="11"/>
      <c r="HXT12" s="28"/>
      <c r="HXU12" s="11"/>
      <c r="HXV12" s="28"/>
      <c r="HXW12" s="11"/>
      <c r="HXX12" s="28"/>
      <c r="HXY12" s="11"/>
      <c r="HXZ12" s="28"/>
      <c r="HYA12" s="11"/>
      <c r="HYB12" s="28"/>
      <c r="HYC12" s="11"/>
      <c r="HYD12" s="28"/>
      <c r="HYE12" s="11"/>
      <c r="HYF12" s="28"/>
      <c r="HYG12" s="11"/>
      <c r="HYH12" s="28"/>
      <c r="HYI12" s="11"/>
      <c r="HYJ12" s="28"/>
      <c r="HYK12" s="11"/>
      <c r="HYL12" s="28"/>
      <c r="HYM12" s="11"/>
      <c r="HYN12" s="28"/>
      <c r="HYO12" s="11"/>
      <c r="HYP12" s="28"/>
      <c r="HYQ12" s="11"/>
      <c r="HYR12" s="28"/>
      <c r="HYS12" s="11"/>
      <c r="HYT12" s="28"/>
      <c r="HYU12" s="11"/>
      <c r="HYV12" s="28"/>
      <c r="HYW12" s="11"/>
      <c r="HYX12" s="28"/>
      <c r="HYY12" s="11"/>
      <c r="HYZ12" s="28"/>
      <c r="HZA12" s="11"/>
      <c r="HZB12" s="28"/>
      <c r="HZC12" s="11"/>
      <c r="HZD12" s="28"/>
      <c r="HZE12" s="11"/>
      <c r="HZF12" s="28"/>
      <c r="HZG12" s="11"/>
      <c r="HZH12" s="28"/>
      <c r="HZI12" s="11"/>
      <c r="HZJ12" s="28"/>
      <c r="HZK12" s="11"/>
      <c r="HZL12" s="28"/>
      <c r="HZM12" s="11"/>
      <c r="HZN12" s="28"/>
      <c r="HZO12" s="11"/>
      <c r="HZP12" s="28"/>
      <c r="HZQ12" s="11"/>
      <c r="HZR12" s="28"/>
      <c r="HZS12" s="11"/>
      <c r="HZT12" s="28"/>
      <c r="HZU12" s="11"/>
      <c r="HZV12" s="28"/>
      <c r="HZW12" s="11"/>
      <c r="HZX12" s="28"/>
      <c r="HZY12" s="11"/>
      <c r="HZZ12" s="28"/>
      <c r="IAA12" s="11"/>
      <c r="IAB12" s="28"/>
      <c r="IAC12" s="11"/>
      <c r="IAD12" s="28"/>
      <c r="IAE12" s="11"/>
      <c r="IAF12" s="28"/>
      <c r="IAG12" s="11"/>
      <c r="IAH12" s="28"/>
      <c r="IAI12" s="11"/>
      <c r="IAJ12" s="28"/>
      <c r="IAK12" s="11"/>
      <c r="IAL12" s="28"/>
      <c r="IAM12" s="11"/>
      <c r="IAN12" s="28"/>
      <c r="IAO12" s="11"/>
      <c r="IAP12" s="28"/>
      <c r="IAQ12" s="11"/>
      <c r="IAR12" s="28"/>
      <c r="IAS12" s="11"/>
      <c r="IAT12" s="28"/>
      <c r="IAU12" s="11"/>
      <c r="IAV12" s="28"/>
      <c r="IAW12" s="11"/>
      <c r="IAX12" s="28"/>
      <c r="IAY12" s="11"/>
      <c r="IAZ12" s="28"/>
      <c r="IBA12" s="11"/>
      <c r="IBB12" s="28"/>
      <c r="IBC12" s="11"/>
      <c r="IBD12" s="28"/>
      <c r="IBE12" s="11"/>
      <c r="IBF12" s="28"/>
      <c r="IBG12" s="11"/>
      <c r="IBH12" s="28"/>
      <c r="IBI12" s="11"/>
      <c r="IBJ12" s="28"/>
      <c r="IBK12" s="11"/>
      <c r="IBL12" s="28"/>
      <c r="IBM12" s="11"/>
      <c r="IBN12" s="28"/>
      <c r="IBO12" s="11"/>
      <c r="IBP12" s="28"/>
      <c r="IBQ12" s="11"/>
      <c r="IBR12" s="28"/>
      <c r="IBS12" s="11"/>
      <c r="IBT12" s="28"/>
      <c r="IBU12" s="11"/>
      <c r="IBV12" s="28"/>
      <c r="IBW12" s="11"/>
      <c r="IBX12" s="28"/>
      <c r="IBY12" s="11"/>
      <c r="IBZ12" s="28"/>
      <c r="ICA12" s="11"/>
      <c r="ICB12" s="28"/>
      <c r="ICC12" s="11"/>
      <c r="ICD12" s="28"/>
      <c r="ICE12" s="11"/>
      <c r="ICF12" s="28"/>
      <c r="ICG12" s="11"/>
      <c r="ICH12" s="28"/>
      <c r="ICI12" s="11"/>
      <c r="ICJ12" s="28"/>
      <c r="ICK12" s="11"/>
      <c r="ICL12" s="28"/>
      <c r="ICM12" s="11"/>
      <c r="ICN12" s="28"/>
      <c r="ICO12" s="11"/>
      <c r="ICP12" s="28"/>
      <c r="ICQ12" s="11"/>
      <c r="ICR12" s="28"/>
      <c r="ICS12" s="11"/>
      <c r="ICT12" s="28"/>
      <c r="ICU12" s="11"/>
      <c r="ICV12" s="28"/>
      <c r="ICW12" s="11"/>
      <c r="ICX12" s="28"/>
      <c r="ICY12" s="11"/>
      <c r="ICZ12" s="28"/>
      <c r="IDA12" s="11"/>
      <c r="IDB12" s="28"/>
      <c r="IDC12" s="11"/>
      <c r="IDD12" s="28"/>
      <c r="IDE12" s="11"/>
      <c r="IDF12" s="28"/>
      <c r="IDG12" s="11"/>
      <c r="IDH12" s="28"/>
      <c r="IDI12" s="11"/>
      <c r="IDJ12" s="28"/>
      <c r="IDK12" s="11"/>
      <c r="IDL12" s="28"/>
      <c r="IDM12" s="11"/>
      <c r="IDN12" s="28"/>
      <c r="IDO12" s="11"/>
      <c r="IDP12" s="28"/>
      <c r="IDQ12" s="11"/>
      <c r="IDR12" s="28"/>
      <c r="IDS12" s="11"/>
      <c r="IDT12" s="28"/>
      <c r="IDU12" s="11"/>
      <c r="IDV12" s="28"/>
      <c r="IDW12" s="11"/>
      <c r="IDX12" s="28"/>
      <c r="IDY12" s="11"/>
      <c r="IDZ12" s="28"/>
      <c r="IEA12" s="11"/>
      <c r="IEB12" s="28"/>
      <c r="IEC12" s="11"/>
      <c r="IED12" s="28"/>
      <c r="IEE12" s="11"/>
      <c r="IEF12" s="28"/>
      <c r="IEG12" s="11"/>
      <c r="IEH12" s="28"/>
      <c r="IEI12" s="11"/>
      <c r="IEJ12" s="28"/>
      <c r="IEK12" s="11"/>
      <c r="IEL12" s="28"/>
      <c r="IEM12" s="11"/>
      <c r="IEN12" s="28"/>
      <c r="IEO12" s="11"/>
      <c r="IEP12" s="28"/>
      <c r="IEQ12" s="11"/>
      <c r="IER12" s="28"/>
      <c r="IES12" s="11"/>
      <c r="IET12" s="28"/>
      <c r="IEU12" s="11"/>
      <c r="IEV12" s="28"/>
      <c r="IEW12" s="11"/>
      <c r="IEX12" s="28"/>
      <c r="IEY12" s="11"/>
      <c r="IEZ12" s="28"/>
      <c r="IFA12" s="11"/>
      <c r="IFB12" s="28"/>
      <c r="IFC12" s="11"/>
      <c r="IFD12" s="28"/>
      <c r="IFE12" s="11"/>
      <c r="IFF12" s="28"/>
      <c r="IFG12" s="11"/>
      <c r="IFH12" s="28"/>
      <c r="IFI12" s="11"/>
      <c r="IFJ12" s="28"/>
      <c r="IFK12" s="11"/>
      <c r="IFL12" s="28"/>
      <c r="IFM12" s="11"/>
      <c r="IFN12" s="28"/>
      <c r="IFO12" s="11"/>
      <c r="IFP12" s="28"/>
      <c r="IFQ12" s="11"/>
      <c r="IFR12" s="28"/>
      <c r="IFS12" s="11"/>
      <c r="IFT12" s="28"/>
      <c r="IFU12" s="11"/>
      <c r="IFV12" s="28"/>
      <c r="IFW12" s="11"/>
      <c r="IFX12" s="28"/>
      <c r="IFY12" s="11"/>
      <c r="IFZ12" s="28"/>
      <c r="IGA12" s="11"/>
      <c r="IGB12" s="28"/>
      <c r="IGC12" s="11"/>
      <c r="IGD12" s="28"/>
      <c r="IGE12" s="11"/>
      <c r="IGF12" s="28"/>
      <c r="IGG12" s="11"/>
      <c r="IGH12" s="28"/>
      <c r="IGI12" s="11"/>
      <c r="IGJ12" s="28"/>
      <c r="IGK12" s="11"/>
      <c r="IGL12" s="28"/>
      <c r="IGM12" s="11"/>
      <c r="IGN12" s="28"/>
      <c r="IGO12" s="11"/>
      <c r="IGP12" s="28"/>
      <c r="IGQ12" s="11"/>
      <c r="IGR12" s="28"/>
      <c r="IGS12" s="11"/>
      <c r="IGT12" s="28"/>
      <c r="IGU12" s="11"/>
      <c r="IGV12" s="28"/>
      <c r="IGW12" s="11"/>
      <c r="IGX12" s="28"/>
      <c r="IGY12" s="11"/>
      <c r="IGZ12" s="28"/>
      <c r="IHA12" s="11"/>
      <c r="IHB12" s="28"/>
      <c r="IHC12" s="11"/>
      <c r="IHD12" s="28"/>
      <c r="IHE12" s="11"/>
      <c r="IHF12" s="28"/>
      <c r="IHG12" s="11"/>
      <c r="IHH12" s="28"/>
      <c r="IHI12" s="11"/>
      <c r="IHJ12" s="28"/>
      <c r="IHK12" s="11"/>
      <c r="IHL12" s="28"/>
      <c r="IHM12" s="11"/>
      <c r="IHN12" s="28"/>
      <c r="IHO12" s="11"/>
      <c r="IHP12" s="28"/>
      <c r="IHQ12" s="11"/>
      <c r="IHR12" s="28"/>
      <c r="IHS12" s="11"/>
      <c r="IHT12" s="28"/>
      <c r="IHU12" s="11"/>
      <c r="IHV12" s="28"/>
      <c r="IHW12" s="11"/>
      <c r="IHX12" s="28"/>
      <c r="IHY12" s="11"/>
      <c r="IHZ12" s="28"/>
      <c r="IIA12" s="11"/>
      <c r="IIB12" s="28"/>
      <c r="IIC12" s="11"/>
      <c r="IID12" s="28"/>
      <c r="IIE12" s="11"/>
      <c r="IIF12" s="28"/>
      <c r="IIG12" s="11"/>
      <c r="IIH12" s="28"/>
      <c r="III12" s="11"/>
      <c r="IIJ12" s="28"/>
      <c r="IIK12" s="11"/>
      <c r="IIL12" s="28"/>
      <c r="IIM12" s="11"/>
      <c r="IIN12" s="28"/>
      <c r="IIO12" s="11"/>
      <c r="IIP12" s="28"/>
      <c r="IIQ12" s="11"/>
      <c r="IIR12" s="28"/>
      <c r="IIS12" s="11"/>
      <c r="IIT12" s="28"/>
      <c r="IIU12" s="11"/>
      <c r="IIV12" s="28"/>
      <c r="IIW12" s="11"/>
      <c r="IIX12" s="28"/>
      <c r="IIY12" s="11"/>
      <c r="IIZ12" s="28"/>
      <c r="IJA12" s="11"/>
      <c r="IJB12" s="28"/>
      <c r="IJC12" s="11"/>
      <c r="IJD12" s="28"/>
      <c r="IJE12" s="11"/>
      <c r="IJF12" s="28"/>
      <c r="IJG12" s="11"/>
      <c r="IJH12" s="28"/>
      <c r="IJI12" s="11"/>
      <c r="IJJ12" s="28"/>
      <c r="IJK12" s="11"/>
      <c r="IJL12" s="28"/>
      <c r="IJM12" s="11"/>
      <c r="IJN12" s="28"/>
      <c r="IJO12" s="11"/>
      <c r="IJP12" s="28"/>
      <c r="IJQ12" s="11"/>
      <c r="IJR12" s="28"/>
      <c r="IJS12" s="11"/>
      <c r="IJT12" s="28"/>
      <c r="IJU12" s="11"/>
      <c r="IJV12" s="28"/>
      <c r="IJW12" s="11"/>
      <c r="IJX12" s="28"/>
      <c r="IJY12" s="11"/>
      <c r="IJZ12" s="28"/>
      <c r="IKA12" s="11"/>
      <c r="IKB12" s="28"/>
      <c r="IKC12" s="11"/>
      <c r="IKD12" s="28"/>
      <c r="IKE12" s="11"/>
      <c r="IKF12" s="28"/>
      <c r="IKG12" s="11"/>
      <c r="IKH12" s="28"/>
      <c r="IKI12" s="11"/>
      <c r="IKJ12" s="28"/>
      <c r="IKK12" s="11"/>
      <c r="IKL12" s="28"/>
      <c r="IKM12" s="11"/>
      <c r="IKN12" s="28"/>
      <c r="IKO12" s="11"/>
      <c r="IKP12" s="28"/>
      <c r="IKQ12" s="11"/>
      <c r="IKR12" s="28"/>
      <c r="IKS12" s="11"/>
      <c r="IKT12" s="28"/>
      <c r="IKU12" s="11"/>
      <c r="IKV12" s="28"/>
      <c r="IKW12" s="11"/>
      <c r="IKX12" s="28"/>
      <c r="IKY12" s="11"/>
      <c r="IKZ12" s="28"/>
      <c r="ILA12" s="11"/>
      <c r="ILB12" s="28"/>
      <c r="ILC12" s="11"/>
      <c r="ILD12" s="28"/>
      <c r="ILE12" s="11"/>
      <c r="ILF12" s="28"/>
      <c r="ILG12" s="11"/>
      <c r="ILH12" s="28"/>
      <c r="ILI12" s="11"/>
      <c r="ILJ12" s="28"/>
      <c r="ILK12" s="11"/>
      <c r="ILL12" s="28"/>
      <c r="ILM12" s="11"/>
      <c r="ILN12" s="28"/>
      <c r="ILO12" s="11"/>
      <c r="ILP12" s="28"/>
      <c r="ILQ12" s="11"/>
      <c r="ILR12" s="28"/>
      <c r="ILS12" s="11"/>
      <c r="ILT12" s="28"/>
      <c r="ILU12" s="11"/>
      <c r="ILV12" s="28"/>
      <c r="ILW12" s="11"/>
      <c r="ILX12" s="28"/>
      <c r="ILY12" s="11"/>
      <c r="ILZ12" s="28"/>
      <c r="IMA12" s="11"/>
      <c r="IMB12" s="28"/>
      <c r="IMC12" s="11"/>
      <c r="IMD12" s="28"/>
      <c r="IME12" s="11"/>
      <c r="IMF12" s="28"/>
      <c r="IMG12" s="11"/>
      <c r="IMH12" s="28"/>
      <c r="IMI12" s="11"/>
      <c r="IMJ12" s="28"/>
      <c r="IMK12" s="11"/>
      <c r="IML12" s="28"/>
      <c r="IMM12" s="11"/>
      <c r="IMN12" s="28"/>
      <c r="IMO12" s="11"/>
      <c r="IMP12" s="28"/>
      <c r="IMQ12" s="11"/>
      <c r="IMR12" s="28"/>
      <c r="IMS12" s="11"/>
      <c r="IMT12" s="28"/>
      <c r="IMU12" s="11"/>
      <c r="IMV12" s="28"/>
      <c r="IMW12" s="11"/>
      <c r="IMX12" s="28"/>
      <c r="IMY12" s="11"/>
      <c r="IMZ12" s="28"/>
      <c r="INA12" s="11"/>
      <c r="INB12" s="28"/>
      <c r="INC12" s="11"/>
      <c r="IND12" s="28"/>
      <c r="INE12" s="11"/>
      <c r="INF12" s="28"/>
      <c r="ING12" s="11"/>
      <c r="INH12" s="28"/>
      <c r="INI12" s="11"/>
      <c r="INJ12" s="28"/>
      <c r="INK12" s="11"/>
      <c r="INL12" s="28"/>
      <c r="INM12" s="11"/>
      <c r="INN12" s="28"/>
      <c r="INO12" s="11"/>
      <c r="INP12" s="28"/>
      <c r="INQ12" s="11"/>
      <c r="INR12" s="28"/>
      <c r="INS12" s="11"/>
      <c r="INT12" s="28"/>
      <c r="INU12" s="11"/>
      <c r="INV12" s="28"/>
      <c r="INW12" s="11"/>
      <c r="INX12" s="28"/>
      <c r="INY12" s="11"/>
      <c r="INZ12" s="28"/>
      <c r="IOA12" s="11"/>
      <c r="IOB12" s="28"/>
      <c r="IOC12" s="11"/>
      <c r="IOD12" s="28"/>
      <c r="IOE12" s="11"/>
      <c r="IOF12" s="28"/>
      <c r="IOG12" s="11"/>
      <c r="IOH12" s="28"/>
      <c r="IOI12" s="11"/>
      <c r="IOJ12" s="28"/>
      <c r="IOK12" s="11"/>
      <c r="IOL12" s="28"/>
      <c r="IOM12" s="11"/>
      <c r="ION12" s="28"/>
      <c r="IOO12" s="11"/>
      <c r="IOP12" s="28"/>
      <c r="IOQ12" s="11"/>
      <c r="IOR12" s="28"/>
      <c r="IOS12" s="11"/>
      <c r="IOT12" s="28"/>
      <c r="IOU12" s="11"/>
      <c r="IOV12" s="28"/>
      <c r="IOW12" s="11"/>
      <c r="IOX12" s="28"/>
      <c r="IOY12" s="11"/>
      <c r="IOZ12" s="28"/>
      <c r="IPA12" s="11"/>
      <c r="IPB12" s="28"/>
      <c r="IPC12" s="11"/>
      <c r="IPD12" s="28"/>
      <c r="IPE12" s="11"/>
      <c r="IPF12" s="28"/>
      <c r="IPG12" s="11"/>
      <c r="IPH12" s="28"/>
      <c r="IPI12" s="11"/>
      <c r="IPJ12" s="28"/>
      <c r="IPK12" s="11"/>
      <c r="IPL12" s="28"/>
      <c r="IPM12" s="11"/>
      <c r="IPN12" s="28"/>
      <c r="IPO12" s="11"/>
      <c r="IPP12" s="28"/>
      <c r="IPQ12" s="11"/>
      <c r="IPR12" s="28"/>
      <c r="IPS12" s="11"/>
      <c r="IPT12" s="28"/>
      <c r="IPU12" s="11"/>
      <c r="IPV12" s="28"/>
      <c r="IPW12" s="11"/>
      <c r="IPX12" s="28"/>
      <c r="IPY12" s="11"/>
      <c r="IPZ12" s="28"/>
      <c r="IQA12" s="11"/>
      <c r="IQB12" s="28"/>
      <c r="IQC12" s="11"/>
      <c r="IQD12" s="28"/>
      <c r="IQE12" s="11"/>
      <c r="IQF12" s="28"/>
      <c r="IQG12" s="11"/>
      <c r="IQH12" s="28"/>
      <c r="IQI12" s="11"/>
      <c r="IQJ12" s="28"/>
      <c r="IQK12" s="11"/>
      <c r="IQL12" s="28"/>
      <c r="IQM12" s="11"/>
      <c r="IQN12" s="28"/>
      <c r="IQO12" s="11"/>
      <c r="IQP12" s="28"/>
      <c r="IQQ12" s="11"/>
      <c r="IQR12" s="28"/>
      <c r="IQS12" s="11"/>
      <c r="IQT12" s="28"/>
      <c r="IQU12" s="11"/>
      <c r="IQV12" s="28"/>
      <c r="IQW12" s="11"/>
      <c r="IQX12" s="28"/>
      <c r="IQY12" s="11"/>
      <c r="IQZ12" s="28"/>
      <c r="IRA12" s="11"/>
      <c r="IRB12" s="28"/>
      <c r="IRC12" s="11"/>
      <c r="IRD12" s="28"/>
      <c r="IRE12" s="11"/>
      <c r="IRF12" s="28"/>
      <c r="IRG12" s="11"/>
      <c r="IRH12" s="28"/>
      <c r="IRI12" s="11"/>
      <c r="IRJ12" s="28"/>
      <c r="IRK12" s="11"/>
      <c r="IRL12" s="28"/>
      <c r="IRM12" s="11"/>
      <c r="IRN12" s="28"/>
      <c r="IRO12" s="11"/>
      <c r="IRP12" s="28"/>
      <c r="IRQ12" s="11"/>
      <c r="IRR12" s="28"/>
      <c r="IRS12" s="11"/>
      <c r="IRT12" s="28"/>
      <c r="IRU12" s="11"/>
      <c r="IRV12" s="28"/>
      <c r="IRW12" s="11"/>
      <c r="IRX12" s="28"/>
      <c r="IRY12" s="11"/>
      <c r="IRZ12" s="28"/>
      <c r="ISA12" s="11"/>
      <c r="ISB12" s="28"/>
      <c r="ISC12" s="11"/>
      <c r="ISD12" s="28"/>
      <c r="ISE12" s="11"/>
      <c r="ISF12" s="28"/>
      <c r="ISG12" s="11"/>
      <c r="ISH12" s="28"/>
      <c r="ISI12" s="11"/>
      <c r="ISJ12" s="28"/>
      <c r="ISK12" s="11"/>
      <c r="ISL12" s="28"/>
      <c r="ISM12" s="11"/>
      <c r="ISN12" s="28"/>
      <c r="ISO12" s="11"/>
      <c r="ISP12" s="28"/>
      <c r="ISQ12" s="11"/>
      <c r="ISR12" s="28"/>
      <c r="ISS12" s="11"/>
      <c r="IST12" s="28"/>
      <c r="ISU12" s="11"/>
      <c r="ISV12" s="28"/>
      <c r="ISW12" s="11"/>
      <c r="ISX12" s="28"/>
      <c r="ISY12" s="11"/>
      <c r="ISZ12" s="28"/>
      <c r="ITA12" s="11"/>
      <c r="ITB12" s="28"/>
      <c r="ITC12" s="11"/>
      <c r="ITD12" s="28"/>
      <c r="ITE12" s="11"/>
      <c r="ITF12" s="28"/>
      <c r="ITG12" s="11"/>
      <c r="ITH12" s="28"/>
      <c r="ITI12" s="11"/>
      <c r="ITJ12" s="28"/>
      <c r="ITK12" s="11"/>
      <c r="ITL12" s="28"/>
      <c r="ITM12" s="11"/>
      <c r="ITN12" s="28"/>
      <c r="ITO12" s="11"/>
      <c r="ITP12" s="28"/>
      <c r="ITQ12" s="11"/>
      <c r="ITR12" s="28"/>
      <c r="ITS12" s="11"/>
      <c r="ITT12" s="28"/>
      <c r="ITU12" s="11"/>
      <c r="ITV12" s="28"/>
      <c r="ITW12" s="11"/>
      <c r="ITX12" s="28"/>
      <c r="ITY12" s="11"/>
      <c r="ITZ12" s="28"/>
      <c r="IUA12" s="11"/>
      <c r="IUB12" s="28"/>
      <c r="IUC12" s="11"/>
      <c r="IUD12" s="28"/>
      <c r="IUE12" s="11"/>
      <c r="IUF12" s="28"/>
      <c r="IUG12" s="11"/>
      <c r="IUH12" s="28"/>
      <c r="IUI12" s="11"/>
      <c r="IUJ12" s="28"/>
      <c r="IUK12" s="11"/>
      <c r="IUL12" s="28"/>
      <c r="IUM12" s="11"/>
      <c r="IUN12" s="28"/>
      <c r="IUO12" s="11"/>
      <c r="IUP12" s="28"/>
      <c r="IUQ12" s="11"/>
      <c r="IUR12" s="28"/>
      <c r="IUS12" s="11"/>
      <c r="IUT12" s="28"/>
      <c r="IUU12" s="11"/>
      <c r="IUV12" s="28"/>
      <c r="IUW12" s="11"/>
      <c r="IUX12" s="28"/>
      <c r="IUY12" s="11"/>
      <c r="IUZ12" s="28"/>
      <c r="IVA12" s="11"/>
      <c r="IVB12" s="28"/>
      <c r="IVC12" s="11"/>
      <c r="IVD12" s="28"/>
      <c r="IVE12" s="11"/>
      <c r="IVF12" s="28"/>
      <c r="IVG12" s="11"/>
      <c r="IVH12" s="28"/>
      <c r="IVI12" s="11"/>
      <c r="IVJ12" s="28"/>
      <c r="IVK12" s="11"/>
      <c r="IVL12" s="28"/>
      <c r="IVM12" s="11"/>
      <c r="IVN12" s="28"/>
      <c r="IVO12" s="11"/>
      <c r="IVP12" s="28"/>
      <c r="IVQ12" s="11"/>
      <c r="IVR12" s="28"/>
      <c r="IVS12" s="11"/>
      <c r="IVT12" s="28"/>
      <c r="IVU12" s="11"/>
      <c r="IVV12" s="28"/>
      <c r="IVW12" s="11"/>
      <c r="IVX12" s="28"/>
      <c r="IVY12" s="11"/>
      <c r="IVZ12" s="28"/>
      <c r="IWA12" s="11"/>
      <c r="IWB12" s="28"/>
      <c r="IWC12" s="11"/>
      <c r="IWD12" s="28"/>
      <c r="IWE12" s="11"/>
      <c r="IWF12" s="28"/>
      <c r="IWG12" s="11"/>
      <c r="IWH12" s="28"/>
      <c r="IWI12" s="11"/>
      <c r="IWJ12" s="28"/>
      <c r="IWK12" s="11"/>
      <c r="IWL12" s="28"/>
      <c r="IWM12" s="11"/>
      <c r="IWN12" s="28"/>
      <c r="IWO12" s="11"/>
      <c r="IWP12" s="28"/>
      <c r="IWQ12" s="11"/>
      <c r="IWR12" s="28"/>
      <c r="IWS12" s="11"/>
      <c r="IWT12" s="28"/>
      <c r="IWU12" s="11"/>
      <c r="IWV12" s="28"/>
      <c r="IWW12" s="11"/>
      <c r="IWX12" s="28"/>
      <c r="IWY12" s="11"/>
      <c r="IWZ12" s="28"/>
      <c r="IXA12" s="11"/>
      <c r="IXB12" s="28"/>
      <c r="IXC12" s="11"/>
      <c r="IXD12" s="28"/>
      <c r="IXE12" s="11"/>
      <c r="IXF12" s="28"/>
      <c r="IXG12" s="11"/>
      <c r="IXH12" s="28"/>
      <c r="IXI12" s="11"/>
      <c r="IXJ12" s="28"/>
      <c r="IXK12" s="11"/>
      <c r="IXL12" s="28"/>
      <c r="IXM12" s="11"/>
      <c r="IXN12" s="28"/>
      <c r="IXO12" s="11"/>
      <c r="IXP12" s="28"/>
      <c r="IXQ12" s="11"/>
      <c r="IXR12" s="28"/>
      <c r="IXS12" s="11"/>
      <c r="IXT12" s="28"/>
      <c r="IXU12" s="11"/>
      <c r="IXV12" s="28"/>
      <c r="IXW12" s="11"/>
      <c r="IXX12" s="28"/>
      <c r="IXY12" s="11"/>
      <c r="IXZ12" s="28"/>
      <c r="IYA12" s="11"/>
      <c r="IYB12" s="28"/>
      <c r="IYC12" s="11"/>
      <c r="IYD12" s="28"/>
      <c r="IYE12" s="11"/>
      <c r="IYF12" s="28"/>
      <c r="IYG12" s="11"/>
      <c r="IYH12" s="28"/>
      <c r="IYI12" s="11"/>
      <c r="IYJ12" s="28"/>
      <c r="IYK12" s="11"/>
      <c r="IYL12" s="28"/>
      <c r="IYM12" s="11"/>
      <c r="IYN12" s="28"/>
      <c r="IYO12" s="11"/>
      <c r="IYP12" s="28"/>
      <c r="IYQ12" s="11"/>
      <c r="IYR12" s="28"/>
      <c r="IYS12" s="11"/>
      <c r="IYT12" s="28"/>
      <c r="IYU12" s="11"/>
      <c r="IYV12" s="28"/>
      <c r="IYW12" s="11"/>
      <c r="IYX12" s="28"/>
      <c r="IYY12" s="11"/>
      <c r="IYZ12" s="28"/>
      <c r="IZA12" s="11"/>
      <c r="IZB12" s="28"/>
      <c r="IZC12" s="11"/>
      <c r="IZD12" s="28"/>
      <c r="IZE12" s="11"/>
      <c r="IZF12" s="28"/>
      <c r="IZG12" s="11"/>
      <c r="IZH12" s="28"/>
      <c r="IZI12" s="11"/>
      <c r="IZJ12" s="28"/>
      <c r="IZK12" s="11"/>
      <c r="IZL12" s="28"/>
      <c r="IZM12" s="11"/>
      <c r="IZN12" s="28"/>
      <c r="IZO12" s="11"/>
      <c r="IZP12" s="28"/>
      <c r="IZQ12" s="11"/>
      <c r="IZR12" s="28"/>
      <c r="IZS12" s="11"/>
      <c r="IZT12" s="28"/>
      <c r="IZU12" s="11"/>
      <c r="IZV12" s="28"/>
      <c r="IZW12" s="11"/>
      <c r="IZX12" s="28"/>
      <c r="IZY12" s="11"/>
      <c r="IZZ12" s="28"/>
      <c r="JAA12" s="11"/>
      <c r="JAB12" s="28"/>
      <c r="JAC12" s="11"/>
      <c r="JAD12" s="28"/>
      <c r="JAE12" s="11"/>
      <c r="JAF12" s="28"/>
      <c r="JAG12" s="11"/>
      <c r="JAH12" s="28"/>
      <c r="JAI12" s="11"/>
      <c r="JAJ12" s="28"/>
      <c r="JAK12" s="11"/>
      <c r="JAL12" s="28"/>
      <c r="JAM12" s="11"/>
      <c r="JAN12" s="28"/>
      <c r="JAO12" s="11"/>
      <c r="JAP12" s="28"/>
      <c r="JAQ12" s="11"/>
      <c r="JAR12" s="28"/>
      <c r="JAS12" s="11"/>
      <c r="JAT12" s="28"/>
      <c r="JAU12" s="11"/>
      <c r="JAV12" s="28"/>
      <c r="JAW12" s="11"/>
      <c r="JAX12" s="28"/>
      <c r="JAY12" s="11"/>
      <c r="JAZ12" s="28"/>
      <c r="JBA12" s="11"/>
      <c r="JBB12" s="28"/>
      <c r="JBC12" s="11"/>
      <c r="JBD12" s="28"/>
      <c r="JBE12" s="11"/>
      <c r="JBF12" s="28"/>
      <c r="JBG12" s="11"/>
      <c r="JBH12" s="28"/>
      <c r="JBI12" s="11"/>
      <c r="JBJ12" s="28"/>
      <c r="JBK12" s="11"/>
      <c r="JBL12" s="28"/>
      <c r="JBM12" s="11"/>
      <c r="JBN12" s="28"/>
      <c r="JBO12" s="11"/>
      <c r="JBP12" s="28"/>
      <c r="JBQ12" s="11"/>
      <c r="JBR12" s="28"/>
      <c r="JBS12" s="11"/>
      <c r="JBT12" s="28"/>
      <c r="JBU12" s="11"/>
      <c r="JBV12" s="28"/>
      <c r="JBW12" s="11"/>
      <c r="JBX12" s="28"/>
      <c r="JBY12" s="11"/>
      <c r="JBZ12" s="28"/>
      <c r="JCA12" s="11"/>
      <c r="JCB12" s="28"/>
      <c r="JCC12" s="11"/>
      <c r="JCD12" s="28"/>
      <c r="JCE12" s="11"/>
      <c r="JCF12" s="28"/>
      <c r="JCG12" s="11"/>
      <c r="JCH12" s="28"/>
      <c r="JCI12" s="11"/>
      <c r="JCJ12" s="28"/>
      <c r="JCK12" s="11"/>
      <c r="JCL12" s="28"/>
      <c r="JCM12" s="11"/>
      <c r="JCN12" s="28"/>
      <c r="JCO12" s="11"/>
      <c r="JCP12" s="28"/>
      <c r="JCQ12" s="11"/>
      <c r="JCR12" s="28"/>
      <c r="JCS12" s="11"/>
      <c r="JCT12" s="28"/>
      <c r="JCU12" s="11"/>
      <c r="JCV12" s="28"/>
      <c r="JCW12" s="11"/>
      <c r="JCX12" s="28"/>
      <c r="JCY12" s="11"/>
      <c r="JCZ12" s="28"/>
      <c r="JDA12" s="11"/>
      <c r="JDB12" s="28"/>
      <c r="JDC12" s="11"/>
      <c r="JDD12" s="28"/>
      <c r="JDE12" s="11"/>
      <c r="JDF12" s="28"/>
      <c r="JDG12" s="11"/>
      <c r="JDH12" s="28"/>
      <c r="JDI12" s="11"/>
      <c r="JDJ12" s="28"/>
      <c r="JDK12" s="11"/>
      <c r="JDL12" s="28"/>
      <c r="JDM12" s="11"/>
      <c r="JDN12" s="28"/>
      <c r="JDO12" s="11"/>
      <c r="JDP12" s="28"/>
      <c r="JDQ12" s="11"/>
      <c r="JDR12" s="28"/>
      <c r="JDS12" s="11"/>
      <c r="JDT12" s="28"/>
      <c r="JDU12" s="11"/>
      <c r="JDV12" s="28"/>
      <c r="JDW12" s="11"/>
      <c r="JDX12" s="28"/>
      <c r="JDY12" s="11"/>
      <c r="JDZ12" s="28"/>
      <c r="JEA12" s="11"/>
      <c r="JEB12" s="28"/>
      <c r="JEC12" s="11"/>
      <c r="JED12" s="28"/>
      <c r="JEE12" s="11"/>
      <c r="JEF12" s="28"/>
      <c r="JEG12" s="11"/>
      <c r="JEH12" s="28"/>
      <c r="JEI12" s="11"/>
      <c r="JEJ12" s="28"/>
      <c r="JEK12" s="11"/>
      <c r="JEL12" s="28"/>
      <c r="JEM12" s="11"/>
      <c r="JEN12" s="28"/>
      <c r="JEO12" s="11"/>
      <c r="JEP12" s="28"/>
      <c r="JEQ12" s="11"/>
      <c r="JER12" s="28"/>
      <c r="JES12" s="11"/>
      <c r="JET12" s="28"/>
      <c r="JEU12" s="11"/>
      <c r="JEV12" s="28"/>
      <c r="JEW12" s="11"/>
      <c r="JEX12" s="28"/>
      <c r="JEY12" s="11"/>
      <c r="JEZ12" s="28"/>
      <c r="JFA12" s="11"/>
      <c r="JFB12" s="28"/>
      <c r="JFC12" s="11"/>
      <c r="JFD12" s="28"/>
      <c r="JFE12" s="11"/>
      <c r="JFF12" s="28"/>
      <c r="JFG12" s="11"/>
      <c r="JFH12" s="28"/>
      <c r="JFI12" s="11"/>
      <c r="JFJ12" s="28"/>
      <c r="JFK12" s="11"/>
      <c r="JFL12" s="28"/>
      <c r="JFM12" s="11"/>
      <c r="JFN12" s="28"/>
      <c r="JFO12" s="11"/>
      <c r="JFP12" s="28"/>
      <c r="JFQ12" s="11"/>
      <c r="JFR12" s="28"/>
      <c r="JFS12" s="11"/>
      <c r="JFT12" s="28"/>
      <c r="JFU12" s="11"/>
      <c r="JFV12" s="28"/>
      <c r="JFW12" s="11"/>
      <c r="JFX12" s="28"/>
      <c r="JFY12" s="11"/>
      <c r="JFZ12" s="28"/>
      <c r="JGA12" s="11"/>
      <c r="JGB12" s="28"/>
      <c r="JGC12" s="11"/>
      <c r="JGD12" s="28"/>
      <c r="JGE12" s="11"/>
      <c r="JGF12" s="28"/>
      <c r="JGG12" s="11"/>
      <c r="JGH12" s="28"/>
      <c r="JGI12" s="11"/>
      <c r="JGJ12" s="28"/>
      <c r="JGK12" s="11"/>
      <c r="JGL12" s="28"/>
      <c r="JGM12" s="11"/>
      <c r="JGN12" s="28"/>
      <c r="JGO12" s="11"/>
      <c r="JGP12" s="28"/>
      <c r="JGQ12" s="11"/>
      <c r="JGR12" s="28"/>
      <c r="JGS12" s="11"/>
      <c r="JGT12" s="28"/>
      <c r="JGU12" s="11"/>
      <c r="JGV12" s="28"/>
      <c r="JGW12" s="11"/>
      <c r="JGX12" s="28"/>
      <c r="JGY12" s="11"/>
      <c r="JGZ12" s="28"/>
      <c r="JHA12" s="11"/>
      <c r="JHB12" s="28"/>
      <c r="JHC12" s="11"/>
      <c r="JHD12" s="28"/>
      <c r="JHE12" s="11"/>
      <c r="JHF12" s="28"/>
      <c r="JHG12" s="11"/>
      <c r="JHH12" s="28"/>
      <c r="JHI12" s="11"/>
      <c r="JHJ12" s="28"/>
      <c r="JHK12" s="11"/>
      <c r="JHL12" s="28"/>
      <c r="JHM12" s="11"/>
      <c r="JHN12" s="28"/>
      <c r="JHO12" s="11"/>
      <c r="JHP12" s="28"/>
      <c r="JHQ12" s="11"/>
      <c r="JHR12" s="28"/>
      <c r="JHS12" s="11"/>
      <c r="JHT12" s="28"/>
      <c r="JHU12" s="11"/>
      <c r="JHV12" s="28"/>
      <c r="JHW12" s="11"/>
      <c r="JHX12" s="28"/>
      <c r="JHY12" s="11"/>
      <c r="JHZ12" s="28"/>
      <c r="JIA12" s="11"/>
      <c r="JIB12" s="28"/>
      <c r="JIC12" s="11"/>
      <c r="JID12" s="28"/>
      <c r="JIE12" s="11"/>
      <c r="JIF12" s="28"/>
      <c r="JIG12" s="11"/>
      <c r="JIH12" s="28"/>
      <c r="JII12" s="11"/>
      <c r="JIJ12" s="28"/>
      <c r="JIK12" s="11"/>
      <c r="JIL12" s="28"/>
      <c r="JIM12" s="11"/>
      <c r="JIN12" s="28"/>
      <c r="JIO12" s="11"/>
      <c r="JIP12" s="28"/>
      <c r="JIQ12" s="11"/>
      <c r="JIR12" s="28"/>
      <c r="JIS12" s="11"/>
      <c r="JIT12" s="28"/>
      <c r="JIU12" s="11"/>
      <c r="JIV12" s="28"/>
      <c r="JIW12" s="11"/>
      <c r="JIX12" s="28"/>
      <c r="JIY12" s="11"/>
      <c r="JIZ12" s="28"/>
      <c r="JJA12" s="11"/>
      <c r="JJB12" s="28"/>
      <c r="JJC12" s="11"/>
      <c r="JJD12" s="28"/>
      <c r="JJE12" s="11"/>
      <c r="JJF12" s="28"/>
      <c r="JJG12" s="11"/>
      <c r="JJH12" s="28"/>
      <c r="JJI12" s="11"/>
      <c r="JJJ12" s="28"/>
      <c r="JJK12" s="11"/>
      <c r="JJL12" s="28"/>
      <c r="JJM12" s="11"/>
      <c r="JJN12" s="28"/>
      <c r="JJO12" s="11"/>
      <c r="JJP12" s="28"/>
      <c r="JJQ12" s="11"/>
      <c r="JJR12" s="28"/>
      <c r="JJS12" s="11"/>
      <c r="JJT12" s="28"/>
      <c r="JJU12" s="11"/>
      <c r="JJV12" s="28"/>
      <c r="JJW12" s="11"/>
      <c r="JJX12" s="28"/>
      <c r="JJY12" s="11"/>
      <c r="JJZ12" s="28"/>
      <c r="JKA12" s="11"/>
      <c r="JKB12" s="28"/>
      <c r="JKC12" s="11"/>
      <c r="JKD12" s="28"/>
      <c r="JKE12" s="11"/>
      <c r="JKF12" s="28"/>
      <c r="JKG12" s="11"/>
      <c r="JKH12" s="28"/>
      <c r="JKI12" s="11"/>
      <c r="JKJ12" s="28"/>
      <c r="JKK12" s="11"/>
      <c r="JKL12" s="28"/>
      <c r="JKM12" s="11"/>
      <c r="JKN12" s="28"/>
      <c r="JKO12" s="11"/>
      <c r="JKP12" s="28"/>
      <c r="JKQ12" s="11"/>
      <c r="JKR12" s="28"/>
      <c r="JKS12" s="11"/>
      <c r="JKT12" s="28"/>
      <c r="JKU12" s="11"/>
      <c r="JKV12" s="28"/>
      <c r="JKW12" s="11"/>
      <c r="JKX12" s="28"/>
      <c r="JKY12" s="11"/>
      <c r="JKZ12" s="28"/>
      <c r="JLA12" s="11"/>
      <c r="JLB12" s="28"/>
      <c r="JLC12" s="11"/>
      <c r="JLD12" s="28"/>
      <c r="JLE12" s="11"/>
      <c r="JLF12" s="28"/>
      <c r="JLG12" s="11"/>
      <c r="JLH12" s="28"/>
      <c r="JLI12" s="11"/>
      <c r="JLJ12" s="28"/>
      <c r="JLK12" s="11"/>
      <c r="JLL12" s="28"/>
      <c r="JLM12" s="11"/>
      <c r="JLN12" s="28"/>
      <c r="JLO12" s="11"/>
      <c r="JLP12" s="28"/>
      <c r="JLQ12" s="11"/>
      <c r="JLR12" s="28"/>
      <c r="JLS12" s="11"/>
      <c r="JLT12" s="28"/>
      <c r="JLU12" s="11"/>
      <c r="JLV12" s="28"/>
      <c r="JLW12" s="11"/>
      <c r="JLX12" s="28"/>
      <c r="JLY12" s="11"/>
      <c r="JLZ12" s="28"/>
      <c r="JMA12" s="11"/>
      <c r="JMB12" s="28"/>
      <c r="JMC12" s="11"/>
      <c r="JMD12" s="28"/>
      <c r="JME12" s="11"/>
      <c r="JMF12" s="28"/>
      <c r="JMG12" s="11"/>
      <c r="JMH12" s="28"/>
      <c r="JMI12" s="11"/>
      <c r="JMJ12" s="28"/>
      <c r="JMK12" s="11"/>
      <c r="JML12" s="28"/>
      <c r="JMM12" s="11"/>
      <c r="JMN12" s="28"/>
      <c r="JMO12" s="11"/>
      <c r="JMP12" s="28"/>
      <c r="JMQ12" s="11"/>
      <c r="JMR12" s="28"/>
      <c r="JMS12" s="11"/>
      <c r="JMT12" s="28"/>
      <c r="JMU12" s="11"/>
      <c r="JMV12" s="28"/>
      <c r="JMW12" s="11"/>
      <c r="JMX12" s="28"/>
      <c r="JMY12" s="11"/>
      <c r="JMZ12" s="28"/>
      <c r="JNA12" s="11"/>
      <c r="JNB12" s="28"/>
      <c r="JNC12" s="11"/>
      <c r="JND12" s="28"/>
      <c r="JNE12" s="11"/>
      <c r="JNF12" s="28"/>
      <c r="JNG12" s="11"/>
      <c r="JNH12" s="28"/>
      <c r="JNI12" s="11"/>
      <c r="JNJ12" s="28"/>
      <c r="JNK12" s="11"/>
      <c r="JNL12" s="28"/>
      <c r="JNM12" s="11"/>
      <c r="JNN12" s="28"/>
      <c r="JNO12" s="11"/>
      <c r="JNP12" s="28"/>
      <c r="JNQ12" s="11"/>
      <c r="JNR12" s="28"/>
      <c r="JNS12" s="11"/>
      <c r="JNT12" s="28"/>
      <c r="JNU12" s="11"/>
      <c r="JNV12" s="28"/>
      <c r="JNW12" s="11"/>
      <c r="JNX12" s="28"/>
      <c r="JNY12" s="11"/>
      <c r="JNZ12" s="28"/>
      <c r="JOA12" s="11"/>
      <c r="JOB12" s="28"/>
      <c r="JOC12" s="11"/>
      <c r="JOD12" s="28"/>
      <c r="JOE12" s="11"/>
      <c r="JOF12" s="28"/>
      <c r="JOG12" s="11"/>
      <c r="JOH12" s="28"/>
      <c r="JOI12" s="11"/>
      <c r="JOJ12" s="28"/>
      <c r="JOK12" s="11"/>
      <c r="JOL12" s="28"/>
      <c r="JOM12" s="11"/>
      <c r="JON12" s="28"/>
      <c r="JOO12" s="11"/>
      <c r="JOP12" s="28"/>
      <c r="JOQ12" s="11"/>
      <c r="JOR12" s="28"/>
      <c r="JOS12" s="11"/>
      <c r="JOT12" s="28"/>
      <c r="JOU12" s="11"/>
      <c r="JOV12" s="28"/>
      <c r="JOW12" s="11"/>
      <c r="JOX12" s="28"/>
      <c r="JOY12" s="11"/>
      <c r="JOZ12" s="28"/>
      <c r="JPA12" s="11"/>
      <c r="JPB12" s="28"/>
      <c r="JPC12" s="11"/>
      <c r="JPD12" s="28"/>
      <c r="JPE12" s="11"/>
      <c r="JPF12" s="28"/>
      <c r="JPG12" s="11"/>
      <c r="JPH12" s="28"/>
      <c r="JPI12" s="11"/>
      <c r="JPJ12" s="28"/>
      <c r="JPK12" s="11"/>
      <c r="JPL12" s="28"/>
      <c r="JPM12" s="11"/>
      <c r="JPN12" s="28"/>
      <c r="JPO12" s="11"/>
      <c r="JPP12" s="28"/>
      <c r="JPQ12" s="11"/>
      <c r="JPR12" s="28"/>
      <c r="JPS12" s="11"/>
      <c r="JPT12" s="28"/>
      <c r="JPU12" s="11"/>
      <c r="JPV12" s="28"/>
      <c r="JPW12" s="11"/>
      <c r="JPX12" s="28"/>
      <c r="JPY12" s="11"/>
      <c r="JPZ12" s="28"/>
      <c r="JQA12" s="11"/>
      <c r="JQB12" s="28"/>
      <c r="JQC12" s="11"/>
      <c r="JQD12" s="28"/>
      <c r="JQE12" s="11"/>
      <c r="JQF12" s="28"/>
      <c r="JQG12" s="11"/>
      <c r="JQH12" s="28"/>
      <c r="JQI12" s="11"/>
      <c r="JQJ12" s="28"/>
      <c r="JQK12" s="11"/>
      <c r="JQL12" s="28"/>
      <c r="JQM12" s="11"/>
      <c r="JQN12" s="28"/>
      <c r="JQO12" s="11"/>
      <c r="JQP12" s="28"/>
      <c r="JQQ12" s="11"/>
      <c r="JQR12" s="28"/>
      <c r="JQS12" s="11"/>
      <c r="JQT12" s="28"/>
      <c r="JQU12" s="11"/>
      <c r="JQV12" s="28"/>
      <c r="JQW12" s="11"/>
      <c r="JQX12" s="28"/>
      <c r="JQY12" s="11"/>
      <c r="JQZ12" s="28"/>
      <c r="JRA12" s="11"/>
      <c r="JRB12" s="28"/>
      <c r="JRC12" s="11"/>
      <c r="JRD12" s="28"/>
      <c r="JRE12" s="11"/>
      <c r="JRF12" s="28"/>
      <c r="JRG12" s="11"/>
      <c r="JRH12" s="28"/>
      <c r="JRI12" s="11"/>
      <c r="JRJ12" s="28"/>
      <c r="JRK12" s="11"/>
      <c r="JRL12" s="28"/>
      <c r="JRM12" s="11"/>
      <c r="JRN12" s="28"/>
      <c r="JRO12" s="11"/>
      <c r="JRP12" s="28"/>
      <c r="JRQ12" s="11"/>
      <c r="JRR12" s="28"/>
      <c r="JRS12" s="11"/>
      <c r="JRT12" s="28"/>
      <c r="JRU12" s="11"/>
      <c r="JRV12" s="28"/>
      <c r="JRW12" s="11"/>
      <c r="JRX12" s="28"/>
      <c r="JRY12" s="11"/>
      <c r="JRZ12" s="28"/>
      <c r="JSA12" s="11"/>
      <c r="JSB12" s="28"/>
      <c r="JSC12" s="11"/>
      <c r="JSD12" s="28"/>
      <c r="JSE12" s="11"/>
      <c r="JSF12" s="28"/>
      <c r="JSG12" s="11"/>
      <c r="JSH12" s="28"/>
      <c r="JSI12" s="11"/>
      <c r="JSJ12" s="28"/>
      <c r="JSK12" s="11"/>
      <c r="JSL12" s="28"/>
      <c r="JSM12" s="11"/>
      <c r="JSN12" s="28"/>
      <c r="JSO12" s="11"/>
      <c r="JSP12" s="28"/>
      <c r="JSQ12" s="11"/>
      <c r="JSR12" s="28"/>
      <c r="JSS12" s="11"/>
      <c r="JST12" s="28"/>
      <c r="JSU12" s="11"/>
      <c r="JSV12" s="28"/>
      <c r="JSW12" s="11"/>
      <c r="JSX12" s="28"/>
      <c r="JSY12" s="11"/>
      <c r="JSZ12" s="28"/>
      <c r="JTA12" s="11"/>
      <c r="JTB12" s="28"/>
      <c r="JTC12" s="11"/>
      <c r="JTD12" s="28"/>
      <c r="JTE12" s="11"/>
      <c r="JTF12" s="28"/>
      <c r="JTG12" s="11"/>
      <c r="JTH12" s="28"/>
      <c r="JTI12" s="11"/>
      <c r="JTJ12" s="28"/>
      <c r="JTK12" s="11"/>
      <c r="JTL12" s="28"/>
      <c r="JTM12" s="11"/>
      <c r="JTN12" s="28"/>
      <c r="JTO12" s="11"/>
      <c r="JTP12" s="28"/>
      <c r="JTQ12" s="11"/>
      <c r="JTR12" s="28"/>
      <c r="JTS12" s="11"/>
      <c r="JTT12" s="28"/>
      <c r="JTU12" s="11"/>
      <c r="JTV12" s="28"/>
      <c r="JTW12" s="11"/>
      <c r="JTX12" s="28"/>
      <c r="JTY12" s="11"/>
      <c r="JTZ12" s="28"/>
      <c r="JUA12" s="11"/>
      <c r="JUB12" s="28"/>
      <c r="JUC12" s="11"/>
      <c r="JUD12" s="28"/>
      <c r="JUE12" s="11"/>
      <c r="JUF12" s="28"/>
      <c r="JUG12" s="11"/>
      <c r="JUH12" s="28"/>
      <c r="JUI12" s="11"/>
      <c r="JUJ12" s="28"/>
      <c r="JUK12" s="11"/>
      <c r="JUL12" s="28"/>
      <c r="JUM12" s="11"/>
      <c r="JUN12" s="28"/>
      <c r="JUO12" s="11"/>
      <c r="JUP12" s="28"/>
      <c r="JUQ12" s="11"/>
      <c r="JUR12" s="28"/>
      <c r="JUS12" s="11"/>
      <c r="JUT12" s="28"/>
      <c r="JUU12" s="11"/>
      <c r="JUV12" s="28"/>
      <c r="JUW12" s="11"/>
      <c r="JUX12" s="28"/>
      <c r="JUY12" s="11"/>
      <c r="JUZ12" s="28"/>
      <c r="JVA12" s="11"/>
      <c r="JVB12" s="28"/>
      <c r="JVC12" s="11"/>
      <c r="JVD12" s="28"/>
      <c r="JVE12" s="11"/>
      <c r="JVF12" s="28"/>
      <c r="JVG12" s="11"/>
      <c r="JVH12" s="28"/>
      <c r="JVI12" s="11"/>
      <c r="JVJ12" s="28"/>
      <c r="JVK12" s="11"/>
      <c r="JVL12" s="28"/>
      <c r="JVM12" s="11"/>
      <c r="JVN12" s="28"/>
      <c r="JVO12" s="11"/>
      <c r="JVP12" s="28"/>
      <c r="JVQ12" s="11"/>
      <c r="JVR12" s="28"/>
      <c r="JVS12" s="11"/>
      <c r="JVT12" s="28"/>
      <c r="JVU12" s="11"/>
      <c r="JVV12" s="28"/>
      <c r="JVW12" s="11"/>
      <c r="JVX12" s="28"/>
      <c r="JVY12" s="11"/>
      <c r="JVZ12" s="28"/>
      <c r="JWA12" s="11"/>
      <c r="JWB12" s="28"/>
      <c r="JWC12" s="11"/>
      <c r="JWD12" s="28"/>
      <c r="JWE12" s="11"/>
      <c r="JWF12" s="28"/>
      <c r="JWG12" s="11"/>
      <c r="JWH12" s="28"/>
      <c r="JWI12" s="11"/>
      <c r="JWJ12" s="28"/>
      <c r="JWK12" s="11"/>
      <c r="JWL12" s="28"/>
      <c r="JWM12" s="11"/>
      <c r="JWN12" s="28"/>
      <c r="JWO12" s="11"/>
      <c r="JWP12" s="28"/>
      <c r="JWQ12" s="11"/>
      <c r="JWR12" s="28"/>
      <c r="JWS12" s="11"/>
      <c r="JWT12" s="28"/>
      <c r="JWU12" s="11"/>
      <c r="JWV12" s="28"/>
      <c r="JWW12" s="11"/>
      <c r="JWX12" s="28"/>
      <c r="JWY12" s="11"/>
      <c r="JWZ12" s="28"/>
      <c r="JXA12" s="11"/>
      <c r="JXB12" s="28"/>
      <c r="JXC12" s="11"/>
      <c r="JXD12" s="28"/>
      <c r="JXE12" s="11"/>
      <c r="JXF12" s="28"/>
      <c r="JXG12" s="11"/>
      <c r="JXH12" s="28"/>
      <c r="JXI12" s="11"/>
      <c r="JXJ12" s="28"/>
      <c r="JXK12" s="11"/>
      <c r="JXL12" s="28"/>
      <c r="JXM12" s="11"/>
      <c r="JXN12" s="28"/>
      <c r="JXO12" s="11"/>
      <c r="JXP12" s="28"/>
      <c r="JXQ12" s="11"/>
      <c r="JXR12" s="28"/>
      <c r="JXS12" s="11"/>
      <c r="JXT12" s="28"/>
      <c r="JXU12" s="11"/>
      <c r="JXV12" s="28"/>
      <c r="JXW12" s="11"/>
      <c r="JXX12" s="28"/>
      <c r="JXY12" s="11"/>
      <c r="JXZ12" s="28"/>
      <c r="JYA12" s="11"/>
      <c r="JYB12" s="28"/>
      <c r="JYC12" s="11"/>
      <c r="JYD12" s="28"/>
      <c r="JYE12" s="11"/>
      <c r="JYF12" s="28"/>
      <c r="JYG12" s="11"/>
      <c r="JYH12" s="28"/>
      <c r="JYI12" s="11"/>
      <c r="JYJ12" s="28"/>
      <c r="JYK12" s="11"/>
      <c r="JYL12" s="28"/>
      <c r="JYM12" s="11"/>
      <c r="JYN12" s="28"/>
      <c r="JYO12" s="11"/>
      <c r="JYP12" s="28"/>
      <c r="JYQ12" s="11"/>
      <c r="JYR12" s="28"/>
      <c r="JYS12" s="11"/>
      <c r="JYT12" s="28"/>
      <c r="JYU12" s="11"/>
      <c r="JYV12" s="28"/>
      <c r="JYW12" s="11"/>
      <c r="JYX12" s="28"/>
      <c r="JYY12" s="11"/>
      <c r="JYZ12" s="28"/>
      <c r="JZA12" s="11"/>
      <c r="JZB12" s="28"/>
      <c r="JZC12" s="11"/>
      <c r="JZD12" s="28"/>
      <c r="JZE12" s="11"/>
      <c r="JZF12" s="28"/>
      <c r="JZG12" s="11"/>
      <c r="JZH12" s="28"/>
      <c r="JZI12" s="11"/>
      <c r="JZJ12" s="28"/>
      <c r="JZK12" s="11"/>
      <c r="JZL12" s="28"/>
      <c r="JZM12" s="11"/>
      <c r="JZN12" s="28"/>
      <c r="JZO12" s="11"/>
      <c r="JZP12" s="28"/>
      <c r="JZQ12" s="11"/>
      <c r="JZR12" s="28"/>
      <c r="JZS12" s="11"/>
      <c r="JZT12" s="28"/>
      <c r="JZU12" s="11"/>
      <c r="JZV12" s="28"/>
      <c r="JZW12" s="11"/>
      <c r="JZX12" s="28"/>
      <c r="JZY12" s="11"/>
      <c r="JZZ12" s="28"/>
      <c r="KAA12" s="11"/>
      <c r="KAB12" s="28"/>
      <c r="KAC12" s="11"/>
      <c r="KAD12" s="28"/>
      <c r="KAE12" s="11"/>
      <c r="KAF12" s="28"/>
      <c r="KAG12" s="11"/>
      <c r="KAH12" s="28"/>
      <c r="KAI12" s="11"/>
      <c r="KAJ12" s="28"/>
      <c r="KAK12" s="11"/>
      <c r="KAL12" s="28"/>
      <c r="KAM12" s="11"/>
      <c r="KAN12" s="28"/>
      <c r="KAO12" s="11"/>
      <c r="KAP12" s="28"/>
      <c r="KAQ12" s="11"/>
      <c r="KAR12" s="28"/>
      <c r="KAS12" s="11"/>
      <c r="KAT12" s="28"/>
      <c r="KAU12" s="11"/>
      <c r="KAV12" s="28"/>
      <c r="KAW12" s="11"/>
      <c r="KAX12" s="28"/>
      <c r="KAY12" s="11"/>
      <c r="KAZ12" s="28"/>
      <c r="KBA12" s="11"/>
      <c r="KBB12" s="28"/>
      <c r="KBC12" s="11"/>
      <c r="KBD12" s="28"/>
      <c r="KBE12" s="11"/>
      <c r="KBF12" s="28"/>
      <c r="KBG12" s="11"/>
      <c r="KBH12" s="28"/>
      <c r="KBI12" s="11"/>
      <c r="KBJ12" s="28"/>
      <c r="KBK12" s="11"/>
      <c r="KBL12" s="28"/>
      <c r="KBM12" s="11"/>
      <c r="KBN12" s="28"/>
      <c r="KBO12" s="11"/>
      <c r="KBP12" s="28"/>
      <c r="KBQ12" s="11"/>
      <c r="KBR12" s="28"/>
      <c r="KBS12" s="11"/>
      <c r="KBT12" s="28"/>
      <c r="KBU12" s="11"/>
      <c r="KBV12" s="28"/>
      <c r="KBW12" s="11"/>
      <c r="KBX12" s="28"/>
      <c r="KBY12" s="11"/>
      <c r="KBZ12" s="28"/>
      <c r="KCA12" s="11"/>
      <c r="KCB12" s="28"/>
      <c r="KCC12" s="11"/>
      <c r="KCD12" s="28"/>
      <c r="KCE12" s="11"/>
      <c r="KCF12" s="28"/>
      <c r="KCG12" s="11"/>
      <c r="KCH12" s="28"/>
      <c r="KCI12" s="11"/>
      <c r="KCJ12" s="28"/>
      <c r="KCK12" s="11"/>
      <c r="KCL12" s="28"/>
      <c r="KCM12" s="11"/>
      <c r="KCN12" s="28"/>
      <c r="KCO12" s="11"/>
      <c r="KCP12" s="28"/>
      <c r="KCQ12" s="11"/>
      <c r="KCR12" s="28"/>
      <c r="KCS12" s="11"/>
      <c r="KCT12" s="28"/>
      <c r="KCU12" s="11"/>
      <c r="KCV12" s="28"/>
      <c r="KCW12" s="11"/>
      <c r="KCX12" s="28"/>
      <c r="KCY12" s="11"/>
      <c r="KCZ12" s="28"/>
      <c r="KDA12" s="11"/>
      <c r="KDB12" s="28"/>
      <c r="KDC12" s="11"/>
      <c r="KDD12" s="28"/>
      <c r="KDE12" s="11"/>
      <c r="KDF12" s="28"/>
      <c r="KDG12" s="11"/>
      <c r="KDH12" s="28"/>
      <c r="KDI12" s="11"/>
      <c r="KDJ12" s="28"/>
      <c r="KDK12" s="11"/>
      <c r="KDL12" s="28"/>
      <c r="KDM12" s="11"/>
      <c r="KDN12" s="28"/>
      <c r="KDO12" s="11"/>
      <c r="KDP12" s="28"/>
      <c r="KDQ12" s="11"/>
      <c r="KDR12" s="28"/>
      <c r="KDS12" s="11"/>
      <c r="KDT12" s="28"/>
      <c r="KDU12" s="11"/>
      <c r="KDV12" s="28"/>
      <c r="KDW12" s="11"/>
      <c r="KDX12" s="28"/>
      <c r="KDY12" s="11"/>
      <c r="KDZ12" s="28"/>
      <c r="KEA12" s="11"/>
      <c r="KEB12" s="28"/>
      <c r="KEC12" s="11"/>
      <c r="KED12" s="28"/>
      <c r="KEE12" s="11"/>
      <c r="KEF12" s="28"/>
      <c r="KEG12" s="11"/>
      <c r="KEH12" s="28"/>
      <c r="KEI12" s="11"/>
      <c r="KEJ12" s="28"/>
      <c r="KEK12" s="11"/>
      <c r="KEL12" s="28"/>
      <c r="KEM12" s="11"/>
      <c r="KEN12" s="28"/>
      <c r="KEO12" s="11"/>
      <c r="KEP12" s="28"/>
      <c r="KEQ12" s="11"/>
      <c r="KER12" s="28"/>
      <c r="KES12" s="11"/>
      <c r="KET12" s="28"/>
      <c r="KEU12" s="11"/>
      <c r="KEV12" s="28"/>
      <c r="KEW12" s="11"/>
      <c r="KEX12" s="28"/>
      <c r="KEY12" s="11"/>
      <c r="KEZ12" s="28"/>
      <c r="KFA12" s="11"/>
      <c r="KFB12" s="28"/>
      <c r="KFC12" s="11"/>
      <c r="KFD12" s="28"/>
      <c r="KFE12" s="11"/>
      <c r="KFF12" s="28"/>
      <c r="KFG12" s="11"/>
      <c r="KFH12" s="28"/>
      <c r="KFI12" s="11"/>
      <c r="KFJ12" s="28"/>
      <c r="KFK12" s="11"/>
      <c r="KFL12" s="28"/>
      <c r="KFM12" s="11"/>
      <c r="KFN12" s="28"/>
      <c r="KFO12" s="11"/>
      <c r="KFP12" s="28"/>
      <c r="KFQ12" s="11"/>
      <c r="KFR12" s="28"/>
      <c r="KFS12" s="11"/>
      <c r="KFT12" s="28"/>
      <c r="KFU12" s="11"/>
      <c r="KFV12" s="28"/>
      <c r="KFW12" s="11"/>
      <c r="KFX12" s="28"/>
      <c r="KFY12" s="11"/>
      <c r="KFZ12" s="28"/>
      <c r="KGA12" s="11"/>
      <c r="KGB12" s="28"/>
      <c r="KGC12" s="11"/>
      <c r="KGD12" s="28"/>
      <c r="KGE12" s="11"/>
      <c r="KGF12" s="28"/>
      <c r="KGG12" s="11"/>
      <c r="KGH12" s="28"/>
      <c r="KGI12" s="11"/>
      <c r="KGJ12" s="28"/>
      <c r="KGK12" s="11"/>
      <c r="KGL12" s="28"/>
      <c r="KGM12" s="11"/>
      <c r="KGN12" s="28"/>
      <c r="KGO12" s="11"/>
      <c r="KGP12" s="28"/>
      <c r="KGQ12" s="11"/>
      <c r="KGR12" s="28"/>
      <c r="KGS12" s="11"/>
      <c r="KGT12" s="28"/>
      <c r="KGU12" s="11"/>
      <c r="KGV12" s="28"/>
      <c r="KGW12" s="11"/>
      <c r="KGX12" s="28"/>
      <c r="KGY12" s="11"/>
      <c r="KGZ12" s="28"/>
      <c r="KHA12" s="11"/>
      <c r="KHB12" s="28"/>
      <c r="KHC12" s="11"/>
      <c r="KHD12" s="28"/>
      <c r="KHE12" s="11"/>
      <c r="KHF12" s="28"/>
      <c r="KHG12" s="11"/>
      <c r="KHH12" s="28"/>
      <c r="KHI12" s="11"/>
      <c r="KHJ12" s="28"/>
      <c r="KHK12" s="11"/>
      <c r="KHL12" s="28"/>
      <c r="KHM12" s="11"/>
      <c r="KHN12" s="28"/>
      <c r="KHO12" s="11"/>
      <c r="KHP12" s="28"/>
      <c r="KHQ12" s="11"/>
      <c r="KHR12" s="28"/>
      <c r="KHS12" s="11"/>
      <c r="KHT12" s="28"/>
      <c r="KHU12" s="11"/>
      <c r="KHV12" s="28"/>
      <c r="KHW12" s="11"/>
      <c r="KHX12" s="28"/>
      <c r="KHY12" s="11"/>
      <c r="KHZ12" s="28"/>
      <c r="KIA12" s="11"/>
      <c r="KIB12" s="28"/>
      <c r="KIC12" s="11"/>
      <c r="KID12" s="28"/>
      <c r="KIE12" s="11"/>
      <c r="KIF12" s="28"/>
      <c r="KIG12" s="11"/>
      <c r="KIH12" s="28"/>
      <c r="KII12" s="11"/>
      <c r="KIJ12" s="28"/>
      <c r="KIK12" s="11"/>
      <c r="KIL12" s="28"/>
      <c r="KIM12" s="11"/>
      <c r="KIN12" s="28"/>
      <c r="KIO12" s="11"/>
      <c r="KIP12" s="28"/>
      <c r="KIQ12" s="11"/>
      <c r="KIR12" s="28"/>
      <c r="KIS12" s="11"/>
      <c r="KIT12" s="28"/>
      <c r="KIU12" s="11"/>
      <c r="KIV12" s="28"/>
      <c r="KIW12" s="11"/>
      <c r="KIX12" s="28"/>
      <c r="KIY12" s="11"/>
      <c r="KIZ12" s="28"/>
      <c r="KJA12" s="11"/>
      <c r="KJB12" s="28"/>
      <c r="KJC12" s="11"/>
      <c r="KJD12" s="28"/>
      <c r="KJE12" s="11"/>
      <c r="KJF12" s="28"/>
      <c r="KJG12" s="11"/>
      <c r="KJH12" s="28"/>
      <c r="KJI12" s="11"/>
      <c r="KJJ12" s="28"/>
      <c r="KJK12" s="11"/>
      <c r="KJL12" s="28"/>
      <c r="KJM12" s="11"/>
      <c r="KJN12" s="28"/>
      <c r="KJO12" s="11"/>
      <c r="KJP12" s="28"/>
      <c r="KJQ12" s="11"/>
      <c r="KJR12" s="28"/>
      <c r="KJS12" s="11"/>
      <c r="KJT12" s="28"/>
      <c r="KJU12" s="11"/>
      <c r="KJV12" s="28"/>
      <c r="KJW12" s="11"/>
      <c r="KJX12" s="28"/>
      <c r="KJY12" s="11"/>
      <c r="KJZ12" s="28"/>
      <c r="KKA12" s="11"/>
      <c r="KKB12" s="28"/>
      <c r="KKC12" s="11"/>
      <c r="KKD12" s="28"/>
      <c r="KKE12" s="11"/>
      <c r="KKF12" s="28"/>
      <c r="KKG12" s="11"/>
      <c r="KKH12" s="28"/>
      <c r="KKI12" s="11"/>
      <c r="KKJ12" s="28"/>
      <c r="KKK12" s="11"/>
      <c r="KKL12" s="28"/>
      <c r="KKM12" s="11"/>
      <c r="KKN12" s="28"/>
      <c r="KKO12" s="11"/>
      <c r="KKP12" s="28"/>
      <c r="KKQ12" s="11"/>
      <c r="KKR12" s="28"/>
      <c r="KKS12" s="11"/>
      <c r="KKT12" s="28"/>
      <c r="KKU12" s="11"/>
      <c r="KKV12" s="28"/>
      <c r="KKW12" s="11"/>
      <c r="KKX12" s="28"/>
      <c r="KKY12" s="11"/>
      <c r="KKZ12" s="28"/>
      <c r="KLA12" s="11"/>
      <c r="KLB12" s="28"/>
      <c r="KLC12" s="11"/>
      <c r="KLD12" s="28"/>
      <c r="KLE12" s="11"/>
      <c r="KLF12" s="28"/>
      <c r="KLG12" s="11"/>
      <c r="KLH12" s="28"/>
      <c r="KLI12" s="11"/>
      <c r="KLJ12" s="28"/>
      <c r="KLK12" s="11"/>
      <c r="KLL12" s="28"/>
      <c r="KLM12" s="11"/>
      <c r="KLN12" s="28"/>
      <c r="KLO12" s="11"/>
      <c r="KLP12" s="28"/>
      <c r="KLQ12" s="11"/>
      <c r="KLR12" s="28"/>
      <c r="KLS12" s="11"/>
      <c r="KLT12" s="28"/>
      <c r="KLU12" s="11"/>
      <c r="KLV12" s="28"/>
      <c r="KLW12" s="11"/>
      <c r="KLX12" s="28"/>
      <c r="KLY12" s="11"/>
      <c r="KLZ12" s="28"/>
      <c r="KMA12" s="11"/>
      <c r="KMB12" s="28"/>
      <c r="KMC12" s="11"/>
      <c r="KMD12" s="28"/>
      <c r="KME12" s="11"/>
      <c r="KMF12" s="28"/>
      <c r="KMG12" s="11"/>
      <c r="KMH12" s="28"/>
      <c r="KMI12" s="11"/>
      <c r="KMJ12" s="28"/>
      <c r="KMK12" s="11"/>
      <c r="KML12" s="28"/>
      <c r="KMM12" s="11"/>
      <c r="KMN12" s="28"/>
      <c r="KMO12" s="11"/>
      <c r="KMP12" s="28"/>
      <c r="KMQ12" s="11"/>
      <c r="KMR12" s="28"/>
      <c r="KMS12" s="11"/>
      <c r="KMT12" s="28"/>
      <c r="KMU12" s="11"/>
      <c r="KMV12" s="28"/>
      <c r="KMW12" s="11"/>
      <c r="KMX12" s="28"/>
      <c r="KMY12" s="11"/>
      <c r="KMZ12" s="28"/>
      <c r="KNA12" s="11"/>
      <c r="KNB12" s="28"/>
      <c r="KNC12" s="11"/>
      <c r="KND12" s="28"/>
      <c r="KNE12" s="11"/>
      <c r="KNF12" s="28"/>
      <c r="KNG12" s="11"/>
      <c r="KNH12" s="28"/>
      <c r="KNI12" s="11"/>
      <c r="KNJ12" s="28"/>
      <c r="KNK12" s="11"/>
      <c r="KNL12" s="28"/>
      <c r="KNM12" s="11"/>
      <c r="KNN12" s="28"/>
      <c r="KNO12" s="11"/>
      <c r="KNP12" s="28"/>
      <c r="KNQ12" s="11"/>
      <c r="KNR12" s="28"/>
      <c r="KNS12" s="11"/>
      <c r="KNT12" s="28"/>
      <c r="KNU12" s="11"/>
      <c r="KNV12" s="28"/>
      <c r="KNW12" s="11"/>
      <c r="KNX12" s="28"/>
      <c r="KNY12" s="11"/>
      <c r="KNZ12" s="28"/>
      <c r="KOA12" s="11"/>
      <c r="KOB12" s="28"/>
      <c r="KOC12" s="11"/>
      <c r="KOD12" s="28"/>
      <c r="KOE12" s="11"/>
      <c r="KOF12" s="28"/>
      <c r="KOG12" s="11"/>
      <c r="KOH12" s="28"/>
      <c r="KOI12" s="11"/>
      <c r="KOJ12" s="28"/>
      <c r="KOK12" s="11"/>
      <c r="KOL12" s="28"/>
      <c r="KOM12" s="11"/>
      <c r="KON12" s="28"/>
      <c r="KOO12" s="11"/>
      <c r="KOP12" s="28"/>
      <c r="KOQ12" s="11"/>
      <c r="KOR12" s="28"/>
      <c r="KOS12" s="11"/>
      <c r="KOT12" s="28"/>
      <c r="KOU12" s="11"/>
      <c r="KOV12" s="28"/>
      <c r="KOW12" s="11"/>
      <c r="KOX12" s="28"/>
      <c r="KOY12" s="11"/>
      <c r="KOZ12" s="28"/>
      <c r="KPA12" s="11"/>
      <c r="KPB12" s="28"/>
      <c r="KPC12" s="11"/>
      <c r="KPD12" s="28"/>
      <c r="KPE12" s="11"/>
      <c r="KPF12" s="28"/>
      <c r="KPG12" s="11"/>
      <c r="KPH12" s="28"/>
      <c r="KPI12" s="11"/>
      <c r="KPJ12" s="28"/>
      <c r="KPK12" s="11"/>
      <c r="KPL12" s="28"/>
      <c r="KPM12" s="11"/>
      <c r="KPN12" s="28"/>
      <c r="KPO12" s="11"/>
      <c r="KPP12" s="28"/>
      <c r="KPQ12" s="11"/>
      <c r="KPR12" s="28"/>
      <c r="KPS12" s="11"/>
      <c r="KPT12" s="28"/>
      <c r="KPU12" s="11"/>
      <c r="KPV12" s="28"/>
      <c r="KPW12" s="11"/>
      <c r="KPX12" s="28"/>
      <c r="KPY12" s="11"/>
      <c r="KPZ12" s="28"/>
      <c r="KQA12" s="11"/>
      <c r="KQB12" s="28"/>
      <c r="KQC12" s="11"/>
      <c r="KQD12" s="28"/>
      <c r="KQE12" s="11"/>
      <c r="KQF12" s="28"/>
      <c r="KQG12" s="11"/>
      <c r="KQH12" s="28"/>
      <c r="KQI12" s="11"/>
      <c r="KQJ12" s="28"/>
      <c r="KQK12" s="11"/>
      <c r="KQL12" s="28"/>
      <c r="KQM12" s="11"/>
      <c r="KQN12" s="28"/>
      <c r="KQO12" s="11"/>
      <c r="KQP12" s="28"/>
      <c r="KQQ12" s="11"/>
      <c r="KQR12" s="28"/>
      <c r="KQS12" s="11"/>
      <c r="KQT12" s="28"/>
      <c r="KQU12" s="11"/>
      <c r="KQV12" s="28"/>
      <c r="KQW12" s="11"/>
      <c r="KQX12" s="28"/>
      <c r="KQY12" s="11"/>
      <c r="KQZ12" s="28"/>
      <c r="KRA12" s="11"/>
      <c r="KRB12" s="28"/>
      <c r="KRC12" s="11"/>
      <c r="KRD12" s="28"/>
      <c r="KRE12" s="11"/>
      <c r="KRF12" s="28"/>
      <c r="KRG12" s="11"/>
      <c r="KRH12" s="28"/>
      <c r="KRI12" s="11"/>
      <c r="KRJ12" s="28"/>
      <c r="KRK12" s="11"/>
      <c r="KRL12" s="28"/>
      <c r="KRM12" s="11"/>
      <c r="KRN12" s="28"/>
      <c r="KRO12" s="11"/>
      <c r="KRP12" s="28"/>
      <c r="KRQ12" s="11"/>
      <c r="KRR12" s="28"/>
      <c r="KRS12" s="11"/>
      <c r="KRT12" s="28"/>
      <c r="KRU12" s="11"/>
      <c r="KRV12" s="28"/>
      <c r="KRW12" s="11"/>
      <c r="KRX12" s="28"/>
      <c r="KRY12" s="11"/>
      <c r="KRZ12" s="28"/>
      <c r="KSA12" s="11"/>
      <c r="KSB12" s="28"/>
      <c r="KSC12" s="11"/>
      <c r="KSD12" s="28"/>
      <c r="KSE12" s="11"/>
      <c r="KSF12" s="28"/>
      <c r="KSG12" s="11"/>
      <c r="KSH12" s="28"/>
      <c r="KSI12" s="11"/>
      <c r="KSJ12" s="28"/>
      <c r="KSK12" s="11"/>
      <c r="KSL12" s="28"/>
      <c r="KSM12" s="11"/>
      <c r="KSN12" s="28"/>
      <c r="KSO12" s="11"/>
      <c r="KSP12" s="28"/>
      <c r="KSQ12" s="11"/>
      <c r="KSR12" s="28"/>
      <c r="KSS12" s="11"/>
      <c r="KST12" s="28"/>
      <c r="KSU12" s="11"/>
      <c r="KSV12" s="28"/>
      <c r="KSW12" s="11"/>
      <c r="KSX12" s="28"/>
      <c r="KSY12" s="11"/>
      <c r="KSZ12" s="28"/>
      <c r="KTA12" s="11"/>
      <c r="KTB12" s="28"/>
      <c r="KTC12" s="11"/>
      <c r="KTD12" s="28"/>
      <c r="KTE12" s="11"/>
      <c r="KTF12" s="28"/>
      <c r="KTG12" s="11"/>
      <c r="KTH12" s="28"/>
      <c r="KTI12" s="11"/>
      <c r="KTJ12" s="28"/>
      <c r="KTK12" s="11"/>
      <c r="KTL12" s="28"/>
      <c r="KTM12" s="11"/>
      <c r="KTN12" s="28"/>
      <c r="KTO12" s="11"/>
      <c r="KTP12" s="28"/>
      <c r="KTQ12" s="11"/>
      <c r="KTR12" s="28"/>
      <c r="KTS12" s="11"/>
      <c r="KTT12" s="28"/>
      <c r="KTU12" s="11"/>
      <c r="KTV12" s="28"/>
      <c r="KTW12" s="11"/>
      <c r="KTX12" s="28"/>
      <c r="KTY12" s="11"/>
      <c r="KTZ12" s="28"/>
      <c r="KUA12" s="11"/>
      <c r="KUB12" s="28"/>
      <c r="KUC12" s="11"/>
      <c r="KUD12" s="28"/>
      <c r="KUE12" s="11"/>
      <c r="KUF12" s="28"/>
      <c r="KUG12" s="11"/>
      <c r="KUH12" s="28"/>
      <c r="KUI12" s="11"/>
      <c r="KUJ12" s="28"/>
      <c r="KUK12" s="11"/>
      <c r="KUL12" s="28"/>
      <c r="KUM12" s="11"/>
      <c r="KUN12" s="28"/>
      <c r="KUO12" s="11"/>
      <c r="KUP12" s="28"/>
      <c r="KUQ12" s="11"/>
      <c r="KUR12" s="28"/>
      <c r="KUS12" s="11"/>
      <c r="KUT12" s="28"/>
      <c r="KUU12" s="11"/>
      <c r="KUV12" s="28"/>
      <c r="KUW12" s="11"/>
      <c r="KUX12" s="28"/>
      <c r="KUY12" s="11"/>
      <c r="KUZ12" s="28"/>
      <c r="KVA12" s="11"/>
      <c r="KVB12" s="28"/>
      <c r="KVC12" s="11"/>
      <c r="KVD12" s="28"/>
      <c r="KVE12" s="11"/>
      <c r="KVF12" s="28"/>
      <c r="KVG12" s="11"/>
      <c r="KVH12" s="28"/>
      <c r="KVI12" s="11"/>
      <c r="KVJ12" s="28"/>
      <c r="KVK12" s="11"/>
      <c r="KVL12" s="28"/>
      <c r="KVM12" s="11"/>
      <c r="KVN12" s="28"/>
      <c r="KVO12" s="11"/>
      <c r="KVP12" s="28"/>
      <c r="KVQ12" s="11"/>
      <c r="KVR12" s="28"/>
      <c r="KVS12" s="11"/>
      <c r="KVT12" s="28"/>
      <c r="KVU12" s="11"/>
      <c r="KVV12" s="28"/>
      <c r="KVW12" s="11"/>
      <c r="KVX12" s="28"/>
      <c r="KVY12" s="11"/>
      <c r="KVZ12" s="28"/>
      <c r="KWA12" s="11"/>
      <c r="KWB12" s="28"/>
      <c r="KWC12" s="11"/>
      <c r="KWD12" s="28"/>
      <c r="KWE12" s="11"/>
      <c r="KWF12" s="28"/>
      <c r="KWG12" s="11"/>
      <c r="KWH12" s="28"/>
      <c r="KWI12" s="11"/>
      <c r="KWJ12" s="28"/>
      <c r="KWK12" s="11"/>
      <c r="KWL12" s="28"/>
      <c r="KWM12" s="11"/>
      <c r="KWN12" s="28"/>
      <c r="KWO12" s="11"/>
      <c r="KWP12" s="28"/>
      <c r="KWQ12" s="11"/>
      <c r="KWR12" s="28"/>
      <c r="KWS12" s="11"/>
      <c r="KWT12" s="28"/>
      <c r="KWU12" s="11"/>
      <c r="KWV12" s="28"/>
      <c r="KWW12" s="11"/>
      <c r="KWX12" s="28"/>
      <c r="KWY12" s="11"/>
      <c r="KWZ12" s="28"/>
      <c r="KXA12" s="11"/>
      <c r="KXB12" s="28"/>
      <c r="KXC12" s="11"/>
      <c r="KXD12" s="28"/>
      <c r="KXE12" s="11"/>
      <c r="KXF12" s="28"/>
      <c r="KXG12" s="11"/>
      <c r="KXH12" s="28"/>
      <c r="KXI12" s="11"/>
      <c r="KXJ12" s="28"/>
      <c r="KXK12" s="11"/>
      <c r="KXL12" s="28"/>
      <c r="KXM12" s="11"/>
      <c r="KXN12" s="28"/>
      <c r="KXO12" s="11"/>
      <c r="KXP12" s="28"/>
      <c r="KXQ12" s="11"/>
      <c r="KXR12" s="28"/>
      <c r="KXS12" s="11"/>
      <c r="KXT12" s="28"/>
      <c r="KXU12" s="11"/>
      <c r="KXV12" s="28"/>
      <c r="KXW12" s="11"/>
      <c r="KXX12" s="28"/>
      <c r="KXY12" s="11"/>
      <c r="KXZ12" s="28"/>
      <c r="KYA12" s="11"/>
      <c r="KYB12" s="28"/>
      <c r="KYC12" s="11"/>
      <c r="KYD12" s="28"/>
      <c r="KYE12" s="11"/>
      <c r="KYF12" s="28"/>
      <c r="KYG12" s="11"/>
      <c r="KYH12" s="28"/>
      <c r="KYI12" s="11"/>
      <c r="KYJ12" s="28"/>
      <c r="KYK12" s="11"/>
      <c r="KYL12" s="28"/>
      <c r="KYM12" s="11"/>
      <c r="KYN12" s="28"/>
      <c r="KYO12" s="11"/>
      <c r="KYP12" s="28"/>
      <c r="KYQ12" s="11"/>
      <c r="KYR12" s="28"/>
      <c r="KYS12" s="11"/>
      <c r="KYT12" s="28"/>
      <c r="KYU12" s="11"/>
      <c r="KYV12" s="28"/>
      <c r="KYW12" s="11"/>
      <c r="KYX12" s="28"/>
      <c r="KYY12" s="11"/>
      <c r="KYZ12" s="28"/>
      <c r="KZA12" s="11"/>
      <c r="KZB12" s="28"/>
      <c r="KZC12" s="11"/>
      <c r="KZD12" s="28"/>
      <c r="KZE12" s="11"/>
      <c r="KZF12" s="28"/>
      <c r="KZG12" s="11"/>
      <c r="KZH12" s="28"/>
      <c r="KZI12" s="11"/>
      <c r="KZJ12" s="28"/>
      <c r="KZK12" s="11"/>
      <c r="KZL12" s="28"/>
      <c r="KZM12" s="11"/>
      <c r="KZN12" s="28"/>
      <c r="KZO12" s="11"/>
      <c r="KZP12" s="28"/>
      <c r="KZQ12" s="11"/>
      <c r="KZR12" s="28"/>
      <c r="KZS12" s="11"/>
      <c r="KZT12" s="28"/>
      <c r="KZU12" s="11"/>
      <c r="KZV12" s="28"/>
      <c r="KZW12" s="11"/>
      <c r="KZX12" s="28"/>
      <c r="KZY12" s="11"/>
      <c r="KZZ12" s="28"/>
      <c r="LAA12" s="11"/>
      <c r="LAB12" s="28"/>
      <c r="LAC12" s="11"/>
      <c r="LAD12" s="28"/>
      <c r="LAE12" s="11"/>
      <c r="LAF12" s="28"/>
      <c r="LAG12" s="11"/>
      <c r="LAH12" s="28"/>
      <c r="LAI12" s="11"/>
      <c r="LAJ12" s="28"/>
      <c r="LAK12" s="11"/>
      <c r="LAL12" s="28"/>
      <c r="LAM12" s="11"/>
      <c r="LAN12" s="28"/>
      <c r="LAO12" s="11"/>
      <c r="LAP12" s="28"/>
      <c r="LAQ12" s="11"/>
      <c r="LAR12" s="28"/>
      <c r="LAS12" s="11"/>
      <c r="LAT12" s="28"/>
      <c r="LAU12" s="11"/>
      <c r="LAV12" s="28"/>
      <c r="LAW12" s="11"/>
      <c r="LAX12" s="28"/>
      <c r="LAY12" s="11"/>
      <c r="LAZ12" s="28"/>
      <c r="LBA12" s="11"/>
      <c r="LBB12" s="28"/>
      <c r="LBC12" s="11"/>
      <c r="LBD12" s="28"/>
      <c r="LBE12" s="11"/>
      <c r="LBF12" s="28"/>
      <c r="LBG12" s="11"/>
      <c r="LBH12" s="28"/>
      <c r="LBI12" s="11"/>
      <c r="LBJ12" s="28"/>
      <c r="LBK12" s="11"/>
      <c r="LBL12" s="28"/>
      <c r="LBM12" s="11"/>
      <c r="LBN12" s="28"/>
      <c r="LBO12" s="11"/>
      <c r="LBP12" s="28"/>
      <c r="LBQ12" s="11"/>
      <c r="LBR12" s="28"/>
      <c r="LBS12" s="11"/>
      <c r="LBT12" s="28"/>
      <c r="LBU12" s="11"/>
      <c r="LBV12" s="28"/>
      <c r="LBW12" s="11"/>
      <c r="LBX12" s="28"/>
      <c r="LBY12" s="11"/>
      <c r="LBZ12" s="28"/>
      <c r="LCA12" s="11"/>
      <c r="LCB12" s="28"/>
      <c r="LCC12" s="11"/>
      <c r="LCD12" s="28"/>
      <c r="LCE12" s="11"/>
      <c r="LCF12" s="28"/>
      <c r="LCG12" s="11"/>
      <c r="LCH12" s="28"/>
      <c r="LCI12" s="11"/>
      <c r="LCJ12" s="28"/>
      <c r="LCK12" s="11"/>
      <c r="LCL12" s="28"/>
      <c r="LCM12" s="11"/>
      <c r="LCN12" s="28"/>
      <c r="LCO12" s="11"/>
      <c r="LCP12" s="28"/>
      <c r="LCQ12" s="11"/>
      <c r="LCR12" s="28"/>
      <c r="LCS12" s="11"/>
      <c r="LCT12" s="28"/>
      <c r="LCU12" s="11"/>
      <c r="LCV12" s="28"/>
      <c r="LCW12" s="11"/>
      <c r="LCX12" s="28"/>
      <c r="LCY12" s="11"/>
      <c r="LCZ12" s="28"/>
      <c r="LDA12" s="11"/>
      <c r="LDB12" s="28"/>
      <c r="LDC12" s="11"/>
      <c r="LDD12" s="28"/>
      <c r="LDE12" s="11"/>
      <c r="LDF12" s="28"/>
      <c r="LDG12" s="11"/>
      <c r="LDH12" s="28"/>
      <c r="LDI12" s="11"/>
      <c r="LDJ12" s="28"/>
      <c r="LDK12" s="11"/>
      <c r="LDL12" s="28"/>
      <c r="LDM12" s="11"/>
      <c r="LDN12" s="28"/>
      <c r="LDO12" s="11"/>
      <c r="LDP12" s="28"/>
      <c r="LDQ12" s="11"/>
      <c r="LDR12" s="28"/>
      <c r="LDS12" s="11"/>
      <c r="LDT12" s="28"/>
      <c r="LDU12" s="11"/>
      <c r="LDV12" s="28"/>
      <c r="LDW12" s="11"/>
      <c r="LDX12" s="28"/>
      <c r="LDY12" s="11"/>
      <c r="LDZ12" s="28"/>
      <c r="LEA12" s="11"/>
      <c r="LEB12" s="28"/>
      <c r="LEC12" s="11"/>
      <c r="LED12" s="28"/>
      <c r="LEE12" s="11"/>
      <c r="LEF12" s="28"/>
      <c r="LEG12" s="11"/>
      <c r="LEH12" s="28"/>
      <c r="LEI12" s="11"/>
      <c r="LEJ12" s="28"/>
      <c r="LEK12" s="11"/>
      <c r="LEL12" s="28"/>
      <c r="LEM12" s="11"/>
      <c r="LEN12" s="28"/>
      <c r="LEO12" s="11"/>
      <c r="LEP12" s="28"/>
      <c r="LEQ12" s="11"/>
      <c r="LER12" s="28"/>
      <c r="LES12" s="11"/>
      <c r="LET12" s="28"/>
      <c r="LEU12" s="11"/>
      <c r="LEV12" s="28"/>
      <c r="LEW12" s="11"/>
      <c r="LEX12" s="28"/>
      <c r="LEY12" s="11"/>
      <c r="LEZ12" s="28"/>
      <c r="LFA12" s="11"/>
      <c r="LFB12" s="28"/>
      <c r="LFC12" s="11"/>
      <c r="LFD12" s="28"/>
      <c r="LFE12" s="11"/>
      <c r="LFF12" s="28"/>
      <c r="LFG12" s="11"/>
      <c r="LFH12" s="28"/>
      <c r="LFI12" s="11"/>
      <c r="LFJ12" s="28"/>
      <c r="LFK12" s="11"/>
      <c r="LFL12" s="28"/>
      <c r="LFM12" s="11"/>
      <c r="LFN12" s="28"/>
      <c r="LFO12" s="11"/>
      <c r="LFP12" s="28"/>
      <c r="LFQ12" s="11"/>
      <c r="LFR12" s="28"/>
      <c r="LFS12" s="11"/>
      <c r="LFT12" s="28"/>
      <c r="LFU12" s="11"/>
      <c r="LFV12" s="28"/>
      <c r="LFW12" s="11"/>
      <c r="LFX12" s="28"/>
      <c r="LFY12" s="11"/>
      <c r="LFZ12" s="28"/>
      <c r="LGA12" s="11"/>
      <c r="LGB12" s="28"/>
      <c r="LGC12" s="11"/>
      <c r="LGD12" s="28"/>
      <c r="LGE12" s="11"/>
      <c r="LGF12" s="28"/>
      <c r="LGG12" s="11"/>
      <c r="LGH12" s="28"/>
      <c r="LGI12" s="11"/>
      <c r="LGJ12" s="28"/>
      <c r="LGK12" s="11"/>
      <c r="LGL12" s="28"/>
      <c r="LGM12" s="11"/>
      <c r="LGN12" s="28"/>
      <c r="LGO12" s="11"/>
      <c r="LGP12" s="28"/>
      <c r="LGQ12" s="11"/>
      <c r="LGR12" s="28"/>
      <c r="LGS12" s="11"/>
      <c r="LGT12" s="28"/>
      <c r="LGU12" s="11"/>
      <c r="LGV12" s="28"/>
      <c r="LGW12" s="11"/>
      <c r="LGX12" s="28"/>
      <c r="LGY12" s="11"/>
      <c r="LGZ12" s="28"/>
      <c r="LHA12" s="11"/>
      <c r="LHB12" s="28"/>
      <c r="LHC12" s="11"/>
      <c r="LHD12" s="28"/>
      <c r="LHE12" s="11"/>
      <c r="LHF12" s="28"/>
      <c r="LHG12" s="11"/>
      <c r="LHH12" s="28"/>
      <c r="LHI12" s="11"/>
      <c r="LHJ12" s="28"/>
      <c r="LHK12" s="11"/>
      <c r="LHL12" s="28"/>
      <c r="LHM12" s="11"/>
      <c r="LHN12" s="28"/>
      <c r="LHO12" s="11"/>
      <c r="LHP12" s="28"/>
      <c r="LHQ12" s="11"/>
      <c r="LHR12" s="28"/>
      <c r="LHS12" s="11"/>
      <c r="LHT12" s="28"/>
      <c r="LHU12" s="11"/>
      <c r="LHV12" s="28"/>
      <c r="LHW12" s="11"/>
      <c r="LHX12" s="28"/>
      <c r="LHY12" s="11"/>
      <c r="LHZ12" s="28"/>
      <c r="LIA12" s="11"/>
      <c r="LIB12" s="28"/>
      <c r="LIC12" s="11"/>
      <c r="LID12" s="28"/>
      <c r="LIE12" s="11"/>
      <c r="LIF12" s="28"/>
      <c r="LIG12" s="11"/>
      <c r="LIH12" s="28"/>
      <c r="LII12" s="11"/>
      <c r="LIJ12" s="28"/>
      <c r="LIK12" s="11"/>
      <c r="LIL12" s="28"/>
      <c r="LIM12" s="11"/>
      <c r="LIN12" s="28"/>
      <c r="LIO12" s="11"/>
      <c r="LIP12" s="28"/>
      <c r="LIQ12" s="11"/>
      <c r="LIR12" s="28"/>
      <c r="LIS12" s="11"/>
      <c r="LIT12" s="28"/>
      <c r="LIU12" s="11"/>
      <c r="LIV12" s="28"/>
      <c r="LIW12" s="11"/>
      <c r="LIX12" s="28"/>
      <c r="LIY12" s="11"/>
      <c r="LIZ12" s="28"/>
      <c r="LJA12" s="11"/>
      <c r="LJB12" s="28"/>
      <c r="LJC12" s="11"/>
      <c r="LJD12" s="28"/>
      <c r="LJE12" s="11"/>
      <c r="LJF12" s="28"/>
      <c r="LJG12" s="11"/>
      <c r="LJH12" s="28"/>
      <c r="LJI12" s="11"/>
      <c r="LJJ12" s="28"/>
      <c r="LJK12" s="11"/>
      <c r="LJL12" s="28"/>
      <c r="LJM12" s="11"/>
      <c r="LJN12" s="28"/>
      <c r="LJO12" s="11"/>
      <c r="LJP12" s="28"/>
      <c r="LJQ12" s="11"/>
      <c r="LJR12" s="28"/>
      <c r="LJS12" s="11"/>
      <c r="LJT12" s="28"/>
      <c r="LJU12" s="11"/>
      <c r="LJV12" s="28"/>
      <c r="LJW12" s="11"/>
      <c r="LJX12" s="28"/>
      <c r="LJY12" s="11"/>
      <c r="LJZ12" s="28"/>
      <c r="LKA12" s="11"/>
      <c r="LKB12" s="28"/>
      <c r="LKC12" s="11"/>
      <c r="LKD12" s="28"/>
      <c r="LKE12" s="11"/>
      <c r="LKF12" s="28"/>
      <c r="LKG12" s="11"/>
      <c r="LKH12" s="28"/>
      <c r="LKI12" s="11"/>
      <c r="LKJ12" s="28"/>
      <c r="LKK12" s="11"/>
      <c r="LKL12" s="28"/>
      <c r="LKM12" s="11"/>
      <c r="LKN12" s="28"/>
      <c r="LKO12" s="11"/>
      <c r="LKP12" s="28"/>
      <c r="LKQ12" s="11"/>
      <c r="LKR12" s="28"/>
      <c r="LKS12" s="11"/>
      <c r="LKT12" s="28"/>
      <c r="LKU12" s="11"/>
      <c r="LKV12" s="28"/>
      <c r="LKW12" s="11"/>
      <c r="LKX12" s="28"/>
      <c r="LKY12" s="11"/>
      <c r="LKZ12" s="28"/>
      <c r="LLA12" s="11"/>
      <c r="LLB12" s="28"/>
      <c r="LLC12" s="11"/>
      <c r="LLD12" s="28"/>
      <c r="LLE12" s="11"/>
      <c r="LLF12" s="28"/>
      <c r="LLG12" s="11"/>
      <c r="LLH12" s="28"/>
      <c r="LLI12" s="11"/>
      <c r="LLJ12" s="28"/>
      <c r="LLK12" s="11"/>
      <c r="LLL12" s="28"/>
      <c r="LLM12" s="11"/>
      <c r="LLN12" s="28"/>
      <c r="LLO12" s="11"/>
      <c r="LLP12" s="28"/>
      <c r="LLQ12" s="11"/>
      <c r="LLR12" s="28"/>
      <c r="LLS12" s="11"/>
      <c r="LLT12" s="28"/>
      <c r="LLU12" s="11"/>
      <c r="LLV12" s="28"/>
      <c r="LLW12" s="11"/>
      <c r="LLX12" s="28"/>
      <c r="LLY12" s="11"/>
      <c r="LLZ12" s="28"/>
      <c r="LMA12" s="11"/>
      <c r="LMB12" s="28"/>
      <c r="LMC12" s="11"/>
      <c r="LMD12" s="28"/>
      <c r="LME12" s="11"/>
      <c r="LMF12" s="28"/>
      <c r="LMG12" s="11"/>
      <c r="LMH12" s="28"/>
      <c r="LMI12" s="11"/>
      <c r="LMJ12" s="28"/>
      <c r="LMK12" s="11"/>
      <c r="LML12" s="28"/>
      <c r="LMM12" s="11"/>
      <c r="LMN12" s="28"/>
      <c r="LMO12" s="11"/>
      <c r="LMP12" s="28"/>
      <c r="LMQ12" s="11"/>
      <c r="LMR12" s="28"/>
      <c r="LMS12" s="11"/>
      <c r="LMT12" s="28"/>
      <c r="LMU12" s="11"/>
      <c r="LMV12" s="28"/>
      <c r="LMW12" s="11"/>
      <c r="LMX12" s="28"/>
      <c r="LMY12" s="11"/>
      <c r="LMZ12" s="28"/>
      <c r="LNA12" s="11"/>
      <c r="LNB12" s="28"/>
      <c r="LNC12" s="11"/>
      <c r="LND12" s="28"/>
      <c r="LNE12" s="11"/>
      <c r="LNF12" s="28"/>
      <c r="LNG12" s="11"/>
      <c r="LNH12" s="28"/>
      <c r="LNI12" s="11"/>
      <c r="LNJ12" s="28"/>
      <c r="LNK12" s="11"/>
      <c r="LNL12" s="28"/>
      <c r="LNM12" s="11"/>
      <c r="LNN12" s="28"/>
      <c r="LNO12" s="11"/>
      <c r="LNP12" s="28"/>
      <c r="LNQ12" s="11"/>
      <c r="LNR12" s="28"/>
      <c r="LNS12" s="11"/>
      <c r="LNT12" s="28"/>
      <c r="LNU12" s="11"/>
      <c r="LNV12" s="28"/>
      <c r="LNW12" s="11"/>
      <c r="LNX12" s="28"/>
      <c r="LNY12" s="11"/>
      <c r="LNZ12" s="28"/>
      <c r="LOA12" s="11"/>
      <c r="LOB12" s="28"/>
      <c r="LOC12" s="11"/>
      <c r="LOD12" s="28"/>
      <c r="LOE12" s="11"/>
      <c r="LOF12" s="28"/>
      <c r="LOG12" s="11"/>
      <c r="LOH12" s="28"/>
      <c r="LOI12" s="11"/>
      <c r="LOJ12" s="28"/>
      <c r="LOK12" s="11"/>
      <c r="LOL12" s="28"/>
      <c r="LOM12" s="11"/>
      <c r="LON12" s="28"/>
      <c r="LOO12" s="11"/>
      <c r="LOP12" s="28"/>
      <c r="LOQ12" s="11"/>
      <c r="LOR12" s="28"/>
      <c r="LOS12" s="11"/>
      <c r="LOT12" s="28"/>
      <c r="LOU12" s="11"/>
      <c r="LOV12" s="28"/>
      <c r="LOW12" s="11"/>
      <c r="LOX12" s="28"/>
      <c r="LOY12" s="11"/>
      <c r="LOZ12" s="28"/>
      <c r="LPA12" s="11"/>
      <c r="LPB12" s="28"/>
      <c r="LPC12" s="11"/>
      <c r="LPD12" s="28"/>
      <c r="LPE12" s="11"/>
      <c r="LPF12" s="28"/>
      <c r="LPG12" s="11"/>
      <c r="LPH12" s="28"/>
      <c r="LPI12" s="11"/>
      <c r="LPJ12" s="28"/>
      <c r="LPK12" s="11"/>
      <c r="LPL12" s="28"/>
      <c r="LPM12" s="11"/>
      <c r="LPN12" s="28"/>
      <c r="LPO12" s="11"/>
      <c r="LPP12" s="28"/>
      <c r="LPQ12" s="11"/>
      <c r="LPR12" s="28"/>
      <c r="LPS12" s="11"/>
      <c r="LPT12" s="28"/>
      <c r="LPU12" s="11"/>
      <c r="LPV12" s="28"/>
      <c r="LPW12" s="11"/>
      <c r="LPX12" s="28"/>
      <c r="LPY12" s="11"/>
      <c r="LPZ12" s="28"/>
      <c r="LQA12" s="11"/>
      <c r="LQB12" s="28"/>
      <c r="LQC12" s="11"/>
      <c r="LQD12" s="28"/>
      <c r="LQE12" s="11"/>
      <c r="LQF12" s="28"/>
      <c r="LQG12" s="11"/>
      <c r="LQH12" s="28"/>
      <c r="LQI12" s="11"/>
      <c r="LQJ12" s="28"/>
      <c r="LQK12" s="11"/>
      <c r="LQL12" s="28"/>
      <c r="LQM12" s="11"/>
      <c r="LQN12" s="28"/>
      <c r="LQO12" s="11"/>
      <c r="LQP12" s="28"/>
      <c r="LQQ12" s="11"/>
      <c r="LQR12" s="28"/>
      <c r="LQS12" s="11"/>
      <c r="LQT12" s="28"/>
      <c r="LQU12" s="11"/>
      <c r="LQV12" s="28"/>
      <c r="LQW12" s="11"/>
      <c r="LQX12" s="28"/>
      <c r="LQY12" s="11"/>
      <c r="LQZ12" s="28"/>
      <c r="LRA12" s="11"/>
      <c r="LRB12" s="28"/>
      <c r="LRC12" s="11"/>
      <c r="LRD12" s="28"/>
      <c r="LRE12" s="11"/>
      <c r="LRF12" s="28"/>
      <c r="LRG12" s="11"/>
      <c r="LRH12" s="28"/>
      <c r="LRI12" s="11"/>
      <c r="LRJ12" s="28"/>
      <c r="LRK12" s="11"/>
      <c r="LRL12" s="28"/>
      <c r="LRM12" s="11"/>
      <c r="LRN12" s="28"/>
      <c r="LRO12" s="11"/>
      <c r="LRP12" s="28"/>
      <c r="LRQ12" s="11"/>
      <c r="LRR12" s="28"/>
      <c r="LRS12" s="11"/>
      <c r="LRT12" s="28"/>
      <c r="LRU12" s="11"/>
      <c r="LRV12" s="28"/>
      <c r="LRW12" s="11"/>
      <c r="LRX12" s="28"/>
      <c r="LRY12" s="11"/>
      <c r="LRZ12" s="28"/>
      <c r="LSA12" s="11"/>
      <c r="LSB12" s="28"/>
      <c r="LSC12" s="11"/>
      <c r="LSD12" s="28"/>
      <c r="LSE12" s="11"/>
      <c r="LSF12" s="28"/>
      <c r="LSG12" s="11"/>
      <c r="LSH12" s="28"/>
      <c r="LSI12" s="11"/>
      <c r="LSJ12" s="28"/>
      <c r="LSK12" s="11"/>
      <c r="LSL12" s="28"/>
      <c r="LSM12" s="11"/>
      <c r="LSN12" s="28"/>
      <c r="LSO12" s="11"/>
      <c r="LSP12" s="28"/>
      <c r="LSQ12" s="11"/>
      <c r="LSR12" s="28"/>
      <c r="LSS12" s="11"/>
      <c r="LST12" s="28"/>
      <c r="LSU12" s="11"/>
      <c r="LSV12" s="28"/>
      <c r="LSW12" s="11"/>
      <c r="LSX12" s="28"/>
      <c r="LSY12" s="11"/>
      <c r="LSZ12" s="28"/>
      <c r="LTA12" s="11"/>
      <c r="LTB12" s="28"/>
      <c r="LTC12" s="11"/>
      <c r="LTD12" s="28"/>
      <c r="LTE12" s="11"/>
      <c r="LTF12" s="28"/>
      <c r="LTG12" s="11"/>
      <c r="LTH12" s="28"/>
      <c r="LTI12" s="11"/>
      <c r="LTJ12" s="28"/>
      <c r="LTK12" s="11"/>
      <c r="LTL12" s="28"/>
      <c r="LTM12" s="11"/>
      <c r="LTN12" s="28"/>
      <c r="LTO12" s="11"/>
      <c r="LTP12" s="28"/>
      <c r="LTQ12" s="11"/>
      <c r="LTR12" s="28"/>
      <c r="LTS12" s="11"/>
      <c r="LTT12" s="28"/>
      <c r="LTU12" s="11"/>
      <c r="LTV12" s="28"/>
      <c r="LTW12" s="11"/>
      <c r="LTX12" s="28"/>
      <c r="LTY12" s="11"/>
      <c r="LTZ12" s="28"/>
      <c r="LUA12" s="11"/>
      <c r="LUB12" s="28"/>
      <c r="LUC12" s="11"/>
      <c r="LUD12" s="28"/>
      <c r="LUE12" s="11"/>
      <c r="LUF12" s="28"/>
      <c r="LUG12" s="11"/>
      <c r="LUH12" s="28"/>
      <c r="LUI12" s="11"/>
      <c r="LUJ12" s="28"/>
      <c r="LUK12" s="11"/>
      <c r="LUL12" s="28"/>
      <c r="LUM12" s="11"/>
      <c r="LUN12" s="28"/>
      <c r="LUO12" s="11"/>
      <c r="LUP12" s="28"/>
      <c r="LUQ12" s="11"/>
      <c r="LUR12" s="28"/>
      <c r="LUS12" s="11"/>
      <c r="LUT12" s="28"/>
      <c r="LUU12" s="11"/>
      <c r="LUV12" s="28"/>
      <c r="LUW12" s="11"/>
      <c r="LUX12" s="28"/>
      <c r="LUY12" s="11"/>
      <c r="LUZ12" s="28"/>
      <c r="LVA12" s="11"/>
      <c r="LVB12" s="28"/>
      <c r="LVC12" s="11"/>
      <c r="LVD12" s="28"/>
      <c r="LVE12" s="11"/>
      <c r="LVF12" s="28"/>
      <c r="LVG12" s="11"/>
      <c r="LVH12" s="28"/>
      <c r="LVI12" s="11"/>
      <c r="LVJ12" s="28"/>
      <c r="LVK12" s="11"/>
      <c r="LVL12" s="28"/>
      <c r="LVM12" s="11"/>
      <c r="LVN12" s="28"/>
      <c r="LVO12" s="11"/>
      <c r="LVP12" s="28"/>
      <c r="LVQ12" s="11"/>
      <c r="LVR12" s="28"/>
      <c r="LVS12" s="11"/>
      <c r="LVT12" s="28"/>
      <c r="LVU12" s="11"/>
      <c r="LVV12" s="28"/>
      <c r="LVW12" s="11"/>
      <c r="LVX12" s="28"/>
      <c r="LVY12" s="11"/>
      <c r="LVZ12" s="28"/>
      <c r="LWA12" s="11"/>
      <c r="LWB12" s="28"/>
      <c r="LWC12" s="11"/>
      <c r="LWD12" s="28"/>
      <c r="LWE12" s="11"/>
      <c r="LWF12" s="28"/>
      <c r="LWG12" s="11"/>
      <c r="LWH12" s="28"/>
      <c r="LWI12" s="11"/>
      <c r="LWJ12" s="28"/>
      <c r="LWK12" s="11"/>
      <c r="LWL12" s="28"/>
      <c r="LWM12" s="11"/>
      <c r="LWN12" s="28"/>
      <c r="LWO12" s="11"/>
      <c r="LWP12" s="28"/>
      <c r="LWQ12" s="11"/>
      <c r="LWR12" s="28"/>
      <c r="LWS12" s="11"/>
      <c r="LWT12" s="28"/>
      <c r="LWU12" s="11"/>
      <c r="LWV12" s="28"/>
      <c r="LWW12" s="11"/>
      <c r="LWX12" s="28"/>
      <c r="LWY12" s="11"/>
      <c r="LWZ12" s="28"/>
      <c r="LXA12" s="11"/>
      <c r="LXB12" s="28"/>
      <c r="LXC12" s="11"/>
      <c r="LXD12" s="28"/>
      <c r="LXE12" s="11"/>
      <c r="LXF12" s="28"/>
      <c r="LXG12" s="11"/>
      <c r="LXH12" s="28"/>
      <c r="LXI12" s="11"/>
      <c r="LXJ12" s="28"/>
      <c r="LXK12" s="11"/>
      <c r="LXL12" s="28"/>
      <c r="LXM12" s="11"/>
      <c r="LXN12" s="28"/>
      <c r="LXO12" s="11"/>
      <c r="LXP12" s="28"/>
      <c r="LXQ12" s="11"/>
      <c r="LXR12" s="28"/>
      <c r="LXS12" s="11"/>
      <c r="LXT12" s="28"/>
      <c r="LXU12" s="11"/>
      <c r="LXV12" s="28"/>
      <c r="LXW12" s="11"/>
      <c r="LXX12" s="28"/>
      <c r="LXY12" s="11"/>
      <c r="LXZ12" s="28"/>
      <c r="LYA12" s="11"/>
      <c r="LYB12" s="28"/>
      <c r="LYC12" s="11"/>
      <c r="LYD12" s="28"/>
      <c r="LYE12" s="11"/>
      <c r="LYF12" s="28"/>
      <c r="LYG12" s="11"/>
      <c r="LYH12" s="28"/>
      <c r="LYI12" s="11"/>
      <c r="LYJ12" s="28"/>
      <c r="LYK12" s="11"/>
      <c r="LYL12" s="28"/>
      <c r="LYM12" s="11"/>
      <c r="LYN12" s="28"/>
      <c r="LYO12" s="11"/>
      <c r="LYP12" s="28"/>
      <c r="LYQ12" s="11"/>
      <c r="LYR12" s="28"/>
      <c r="LYS12" s="11"/>
      <c r="LYT12" s="28"/>
      <c r="LYU12" s="11"/>
      <c r="LYV12" s="28"/>
      <c r="LYW12" s="11"/>
      <c r="LYX12" s="28"/>
      <c r="LYY12" s="11"/>
      <c r="LYZ12" s="28"/>
      <c r="LZA12" s="11"/>
      <c r="LZB12" s="28"/>
      <c r="LZC12" s="11"/>
      <c r="LZD12" s="28"/>
      <c r="LZE12" s="11"/>
      <c r="LZF12" s="28"/>
      <c r="LZG12" s="11"/>
      <c r="LZH12" s="28"/>
      <c r="LZI12" s="11"/>
      <c r="LZJ12" s="28"/>
      <c r="LZK12" s="11"/>
      <c r="LZL12" s="28"/>
      <c r="LZM12" s="11"/>
      <c r="LZN12" s="28"/>
      <c r="LZO12" s="11"/>
      <c r="LZP12" s="28"/>
      <c r="LZQ12" s="11"/>
      <c r="LZR12" s="28"/>
      <c r="LZS12" s="11"/>
      <c r="LZT12" s="28"/>
      <c r="LZU12" s="11"/>
      <c r="LZV12" s="28"/>
      <c r="LZW12" s="11"/>
      <c r="LZX12" s="28"/>
      <c r="LZY12" s="11"/>
      <c r="LZZ12" s="28"/>
      <c r="MAA12" s="11"/>
      <c r="MAB12" s="28"/>
      <c r="MAC12" s="11"/>
      <c r="MAD12" s="28"/>
      <c r="MAE12" s="11"/>
      <c r="MAF12" s="28"/>
      <c r="MAG12" s="11"/>
      <c r="MAH12" s="28"/>
      <c r="MAI12" s="11"/>
      <c r="MAJ12" s="28"/>
      <c r="MAK12" s="11"/>
      <c r="MAL12" s="28"/>
      <c r="MAM12" s="11"/>
      <c r="MAN12" s="28"/>
      <c r="MAO12" s="11"/>
      <c r="MAP12" s="28"/>
      <c r="MAQ12" s="11"/>
      <c r="MAR12" s="28"/>
      <c r="MAS12" s="11"/>
      <c r="MAT12" s="28"/>
      <c r="MAU12" s="11"/>
      <c r="MAV12" s="28"/>
      <c r="MAW12" s="11"/>
      <c r="MAX12" s="28"/>
      <c r="MAY12" s="11"/>
      <c r="MAZ12" s="28"/>
      <c r="MBA12" s="11"/>
      <c r="MBB12" s="28"/>
      <c r="MBC12" s="11"/>
      <c r="MBD12" s="28"/>
      <c r="MBE12" s="11"/>
      <c r="MBF12" s="28"/>
      <c r="MBG12" s="11"/>
      <c r="MBH12" s="28"/>
      <c r="MBI12" s="11"/>
      <c r="MBJ12" s="28"/>
      <c r="MBK12" s="11"/>
      <c r="MBL12" s="28"/>
      <c r="MBM12" s="11"/>
      <c r="MBN12" s="28"/>
      <c r="MBO12" s="11"/>
      <c r="MBP12" s="28"/>
      <c r="MBQ12" s="11"/>
      <c r="MBR12" s="28"/>
      <c r="MBS12" s="11"/>
      <c r="MBT12" s="28"/>
      <c r="MBU12" s="11"/>
      <c r="MBV12" s="28"/>
      <c r="MBW12" s="11"/>
      <c r="MBX12" s="28"/>
      <c r="MBY12" s="11"/>
      <c r="MBZ12" s="28"/>
      <c r="MCA12" s="11"/>
      <c r="MCB12" s="28"/>
      <c r="MCC12" s="11"/>
      <c r="MCD12" s="28"/>
      <c r="MCE12" s="11"/>
      <c r="MCF12" s="28"/>
      <c r="MCG12" s="11"/>
      <c r="MCH12" s="28"/>
      <c r="MCI12" s="11"/>
      <c r="MCJ12" s="28"/>
      <c r="MCK12" s="11"/>
      <c r="MCL12" s="28"/>
      <c r="MCM12" s="11"/>
      <c r="MCN12" s="28"/>
      <c r="MCO12" s="11"/>
      <c r="MCP12" s="28"/>
      <c r="MCQ12" s="11"/>
      <c r="MCR12" s="28"/>
      <c r="MCS12" s="11"/>
      <c r="MCT12" s="28"/>
      <c r="MCU12" s="11"/>
      <c r="MCV12" s="28"/>
      <c r="MCW12" s="11"/>
      <c r="MCX12" s="28"/>
      <c r="MCY12" s="11"/>
      <c r="MCZ12" s="28"/>
      <c r="MDA12" s="11"/>
      <c r="MDB12" s="28"/>
      <c r="MDC12" s="11"/>
      <c r="MDD12" s="28"/>
      <c r="MDE12" s="11"/>
      <c r="MDF12" s="28"/>
      <c r="MDG12" s="11"/>
      <c r="MDH12" s="28"/>
      <c r="MDI12" s="11"/>
      <c r="MDJ12" s="28"/>
      <c r="MDK12" s="11"/>
      <c r="MDL12" s="28"/>
      <c r="MDM12" s="11"/>
      <c r="MDN12" s="28"/>
      <c r="MDO12" s="11"/>
      <c r="MDP12" s="28"/>
      <c r="MDQ12" s="11"/>
      <c r="MDR12" s="28"/>
      <c r="MDS12" s="11"/>
      <c r="MDT12" s="28"/>
      <c r="MDU12" s="11"/>
      <c r="MDV12" s="28"/>
      <c r="MDW12" s="11"/>
      <c r="MDX12" s="28"/>
      <c r="MDY12" s="11"/>
      <c r="MDZ12" s="28"/>
      <c r="MEA12" s="11"/>
      <c r="MEB12" s="28"/>
      <c r="MEC12" s="11"/>
      <c r="MED12" s="28"/>
      <c r="MEE12" s="11"/>
      <c r="MEF12" s="28"/>
      <c r="MEG12" s="11"/>
      <c r="MEH12" s="28"/>
      <c r="MEI12" s="11"/>
      <c r="MEJ12" s="28"/>
      <c r="MEK12" s="11"/>
      <c r="MEL12" s="28"/>
      <c r="MEM12" s="11"/>
      <c r="MEN12" s="28"/>
      <c r="MEO12" s="11"/>
      <c r="MEP12" s="28"/>
      <c r="MEQ12" s="11"/>
      <c r="MER12" s="28"/>
      <c r="MES12" s="11"/>
      <c r="MET12" s="28"/>
      <c r="MEU12" s="11"/>
      <c r="MEV12" s="28"/>
      <c r="MEW12" s="11"/>
      <c r="MEX12" s="28"/>
      <c r="MEY12" s="11"/>
      <c r="MEZ12" s="28"/>
      <c r="MFA12" s="11"/>
      <c r="MFB12" s="28"/>
      <c r="MFC12" s="11"/>
      <c r="MFD12" s="28"/>
      <c r="MFE12" s="11"/>
      <c r="MFF12" s="28"/>
      <c r="MFG12" s="11"/>
      <c r="MFH12" s="28"/>
      <c r="MFI12" s="11"/>
      <c r="MFJ12" s="28"/>
      <c r="MFK12" s="11"/>
      <c r="MFL12" s="28"/>
      <c r="MFM12" s="11"/>
      <c r="MFN12" s="28"/>
      <c r="MFO12" s="11"/>
      <c r="MFP12" s="28"/>
      <c r="MFQ12" s="11"/>
      <c r="MFR12" s="28"/>
      <c r="MFS12" s="11"/>
      <c r="MFT12" s="28"/>
      <c r="MFU12" s="11"/>
      <c r="MFV12" s="28"/>
      <c r="MFW12" s="11"/>
      <c r="MFX12" s="28"/>
      <c r="MFY12" s="11"/>
      <c r="MFZ12" s="28"/>
      <c r="MGA12" s="11"/>
      <c r="MGB12" s="28"/>
      <c r="MGC12" s="11"/>
      <c r="MGD12" s="28"/>
      <c r="MGE12" s="11"/>
      <c r="MGF12" s="28"/>
      <c r="MGG12" s="11"/>
      <c r="MGH12" s="28"/>
      <c r="MGI12" s="11"/>
      <c r="MGJ12" s="28"/>
      <c r="MGK12" s="11"/>
      <c r="MGL12" s="28"/>
      <c r="MGM12" s="11"/>
      <c r="MGN12" s="28"/>
      <c r="MGO12" s="11"/>
      <c r="MGP12" s="28"/>
      <c r="MGQ12" s="11"/>
      <c r="MGR12" s="28"/>
      <c r="MGS12" s="11"/>
      <c r="MGT12" s="28"/>
      <c r="MGU12" s="11"/>
      <c r="MGV12" s="28"/>
      <c r="MGW12" s="11"/>
      <c r="MGX12" s="28"/>
      <c r="MGY12" s="11"/>
      <c r="MGZ12" s="28"/>
      <c r="MHA12" s="11"/>
      <c r="MHB12" s="28"/>
      <c r="MHC12" s="11"/>
      <c r="MHD12" s="28"/>
      <c r="MHE12" s="11"/>
      <c r="MHF12" s="28"/>
      <c r="MHG12" s="11"/>
      <c r="MHH12" s="28"/>
      <c r="MHI12" s="11"/>
      <c r="MHJ12" s="28"/>
      <c r="MHK12" s="11"/>
      <c r="MHL12" s="28"/>
      <c r="MHM12" s="11"/>
      <c r="MHN12" s="28"/>
      <c r="MHO12" s="11"/>
      <c r="MHP12" s="28"/>
      <c r="MHQ12" s="11"/>
      <c r="MHR12" s="28"/>
      <c r="MHS12" s="11"/>
      <c r="MHT12" s="28"/>
      <c r="MHU12" s="11"/>
      <c r="MHV12" s="28"/>
      <c r="MHW12" s="11"/>
      <c r="MHX12" s="28"/>
      <c r="MHY12" s="11"/>
      <c r="MHZ12" s="28"/>
      <c r="MIA12" s="11"/>
      <c r="MIB12" s="28"/>
      <c r="MIC12" s="11"/>
      <c r="MID12" s="28"/>
      <c r="MIE12" s="11"/>
      <c r="MIF12" s="28"/>
      <c r="MIG12" s="11"/>
      <c r="MIH12" s="28"/>
      <c r="MII12" s="11"/>
      <c r="MIJ12" s="28"/>
      <c r="MIK12" s="11"/>
      <c r="MIL12" s="28"/>
      <c r="MIM12" s="11"/>
      <c r="MIN12" s="28"/>
      <c r="MIO12" s="11"/>
      <c r="MIP12" s="28"/>
      <c r="MIQ12" s="11"/>
      <c r="MIR12" s="28"/>
      <c r="MIS12" s="11"/>
      <c r="MIT12" s="28"/>
      <c r="MIU12" s="11"/>
      <c r="MIV12" s="28"/>
      <c r="MIW12" s="11"/>
      <c r="MIX12" s="28"/>
      <c r="MIY12" s="11"/>
      <c r="MIZ12" s="28"/>
      <c r="MJA12" s="11"/>
      <c r="MJB12" s="28"/>
      <c r="MJC12" s="11"/>
      <c r="MJD12" s="28"/>
      <c r="MJE12" s="11"/>
      <c r="MJF12" s="28"/>
      <c r="MJG12" s="11"/>
      <c r="MJH12" s="28"/>
      <c r="MJI12" s="11"/>
      <c r="MJJ12" s="28"/>
      <c r="MJK12" s="11"/>
      <c r="MJL12" s="28"/>
      <c r="MJM12" s="11"/>
      <c r="MJN12" s="28"/>
      <c r="MJO12" s="11"/>
      <c r="MJP12" s="28"/>
      <c r="MJQ12" s="11"/>
      <c r="MJR12" s="28"/>
      <c r="MJS12" s="11"/>
      <c r="MJT12" s="28"/>
      <c r="MJU12" s="11"/>
      <c r="MJV12" s="28"/>
      <c r="MJW12" s="11"/>
      <c r="MJX12" s="28"/>
      <c r="MJY12" s="11"/>
      <c r="MJZ12" s="28"/>
      <c r="MKA12" s="11"/>
      <c r="MKB12" s="28"/>
      <c r="MKC12" s="11"/>
      <c r="MKD12" s="28"/>
      <c r="MKE12" s="11"/>
      <c r="MKF12" s="28"/>
      <c r="MKG12" s="11"/>
      <c r="MKH12" s="28"/>
      <c r="MKI12" s="11"/>
      <c r="MKJ12" s="28"/>
      <c r="MKK12" s="11"/>
      <c r="MKL12" s="28"/>
      <c r="MKM12" s="11"/>
      <c r="MKN12" s="28"/>
      <c r="MKO12" s="11"/>
      <c r="MKP12" s="28"/>
      <c r="MKQ12" s="11"/>
      <c r="MKR12" s="28"/>
      <c r="MKS12" s="11"/>
      <c r="MKT12" s="28"/>
      <c r="MKU12" s="11"/>
      <c r="MKV12" s="28"/>
      <c r="MKW12" s="11"/>
      <c r="MKX12" s="28"/>
      <c r="MKY12" s="11"/>
      <c r="MKZ12" s="28"/>
      <c r="MLA12" s="11"/>
      <c r="MLB12" s="28"/>
      <c r="MLC12" s="11"/>
      <c r="MLD12" s="28"/>
      <c r="MLE12" s="11"/>
      <c r="MLF12" s="28"/>
      <c r="MLG12" s="11"/>
      <c r="MLH12" s="28"/>
      <c r="MLI12" s="11"/>
      <c r="MLJ12" s="28"/>
      <c r="MLK12" s="11"/>
      <c r="MLL12" s="28"/>
      <c r="MLM12" s="11"/>
      <c r="MLN12" s="28"/>
      <c r="MLO12" s="11"/>
      <c r="MLP12" s="28"/>
      <c r="MLQ12" s="11"/>
      <c r="MLR12" s="28"/>
      <c r="MLS12" s="11"/>
      <c r="MLT12" s="28"/>
      <c r="MLU12" s="11"/>
      <c r="MLV12" s="28"/>
      <c r="MLW12" s="11"/>
      <c r="MLX12" s="28"/>
      <c r="MLY12" s="11"/>
      <c r="MLZ12" s="28"/>
      <c r="MMA12" s="11"/>
      <c r="MMB12" s="28"/>
      <c r="MMC12" s="11"/>
      <c r="MMD12" s="28"/>
      <c r="MME12" s="11"/>
      <c r="MMF12" s="28"/>
      <c r="MMG12" s="11"/>
      <c r="MMH12" s="28"/>
      <c r="MMI12" s="11"/>
      <c r="MMJ12" s="28"/>
      <c r="MMK12" s="11"/>
      <c r="MML12" s="28"/>
      <c r="MMM12" s="11"/>
      <c r="MMN12" s="28"/>
      <c r="MMO12" s="11"/>
      <c r="MMP12" s="28"/>
      <c r="MMQ12" s="11"/>
      <c r="MMR12" s="28"/>
      <c r="MMS12" s="11"/>
      <c r="MMT12" s="28"/>
      <c r="MMU12" s="11"/>
      <c r="MMV12" s="28"/>
      <c r="MMW12" s="11"/>
      <c r="MMX12" s="28"/>
      <c r="MMY12" s="11"/>
      <c r="MMZ12" s="28"/>
      <c r="MNA12" s="11"/>
      <c r="MNB12" s="28"/>
      <c r="MNC12" s="11"/>
      <c r="MND12" s="28"/>
      <c r="MNE12" s="11"/>
      <c r="MNF12" s="28"/>
      <c r="MNG12" s="11"/>
      <c r="MNH12" s="28"/>
      <c r="MNI12" s="11"/>
      <c r="MNJ12" s="28"/>
      <c r="MNK12" s="11"/>
      <c r="MNL12" s="28"/>
      <c r="MNM12" s="11"/>
      <c r="MNN12" s="28"/>
      <c r="MNO12" s="11"/>
      <c r="MNP12" s="28"/>
      <c r="MNQ12" s="11"/>
      <c r="MNR12" s="28"/>
      <c r="MNS12" s="11"/>
      <c r="MNT12" s="28"/>
      <c r="MNU12" s="11"/>
      <c r="MNV12" s="28"/>
      <c r="MNW12" s="11"/>
      <c r="MNX12" s="28"/>
      <c r="MNY12" s="11"/>
      <c r="MNZ12" s="28"/>
      <c r="MOA12" s="11"/>
      <c r="MOB12" s="28"/>
      <c r="MOC12" s="11"/>
      <c r="MOD12" s="28"/>
      <c r="MOE12" s="11"/>
      <c r="MOF12" s="28"/>
      <c r="MOG12" s="11"/>
      <c r="MOH12" s="28"/>
      <c r="MOI12" s="11"/>
      <c r="MOJ12" s="28"/>
      <c r="MOK12" s="11"/>
      <c r="MOL12" s="28"/>
      <c r="MOM12" s="11"/>
      <c r="MON12" s="28"/>
      <c r="MOO12" s="11"/>
      <c r="MOP12" s="28"/>
      <c r="MOQ12" s="11"/>
      <c r="MOR12" s="28"/>
      <c r="MOS12" s="11"/>
      <c r="MOT12" s="28"/>
      <c r="MOU12" s="11"/>
      <c r="MOV12" s="28"/>
      <c r="MOW12" s="11"/>
      <c r="MOX12" s="28"/>
      <c r="MOY12" s="11"/>
      <c r="MOZ12" s="28"/>
      <c r="MPA12" s="11"/>
      <c r="MPB12" s="28"/>
      <c r="MPC12" s="11"/>
      <c r="MPD12" s="28"/>
      <c r="MPE12" s="11"/>
      <c r="MPF12" s="28"/>
      <c r="MPG12" s="11"/>
      <c r="MPH12" s="28"/>
      <c r="MPI12" s="11"/>
      <c r="MPJ12" s="28"/>
      <c r="MPK12" s="11"/>
      <c r="MPL12" s="28"/>
      <c r="MPM12" s="11"/>
      <c r="MPN12" s="28"/>
      <c r="MPO12" s="11"/>
      <c r="MPP12" s="28"/>
      <c r="MPQ12" s="11"/>
      <c r="MPR12" s="28"/>
      <c r="MPS12" s="11"/>
      <c r="MPT12" s="28"/>
      <c r="MPU12" s="11"/>
      <c r="MPV12" s="28"/>
      <c r="MPW12" s="11"/>
      <c r="MPX12" s="28"/>
      <c r="MPY12" s="11"/>
      <c r="MPZ12" s="28"/>
      <c r="MQA12" s="11"/>
      <c r="MQB12" s="28"/>
      <c r="MQC12" s="11"/>
      <c r="MQD12" s="28"/>
      <c r="MQE12" s="11"/>
      <c r="MQF12" s="28"/>
      <c r="MQG12" s="11"/>
      <c r="MQH12" s="28"/>
      <c r="MQI12" s="11"/>
      <c r="MQJ12" s="28"/>
      <c r="MQK12" s="11"/>
      <c r="MQL12" s="28"/>
      <c r="MQM12" s="11"/>
      <c r="MQN12" s="28"/>
      <c r="MQO12" s="11"/>
      <c r="MQP12" s="28"/>
      <c r="MQQ12" s="11"/>
      <c r="MQR12" s="28"/>
      <c r="MQS12" s="11"/>
      <c r="MQT12" s="28"/>
      <c r="MQU12" s="11"/>
      <c r="MQV12" s="28"/>
      <c r="MQW12" s="11"/>
      <c r="MQX12" s="28"/>
      <c r="MQY12" s="11"/>
      <c r="MQZ12" s="28"/>
      <c r="MRA12" s="11"/>
      <c r="MRB12" s="28"/>
      <c r="MRC12" s="11"/>
      <c r="MRD12" s="28"/>
      <c r="MRE12" s="11"/>
      <c r="MRF12" s="28"/>
      <c r="MRG12" s="11"/>
      <c r="MRH12" s="28"/>
      <c r="MRI12" s="11"/>
      <c r="MRJ12" s="28"/>
      <c r="MRK12" s="11"/>
      <c r="MRL12" s="28"/>
      <c r="MRM12" s="11"/>
      <c r="MRN12" s="28"/>
      <c r="MRO12" s="11"/>
      <c r="MRP12" s="28"/>
      <c r="MRQ12" s="11"/>
      <c r="MRR12" s="28"/>
      <c r="MRS12" s="11"/>
      <c r="MRT12" s="28"/>
      <c r="MRU12" s="11"/>
      <c r="MRV12" s="28"/>
      <c r="MRW12" s="11"/>
      <c r="MRX12" s="28"/>
      <c r="MRY12" s="11"/>
      <c r="MRZ12" s="28"/>
      <c r="MSA12" s="11"/>
      <c r="MSB12" s="28"/>
      <c r="MSC12" s="11"/>
      <c r="MSD12" s="28"/>
      <c r="MSE12" s="11"/>
      <c r="MSF12" s="28"/>
      <c r="MSG12" s="11"/>
      <c r="MSH12" s="28"/>
      <c r="MSI12" s="11"/>
      <c r="MSJ12" s="28"/>
      <c r="MSK12" s="11"/>
      <c r="MSL12" s="28"/>
      <c r="MSM12" s="11"/>
      <c r="MSN12" s="28"/>
      <c r="MSO12" s="11"/>
      <c r="MSP12" s="28"/>
      <c r="MSQ12" s="11"/>
      <c r="MSR12" s="28"/>
      <c r="MSS12" s="11"/>
      <c r="MST12" s="28"/>
      <c r="MSU12" s="11"/>
      <c r="MSV12" s="28"/>
      <c r="MSW12" s="11"/>
      <c r="MSX12" s="28"/>
      <c r="MSY12" s="11"/>
      <c r="MSZ12" s="28"/>
      <c r="MTA12" s="11"/>
      <c r="MTB12" s="28"/>
      <c r="MTC12" s="11"/>
      <c r="MTD12" s="28"/>
      <c r="MTE12" s="11"/>
      <c r="MTF12" s="28"/>
      <c r="MTG12" s="11"/>
      <c r="MTH12" s="28"/>
      <c r="MTI12" s="11"/>
      <c r="MTJ12" s="28"/>
      <c r="MTK12" s="11"/>
      <c r="MTL12" s="28"/>
      <c r="MTM12" s="11"/>
      <c r="MTN12" s="28"/>
      <c r="MTO12" s="11"/>
      <c r="MTP12" s="28"/>
      <c r="MTQ12" s="11"/>
      <c r="MTR12" s="28"/>
      <c r="MTS12" s="11"/>
      <c r="MTT12" s="28"/>
      <c r="MTU12" s="11"/>
      <c r="MTV12" s="28"/>
      <c r="MTW12" s="11"/>
      <c r="MTX12" s="28"/>
      <c r="MTY12" s="11"/>
      <c r="MTZ12" s="28"/>
      <c r="MUA12" s="11"/>
      <c r="MUB12" s="28"/>
      <c r="MUC12" s="11"/>
      <c r="MUD12" s="28"/>
      <c r="MUE12" s="11"/>
      <c r="MUF12" s="28"/>
      <c r="MUG12" s="11"/>
      <c r="MUH12" s="28"/>
      <c r="MUI12" s="11"/>
      <c r="MUJ12" s="28"/>
      <c r="MUK12" s="11"/>
      <c r="MUL12" s="28"/>
      <c r="MUM12" s="11"/>
      <c r="MUN12" s="28"/>
      <c r="MUO12" s="11"/>
      <c r="MUP12" s="28"/>
      <c r="MUQ12" s="11"/>
      <c r="MUR12" s="28"/>
      <c r="MUS12" s="11"/>
      <c r="MUT12" s="28"/>
      <c r="MUU12" s="11"/>
      <c r="MUV12" s="28"/>
      <c r="MUW12" s="11"/>
      <c r="MUX12" s="28"/>
      <c r="MUY12" s="11"/>
      <c r="MUZ12" s="28"/>
      <c r="MVA12" s="11"/>
      <c r="MVB12" s="28"/>
      <c r="MVC12" s="11"/>
      <c r="MVD12" s="28"/>
      <c r="MVE12" s="11"/>
      <c r="MVF12" s="28"/>
      <c r="MVG12" s="11"/>
      <c r="MVH12" s="28"/>
      <c r="MVI12" s="11"/>
      <c r="MVJ12" s="28"/>
      <c r="MVK12" s="11"/>
      <c r="MVL12" s="28"/>
      <c r="MVM12" s="11"/>
      <c r="MVN12" s="28"/>
      <c r="MVO12" s="11"/>
      <c r="MVP12" s="28"/>
      <c r="MVQ12" s="11"/>
      <c r="MVR12" s="28"/>
      <c r="MVS12" s="11"/>
      <c r="MVT12" s="28"/>
      <c r="MVU12" s="11"/>
      <c r="MVV12" s="28"/>
      <c r="MVW12" s="11"/>
      <c r="MVX12" s="28"/>
      <c r="MVY12" s="11"/>
      <c r="MVZ12" s="28"/>
      <c r="MWA12" s="11"/>
      <c r="MWB12" s="28"/>
      <c r="MWC12" s="11"/>
      <c r="MWD12" s="28"/>
      <c r="MWE12" s="11"/>
      <c r="MWF12" s="28"/>
      <c r="MWG12" s="11"/>
      <c r="MWH12" s="28"/>
      <c r="MWI12" s="11"/>
      <c r="MWJ12" s="28"/>
      <c r="MWK12" s="11"/>
      <c r="MWL12" s="28"/>
      <c r="MWM12" s="11"/>
      <c r="MWN12" s="28"/>
      <c r="MWO12" s="11"/>
      <c r="MWP12" s="28"/>
      <c r="MWQ12" s="11"/>
      <c r="MWR12" s="28"/>
      <c r="MWS12" s="11"/>
      <c r="MWT12" s="28"/>
      <c r="MWU12" s="11"/>
      <c r="MWV12" s="28"/>
      <c r="MWW12" s="11"/>
      <c r="MWX12" s="28"/>
      <c r="MWY12" s="11"/>
      <c r="MWZ12" s="28"/>
      <c r="MXA12" s="11"/>
      <c r="MXB12" s="28"/>
      <c r="MXC12" s="11"/>
      <c r="MXD12" s="28"/>
      <c r="MXE12" s="11"/>
      <c r="MXF12" s="28"/>
      <c r="MXG12" s="11"/>
      <c r="MXH12" s="28"/>
      <c r="MXI12" s="11"/>
      <c r="MXJ12" s="28"/>
      <c r="MXK12" s="11"/>
      <c r="MXL12" s="28"/>
      <c r="MXM12" s="11"/>
      <c r="MXN12" s="28"/>
      <c r="MXO12" s="11"/>
      <c r="MXP12" s="28"/>
      <c r="MXQ12" s="11"/>
      <c r="MXR12" s="28"/>
      <c r="MXS12" s="11"/>
      <c r="MXT12" s="28"/>
      <c r="MXU12" s="11"/>
      <c r="MXV12" s="28"/>
      <c r="MXW12" s="11"/>
      <c r="MXX12" s="28"/>
      <c r="MXY12" s="11"/>
      <c r="MXZ12" s="28"/>
      <c r="MYA12" s="11"/>
      <c r="MYB12" s="28"/>
      <c r="MYC12" s="11"/>
      <c r="MYD12" s="28"/>
      <c r="MYE12" s="11"/>
      <c r="MYF12" s="28"/>
      <c r="MYG12" s="11"/>
      <c r="MYH12" s="28"/>
      <c r="MYI12" s="11"/>
      <c r="MYJ12" s="28"/>
      <c r="MYK12" s="11"/>
      <c r="MYL12" s="28"/>
      <c r="MYM12" s="11"/>
      <c r="MYN12" s="28"/>
      <c r="MYO12" s="11"/>
      <c r="MYP12" s="28"/>
      <c r="MYQ12" s="11"/>
      <c r="MYR12" s="28"/>
      <c r="MYS12" s="11"/>
      <c r="MYT12" s="28"/>
      <c r="MYU12" s="11"/>
      <c r="MYV12" s="28"/>
      <c r="MYW12" s="11"/>
      <c r="MYX12" s="28"/>
      <c r="MYY12" s="11"/>
      <c r="MYZ12" s="28"/>
      <c r="MZA12" s="11"/>
      <c r="MZB12" s="28"/>
      <c r="MZC12" s="11"/>
      <c r="MZD12" s="28"/>
      <c r="MZE12" s="11"/>
      <c r="MZF12" s="28"/>
      <c r="MZG12" s="11"/>
      <c r="MZH12" s="28"/>
      <c r="MZI12" s="11"/>
      <c r="MZJ12" s="28"/>
      <c r="MZK12" s="11"/>
      <c r="MZL12" s="28"/>
      <c r="MZM12" s="11"/>
      <c r="MZN12" s="28"/>
      <c r="MZO12" s="11"/>
      <c r="MZP12" s="28"/>
      <c r="MZQ12" s="11"/>
      <c r="MZR12" s="28"/>
      <c r="MZS12" s="11"/>
      <c r="MZT12" s="28"/>
      <c r="MZU12" s="11"/>
      <c r="MZV12" s="28"/>
      <c r="MZW12" s="11"/>
      <c r="MZX12" s="28"/>
      <c r="MZY12" s="11"/>
      <c r="MZZ12" s="28"/>
      <c r="NAA12" s="11"/>
      <c r="NAB12" s="28"/>
      <c r="NAC12" s="11"/>
      <c r="NAD12" s="28"/>
      <c r="NAE12" s="11"/>
      <c r="NAF12" s="28"/>
      <c r="NAG12" s="11"/>
      <c r="NAH12" s="28"/>
      <c r="NAI12" s="11"/>
      <c r="NAJ12" s="28"/>
      <c r="NAK12" s="11"/>
      <c r="NAL12" s="28"/>
      <c r="NAM12" s="11"/>
      <c r="NAN12" s="28"/>
      <c r="NAO12" s="11"/>
      <c r="NAP12" s="28"/>
      <c r="NAQ12" s="11"/>
      <c r="NAR12" s="28"/>
      <c r="NAS12" s="11"/>
      <c r="NAT12" s="28"/>
      <c r="NAU12" s="11"/>
      <c r="NAV12" s="28"/>
      <c r="NAW12" s="11"/>
      <c r="NAX12" s="28"/>
      <c r="NAY12" s="11"/>
      <c r="NAZ12" s="28"/>
      <c r="NBA12" s="11"/>
      <c r="NBB12" s="28"/>
      <c r="NBC12" s="11"/>
      <c r="NBD12" s="28"/>
      <c r="NBE12" s="11"/>
      <c r="NBF12" s="28"/>
      <c r="NBG12" s="11"/>
      <c r="NBH12" s="28"/>
      <c r="NBI12" s="11"/>
      <c r="NBJ12" s="28"/>
      <c r="NBK12" s="11"/>
      <c r="NBL12" s="28"/>
      <c r="NBM12" s="11"/>
      <c r="NBN12" s="28"/>
      <c r="NBO12" s="11"/>
      <c r="NBP12" s="28"/>
      <c r="NBQ12" s="11"/>
      <c r="NBR12" s="28"/>
      <c r="NBS12" s="11"/>
      <c r="NBT12" s="28"/>
      <c r="NBU12" s="11"/>
      <c r="NBV12" s="28"/>
      <c r="NBW12" s="11"/>
      <c r="NBX12" s="28"/>
      <c r="NBY12" s="11"/>
      <c r="NBZ12" s="28"/>
      <c r="NCA12" s="11"/>
      <c r="NCB12" s="28"/>
      <c r="NCC12" s="11"/>
      <c r="NCD12" s="28"/>
      <c r="NCE12" s="11"/>
      <c r="NCF12" s="28"/>
      <c r="NCG12" s="11"/>
      <c r="NCH12" s="28"/>
      <c r="NCI12" s="11"/>
      <c r="NCJ12" s="28"/>
      <c r="NCK12" s="11"/>
      <c r="NCL12" s="28"/>
      <c r="NCM12" s="11"/>
      <c r="NCN12" s="28"/>
      <c r="NCO12" s="11"/>
      <c r="NCP12" s="28"/>
      <c r="NCQ12" s="11"/>
      <c r="NCR12" s="28"/>
      <c r="NCS12" s="11"/>
      <c r="NCT12" s="28"/>
      <c r="NCU12" s="11"/>
      <c r="NCV12" s="28"/>
      <c r="NCW12" s="11"/>
      <c r="NCX12" s="28"/>
      <c r="NCY12" s="11"/>
      <c r="NCZ12" s="28"/>
      <c r="NDA12" s="11"/>
      <c r="NDB12" s="28"/>
      <c r="NDC12" s="11"/>
      <c r="NDD12" s="28"/>
      <c r="NDE12" s="11"/>
      <c r="NDF12" s="28"/>
      <c r="NDG12" s="11"/>
      <c r="NDH12" s="28"/>
      <c r="NDI12" s="11"/>
      <c r="NDJ12" s="28"/>
      <c r="NDK12" s="11"/>
      <c r="NDL12" s="28"/>
      <c r="NDM12" s="11"/>
      <c r="NDN12" s="28"/>
      <c r="NDO12" s="11"/>
      <c r="NDP12" s="28"/>
      <c r="NDQ12" s="11"/>
      <c r="NDR12" s="28"/>
      <c r="NDS12" s="11"/>
      <c r="NDT12" s="28"/>
      <c r="NDU12" s="11"/>
      <c r="NDV12" s="28"/>
      <c r="NDW12" s="11"/>
      <c r="NDX12" s="28"/>
      <c r="NDY12" s="11"/>
      <c r="NDZ12" s="28"/>
      <c r="NEA12" s="11"/>
      <c r="NEB12" s="28"/>
      <c r="NEC12" s="11"/>
      <c r="NED12" s="28"/>
      <c r="NEE12" s="11"/>
      <c r="NEF12" s="28"/>
      <c r="NEG12" s="11"/>
      <c r="NEH12" s="28"/>
      <c r="NEI12" s="11"/>
      <c r="NEJ12" s="28"/>
      <c r="NEK12" s="11"/>
      <c r="NEL12" s="28"/>
      <c r="NEM12" s="11"/>
      <c r="NEN12" s="28"/>
      <c r="NEO12" s="11"/>
      <c r="NEP12" s="28"/>
      <c r="NEQ12" s="11"/>
      <c r="NER12" s="28"/>
      <c r="NES12" s="11"/>
      <c r="NET12" s="28"/>
      <c r="NEU12" s="11"/>
      <c r="NEV12" s="28"/>
      <c r="NEW12" s="11"/>
      <c r="NEX12" s="28"/>
      <c r="NEY12" s="11"/>
      <c r="NEZ12" s="28"/>
      <c r="NFA12" s="11"/>
      <c r="NFB12" s="28"/>
      <c r="NFC12" s="11"/>
      <c r="NFD12" s="28"/>
      <c r="NFE12" s="11"/>
      <c r="NFF12" s="28"/>
      <c r="NFG12" s="11"/>
      <c r="NFH12" s="28"/>
      <c r="NFI12" s="11"/>
      <c r="NFJ12" s="28"/>
      <c r="NFK12" s="11"/>
      <c r="NFL12" s="28"/>
      <c r="NFM12" s="11"/>
      <c r="NFN12" s="28"/>
      <c r="NFO12" s="11"/>
      <c r="NFP12" s="28"/>
      <c r="NFQ12" s="11"/>
      <c r="NFR12" s="28"/>
      <c r="NFS12" s="11"/>
      <c r="NFT12" s="28"/>
      <c r="NFU12" s="11"/>
      <c r="NFV12" s="28"/>
      <c r="NFW12" s="11"/>
      <c r="NFX12" s="28"/>
      <c r="NFY12" s="11"/>
      <c r="NFZ12" s="28"/>
      <c r="NGA12" s="11"/>
      <c r="NGB12" s="28"/>
      <c r="NGC12" s="11"/>
      <c r="NGD12" s="28"/>
      <c r="NGE12" s="11"/>
      <c r="NGF12" s="28"/>
      <c r="NGG12" s="11"/>
      <c r="NGH12" s="28"/>
      <c r="NGI12" s="11"/>
      <c r="NGJ12" s="28"/>
      <c r="NGK12" s="11"/>
      <c r="NGL12" s="28"/>
      <c r="NGM12" s="11"/>
      <c r="NGN12" s="28"/>
      <c r="NGO12" s="11"/>
      <c r="NGP12" s="28"/>
      <c r="NGQ12" s="11"/>
      <c r="NGR12" s="28"/>
      <c r="NGS12" s="11"/>
      <c r="NGT12" s="28"/>
      <c r="NGU12" s="11"/>
      <c r="NGV12" s="28"/>
      <c r="NGW12" s="11"/>
      <c r="NGX12" s="28"/>
      <c r="NGY12" s="11"/>
      <c r="NGZ12" s="28"/>
      <c r="NHA12" s="11"/>
      <c r="NHB12" s="28"/>
      <c r="NHC12" s="11"/>
      <c r="NHD12" s="28"/>
      <c r="NHE12" s="11"/>
      <c r="NHF12" s="28"/>
      <c r="NHG12" s="11"/>
      <c r="NHH12" s="28"/>
      <c r="NHI12" s="11"/>
      <c r="NHJ12" s="28"/>
      <c r="NHK12" s="11"/>
      <c r="NHL12" s="28"/>
      <c r="NHM12" s="11"/>
      <c r="NHN12" s="28"/>
      <c r="NHO12" s="11"/>
      <c r="NHP12" s="28"/>
      <c r="NHQ12" s="11"/>
      <c r="NHR12" s="28"/>
      <c r="NHS12" s="11"/>
      <c r="NHT12" s="28"/>
      <c r="NHU12" s="11"/>
      <c r="NHV12" s="28"/>
      <c r="NHW12" s="11"/>
      <c r="NHX12" s="28"/>
      <c r="NHY12" s="11"/>
      <c r="NHZ12" s="28"/>
      <c r="NIA12" s="11"/>
      <c r="NIB12" s="28"/>
      <c r="NIC12" s="11"/>
      <c r="NID12" s="28"/>
      <c r="NIE12" s="11"/>
      <c r="NIF12" s="28"/>
      <c r="NIG12" s="11"/>
      <c r="NIH12" s="28"/>
      <c r="NII12" s="11"/>
      <c r="NIJ12" s="28"/>
      <c r="NIK12" s="11"/>
      <c r="NIL12" s="28"/>
      <c r="NIM12" s="11"/>
      <c r="NIN12" s="28"/>
      <c r="NIO12" s="11"/>
      <c r="NIP12" s="28"/>
      <c r="NIQ12" s="11"/>
      <c r="NIR12" s="28"/>
      <c r="NIS12" s="11"/>
      <c r="NIT12" s="28"/>
      <c r="NIU12" s="11"/>
      <c r="NIV12" s="28"/>
      <c r="NIW12" s="11"/>
      <c r="NIX12" s="28"/>
      <c r="NIY12" s="11"/>
      <c r="NIZ12" s="28"/>
      <c r="NJA12" s="11"/>
      <c r="NJB12" s="28"/>
      <c r="NJC12" s="11"/>
      <c r="NJD12" s="28"/>
      <c r="NJE12" s="11"/>
      <c r="NJF12" s="28"/>
      <c r="NJG12" s="11"/>
      <c r="NJH12" s="28"/>
      <c r="NJI12" s="11"/>
      <c r="NJJ12" s="28"/>
      <c r="NJK12" s="11"/>
      <c r="NJL12" s="28"/>
      <c r="NJM12" s="11"/>
      <c r="NJN12" s="28"/>
      <c r="NJO12" s="11"/>
      <c r="NJP12" s="28"/>
      <c r="NJQ12" s="11"/>
      <c r="NJR12" s="28"/>
      <c r="NJS12" s="11"/>
      <c r="NJT12" s="28"/>
      <c r="NJU12" s="11"/>
      <c r="NJV12" s="28"/>
      <c r="NJW12" s="11"/>
      <c r="NJX12" s="28"/>
      <c r="NJY12" s="11"/>
      <c r="NJZ12" s="28"/>
      <c r="NKA12" s="11"/>
      <c r="NKB12" s="28"/>
      <c r="NKC12" s="11"/>
      <c r="NKD12" s="28"/>
      <c r="NKE12" s="11"/>
      <c r="NKF12" s="28"/>
      <c r="NKG12" s="11"/>
      <c r="NKH12" s="28"/>
      <c r="NKI12" s="11"/>
      <c r="NKJ12" s="28"/>
      <c r="NKK12" s="11"/>
      <c r="NKL12" s="28"/>
      <c r="NKM12" s="11"/>
      <c r="NKN12" s="28"/>
      <c r="NKO12" s="11"/>
      <c r="NKP12" s="28"/>
      <c r="NKQ12" s="11"/>
      <c r="NKR12" s="28"/>
      <c r="NKS12" s="11"/>
      <c r="NKT12" s="28"/>
      <c r="NKU12" s="11"/>
      <c r="NKV12" s="28"/>
      <c r="NKW12" s="11"/>
      <c r="NKX12" s="28"/>
      <c r="NKY12" s="11"/>
      <c r="NKZ12" s="28"/>
      <c r="NLA12" s="11"/>
      <c r="NLB12" s="28"/>
      <c r="NLC12" s="11"/>
      <c r="NLD12" s="28"/>
      <c r="NLE12" s="11"/>
      <c r="NLF12" s="28"/>
      <c r="NLG12" s="11"/>
      <c r="NLH12" s="28"/>
      <c r="NLI12" s="11"/>
      <c r="NLJ12" s="28"/>
      <c r="NLK12" s="11"/>
      <c r="NLL12" s="28"/>
      <c r="NLM12" s="11"/>
      <c r="NLN12" s="28"/>
      <c r="NLO12" s="11"/>
      <c r="NLP12" s="28"/>
      <c r="NLQ12" s="11"/>
      <c r="NLR12" s="28"/>
      <c r="NLS12" s="11"/>
      <c r="NLT12" s="28"/>
      <c r="NLU12" s="11"/>
      <c r="NLV12" s="28"/>
      <c r="NLW12" s="11"/>
      <c r="NLX12" s="28"/>
      <c r="NLY12" s="11"/>
      <c r="NLZ12" s="28"/>
      <c r="NMA12" s="11"/>
      <c r="NMB12" s="28"/>
      <c r="NMC12" s="11"/>
      <c r="NMD12" s="28"/>
      <c r="NME12" s="11"/>
      <c r="NMF12" s="28"/>
      <c r="NMG12" s="11"/>
      <c r="NMH12" s="28"/>
      <c r="NMI12" s="11"/>
      <c r="NMJ12" s="28"/>
      <c r="NMK12" s="11"/>
      <c r="NML12" s="28"/>
      <c r="NMM12" s="11"/>
      <c r="NMN12" s="28"/>
      <c r="NMO12" s="11"/>
      <c r="NMP12" s="28"/>
      <c r="NMQ12" s="11"/>
      <c r="NMR12" s="28"/>
      <c r="NMS12" s="11"/>
      <c r="NMT12" s="28"/>
      <c r="NMU12" s="11"/>
      <c r="NMV12" s="28"/>
      <c r="NMW12" s="11"/>
      <c r="NMX12" s="28"/>
      <c r="NMY12" s="11"/>
      <c r="NMZ12" s="28"/>
      <c r="NNA12" s="11"/>
      <c r="NNB12" s="28"/>
      <c r="NNC12" s="11"/>
      <c r="NND12" s="28"/>
      <c r="NNE12" s="11"/>
      <c r="NNF12" s="28"/>
      <c r="NNG12" s="11"/>
      <c r="NNH12" s="28"/>
      <c r="NNI12" s="11"/>
      <c r="NNJ12" s="28"/>
      <c r="NNK12" s="11"/>
      <c r="NNL12" s="28"/>
      <c r="NNM12" s="11"/>
      <c r="NNN12" s="28"/>
      <c r="NNO12" s="11"/>
      <c r="NNP12" s="28"/>
      <c r="NNQ12" s="11"/>
      <c r="NNR12" s="28"/>
      <c r="NNS12" s="11"/>
      <c r="NNT12" s="28"/>
      <c r="NNU12" s="11"/>
      <c r="NNV12" s="28"/>
      <c r="NNW12" s="11"/>
      <c r="NNX12" s="28"/>
      <c r="NNY12" s="11"/>
      <c r="NNZ12" s="28"/>
      <c r="NOA12" s="11"/>
      <c r="NOB12" s="28"/>
      <c r="NOC12" s="11"/>
      <c r="NOD12" s="28"/>
      <c r="NOE12" s="11"/>
      <c r="NOF12" s="28"/>
      <c r="NOG12" s="11"/>
      <c r="NOH12" s="28"/>
      <c r="NOI12" s="11"/>
      <c r="NOJ12" s="28"/>
      <c r="NOK12" s="11"/>
      <c r="NOL12" s="28"/>
      <c r="NOM12" s="11"/>
      <c r="NON12" s="28"/>
      <c r="NOO12" s="11"/>
      <c r="NOP12" s="28"/>
      <c r="NOQ12" s="11"/>
      <c r="NOR12" s="28"/>
      <c r="NOS12" s="11"/>
      <c r="NOT12" s="28"/>
      <c r="NOU12" s="11"/>
      <c r="NOV12" s="28"/>
      <c r="NOW12" s="11"/>
      <c r="NOX12" s="28"/>
      <c r="NOY12" s="11"/>
      <c r="NOZ12" s="28"/>
      <c r="NPA12" s="11"/>
      <c r="NPB12" s="28"/>
      <c r="NPC12" s="11"/>
      <c r="NPD12" s="28"/>
      <c r="NPE12" s="11"/>
      <c r="NPF12" s="28"/>
      <c r="NPG12" s="11"/>
      <c r="NPH12" s="28"/>
      <c r="NPI12" s="11"/>
      <c r="NPJ12" s="28"/>
      <c r="NPK12" s="11"/>
      <c r="NPL12" s="28"/>
      <c r="NPM12" s="11"/>
      <c r="NPN12" s="28"/>
      <c r="NPO12" s="11"/>
      <c r="NPP12" s="28"/>
      <c r="NPQ12" s="11"/>
      <c r="NPR12" s="28"/>
      <c r="NPS12" s="11"/>
      <c r="NPT12" s="28"/>
      <c r="NPU12" s="11"/>
      <c r="NPV12" s="28"/>
      <c r="NPW12" s="11"/>
      <c r="NPX12" s="28"/>
      <c r="NPY12" s="11"/>
      <c r="NPZ12" s="28"/>
      <c r="NQA12" s="11"/>
      <c r="NQB12" s="28"/>
      <c r="NQC12" s="11"/>
      <c r="NQD12" s="28"/>
      <c r="NQE12" s="11"/>
      <c r="NQF12" s="28"/>
      <c r="NQG12" s="11"/>
      <c r="NQH12" s="28"/>
      <c r="NQI12" s="11"/>
      <c r="NQJ12" s="28"/>
      <c r="NQK12" s="11"/>
      <c r="NQL12" s="28"/>
      <c r="NQM12" s="11"/>
      <c r="NQN12" s="28"/>
      <c r="NQO12" s="11"/>
      <c r="NQP12" s="28"/>
      <c r="NQQ12" s="11"/>
      <c r="NQR12" s="28"/>
      <c r="NQS12" s="11"/>
      <c r="NQT12" s="28"/>
      <c r="NQU12" s="11"/>
      <c r="NQV12" s="28"/>
      <c r="NQW12" s="11"/>
      <c r="NQX12" s="28"/>
      <c r="NQY12" s="11"/>
      <c r="NQZ12" s="28"/>
      <c r="NRA12" s="11"/>
      <c r="NRB12" s="28"/>
      <c r="NRC12" s="11"/>
      <c r="NRD12" s="28"/>
      <c r="NRE12" s="11"/>
      <c r="NRF12" s="28"/>
      <c r="NRG12" s="11"/>
      <c r="NRH12" s="28"/>
      <c r="NRI12" s="11"/>
      <c r="NRJ12" s="28"/>
      <c r="NRK12" s="11"/>
      <c r="NRL12" s="28"/>
      <c r="NRM12" s="11"/>
      <c r="NRN12" s="28"/>
      <c r="NRO12" s="11"/>
      <c r="NRP12" s="28"/>
      <c r="NRQ12" s="11"/>
      <c r="NRR12" s="28"/>
      <c r="NRS12" s="11"/>
      <c r="NRT12" s="28"/>
      <c r="NRU12" s="11"/>
      <c r="NRV12" s="28"/>
      <c r="NRW12" s="11"/>
      <c r="NRX12" s="28"/>
      <c r="NRY12" s="11"/>
      <c r="NRZ12" s="28"/>
      <c r="NSA12" s="11"/>
      <c r="NSB12" s="28"/>
      <c r="NSC12" s="11"/>
      <c r="NSD12" s="28"/>
      <c r="NSE12" s="11"/>
      <c r="NSF12" s="28"/>
      <c r="NSG12" s="11"/>
      <c r="NSH12" s="28"/>
      <c r="NSI12" s="11"/>
      <c r="NSJ12" s="28"/>
      <c r="NSK12" s="11"/>
      <c r="NSL12" s="28"/>
      <c r="NSM12" s="11"/>
      <c r="NSN12" s="28"/>
      <c r="NSO12" s="11"/>
      <c r="NSP12" s="28"/>
      <c r="NSQ12" s="11"/>
      <c r="NSR12" s="28"/>
      <c r="NSS12" s="11"/>
      <c r="NST12" s="28"/>
      <c r="NSU12" s="11"/>
      <c r="NSV12" s="28"/>
      <c r="NSW12" s="11"/>
      <c r="NSX12" s="28"/>
      <c r="NSY12" s="11"/>
      <c r="NSZ12" s="28"/>
      <c r="NTA12" s="11"/>
      <c r="NTB12" s="28"/>
      <c r="NTC12" s="11"/>
      <c r="NTD12" s="28"/>
      <c r="NTE12" s="11"/>
      <c r="NTF12" s="28"/>
      <c r="NTG12" s="11"/>
      <c r="NTH12" s="28"/>
      <c r="NTI12" s="11"/>
      <c r="NTJ12" s="28"/>
      <c r="NTK12" s="11"/>
      <c r="NTL12" s="28"/>
      <c r="NTM12" s="11"/>
      <c r="NTN12" s="28"/>
      <c r="NTO12" s="11"/>
      <c r="NTP12" s="28"/>
      <c r="NTQ12" s="11"/>
      <c r="NTR12" s="28"/>
      <c r="NTS12" s="11"/>
      <c r="NTT12" s="28"/>
      <c r="NTU12" s="11"/>
      <c r="NTV12" s="28"/>
      <c r="NTW12" s="11"/>
      <c r="NTX12" s="28"/>
      <c r="NTY12" s="11"/>
      <c r="NTZ12" s="28"/>
      <c r="NUA12" s="11"/>
      <c r="NUB12" s="28"/>
      <c r="NUC12" s="11"/>
      <c r="NUD12" s="28"/>
      <c r="NUE12" s="11"/>
      <c r="NUF12" s="28"/>
      <c r="NUG12" s="11"/>
      <c r="NUH12" s="28"/>
      <c r="NUI12" s="11"/>
      <c r="NUJ12" s="28"/>
      <c r="NUK12" s="11"/>
      <c r="NUL12" s="28"/>
      <c r="NUM12" s="11"/>
      <c r="NUN12" s="28"/>
      <c r="NUO12" s="11"/>
      <c r="NUP12" s="28"/>
      <c r="NUQ12" s="11"/>
      <c r="NUR12" s="28"/>
      <c r="NUS12" s="11"/>
      <c r="NUT12" s="28"/>
      <c r="NUU12" s="11"/>
      <c r="NUV12" s="28"/>
      <c r="NUW12" s="11"/>
      <c r="NUX12" s="28"/>
      <c r="NUY12" s="11"/>
      <c r="NUZ12" s="28"/>
      <c r="NVA12" s="11"/>
      <c r="NVB12" s="28"/>
      <c r="NVC12" s="11"/>
      <c r="NVD12" s="28"/>
      <c r="NVE12" s="11"/>
      <c r="NVF12" s="28"/>
      <c r="NVG12" s="11"/>
      <c r="NVH12" s="28"/>
      <c r="NVI12" s="11"/>
      <c r="NVJ12" s="28"/>
      <c r="NVK12" s="11"/>
      <c r="NVL12" s="28"/>
      <c r="NVM12" s="11"/>
      <c r="NVN12" s="28"/>
      <c r="NVO12" s="11"/>
      <c r="NVP12" s="28"/>
      <c r="NVQ12" s="11"/>
      <c r="NVR12" s="28"/>
      <c r="NVS12" s="11"/>
      <c r="NVT12" s="28"/>
      <c r="NVU12" s="11"/>
      <c r="NVV12" s="28"/>
      <c r="NVW12" s="11"/>
      <c r="NVX12" s="28"/>
      <c r="NVY12" s="11"/>
      <c r="NVZ12" s="28"/>
      <c r="NWA12" s="11"/>
      <c r="NWB12" s="28"/>
      <c r="NWC12" s="11"/>
      <c r="NWD12" s="28"/>
      <c r="NWE12" s="11"/>
      <c r="NWF12" s="28"/>
      <c r="NWG12" s="11"/>
      <c r="NWH12" s="28"/>
      <c r="NWI12" s="11"/>
      <c r="NWJ12" s="28"/>
      <c r="NWK12" s="11"/>
      <c r="NWL12" s="28"/>
      <c r="NWM12" s="11"/>
      <c r="NWN12" s="28"/>
      <c r="NWO12" s="11"/>
      <c r="NWP12" s="28"/>
      <c r="NWQ12" s="11"/>
      <c r="NWR12" s="28"/>
      <c r="NWS12" s="11"/>
      <c r="NWT12" s="28"/>
      <c r="NWU12" s="11"/>
      <c r="NWV12" s="28"/>
      <c r="NWW12" s="11"/>
      <c r="NWX12" s="28"/>
      <c r="NWY12" s="11"/>
      <c r="NWZ12" s="28"/>
      <c r="NXA12" s="11"/>
      <c r="NXB12" s="28"/>
      <c r="NXC12" s="11"/>
      <c r="NXD12" s="28"/>
      <c r="NXE12" s="11"/>
      <c r="NXF12" s="28"/>
      <c r="NXG12" s="11"/>
      <c r="NXH12" s="28"/>
      <c r="NXI12" s="11"/>
      <c r="NXJ12" s="28"/>
      <c r="NXK12" s="11"/>
      <c r="NXL12" s="28"/>
      <c r="NXM12" s="11"/>
      <c r="NXN12" s="28"/>
      <c r="NXO12" s="11"/>
      <c r="NXP12" s="28"/>
      <c r="NXQ12" s="11"/>
      <c r="NXR12" s="28"/>
      <c r="NXS12" s="11"/>
      <c r="NXT12" s="28"/>
      <c r="NXU12" s="11"/>
      <c r="NXV12" s="28"/>
      <c r="NXW12" s="11"/>
      <c r="NXX12" s="28"/>
      <c r="NXY12" s="11"/>
      <c r="NXZ12" s="28"/>
      <c r="NYA12" s="11"/>
      <c r="NYB12" s="28"/>
      <c r="NYC12" s="11"/>
      <c r="NYD12" s="28"/>
      <c r="NYE12" s="11"/>
      <c r="NYF12" s="28"/>
      <c r="NYG12" s="11"/>
      <c r="NYH12" s="28"/>
      <c r="NYI12" s="11"/>
      <c r="NYJ12" s="28"/>
      <c r="NYK12" s="11"/>
      <c r="NYL12" s="28"/>
      <c r="NYM12" s="11"/>
      <c r="NYN12" s="28"/>
      <c r="NYO12" s="11"/>
      <c r="NYP12" s="28"/>
      <c r="NYQ12" s="11"/>
      <c r="NYR12" s="28"/>
      <c r="NYS12" s="11"/>
      <c r="NYT12" s="28"/>
      <c r="NYU12" s="11"/>
      <c r="NYV12" s="28"/>
      <c r="NYW12" s="11"/>
      <c r="NYX12" s="28"/>
      <c r="NYY12" s="11"/>
      <c r="NYZ12" s="28"/>
      <c r="NZA12" s="11"/>
      <c r="NZB12" s="28"/>
      <c r="NZC12" s="11"/>
      <c r="NZD12" s="28"/>
      <c r="NZE12" s="11"/>
      <c r="NZF12" s="28"/>
      <c r="NZG12" s="11"/>
      <c r="NZH12" s="28"/>
      <c r="NZI12" s="11"/>
      <c r="NZJ12" s="28"/>
      <c r="NZK12" s="11"/>
      <c r="NZL12" s="28"/>
      <c r="NZM12" s="11"/>
      <c r="NZN12" s="28"/>
      <c r="NZO12" s="11"/>
      <c r="NZP12" s="28"/>
      <c r="NZQ12" s="11"/>
      <c r="NZR12" s="28"/>
      <c r="NZS12" s="11"/>
      <c r="NZT12" s="28"/>
      <c r="NZU12" s="11"/>
      <c r="NZV12" s="28"/>
      <c r="NZW12" s="11"/>
      <c r="NZX12" s="28"/>
      <c r="NZY12" s="11"/>
      <c r="NZZ12" s="28"/>
      <c r="OAA12" s="11"/>
      <c r="OAB12" s="28"/>
      <c r="OAC12" s="11"/>
      <c r="OAD12" s="28"/>
      <c r="OAE12" s="11"/>
      <c r="OAF12" s="28"/>
      <c r="OAG12" s="11"/>
      <c r="OAH12" s="28"/>
      <c r="OAI12" s="11"/>
      <c r="OAJ12" s="28"/>
      <c r="OAK12" s="11"/>
      <c r="OAL12" s="28"/>
      <c r="OAM12" s="11"/>
      <c r="OAN12" s="28"/>
      <c r="OAO12" s="11"/>
      <c r="OAP12" s="28"/>
      <c r="OAQ12" s="11"/>
      <c r="OAR12" s="28"/>
      <c r="OAS12" s="11"/>
      <c r="OAT12" s="28"/>
      <c r="OAU12" s="11"/>
      <c r="OAV12" s="28"/>
      <c r="OAW12" s="11"/>
      <c r="OAX12" s="28"/>
      <c r="OAY12" s="11"/>
      <c r="OAZ12" s="28"/>
      <c r="OBA12" s="11"/>
      <c r="OBB12" s="28"/>
      <c r="OBC12" s="11"/>
      <c r="OBD12" s="28"/>
      <c r="OBE12" s="11"/>
      <c r="OBF12" s="28"/>
      <c r="OBG12" s="11"/>
      <c r="OBH12" s="28"/>
      <c r="OBI12" s="11"/>
      <c r="OBJ12" s="28"/>
      <c r="OBK12" s="11"/>
      <c r="OBL12" s="28"/>
      <c r="OBM12" s="11"/>
      <c r="OBN12" s="28"/>
      <c r="OBO12" s="11"/>
      <c r="OBP12" s="28"/>
      <c r="OBQ12" s="11"/>
      <c r="OBR12" s="28"/>
      <c r="OBS12" s="11"/>
      <c r="OBT12" s="28"/>
      <c r="OBU12" s="11"/>
      <c r="OBV12" s="28"/>
      <c r="OBW12" s="11"/>
      <c r="OBX12" s="28"/>
      <c r="OBY12" s="11"/>
      <c r="OBZ12" s="28"/>
      <c r="OCA12" s="11"/>
      <c r="OCB12" s="28"/>
      <c r="OCC12" s="11"/>
      <c r="OCD12" s="28"/>
      <c r="OCE12" s="11"/>
      <c r="OCF12" s="28"/>
      <c r="OCG12" s="11"/>
      <c r="OCH12" s="28"/>
      <c r="OCI12" s="11"/>
      <c r="OCJ12" s="28"/>
      <c r="OCK12" s="11"/>
      <c r="OCL12" s="28"/>
      <c r="OCM12" s="11"/>
      <c r="OCN12" s="28"/>
      <c r="OCO12" s="11"/>
      <c r="OCP12" s="28"/>
      <c r="OCQ12" s="11"/>
      <c r="OCR12" s="28"/>
      <c r="OCS12" s="11"/>
      <c r="OCT12" s="28"/>
      <c r="OCU12" s="11"/>
      <c r="OCV12" s="28"/>
      <c r="OCW12" s="11"/>
      <c r="OCX12" s="28"/>
      <c r="OCY12" s="11"/>
      <c r="OCZ12" s="28"/>
      <c r="ODA12" s="11"/>
      <c r="ODB12" s="28"/>
      <c r="ODC12" s="11"/>
      <c r="ODD12" s="28"/>
      <c r="ODE12" s="11"/>
      <c r="ODF12" s="28"/>
      <c r="ODG12" s="11"/>
      <c r="ODH12" s="28"/>
      <c r="ODI12" s="11"/>
      <c r="ODJ12" s="28"/>
      <c r="ODK12" s="11"/>
      <c r="ODL12" s="28"/>
      <c r="ODM12" s="11"/>
      <c r="ODN12" s="28"/>
      <c r="ODO12" s="11"/>
      <c r="ODP12" s="28"/>
      <c r="ODQ12" s="11"/>
      <c r="ODR12" s="28"/>
      <c r="ODS12" s="11"/>
      <c r="ODT12" s="28"/>
      <c r="ODU12" s="11"/>
      <c r="ODV12" s="28"/>
      <c r="ODW12" s="11"/>
      <c r="ODX12" s="28"/>
      <c r="ODY12" s="11"/>
      <c r="ODZ12" s="28"/>
      <c r="OEA12" s="11"/>
      <c r="OEB12" s="28"/>
      <c r="OEC12" s="11"/>
      <c r="OED12" s="28"/>
      <c r="OEE12" s="11"/>
      <c r="OEF12" s="28"/>
      <c r="OEG12" s="11"/>
      <c r="OEH12" s="28"/>
      <c r="OEI12" s="11"/>
      <c r="OEJ12" s="28"/>
      <c r="OEK12" s="11"/>
      <c r="OEL12" s="28"/>
      <c r="OEM12" s="11"/>
      <c r="OEN12" s="28"/>
      <c r="OEO12" s="11"/>
      <c r="OEP12" s="28"/>
      <c r="OEQ12" s="11"/>
      <c r="OER12" s="28"/>
      <c r="OES12" s="11"/>
      <c r="OET12" s="28"/>
      <c r="OEU12" s="11"/>
      <c r="OEV12" s="28"/>
      <c r="OEW12" s="11"/>
      <c r="OEX12" s="28"/>
      <c r="OEY12" s="11"/>
      <c r="OEZ12" s="28"/>
      <c r="OFA12" s="11"/>
      <c r="OFB12" s="28"/>
      <c r="OFC12" s="11"/>
      <c r="OFD12" s="28"/>
      <c r="OFE12" s="11"/>
      <c r="OFF12" s="28"/>
      <c r="OFG12" s="11"/>
      <c r="OFH12" s="28"/>
      <c r="OFI12" s="11"/>
      <c r="OFJ12" s="28"/>
      <c r="OFK12" s="11"/>
      <c r="OFL12" s="28"/>
      <c r="OFM12" s="11"/>
      <c r="OFN12" s="28"/>
      <c r="OFO12" s="11"/>
      <c r="OFP12" s="28"/>
      <c r="OFQ12" s="11"/>
      <c r="OFR12" s="28"/>
      <c r="OFS12" s="11"/>
      <c r="OFT12" s="28"/>
      <c r="OFU12" s="11"/>
      <c r="OFV12" s="28"/>
      <c r="OFW12" s="11"/>
      <c r="OFX12" s="28"/>
      <c r="OFY12" s="11"/>
      <c r="OFZ12" s="28"/>
      <c r="OGA12" s="11"/>
      <c r="OGB12" s="28"/>
      <c r="OGC12" s="11"/>
      <c r="OGD12" s="28"/>
      <c r="OGE12" s="11"/>
      <c r="OGF12" s="28"/>
      <c r="OGG12" s="11"/>
      <c r="OGH12" s="28"/>
      <c r="OGI12" s="11"/>
      <c r="OGJ12" s="28"/>
      <c r="OGK12" s="11"/>
      <c r="OGL12" s="28"/>
      <c r="OGM12" s="11"/>
      <c r="OGN12" s="28"/>
      <c r="OGO12" s="11"/>
      <c r="OGP12" s="28"/>
      <c r="OGQ12" s="11"/>
      <c r="OGR12" s="28"/>
      <c r="OGS12" s="11"/>
      <c r="OGT12" s="28"/>
      <c r="OGU12" s="11"/>
      <c r="OGV12" s="28"/>
      <c r="OGW12" s="11"/>
      <c r="OGX12" s="28"/>
      <c r="OGY12" s="11"/>
      <c r="OGZ12" s="28"/>
      <c r="OHA12" s="11"/>
      <c r="OHB12" s="28"/>
      <c r="OHC12" s="11"/>
      <c r="OHD12" s="28"/>
      <c r="OHE12" s="11"/>
      <c r="OHF12" s="28"/>
      <c r="OHG12" s="11"/>
      <c r="OHH12" s="28"/>
      <c r="OHI12" s="11"/>
      <c r="OHJ12" s="28"/>
      <c r="OHK12" s="11"/>
      <c r="OHL12" s="28"/>
      <c r="OHM12" s="11"/>
      <c r="OHN12" s="28"/>
      <c r="OHO12" s="11"/>
      <c r="OHP12" s="28"/>
      <c r="OHQ12" s="11"/>
      <c r="OHR12" s="28"/>
      <c r="OHS12" s="11"/>
      <c r="OHT12" s="28"/>
      <c r="OHU12" s="11"/>
      <c r="OHV12" s="28"/>
      <c r="OHW12" s="11"/>
      <c r="OHX12" s="28"/>
      <c r="OHY12" s="11"/>
      <c r="OHZ12" s="28"/>
      <c r="OIA12" s="11"/>
      <c r="OIB12" s="28"/>
      <c r="OIC12" s="11"/>
      <c r="OID12" s="28"/>
      <c r="OIE12" s="11"/>
      <c r="OIF12" s="28"/>
      <c r="OIG12" s="11"/>
      <c r="OIH12" s="28"/>
      <c r="OII12" s="11"/>
      <c r="OIJ12" s="28"/>
      <c r="OIK12" s="11"/>
      <c r="OIL12" s="28"/>
      <c r="OIM12" s="11"/>
      <c r="OIN12" s="28"/>
      <c r="OIO12" s="11"/>
      <c r="OIP12" s="28"/>
      <c r="OIQ12" s="11"/>
      <c r="OIR12" s="28"/>
      <c r="OIS12" s="11"/>
      <c r="OIT12" s="28"/>
      <c r="OIU12" s="11"/>
      <c r="OIV12" s="28"/>
      <c r="OIW12" s="11"/>
      <c r="OIX12" s="28"/>
      <c r="OIY12" s="11"/>
      <c r="OIZ12" s="28"/>
      <c r="OJA12" s="11"/>
      <c r="OJB12" s="28"/>
      <c r="OJC12" s="11"/>
      <c r="OJD12" s="28"/>
      <c r="OJE12" s="11"/>
      <c r="OJF12" s="28"/>
      <c r="OJG12" s="11"/>
      <c r="OJH12" s="28"/>
      <c r="OJI12" s="11"/>
      <c r="OJJ12" s="28"/>
      <c r="OJK12" s="11"/>
      <c r="OJL12" s="28"/>
      <c r="OJM12" s="11"/>
      <c r="OJN12" s="28"/>
      <c r="OJO12" s="11"/>
      <c r="OJP12" s="28"/>
      <c r="OJQ12" s="11"/>
      <c r="OJR12" s="28"/>
      <c r="OJS12" s="11"/>
      <c r="OJT12" s="28"/>
      <c r="OJU12" s="11"/>
      <c r="OJV12" s="28"/>
      <c r="OJW12" s="11"/>
      <c r="OJX12" s="28"/>
      <c r="OJY12" s="11"/>
      <c r="OJZ12" s="28"/>
      <c r="OKA12" s="11"/>
      <c r="OKB12" s="28"/>
      <c r="OKC12" s="11"/>
      <c r="OKD12" s="28"/>
      <c r="OKE12" s="11"/>
      <c r="OKF12" s="28"/>
      <c r="OKG12" s="11"/>
      <c r="OKH12" s="28"/>
      <c r="OKI12" s="11"/>
      <c r="OKJ12" s="28"/>
      <c r="OKK12" s="11"/>
      <c r="OKL12" s="28"/>
      <c r="OKM12" s="11"/>
      <c r="OKN12" s="28"/>
      <c r="OKO12" s="11"/>
      <c r="OKP12" s="28"/>
      <c r="OKQ12" s="11"/>
      <c r="OKR12" s="28"/>
      <c r="OKS12" s="11"/>
      <c r="OKT12" s="28"/>
      <c r="OKU12" s="11"/>
      <c r="OKV12" s="28"/>
      <c r="OKW12" s="11"/>
      <c r="OKX12" s="28"/>
      <c r="OKY12" s="11"/>
      <c r="OKZ12" s="28"/>
      <c r="OLA12" s="11"/>
      <c r="OLB12" s="28"/>
      <c r="OLC12" s="11"/>
      <c r="OLD12" s="28"/>
      <c r="OLE12" s="11"/>
      <c r="OLF12" s="28"/>
      <c r="OLG12" s="11"/>
      <c r="OLH12" s="28"/>
      <c r="OLI12" s="11"/>
      <c r="OLJ12" s="28"/>
      <c r="OLK12" s="11"/>
      <c r="OLL12" s="28"/>
      <c r="OLM12" s="11"/>
      <c r="OLN12" s="28"/>
      <c r="OLO12" s="11"/>
      <c r="OLP12" s="28"/>
      <c r="OLQ12" s="11"/>
      <c r="OLR12" s="28"/>
      <c r="OLS12" s="11"/>
      <c r="OLT12" s="28"/>
      <c r="OLU12" s="11"/>
      <c r="OLV12" s="28"/>
      <c r="OLW12" s="11"/>
      <c r="OLX12" s="28"/>
      <c r="OLY12" s="11"/>
      <c r="OLZ12" s="28"/>
      <c r="OMA12" s="11"/>
      <c r="OMB12" s="28"/>
      <c r="OMC12" s="11"/>
      <c r="OMD12" s="28"/>
      <c r="OME12" s="11"/>
      <c r="OMF12" s="28"/>
      <c r="OMG12" s="11"/>
      <c r="OMH12" s="28"/>
      <c r="OMI12" s="11"/>
      <c r="OMJ12" s="28"/>
      <c r="OMK12" s="11"/>
      <c r="OML12" s="28"/>
      <c r="OMM12" s="11"/>
      <c r="OMN12" s="28"/>
      <c r="OMO12" s="11"/>
      <c r="OMP12" s="28"/>
      <c r="OMQ12" s="11"/>
      <c r="OMR12" s="28"/>
      <c r="OMS12" s="11"/>
      <c r="OMT12" s="28"/>
      <c r="OMU12" s="11"/>
      <c r="OMV12" s="28"/>
      <c r="OMW12" s="11"/>
      <c r="OMX12" s="28"/>
      <c r="OMY12" s="11"/>
      <c r="OMZ12" s="28"/>
      <c r="ONA12" s="11"/>
      <c r="ONB12" s="28"/>
      <c r="ONC12" s="11"/>
      <c r="OND12" s="28"/>
      <c r="ONE12" s="11"/>
      <c r="ONF12" s="28"/>
      <c r="ONG12" s="11"/>
      <c r="ONH12" s="28"/>
      <c r="ONI12" s="11"/>
      <c r="ONJ12" s="28"/>
      <c r="ONK12" s="11"/>
      <c r="ONL12" s="28"/>
      <c r="ONM12" s="11"/>
      <c r="ONN12" s="28"/>
      <c r="ONO12" s="11"/>
      <c r="ONP12" s="28"/>
      <c r="ONQ12" s="11"/>
      <c r="ONR12" s="28"/>
      <c r="ONS12" s="11"/>
      <c r="ONT12" s="28"/>
      <c r="ONU12" s="11"/>
      <c r="ONV12" s="28"/>
      <c r="ONW12" s="11"/>
      <c r="ONX12" s="28"/>
      <c r="ONY12" s="11"/>
      <c r="ONZ12" s="28"/>
      <c r="OOA12" s="11"/>
      <c r="OOB12" s="28"/>
      <c r="OOC12" s="11"/>
      <c r="OOD12" s="28"/>
      <c r="OOE12" s="11"/>
      <c r="OOF12" s="28"/>
      <c r="OOG12" s="11"/>
      <c r="OOH12" s="28"/>
      <c r="OOI12" s="11"/>
      <c r="OOJ12" s="28"/>
      <c r="OOK12" s="11"/>
      <c r="OOL12" s="28"/>
      <c r="OOM12" s="11"/>
      <c r="OON12" s="28"/>
      <c r="OOO12" s="11"/>
      <c r="OOP12" s="28"/>
      <c r="OOQ12" s="11"/>
      <c r="OOR12" s="28"/>
      <c r="OOS12" s="11"/>
      <c r="OOT12" s="28"/>
      <c r="OOU12" s="11"/>
      <c r="OOV12" s="28"/>
      <c r="OOW12" s="11"/>
      <c r="OOX12" s="28"/>
      <c r="OOY12" s="11"/>
      <c r="OOZ12" s="28"/>
      <c r="OPA12" s="11"/>
      <c r="OPB12" s="28"/>
      <c r="OPC12" s="11"/>
      <c r="OPD12" s="28"/>
      <c r="OPE12" s="11"/>
      <c r="OPF12" s="28"/>
      <c r="OPG12" s="11"/>
      <c r="OPH12" s="28"/>
      <c r="OPI12" s="11"/>
      <c r="OPJ12" s="28"/>
      <c r="OPK12" s="11"/>
      <c r="OPL12" s="28"/>
      <c r="OPM12" s="11"/>
      <c r="OPN12" s="28"/>
      <c r="OPO12" s="11"/>
      <c r="OPP12" s="28"/>
      <c r="OPQ12" s="11"/>
      <c r="OPR12" s="28"/>
      <c r="OPS12" s="11"/>
      <c r="OPT12" s="28"/>
      <c r="OPU12" s="11"/>
      <c r="OPV12" s="28"/>
      <c r="OPW12" s="11"/>
      <c r="OPX12" s="28"/>
      <c r="OPY12" s="11"/>
      <c r="OPZ12" s="28"/>
      <c r="OQA12" s="11"/>
      <c r="OQB12" s="28"/>
      <c r="OQC12" s="11"/>
      <c r="OQD12" s="28"/>
      <c r="OQE12" s="11"/>
      <c r="OQF12" s="28"/>
      <c r="OQG12" s="11"/>
      <c r="OQH12" s="28"/>
      <c r="OQI12" s="11"/>
      <c r="OQJ12" s="28"/>
      <c r="OQK12" s="11"/>
      <c r="OQL12" s="28"/>
      <c r="OQM12" s="11"/>
      <c r="OQN12" s="28"/>
      <c r="OQO12" s="11"/>
      <c r="OQP12" s="28"/>
      <c r="OQQ12" s="11"/>
      <c r="OQR12" s="28"/>
      <c r="OQS12" s="11"/>
      <c r="OQT12" s="28"/>
      <c r="OQU12" s="11"/>
      <c r="OQV12" s="28"/>
      <c r="OQW12" s="11"/>
      <c r="OQX12" s="28"/>
      <c r="OQY12" s="11"/>
      <c r="OQZ12" s="28"/>
      <c r="ORA12" s="11"/>
      <c r="ORB12" s="28"/>
      <c r="ORC12" s="11"/>
      <c r="ORD12" s="28"/>
      <c r="ORE12" s="11"/>
      <c r="ORF12" s="28"/>
      <c r="ORG12" s="11"/>
      <c r="ORH12" s="28"/>
      <c r="ORI12" s="11"/>
      <c r="ORJ12" s="28"/>
      <c r="ORK12" s="11"/>
      <c r="ORL12" s="28"/>
      <c r="ORM12" s="11"/>
      <c r="ORN12" s="28"/>
      <c r="ORO12" s="11"/>
      <c r="ORP12" s="28"/>
      <c r="ORQ12" s="11"/>
      <c r="ORR12" s="28"/>
      <c r="ORS12" s="11"/>
      <c r="ORT12" s="28"/>
      <c r="ORU12" s="11"/>
      <c r="ORV12" s="28"/>
      <c r="ORW12" s="11"/>
      <c r="ORX12" s="28"/>
      <c r="ORY12" s="11"/>
      <c r="ORZ12" s="28"/>
      <c r="OSA12" s="11"/>
      <c r="OSB12" s="28"/>
      <c r="OSC12" s="11"/>
      <c r="OSD12" s="28"/>
      <c r="OSE12" s="11"/>
      <c r="OSF12" s="28"/>
      <c r="OSG12" s="11"/>
      <c r="OSH12" s="28"/>
      <c r="OSI12" s="11"/>
      <c r="OSJ12" s="28"/>
      <c r="OSK12" s="11"/>
      <c r="OSL12" s="28"/>
      <c r="OSM12" s="11"/>
      <c r="OSN12" s="28"/>
      <c r="OSO12" s="11"/>
      <c r="OSP12" s="28"/>
      <c r="OSQ12" s="11"/>
      <c r="OSR12" s="28"/>
      <c r="OSS12" s="11"/>
      <c r="OST12" s="28"/>
      <c r="OSU12" s="11"/>
      <c r="OSV12" s="28"/>
      <c r="OSW12" s="11"/>
      <c r="OSX12" s="28"/>
      <c r="OSY12" s="11"/>
      <c r="OSZ12" s="28"/>
      <c r="OTA12" s="11"/>
      <c r="OTB12" s="28"/>
      <c r="OTC12" s="11"/>
      <c r="OTD12" s="28"/>
      <c r="OTE12" s="11"/>
      <c r="OTF12" s="28"/>
      <c r="OTG12" s="11"/>
      <c r="OTH12" s="28"/>
      <c r="OTI12" s="11"/>
      <c r="OTJ12" s="28"/>
      <c r="OTK12" s="11"/>
      <c r="OTL12" s="28"/>
      <c r="OTM12" s="11"/>
      <c r="OTN12" s="28"/>
      <c r="OTO12" s="11"/>
      <c r="OTP12" s="28"/>
      <c r="OTQ12" s="11"/>
      <c r="OTR12" s="28"/>
      <c r="OTS12" s="11"/>
      <c r="OTT12" s="28"/>
      <c r="OTU12" s="11"/>
      <c r="OTV12" s="28"/>
      <c r="OTW12" s="11"/>
      <c r="OTX12" s="28"/>
      <c r="OTY12" s="11"/>
      <c r="OTZ12" s="28"/>
      <c r="OUA12" s="11"/>
      <c r="OUB12" s="28"/>
      <c r="OUC12" s="11"/>
      <c r="OUD12" s="28"/>
      <c r="OUE12" s="11"/>
      <c r="OUF12" s="28"/>
      <c r="OUG12" s="11"/>
      <c r="OUH12" s="28"/>
      <c r="OUI12" s="11"/>
      <c r="OUJ12" s="28"/>
      <c r="OUK12" s="11"/>
      <c r="OUL12" s="28"/>
      <c r="OUM12" s="11"/>
      <c r="OUN12" s="28"/>
      <c r="OUO12" s="11"/>
      <c r="OUP12" s="28"/>
      <c r="OUQ12" s="11"/>
      <c r="OUR12" s="28"/>
      <c r="OUS12" s="11"/>
      <c r="OUT12" s="28"/>
      <c r="OUU12" s="11"/>
      <c r="OUV12" s="28"/>
      <c r="OUW12" s="11"/>
      <c r="OUX12" s="28"/>
      <c r="OUY12" s="11"/>
      <c r="OUZ12" s="28"/>
      <c r="OVA12" s="11"/>
      <c r="OVB12" s="28"/>
      <c r="OVC12" s="11"/>
      <c r="OVD12" s="28"/>
      <c r="OVE12" s="11"/>
      <c r="OVF12" s="28"/>
      <c r="OVG12" s="11"/>
      <c r="OVH12" s="28"/>
      <c r="OVI12" s="11"/>
      <c r="OVJ12" s="28"/>
      <c r="OVK12" s="11"/>
      <c r="OVL12" s="28"/>
      <c r="OVM12" s="11"/>
      <c r="OVN12" s="28"/>
      <c r="OVO12" s="11"/>
      <c r="OVP12" s="28"/>
      <c r="OVQ12" s="11"/>
      <c r="OVR12" s="28"/>
      <c r="OVS12" s="11"/>
      <c r="OVT12" s="28"/>
      <c r="OVU12" s="11"/>
      <c r="OVV12" s="28"/>
      <c r="OVW12" s="11"/>
      <c r="OVX12" s="28"/>
      <c r="OVY12" s="11"/>
      <c r="OVZ12" s="28"/>
      <c r="OWA12" s="11"/>
      <c r="OWB12" s="28"/>
      <c r="OWC12" s="11"/>
      <c r="OWD12" s="28"/>
      <c r="OWE12" s="11"/>
      <c r="OWF12" s="28"/>
      <c r="OWG12" s="11"/>
      <c r="OWH12" s="28"/>
      <c r="OWI12" s="11"/>
      <c r="OWJ12" s="28"/>
      <c r="OWK12" s="11"/>
      <c r="OWL12" s="28"/>
      <c r="OWM12" s="11"/>
      <c r="OWN12" s="28"/>
      <c r="OWO12" s="11"/>
      <c r="OWP12" s="28"/>
      <c r="OWQ12" s="11"/>
      <c r="OWR12" s="28"/>
      <c r="OWS12" s="11"/>
      <c r="OWT12" s="28"/>
      <c r="OWU12" s="11"/>
      <c r="OWV12" s="28"/>
      <c r="OWW12" s="11"/>
      <c r="OWX12" s="28"/>
      <c r="OWY12" s="11"/>
      <c r="OWZ12" s="28"/>
      <c r="OXA12" s="11"/>
      <c r="OXB12" s="28"/>
      <c r="OXC12" s="11"/>
      <c r="OXD12" s="28"/>
      <c r="OXE12" s="11"/>
      <c r="OXF12" s="28"/>
      <c r="OXG12" s="11"/>
      <c r="OXH12" s="28"/>
      <c r="OXI12" s="11"/>
      <c r="OXJ12" s="28"/>
      <c r="OXK12" s="11"/>
      <c r="OXL12" s="28"/>
      <c r="OXM12" s="11"/>
      <c r="OXN12" s="28"/>
      <c r="OXO12" s="11"/>
      <c r="OXP12" s="28"/>
      <c r="OXQ12" s="11"/>
      <c r="OXR12" s="28"/>
      <c r="OXS12" s="11"/>
      <c r="OXT12" s="28"/>
      <c r="OXU12" s="11"/>
      <c r="OXV12" s="28"/>
      <c r="OXW12" s="11"/>
      <c r="OXX12" s="28"/>
      <c r="OXY12" s="11"/>
      <c r="OXZ12" s="28"/>
      <c r="OYA12" s="11"/>
      <c r="OYB12" s="28"/>
      <c r="OYC12" s="11"/>
      <c r="OYD12" s="28"/>
      <c r="OYE12" s="11"/>
      <c r="OYF12" s="28"/>
      <c r="OYG12" s="11"/>
      <c r="OYH12" s="28"/>
      <c r="OYI12" s="11"/>
      <c r="OYJ12" s="28"/>
      <c r="OYK12" s="11"/>
      <c r="OYL12" s="28"/>
      <c r="OYM12" s="11"/>
      <c r="OYN12" s="28"/>
      <c r="OYO12" s="11"/>
      <c r="OYP12" s="28"/>
      <c r="OYQ12" s="11"/>
      <c r="OYR12" s="28"/>
      <c r="OYS12" s="11"/>
      <c r="OYT12" s="28"/>
      <c r="OYU12" s="11"/>
      <c r="OYV12" s="28"/>
      <c r="OYW12" s="11"/>
      <c r="OYX12" s="28"/>
      <c r="OYY12" s="11"/>
      <c r="OYZ12" s="28"/>
      <c r="OZA12" s="11"/>
      <c r="OZB12" s="28"/>
      <c r="OZC12" s="11"/>
      <c r="OZD12" s="28"/>
      <c r="OZE12" s="11"/>
      <c r="OZF12" s="28"/>
      <c r="OZG12" s="11"/>
      <c r="OZH12" s="28"/>
      <c r="OZI12" s="11"/>
      <c r="OZJ12" s="28"/>
      <c r="OZK12" s="11"/>
      <c r="OZL12" s="28"/>
      <c r="OZM12" s="11"/>
      <c r="OZN12" s="28"/>
      <c r="OZO12" s="11"/>
      <c r="OZP12" s="28"/>
      <c r="OZQ12" s="11"/>
      <c r="OZR12" s="28"/>
      <c r="OZS12" s="11"/>
      <c r="OZT12" s="28"/>
      <c r="OZU12" s="11"/>
      <c r="OZV12" s="28"/>
      <c r="OZW12" s="11"/>
      <c r="OZX12" s="28"/>
      <c r="OZY12" s="11"/>
      <c r="OZZ12" s="28"/>
      <c r="PAA12" s="11"/>
      <c r="PAB12" s="28"/>
      <c r="PAC12" s="11"/>
      <c r="PAD12" s="28"/>
      <c r="PAE12" s="11"/>
      <c r="PAF12" s="28"/>
      <c r="PAG12" s="11"/>
      <c r="PAH12" s="28"/>
      <c r="PAI12" s="11"/>
      <c r="PAJ12" s="28"/>
      <c r="PAK12" s="11"/>
      <c r="PAL12" s="28"/>
      <c r="PAM12" s="11"/>
      <c r="PAN12" s="28"/>
      <c r="PAO12" s="11"/>
      <c r="PAP12" s="28"/>
      <c r="PAQ12" s="11"/>
      <c r="PAR12" s="28"/>
      <c r="PAS12" s="11"/>
      <c r="PAT12" s="28"/>
      <c r="PAU12" s="11"/>
      <c r="PAV12" s="28"/>
      <c r="PAW12" s="11"/>
      <c r="PAX12" s="28"/>
      <c r="PAY12" s="11"/>
      <c r="PAZ12" s="28"/>
      <c r="PBA12" s="11"/>
      <c r="PBB12" s="28"/>
      <c r="PBC12" s="11"/>
      <c r="PBD12" s="28"/>
      <c r="PBE12" s="11"/>
      <c r="PBF12" s="28"/>
      <c r="PBG12" s="11"/>
      <c r="PBH12" s="28"/>
      <c r="PBI12" s="11"/>
      <c r="PBJ12" s="28"/>
      <c r="PBK12" s="11"/>
      <c r="PBL12" s="28"/>
      <c r="PBM12" s="11"/>
      <c r="PBN12" s="28"/>
      <c r="PBO12" s="11"/>
      <c r="PBP12" s="28"/>
      <c r="PBQ12" s="11"/>
      <c r="PBR12" s="28"/>
      <c r="PBS12" s="11"/>
      <c r="PBT12" s="28"/>
      <c r="PBU12" s="11"/>
      <c r="PBV12" s="28"/>
      <c r="PBW12" s="11"/>
      <c r="PBX12" s="28"/>
      <c r="PBY12" s="11"/>
      <c r="PBZ12" s="28"/>
      <c r="PCA12" s="11"/>
      <c r="PCB12" s="28"/>
      <c r="PCC12" s="11"/>
      <c r="PCD12" s="28"/>
      <c r="PCE12" s="11"/>
      <c r="PCF12" s="28"/>
      <c r="PCG12" s="11"/>
      <c r="PCH12" s="28"/>
      <c r="PCI12" s="11"/>
      <c r="PCJ12" s="28"/>
      <c r="PCK12" s="11"/>
      <c r="PCL12" s="28"/>
      <c r="PCM12" s="11"/>
      <c r="PCN12" s="28"/>
      <c r="PCO12" s="11"/>
      <c r="PCP12" s="28"/>
      <c r="PCQ12" s="11"/>
      <c r="PCR12" s="28"/>
      <c r="PCS12" s="11"/>
      <c r="PCT12" s="28"/>
      <c r="PCU12" s="11"/>
      <c r="PCV12" s="28"/>
      <c r="PCW12" s="11"/>
      <c r="PCX12" s="28"/>
      <c r="PCY12" s="11"/>
      <c r="PCZ12" s="28"/>
      <c r="PDA12" s="11"/>
      <c r="PDB12" s="28"/>
      <c r="PDC12" s="11"/>
      <c r="PDD12" s="28"/>
      <c r="PDE12" s="11"/>
      <c r="PDF12" s="28"/>
      <c r="PDG12" s="11"/>
      <c r="PDH12" s="28"/>
      <c r="PDI12" s="11"/>
      <c r="PDJ12" s="28"/>
      <c r="PDK12" s="11"/>
      <c r="PDL12" s="28"/>
      <c r="PDM12" s="11"/>
      <c r="PDN12" s="28"/>
      <c r="PDO12" s="11"/>
      <c r="PDP12" s="28"/>
      <c r="PDQ12" s="11"/>
      <c r="PDR12" s="28"/>
      <c r="PDS12" s="11"/>
      <c r="PDT12" s="28"/>
      <c r="PDU12" s="11"/>
      <c r="PDV12" s="28"/>
      <c r="PDW12" s="11"/>
      <c r="PDX12" s="28"/>
      <c r="PDY12" s="11"/>
      <c r="PDZ12" s="28"/>
      <c r="PEA12" s="11"/>
      <c r="PEB12" s="28"/>
      <c r="PEC12" s="11"/>
      <c r="PED12" s="28"/>
      <c r="PEE12" s="11"/>
      <c r="PEF12" s="28"/>
      <c r="PEG12" s="11"/>
      <c r="PEH12" s="28"/>
      <c r="PEI12" s="11"/>
      <c r="PEJ12" s="28"/>
      <c r="PEK12" s="11"/>
      <c r="PEL12" s="28"/>
      <c r="PEM12" s="11"/>
      <c r="PEN12" s="28"/>
      <c r="PEO12" s="11"/>
      <c r="PEP12" s="28"/>
      <c r="PEQ12" s="11"/>
      <c r="PER12" s="28"/>
      <c r="PES12" s="11"/>
      <c r="PET12" s="28"/>
      <c r="PEU12" s="11"/>
      <c r="PEV12" s="28"/>
      <c r="PEW12" s="11"/>
      <c r="PEX12" s="28"/>
      <c r="PEY12" s="11"/>
      <c r="PEZ12" s="28"/>
      <c r="PFA12" s="11"/>
      <c r="PFB12" s="28"/>
      <c r="PFC12" s="11"/>
      <c r="PFD12" s="28"/>
      <c r="PFE12" s="11"/>
      <c r="PFF12" s="28"/>
      <c r="PFG12" s="11"/>
      <c r="PFH12" s="28"/>
      <c r="PFI12" s="11"/>
      <c r="PFJ12" s="28"/>
      <c r="PFK12" s="11"/>
      <c r="PFL12" s="28"/>
      <c r="PFM12" s="11"/>
      <c r="PFN12" s="28"/>
      <c r="PFO12" s="11"/>
      <c r="PFP12" s="28"/>
      <c r="PFQ12" s="11"/>
      <c r="PFR12" s="28"/>
      <c r="PFS12" s="11"/>
      <c r="PFT12" s="28"/>
      <c r="PFU12" s="11"/>
      <c r="PFV12" s="28"/>
      <c r="PFW12" s="11"/>
      <c r="PFX12" s="28"/>
      <c r="PFY12" s="11"/>
      <c r="PFZ12" s="28"/>
      <c r="PGA12" s="11"/>
      <c r="PGB12" s="28"/>
      <c r="PGC12" s="11"/>
      <c r="PGD12" s="28"/>
      <c r="PGE12" s="11"/>
      <c r="PGF12" s="28"/>
      <c r="PGG12" s="11"/>
      <c r="PGH12" s="28"/>
      <c r="PGI12" s="11"/>
      <c r="PGJ12" s="28"/>
      <c r="PGK12" s="11"/>
      <c r="PGL12" s="28"/>
      <c r="PGM12" s="11"/>
      <c r="PGN12" s="28"/>
      <c r="PGO12" s="11"/>
      <c r="PGP12" s="28"/>
      <c r="PGQ12" s="11"/>
      <c r="PGR12" s="28"/>
      <c r="PGS12" s="11"/>
      <c r="PGT12" s="28"/>
      <c r="PGU12" s="11"/>
      <c r="PGV12" s="28"/>
      <c r="PGW12" s="11"/>
      <c r="PGX12" s="28"/>
      <c r="PGY12" s="11"/>
      <c r="PGZ12" s="28"/>
      <c r="PHA12" s="11"/>
      <c r="PHB12" s="28"/>
      <c r="PHC12" s="11"/>
      <c r="PHD12" s="28"/>
      <c r="PHE12" s="11"/>
      <c r="PHF12" s="28"/>
      <c r="PHG12" s="11"/>
      <c r="PHH12" s="28"/>
      <c r="PHI12" s="11"/>
      <c r="PHJ12" s="28"/>
      <c r="PHK12" s="11"/>
      <c r="PHL12" s="28"/>
      <c r="PHM12" s="11"/>
      <c r="PHN12" s="28"/>
      <c r="PHO12" s="11"/>
      <c r="PHP12" s="28"/>
      <c r="PHQ12" s="11"/>
      <c r="PHR12" s="28"/>
      <c r="PHS12" s="11"/>
      <c r="PHT12" s="28"/>
      <c r="PHU12" s="11"/>
      <c r="PHV12" s="28"/>
      <c r="PHW12" s="11"/>
      <c r="PHX12" s="28"/>
      <c r="PHY12" s="11"/>
      <c r="PHZ12" s="28"/>
      <c r="PIA12" s="11"/>
      <c r="PIB12" s="28"/>
      <c r="PIC12" s="11"/>
      <c r="PID12" s="28"/>
      <c r="PIE12" s="11"/>
      <c r="PIF12" s="28"/>
      <c r="PIG12" s="11"/>
      <c r="PIH12" s="28"/>
      <c r="PII12" s="11"/>
      <c r="PIJ12" s="28"/>
      <c r="PIK12" s="11"/>
      <c r="PIL12" s="28"/>
      <c r="PIM12" s="11"/>
      <c r="PIN12" s="28"/>
      <c r="PIO12" s="11"/>
      <c r="PIP12" s="28"/>
      <c r="PIQ12" s="11"/>
      <c r="PIR12" s="28"/>
      <c r="PIS12" s="11"/>
      <c r="PIT12" s="28"/>
      <c r="PIU12" s="11"/>
      <c r="PIV12" s="28"/>
      <c r="PIW12" s="11"/>
      <c r="PIX12" s="28"/>
      <c r="PIY12" s="11"/>
      <c r="PIZ12" s="28"/>
      <c r="PJA12" s="11"/>
      <c r="PJB12" s="28"/>
      <c r="PJC12" s="11"/>
      <c r="PJD12" s="28"/>
      <c r="PJE12" s="11"/>
      <c r="PJF12" s="28"/>
      <c r="PJG12" s="11"/>
      <c r="PJH12" s="28"/>
      <c r="PJI12" s="11"/>
      <c r="PJJ12" s="28"/>
      <c r="PJK12" s="11"/>
      <c r="PJL12" s="28"/>
      <c r="PJM12" s="11"/>
      <c r="PJN12" s="28"/>
      <c r="PJO12" s="11"/>
      <c r="PJP12" s="28"/>
      <c r="PJQ12" s="11"/>
      <c r="PJR12" s="28"/>
      <c r="PJS12" s="11"/>
      <c r="PJT12" s="28"/>
      <c r="PJU12" s="11"/>
      <c r="PJV12" s="28"/>
      <c r="PJW12" s="11"/>
      <c r="PJX12" s="28"/>
      <c r="PJY12" s="11"/>
      <c r="PJZ12" s="28"/>
      <c r="PKA12" s="11"/>
      <c r="PKB12" s="28"/>
      <c r="PKC12" s="11"/>
      <c r="PKD12" s="28"/>
      <c r="PKE12" s="11"/>
      <c r="PKF12" s="28"/>
      <c r="PKG12" s="11"/>
      <c r="PKH12" s="28"/>
      <c r="PKI12" s="11"/>
      <c r="PKJ12" s="28"/>
      <c r="PKK12" s="11"/>
      <c r="PKL12" s="28"/>
      <c r="PKM12" s="11"/>
      <c r="PKN12" s="28"/>
      <c r="PKO12" s="11"/>
      <c r="PKP12" s="28"/>
      <c r="PKQ12" s="11"/>
      <c r="PKR12" s="28"/>
      <c r="PKS12" s="11"/>
      <c r="PKT12" s="28"/>
      <c r="PKU12" s="11"/>
      <c r="PKV12" s="28"/>
      <c r="PKW12" s="11"/>
      <c r="PKX12" s="28"/>
      <c r="PKY12" s="11"/>
      <c r="PKZ12" s="28"/>
      <c r="PLA12" s="11"/>
      <c r="PLB12" s="28"/>
      <c r="PLC12" s="11"/>
      <c r="PLD12" s="28"/>
      <c r="PLE12" s="11"/>
      <c r="PLF12" s="28"/>
      <c r="PLG12" s="11"/>
      <c r="PLH12" s="28"/>
      <c r="PLI12" s="11"/>
      <c r="PLJ12" s="28"/>
      <c r="PLK12" s="11"/>
      <c r="PLL12" s="28"/>
      <c r="PLM12" s="11"/>
      <c r="PLN12" s="28"/>
      <c r="PLO12" s="11"/>
      <c r="PLP12" s="28"/>
      <c r="PLQ12" s="11"/>
      <c r="PLR12" s="28"/>
      <c r="PLS12" s="11"/>
      <c r="PLT12" s="28"/>
      <c r="PLU12" s="11"/>
      <c r="PLV12" s="28"/>
      <c r="PLW12" s="11"/>
      <c r="PLX12" s="28"/>
      <c r="PLY12" s="11"/>
      <c r="PLZ12" s="28"/>
      <c r="PMA12" s="11"/>
      <c r="PMB12" s="28"/>
      <c r="PMC12" s="11"/>
      <c r="PMD12" s="28"/>
      <c r="PME12" s="11"/>
      <c r="PMF12" s="28"/>
      <c r="PMG12" s="11"/>
      <c r="PMH12" s="28"/>
      <c r="PMI12" s="11"/>
      <c r="PMJ12" s="28"/>
      <c r="PMK12" s="11"/>
      <c r="PML12" s="28"/>
      <c r="PMM12" s="11"/>
      <c r="PMN12" s="28"/>
      <c r="PMO12" s="11"/>
      <c r="PMP12" s="28"/>
      <c r="PMQ12" s="11"/>
      <c r="PMR12" s="28"/>
      <c r="PMS12" s="11"/>
      <c r="PMT12" s="28"/>
      <c r="PMU12" s="11"/>
      <c r="PMV12" s="28"/>
      <c r="PMW12" s="11"/>
      <c r="PMX12" s="28"/>
      <c r="PMY12" s="11"/>
      <c r="PMZ12" s="28"/>
      <c r="PNA12" s="11"/>
      <c r="PNB12" s="28"/>
      <c r="PNC12" s="11"/>
      <c r="PND12" s="28"/>
      <c r="PNE12" s="11"/>
      <c r="PNF12" s="28"/>
      <c r="PNG12" s="11"/>
      <c r="PNH12" s="28"/>
      <c r="PNI12" s="11"/>
      <c r="PNJ12" s="28"/>
      <c r="PNK12" s="11"/>
      <c r="PNL12" s="28"/>
      <c r="PNM12" s="11"/>
      <c r="PNN12" s="28"/>
      <c r="PNO12" s="11"/>
      <c r="PNP12" s="28"/>
      <c r="PNQ12" s="11"/>
      <c r="PNR12" s="28"/>
      <c r="PNS12" s="11"/>
      <c r="PNT12" s="28"/>
      <c r="PNU12" s="11"/>
      <c r="PNV12" s="28"/>
      <c r="PNW12" s="11"/>
      <c r="PNX12" s="28"/>
      <c r="PNY12" s="11"/>
      <c r="PNZ12" s="28"/>
      <c r="POA12" s="11"/>
      <c r="POB12" s="28"/>
      <c r="POC12" s="11"/>
      <c r="POD12" s="28"/>
      <c r="POE12" s="11"/>
      <c r="POF12" s="28"/>
      <c r="POG12" s="11"/>
      <c r="POH12" s="28"/>
      <c r="POI12" s="11"/>
      <c r="POJ12" s="28"/>
      <c r="POK12" s="11"/>
      <c r="POL12" s="28"/>
      <c r="POM12" s="11"/>
      <c r="PON12" s="28"/>
      <c r="POO12" s="11"/>
      <c r="POP12" s="28"/>
      <c r="POQ12" s="11"/>
      <c r="POR12" s="28"/>
      <c r="POS12" s="11"/>
      <c r="POT12" s="28"/>
      <c r="POU12" s="11"/>
      <c r="POV12" s="28"/>
      <c r="POW12" s="11"/>
      <c r="POX12" s="28"/>
      <c r="POY12" s="11"/>
      <c r="POZ12" s="28"/>
      <c r="PPA12" s="11"/>
      <c r="PPB12" s="28"/>
      <c r="PPC12" s="11"/>
      <c r="PPD12" s="28"/>
      <c r="PPE12" s="11"/>
      <c r="PPF12" s="28"/>
      <c r="PPG12" s="11"/>
      <c r="PPH12" s="28"/>
      <c r="PPI12" s="11"/>
      <c r="PPJ12" s="28"/>
      <c r="PPK12" s="11"/>
      <c r="PPL12" s="28"/>
      <c r="PPM12" s="11"/>
      <c r="PPN12" s="28"/>
      <c r="PPO12" s="11"/>
      <c r="PPP12" s="28"/>
      <c r="PPQ12" s="11"/>
      <c r="PPR12" s="28"/>
      <c r="PPS12" s="11"/>
      <c r="PPT12" s="28"/>
      <c r="PPU12" s="11"/>
      <c r="PPV12" s="28"/>
      <c r="PPW12" s="11"/>
      <c r="PPX12" s="28"/>
      <c r="PPY12" s="11"/>
      <c r="PPZ12" s="28"/>
      <c r="PQA12" s="11"/>
      <c r="PQB12" s="28"/>
      <c r="PQC12" s="11"/>
      <c r="PQD12" s="28"/>
      <c r="PQE12" s="11"/>
      <c r="PQF12" s="28"/>
      <c r="PQG12" s="11"/>
      <c r="PQH12" s="28"/>
      <c r="PQI12" s="11"/>
      <c r="PQJ12" s="28"/>
      <c r="PQK12" s="11"/>
      <c r="PQL12" s="28"/>
      <c r="PQM12" s="11"/>
      <c r="PQN12" s="28"/>
      <c r="PQO12" s="11"/>
      <c r="PQP12" s="28"/>
      <c r="PQQ12" s="11"/>
      <c r="PQR12" s="28"/>
      <c r="PQS12" s="11"/>
      <c r="PQT12" s="28"/>
      <c r="PQU12" s="11"/>
      <c r="PQV12" s="28"/>
      <c r="PQW12" s="11"/>
      <c r="PQX12" s="28"/>
      <c r="PQY12" s="11"/>
      <c r="PQZ12" s="28"/>
      <c r="PRA12" s="11"/>
      <c r="PRB12" s="28"/>
      <c r="PRC12" s="11"/>
      <c r="PRD12" s="28"/>
      <c r="PRE12" s="11"/>
      <c r="PRF12" s="28"/>
      <c r="PRG12" s="11"/>
      <c r="PRH12" s="28"/>
      <c r="PRI12" s="11"/>
      <c r="PRJ12" s="28"/>
      <c r="PRK12" s="11"/>
      <c r="PRL12" s="28"/>
      <c r="PRM12" s="11"/>
      <c r="PRN12" s="28"/>
      <c r="PRO12" s="11"/>
      <c r="PRP12" s="28"/>
      <c r="PRQ12" s="11"/>
      <c r="PRR12" s="28"/>
      <c r="PRS12" s="11"/>
      <c r="PRT12" s="28"/>
      <c r="PRU12" s="11"/>
      <c r="PRV12" s="28"/>
      <c r="PRW12" s="11"/>
      <c r="PRX12" s="28"/>
      <c r="PRY12" s="11"/>
      <c r="PRZ12" s="28"/>
      <c r="PSA12" s="11"/>
      <c r="PSB12" s="28"/>
      <c r="PSC12" s="11"/>
      <c r="PSD12" s="28"/>
      <c r="PSE12" s="11"/>
      <c r="PSF12" s="28"/>
      <c r="PSG12" s="11"/>
      <c r="PSH12" s="28"/>
      <c r="PSI12" s="11"/>
      <c r="PSJ12" s="28"/>
      <c r="PSK12" s="11"/>
      <c r="PSL12" s="28"/>
      <c r="PSM12" s="11"/>
      <c r="PSN12" s="28"/>
      <c r="PSO12" s="11"/>
      <c r="PSP12" s="28"/>
      <c r="PSQ12" s="11"/>
      <c r="PSR12" s="28"/>
      <c r="PSS12" s="11"/>
      <c r="PST12" s="28"/>
      <c r="PSU12" s="11"/>
      <c r="PSV12" s="28"/>
      <c r="PSW12" s="11"/>
      <c r="PSX12" s="28"/>
      <c r="PSY12" s="11"/>
      <c r="PSZ12" s="28"/>
      <c r="PTA12" s="11"/>
      <c r="PTB12" s="28"/>
      <c r="PTC12" s="11"/>
      <c r="PTD12" s="28"/>
      <c r="PTE12" s="11"/>
      <c r="PTF12" s="28"/>
      <c r="PTG12" s="11"/>
      <c r="PTH12" s="28"/>
      <c r="PTI12" s="11"/>
      <c r="PTJ12" s="28"/>
      <c r="PTK12" s="11"/>
      <c r="PTL12" s="28"/>
      <c r="PTM12" s="11"/>
      <c r="PTN12" s="28"/>
      <c r="PTO12" s="11"/>
      <c r="PTP12" s="28"/>
      <c r="PTQ12" s="11"/>
      <c r="PTR12" s="28"/>
      <c r="PTS12" s="11"/>
      <c r="PTT12" s="28"/>
      <c r="PTU12" s="11"/>
      <c r="PTV12" s="28"/>
      <c r="PTW12" s="11"/>
      <c r="PTX12" s="28"/>
      <c r="PTY12" s="11"/>
      <c r="PTZ12" s="28"/>
      <c r="PUA12" s="11"/>
      <c r="PUB12" s="28"/>
      <c r="PUC12" s="11"/>
      <c r="PUD12" s="28"/>
      <c r="PUE12" s="11"/>
      <c r="PUF12" s="28"/>
      <c r="PUG12" s="11"/>
      <c r="PUH12" s="28"/>
      <c r="PUI12" s="11"/>
      <c r="PUJ12" s="28"/>
      <c r="PUK12" s="11"/>
      <c r="PUL12" s="28"/>
      <c r="PUM12" s="11"/>
      <c r="PUN12" s="28"/>
      <c r="PUO12" s="11"/>
      <c r="PUP12" s="28"/>
      <c r="PUQ12" s="11"/>
      <c r="PUR12" s="28"/>
      <c r="PUS12" s="11"/>
      <c r="PUT12" s="28"/>
      <c r="PUU12" s="11"/>
      <c r="PUV12" s="28"/>
      <c r="PUW12" s="11"/>
      <c r="PUX12" s="28"/>
      <c r="PUY12" s="11"/>
      <c r="PUZ12" s="28"/>
      <c r="PVA12" s="11"/>
      <c r="PVB12" s="28"/>
      <c r="PVC12" s="11"/>
      <c r="PVD12" s="28"/>
      <c r="PVE12" s="11"/>
      <c r="PVF12" s="28"/>
      <c r="PVG12" s="11"/>
      <c r="PVH12" s="28"/>
      <c r="PVI12" s="11"/>
      <c r="PVJ12" s="28"/>
      <c r="PVK12" s="11"/>
      <c r="PVL12" s="28"/>
      <c r="PVM12" s="11"/>
      <c r="PVN12" s="28"/>
      <c r="PVO12" s="11"/>
      <c r="PVP12" s="28"/>
      <c r="PVQ12" s="11"/>
      <c r="PVR12" s="28"/>
      <c r="PVS12" s="11"/>
      <c r="PVT12" s="28"/>
      <c r="PVU12" s="11"/>
      <c r="PVV12" s="28"/>
      <c r="PVW12" s="11"/>
      <c r="PVX12" s="28"/>
      <c r="PVY12" s="11"/>
      <c r="PVZ12" s="28"/>
      <c r="PWA12" s="11"/>
      <c r="PWB12" s="28"/>
      <c r="PWC12" s="11"/>
      <c r="PWD12" s="28"/>
      <c r="PWE12" s="11"/>
      <c r="PWF12" s="28"/>
      <c r="PWG12" s="11"/>
      <c r="PWH12" s="28"/>
      <c r="PWI12" s="11"/>
      <c r="PWJ12" s="28"/>
      <c r="PWK12" s="11"/>
      <c r="PWL12" s="28"/>
      <c r="PWM12" s="11"/>
      <c r="PWN12" s="28"/>
      <c r="PWO12" s="11"/>
      <c r="PWP12" s="28"/>
      <c r="PWQ12" s="11"/>
      <c r="PWR12" s="28"/>
      <c r="PWS12" s="11"/>
      <c r="PWT12" s="28"/>
      <c r="PWU12" s="11"/>
      <c r="PWV12" s="28"/>
      <c r="PWW12" s="11"/>
      <c r="PWX12" s="28"/>
      <c r="PWY12" s="11"/>
      <c r="PWZ12" s="28"/>
      <c r="PXA12" s="11"/>
      <c r="PXB12" s="28"/>
      <c r="PXC12" s="11"/>
      <c r="PXD12" s="28"/>
      <c r="PXE12" s="11"/>
      <c r="PXF12" s="28"/>
      <c r="PXG12" s="11"/>
      <c r="PXH12" s="28"/>
      <c r="PXI12" s="11"/>
      <c r="PXJ12" s="28"/>
      <c r="PXK12" s="11"/>
      <c r="PXL12" s="28"/>
      <c r="PXM12" s="11"/>
      <c r="PXN12" s="28"/>
      <c r="PXO12" s="11"/>
      <c r="PXP12" s="28"/>
      <c r="PXQ12" s="11"/>
      <c r="PXR12" s="28"/>
      <c r="PXS12" s="11"/>
      <c r="PXT12" s="28"/>
      <c r="PXU12" s="11"/>
      <c r="PXV12" s="28"/>
      <c r="PXW12" s="11"/>
      <c r="PXX12" s="28"/>
      <c r="PXY12" s="11"/>
      <c r="PXZ12" s="28"/>
      <c r="PYA12" s="11"/>
      <c r="PYB12" s="28"/>
      <c r="PYC12" s="11"/>
      <c r="PYD12" s="28"/>
      <c r="PYE12" s="11"/>
      <c r="PYF12" s="28"/>
      <c r="PYG12" s="11"/>
      <c r="PYH12" s="28"/>
      <c r="PYI12" s="11"/>
      <c r="PYJ12" s="28"/>
      <c r="PYK12" s="11"/>
      <c r="PYL12" s="28"/>
      <c r="PYM12" s="11"/>
      <c r="PYN12" s="28"/>
      <c r="PYO12" s="11"/>
      <c r="PYP12" s="28"/>
      <c r="PYQ12" s="11"/>
      <c r="PYR12" s="28"/>
      <c r="PYS12" s="11"/>
      <c r="PYT12" s="28"/>
      <c r="PYU12" s="11"/>
      <c r="PYV12" s="28"/>
      <c r="PYW12" s="11"/>
      <c r="PYX12" s="28"/>
      <c r="PYY12" s="11"/>
      <c r="PYZ12" s="28"/>
      <c r="PZA12" s="11"/>
      <c r="PZB12" s="28"/>
      <c r="PZC12" s="11"/>
      <c r="PZD12" s="28"/>
      <c r="PZE12" s="11"/>
      <c r="PZF12" s="28"/>
      <c r="PZG12" s="11"/>
      <c r="PZH12" s="28"/>
      <c r="PZI12" s="11"/>
      <c r="PZJ12" s="28"/>
      <c r="PZK12" s="11"/>
      <c r="PZL12" s="28"/>
      <c r="PZM12" s="11"/>
      <c r="PZN12" s="28"/>
      <c r="PZO12" s="11"/>
      <c r="PZP12" s="28"/>
      <c r="PZQ12" s="11"/>
      <c r="PZR12" s="28"/>
      <c r="PZS12" s="11"/>
      <c r="PZT12" s="28"/>
      <c r="PZU12" s="11"/>
      <c r="PZV12" s="28"/>
      <c r="PZW12" s="11"/>
      <c r="PZX12" s="28"/>
      <c r="PZY12" s="11"/>
      <c r="PZZ12" s="28"/>
      <c r="QAA12" s="11"/>
      <c r="QAB12" s="28"/>
      <c r="QAC12" s="11"/>
      <c r="QAD12" s="28"/>
      <c r="QAE12" s="11"/>
      <c r="QAF12" s="28"/>
      <c r="QAG12" s="11"/>
      <c r="QAH12" s="28"/>
      <c r="QAI12" s="11"/>
      <c r="QAJ12" s="28"/>
      <c r="QAK12" s="11"/>
      <c r="QAL12" s="28"/>
      <c r="QAM12" s="11"/>
      <c r="QAN12" s="28"/>
      <c r="QAO12" s="11"/>
      <c r="QAP12" s="28"/>
      <c r="QAQ12" s="11"/>
      <c r="QAR12" s="28"/>
      <c r="QAS12" s="11"/>
      <c r="QAT12" s="28"/>
      <c r="QAU12" s="11"/>
      <c r="QAV12" s="28"/>
      <c r="QAW12" s="11"/>
      <c r="QAX12" s="28"/>
      <c r="QAY12" s="11"/>
      <c r="QAZ12" s="28"/>
      <c r="QBA12" s="11"/>
      <c r="QBB12" s="28"/>
      <c r="QBC12" s="11"/>
      <c r="QBD12" s="28"/>
      <c r="QBE12" s="11"/>
      <c r="QBF12" s="28"/>
      <c r="QBG12" s="11"/>
      <c r="QBH12" s="28"/>
      <c r="QBI12" s="11"/>
      <c r="QBJ12" s="28"/>
      <c r="QBK12" s="11"/>
      <c r="QBL12" s="28"/>
      <c r="QBM12" s="11"/>
      <c r="QBN12" s="28"/>
      <c r="QBO12" s="11"/>
      <c r="QBP12" s="28"/>
      <c r="QBQ12" s="11"/>
      <c r="QBR12" s="28"/>
      <c r="QBS12" s="11"/>
      <c r="QBT12" s="28"/>
      <c r="QBU12" s="11"/>
      <c r="QBV12" s="28"/>
      <c r="QBW12" s="11"/>
      <c r="QBX12" s="28"/>
      <c r="QBY12" s="11"/>
      <c r="QBZ12" s="28"/>
      <c r="QCA12" s="11"/>
      <c r="QCB12" s="28"/>
      <c r="QCC12" s="11"/>
      <c r="QCD12" s="28"/>
      <c r="QCE12" s="11"/>
      <c r="QCF12" s="28"/>
      <c r="QCG12" s="11"/>
      <c r="QCH12" s="28"/>
      <c r="QCI12" s="11"/>
      <c r="QCJ12" s="28"/>
      <c r="QCK12" s="11"/>
      <c r="QCL12" s="28"/>
      <c r="QCM12" s="11"/>
      <c r="QCN12" s="28"/>
      <c r="QCO12" s="11"/>
      <c r="QCP12" s="28"/>
      <c r="QCQ12" s="11"/>
      <c r="QCR12" s="28"/>
      <c r="QCS12" s="11"/>
      <c r="QCT12" s="28"/>
      <c r="QCU12" s="11"/>
      <c r="QCV12" s="28"/>
      <c r="QCW12" s="11"/>
      <c r="QCX12" s="28"/>
      <c r="QCY12" s="11"/>
      <c r="QCZ12" s="28"/>
      <c r="QDA12" s="11"/>
      <c r="QDB12" s="28"/>
      <c r="QDC12" s="11"/>
      <c r="QDD12" s="28"/>
      <c r="QDE12" s="11"/>
      <c r="QDF12" s="28"/>
      <c r="QDG12" s="11"/>
      <c r="QDH12" s="28"/>
      <c r="QDI12" s="11"/>
      <c r="QDJ12" s="28"/>
      <c r="QDK12" s="11"/>
      <c r="QDL12" s="28"/>
      <c r="QDM12" s="11"/>
      <c r="QDN12" s="28"/>
      <c r="QDO12" s="11"/>
      <c r="QDP12" s="28"/>
      <c r="QDQ12" s="11"/>
      <c r="QDR12" s="28"/>
      <c r="QDS12" s="11"/>
      <c r="QDT12" s="28"/>
      <c r="QDU12" s="11"/>
      <c r="QDV12" s="28"/>
      <c r="QDW12" s="11"/>
      <c r="QDX12" s="28"/>
      <c r="QDY12" s="11"/>
      <c r="QDZ12" s="28"/>
      <c r="QEA12" s="11"/>
      <c r="QEB12" s="28"/>
      <c r="QEC12" s="11"/>
      <c r="QED12" s="28"/>
      <c r="QEE12" s="11"/>
      <c r="QEF12" s="28"/>
      <c r="QEG12" s="11"/>
      <c r="QEH12" s="28"/>
      <c r="QEI12" s="11"/>
      <c r="QEJ12" s="28"/>
      <c r="QEK12" s="11"/>
      <c r="QEL12" s="28"/>
      <c r="QEM12" s="11"/>
      <c r="QEN12" s="28"/>
      <c r="QEO12" s="11"/>
      <c r="QEP12" s="28"/>
      <c r="QEQ12" s="11"/>
      <c r="QER12" s="28"/>
      <c r="QES12" s="11"/>
      <c r="QET12" s="28"/>
      <c r="QEU12" s="11"/>
      <c r="QEV12" s="28"/>
      <c r="QEW12" s="11"/>
      <c r="QEX12" s="28"/>
      <c r="QEY12" s="11"/>
      <c r="QEZ12" s="28"/>
      <c r="QFA12" s="11"/>
      <c r="QFB12" s="28"/>
      <c r="QFC12" s="11"/>
      <c r="QFD12" s="28"/>
      <c r="QFE12" s="11"/>
      <c r="QFF12" s="28"/>
      <c r="QFG12" s="11"/>
      <c r="QFH12" s="28"/>
      <c r="QFI12" s="11"/>
      <c r="QFJ12" s="28"/>
      <c r="QFK12" s="11"/>
      <c r="QFL12" s="28"/>
      <c r="QFM12" s="11"/>
      <c r="QFN12" s="28"/>
      <c r="QFO12" s="11"/>
      <c r="QFP12" s="28"/>
      <c r="QFQ12" s="11"/>
      <c r="QFR12" s="28"/>
      <c r="QFS12" s="11"/>
      <c r="QFT12" s="28"/>
      <c r="QFU12" s="11"/>
      <c r="QFV12" s="28"/>
      <c r="QFW12" s="11"/>
      <c r="QFX12" s="28"/>
      <c r="QFY12" s="11"/>
      <c r="QFZ12" s="28"/>
      <c r="QGA12" s="11"/>
      <c r="QGB12" s="28"/>
      <c r="QGC12" s="11"/>
      <c r="QGD12" s="28"/>
      <c r="QGE12" s="11"/>
      <c r="QGF12" s="28"/>
      <c r="QGG12" s="11"/>
      <c r="QGH12" s="28"/>
      <c r="QGI12" s="11"/>
      <c r="QGJ12" s="28"/>
      <c r="QGK12" s="11"/>
      <c r="QGL12" s="28"/>
      <c r="QGM12" s="11"/>
      <c r="QGN12" s="28"/>
      <c r="QGO12" s="11"/>
      <c r="QGP12" s="28"/>
      <c r="QGQ12" s="11"/>
      <c r="QGR12" s="28"/>
      <c r="QGS12" s="11"/>
      <c r="QGT12" s="28"/>
      <c r="QGU12" s="11"/>
      <c r="QGV12" s="28"/>
      <c r="QGW12" s="11"/>
      <c r="QGX12" s="28"/>
      <c r="QGY12" s="11"/>
      <c r="QGZ12" s="28"/>
      <c r="QHA12" s="11"/>
      <c r="QHB12" s="28"/>
      <c r="QHC12" s="11"/>
      <c r="QHD12" s="28"/>
      <c r="QHE12" s="11"/>
      <c r="QHF12" s="28"/>
      <c r="QHG12" s="11"/>
      <c r="QHH12" s="28"/>
      <c r="QHI12" s="11"/>
      <c r="QHJ12" s="28"/>
      <c r="QHK12" s="11"/>
      <c r="QHL12" s="28"/>
      <c r="QHM12" s="11"/>
      <c r="QHN12" s="28"/>
      <c r="QHO12" s="11"/>
      <c r="QHP12" s="28"/>
      <c r="QHQ12" s="11"/>
      <c r="QHR12" s="28"/>
      <c r="QHS12" s="11"/>
      <c r="QHT12" s="28"/>
      <c r="QHU12" s="11"/>
      <c r="QHV12" s="28"/>
      <c r="QHW12" s="11"/>
      <c r="QHX12" s="28"/>
      <c r="QHY12" s="11"/>
      <c r="QHZ12" s="28"/>
      <c r="QIA12" s="11"/>
      <c r="QIB12" s="28"/>
      <c r="QIC12" s="11"/>
      <c r="QID12" s="28"/>
      <c r="QIE12" s="11"/>
      <c r="QIF12" s="28"/>
      <c r="QIG12" s="11"/>
      <c r="QIH12" s="28"/>
      <c r="QII12" s="11"/>
      <c r="QIJ12" s="28"/>
      <c r="QIK12" s="11"/>
      <c r="QIL12" s="28"/>
      <c r="QIM12" s="11"/>
      <c r="QIN12" s="28"/>
      <c r="QIO12" s="11"/>
      <c r="QIP12" s="28"/>
      <c r="QIQ12" s="11"/>
      <c r="QIR12" s="28"/>
      <c r="QIS12" s="11"/>
      <c r="QIT12" s="28"/>
      <c r="QIU12" s="11"/>
      <c r="QIV12" s="28"/>
      <c r="QIW12" s="11"/>
      <c r="QIX12" s="28"/>
      <c r="QIY12" s="11"/>
      <c r="QIZ12" s="28"/>
      <c r="QJA12" s="11"/>
      <c r="QJB12" s="28"/>
      <c r="QJC12" s="11"/>
      <c r="QJD12" s="28"/>
      <c r="QJE12" s="11"/>
      <c r="QJF12" s="28"/>
      <c r="QJG12" s="11"/>
      <c r="QJH12" s="28"/>
      <c r="QJI12" s="11"/>
      <c r="QJJ12" s="28"/>
      <c r="QJK12" s="11"/>
      <c r="QJL12" s="28"/>
      <c r="QJM12" s="11"/>
      <c r="QJN12" s="28"/>
      <c r="QJO12" s="11"/>
      <c r="QJP12" s="28"/>
      <c r="QJQ12" s="11"/>
      <c r="QJR12" s="28"/>
      <c r="QJS12" s="11"/>
      <c r="QJT12" s="28"/>
      <c r="QJU12" s="11"/>
      <c r="QJV12" s="28"/>
      <c r="QJW12" s="11"/>
      <c r="QJX12" s="28"/>
      <c r="QJY12" s="11"/>
      <c r="QJZ12" s="28"/>
      <c r="QKA12" s="11"/>
      <c r="QKB12" s="28"/>
      <c r="QKC12" s="11"/>
      <c r="QKD12" s="28"/>
      <c r="QKE12" s="11"/>
      <c r="QKF12" s="28"/>
      <c r="QKG12" s="11"/>
      <c r="QKH12" s="28"/>
      <c r="QKI12" s="11"/>
      <c r="QKJ12" s="28"/>
      <c r="QKK12" s="11"/>
      <c r="QKL12" s="28"/>
      <c r="QKM12" s="11"/>
      <c r="QKN12" s="28"/>
      <c r="QKO12" s="11"/>
      <c r="QKP12" s="28"/>
      <c r="QKQ12" s="11"/>
      <c r="QKR12" s="28"/>
      <c r="QKS12" s="11"/>
      <c r="QKT12" s="28"/>
      <c r="QKU12" s="11"/>
      <c r="QKV12" s="28"/>
      <c r="QKW12" s="11"/>
      <c r="QKX12" s="28"/>
      <c r="QKY12" s="11"/>
      <c r="QKZ12" s="28"/>
      <c r="QLA12" s="11"/>
      <c r="QLB12" s="28"/>
      <c r="QLC12" s="11"/>
      <c r="QLD12" s="28"/>
      <c r="QLE12" s="11"/>
      <c r="QLF12" s="28"/>
      <c r="QLG12" s="11"/>
      <c r="QLH12" s="28"/>
      <c r="QLI12" s="11"/>
      <c r="QLJ12" s="28"/>
      <c r="QLK12" s="11"/>
      <c r="QLL12" s="28"/>
      <c r="QLM12" s="11"/>
      <c r="QLN12" s="28"/>
      <c r="QLO12" s="11"/>
      <c r="QLP12" s="28"/>
      <c r="QLQ12" s="11"/>
      <c r="QLR12" s="28"/>
      <c r="QLS12" s="11"/>
      <c r="QLT12" s="28"/>
      <c r="QLU12" s="11"/>
      <c r="QLV12" s="28"/>
      <c r="QLW12" s="11"/>
      <c r="QLX12" s="28"/>
      <c r="QLY12" s="11"/>
      <c r="QLZ12" s="28"/>
      <c r="QMA12" s="11"/>
      <c r="QMB12" s="28"/>
      <c r="QMC12" s="11"/>
      <c r="QMD12" s="28"/>
      <c r="QME12" s="11"/>
      <c r="QMF12" s="28"/>
      <c r="QMG12" s="11"/>
      <c r="QMH12" s="28"/>
      <c r="QMI12" s="11"/>
      <c r="QMJ12" s="28"/>
      <c r="QMK12" s="11"/>
      <c r="QML12" s="28"/>
      <c r="QMM12" s="11"/>
      <c r="QMN12" s="28"/>
      <c r="QMO12" s="11"/>
      <c r="QMP12" s="28"/>
      <c r="QMQ12" s="11"/>
      <c r="QMR12" s="28"/>
      <c r="QMS12" s="11"/>
      <c r="QMT12" s="28"/>
      <c r="QMU12" s="11"/>
      <c r="QMV12" s="28"/>
      <c r="QMW12" s="11"/>
      <c r="QMX12" s="28"/>
      <c r="QMY12" s="11"/>
      <c r="QMZ12" s="28"/>
      <c r="QNA12" s="11"/>
      <c r="QNB12" s="28"/>
      <c r="QNC12" s="11"/>
      <c r="QND12" s="28"/>
      <c r="QNE12" s="11"/>
      <c r="QNF12" s="28"/>
      <c r="QNG12" s="11"/>
      <c r="QNH12" s="28"/>
      <c r="QNI12" s="11"/>
      <c r="QNJ12" s="28"/>
      <c r="QNK12" s="11"/>
      <c r="QNL12" s="28"/>
      <c r="QNM12" s="11"/>
      <c r="QNN12" s="28"/>
      <c r="QNO12" s="11"/>
      <c r="QNP12" s="28"/>
      <c r="QNQ12" s="11"/>
      <c r="QNR12" s="28"/>
      <c r="QNS12" s="11"/>
      <c r="QNT12" s="28"/>
      <c r="QNU12" s="11"/>
      <c r="QNV12" s="28"/>
      <c r="QNW12" s="11"/>
      <c r="QNX12" s="28"/>
      <c r="QNY12" s="11"/>
      <c r="QNZ12" s="28"/>
      <c r="QOA12" s="11"/>
      <c r="QOB12" s="28"/>
      <c r="QOC12" s="11"/>
      <c r="QOD12" s="28"/>
      <c r="QOE12" s="11"/>
      <c r="QOF12" s="28"/>
      <c r="QOG12" s="11"/>
      <c r="QOH12" s="28"/>
      <c r="QOI12" s="11"/>
      <c r="QOJ12" s="28"/>
      <c r="QOK12" s="11"/>
      <c r="QOL12" s="28"/>
      <c r="QOM12" s="11"/>
      <c r="QON12" s="28"/>
      <c r="QOO12" s="11"/>
      <c r="QOP12" s="28"/>
      <c r="QOQ12" s="11"/>
      <c r="QOR12" s="28"/>
      <c r="QOS12" s="11"/>
      <c r="QOT12" s="28"/>
      <c r="QOU12" s="11"/>
      <c r="QOV12" s="28"/>
      <c r="QOW12" s="11"/>
      <c r="QOX12" s="28"/>
      <c r="QOY12" s="11"/>
      <c r="QOZ12" s="28"/>
      <c r="QPA12" s="11"/>
      <c r="QPB12" s="28"/>
      <c r="QPC12" s="11"/>
      <c r="QPD12" s="28"/>
      <c r="QPE12" s="11"/>
      <c r="QPF12" s="28"/>
      <c r="QPG12" s="11"/>
      <c r="QPH12" s="28"/>
      <c r="QPI12" s="11"/>
      <c r="QPJ12" s="28"/>
      <c r="QPK12" s="11"/>
      <c r="QPL12" s="28"/>
      <c r="QPM12" s="11"/>
      <c r="QPN12" s="28"/>
      <c r="QPO12" s="11"/>
      <c r="QPP12" s="28"/>
      <c r="QPQ12" s="11"/>
      <c r="QPR12" s="28"/>
      <c r="QPS12" s="11"/>
      <c r="QPT12" s="28"/>
      <c r="QPU12" s="11"/>
      <c r="QPV12" s="28"/>
      <c r="QPW12" s="11"/>
      <c r="QPX12" s="28"/>
      <c r="QPY12" s="11"/>
      <c r="QPZ12" s="28"/>
      <c r="QQA12" s="11"/>
      <c r="QQB12" s="28"/>
      <c r="QQC12" s="11"/>
      <c r="QQD12" s="28"/>
      <c r="QQE12" s="11"/>
      <c r="QQF12" s="28"/>
      <c r="QQG12" s="11"/>
      <c r="QQH12" s="28"/>
      <c r="QQI12" s="11"/>
      <c r="QQJ12" s="28"/>
      <c r="QQK12" s="11"/>
      <c r="QQL12" s="28"/>
      <c r="QQM12" s="11"/>
      <c r="QQN12" s="28"/>
      <c r="QQO12" s="11"/>
      <c r="QQP12" s="28"/>
      <c r="QQQ12" s="11"/>
      <c r="QQR12" s="28"/>
      <c r="QQS12" s="11"/>
      <c r="QQT12" s="28"/>
      <c r="QQU12" s="11"/>
      <c r="QQV12" s="28"/>
      <c r="QQW12" s="11"/>
      <c r="QQX12" s="28"/>
      <c r="QQY12" s="11"/>
      <c r="QQZ12" s="28"/>
      <c r="QRA12" s="11"/>
      <c r="QRB12" s="28"/>
      <c r="QRC12" s="11"/>
      <c r="QRD12" s="28"/>
      <c r="QRE12" s="11"/>
      <c r="QRF12" s="28"/>
      <c r="QRG12" s="11"/>
      <c r="QRH12" s="28"/>
      <c r="QRI12" s="11"/>
      <c r="QRJ12" s="28"/>
      <c r="QRK12" s="11"/>
      <c r="QRL12" s="28"/>
      <c r="QRM12" s="11"/>
      <c r="QRN12" s="28"/>
      <c r="QRO12" s="11"/>
      <c r="QRP12" s="28"/>
      <c r="QRQ12" s="11"/>
      <c r="QRR12" s="28"/>
      <c r="QRS12" s="11"/>
      <c r="QRT12" s="28"/>
      <c r="QRU12" s="11"/>
      <c r="QRV12" s="28"/>
      <c r="QRW12" s="11"/>
      <c r="QRX12" s="28"/>
      <c r="QRY12" s="11"/>
      <c r="QRZ12" s="28"/>
      <c r="QSA12" s="11"/>
      <c r="QSB12" s="28"/>
      <c r="QSC12" s="11"/>
      <c r="QSD12" s="28"/>
      <c r="QSE12" s="11"/>
      <c r="QSF12" s="28"/>
      <c r="QSG12" s="11"/>
      <c r="QSH12" s="28"/>
      <c r="QSI12" s="11"/>
      <c r="QSJ12" s="28"/>
      <c r="QSK12" s="11"/>
      <c r="QSL12" s="28"/>
      <c r="QSM12" s="11"/>
      <c r="QSN12" s="28"/>
      <c r="QSO12" s="11"/>
      <c r="QSP12" s="28"/>
      <c r="QSQ12" s="11"/>
      <c r="QSR12" s="28"/>
      <c r="QSS12" s="11"/>
      <c r="QST12" s="28"/>
      <c r="QSU12" s="11"/>
      <c r="QSV12" s="28"/>
      <c r="QSW12" s="11"/>
      <c r="QSX12" s="28"/>
      <c r="QSY12" s="11"/>
      <c r="QSZ12" s="28"/>
      <c r="QTA12" s="11"/>
      <c r="QTB12" s="28"/>
      <c r="QTC12" s="11"/>
      <c r="QTD12" s="28"/>
      <c r="QTE12" s="11"/>
      <c r="QTF12" s="28"/>
      <c r="QTG12" s="11"/>
      <c r="QTH12" s="28"/>
      <c r="QTI12" s="11"/>
      <c r="QTJ12" s="28"/>
      <c r="QTK12" s="11"/>
      <c r="QTL12" s="28"/>
      <c r="QTM12" s="11"/>
      <c r="QTN12" s="28"/>
      <c r="QTO12" s="11"/>
      <c r="QTP12" s="28"/>
      <c r="QTQ12" s="11"/>
      <c r="QTR12" s="28"/>
      <c r="QTS12" s="11"/>
      <c r="QTT12" s="28"/>
      <c r="QTU12" s="11"/>
      <c r="QTV12" s="28"/>
      <c r="QTW12" s="11"/>
      <c r="QTX12" s="28"/>
      <c r="QTY12" s="11"/>
      <c r="QTZ12" s="28"/>
      <c r="QUA12" s="11"/>
      <c r="QUB12" s="28"/>
      <c r="QUC12" s="11"/>
      <c r="QUD12" s="28"/>
      <c r="QUE12" s="11"/>
      <c r="QUF12" s="28"/>
      <c r="QUG12" s="11"/>
      <c r="QUH12" s="28"/>
      <c r="QUI12" s="11"/>
      <c r="QUJ12" s="28"/>
      <c r="QUK12" s="11"/>
      <c r="QUL12" s="28"/>
      <c r="QUM12" s="11"/>
      <c r="QUN12" s="28"/>
      <c r="QUO12" s="11"/>
      <c r="QUP12" s="28"/>
      <c r="QUQ12" s="11"/>
      <c r="QUR12" s="28"/>
      <c r="QUS12" s="11"/>
      <c r="QUT12" s="28"/>
      <c r="QUU12" s="11"/>
      <c r="QUV12" s="28"/>
      <c r="QUW12" s="11"/>
      <c r="QUX12" s="28"/>
      <c r="QUY12" s="11"/>
      <c r="QUZ12" s="28"/>
      <c r="QVA12" s="11"/>
      <c r="QVB12" s="28"/>
      <c r="QVC12" s="11"/>
      <c r="QVD12" s="28"/>
      <c r="QVE12" s="11"/>
      <c r="QVF12" s="28"/>
      <c r="QVG12" s="11"/>
      <c r="QVH12" s="28"/>
      <c r="QVI12" s="11"/>
      <c r="QVJ12" s="28"/>
      <c r="QVK12" s="11"/>
      <c r="QVL12" s="28"/>
      <c r="QVM12" s="11"/>
      <c r="QVN12" s="28"/>
      <c r="QVO12" s="11"/>
      <c r="QVP12" s="28"/>
      <c r="QVQ12" s="11"/>
      <c r="QVR12" s="28"/>
      <c r="QVS12" s="11"/>
      <c r="QVT12" s="28"/>
      <c r="QVU12" s="11"/>
      <c r="QVV12" s="28"/>
      <c r="QVW12" s="11"/>
      <c r="QVX12" s="28"/>
      <c r="QVY12" s="11"/>
      <c r="QVZ12" s="28"/>
      <c r="QWA12" s="11"/>
      <c r="QWB12" s="28"/>
      <c r="QWC12" s="11"/>
      <c r="QWD12" s="28"/>
      <c r="QWE12" s="11"/>
      <c r="QWF12" s="28"/>
      <c r="QWG12" s="11"/>
      <c r="QWH12" s="28"/>
      <c r="QWI12" s="11"/>
      <c r="QWJ12" s="28"/>
      <c r="QWK12" s="11"/>
      <c r="QWL12" s="28"/>
      <c r="QWM12" s="11"/>
      <c r="QWN12" s="28"/>
      <c r="QWO12" s="11"/>
      <c r="QWP12" s="28"/>
      <c r="QWQ12" s="11"/>
      <c r="QWR12" s="28"/>
      <c r="QWS12" s="11"/>
      <c r="QWT12" s="28"/>
      <c r="QWU12" s="11"/>
      <c r="QWV12" s="28"/>
      <c r="QWW12" s="11"/>
      <c r="QWX12" s="28"/>
      <c r="QWY12" s="11"/>
      <c r="QWZ12" s="28"/>
      <c r="QXA12" s="11"/>
      <c r="QXB12" s="28"/>
      <c r="QXC12" s="11"/>
      <c r="QXD12" s="28"/>
      <c r="QXE12" s="11"/>
      <c r="QXF12" s="28"/>
      <c r="QXG12" s="11"/>
      <c r="QXH12" s="28"/>
      <c r="QXI12" s="11"/>
      <c r="QXJ12" s="28"/>
      <c r="QXK12" s="11"/>
      <c r="QXL12" s="28"/>
      <c r="QXM12" s="11"/>
      <c r="QXN12" s="28"/>
      <c r="QXO12" s="11"/>
      <c r="QXP12" s="28"/>
      <c r="QXQ12" s="11"/>
      <c r="QXR12" s="28"/>
      <c r="QXS12" s="11"/>
      <c r="QXT12" s="28"/>
      <c r="QXU12" s="11"/>
      <c r="QXV12" s="28"/>
      <c r="QXW12" s="11"/>
      <c r="QXX12" s="28"/>
      <c r="QXY12" s="11"/>
      <c r="QXZ12" s="28"/>
      <c r="QYA12" s="11"/>
      <c r="QYB12" s="28"/>
      <c r="QYC12" s="11"/>
      <c r="QYD12" s="28"/>
      <c r="QYE12" s="11"/>
      <c r="QYF12" s="28"/>
      <c r="QYG12" s="11"/>
      <c r="QYH12" s="28"/>
      <c r="QYI12" s="11"/>
      <c r="QYJ12" s="28"/>
      <c r="QYK12" s="11"/>
      <c r="QYL12" s="28"/>
      <c r="QYM12" s="11"/>
      <c r="QYN12" s="28"/>
      <c r="QYO12" s="11"/>
      <c r="QYP12" s="28"/>
      <c r="QYQ12" s="11"/>
      <c r="QYR12" s="28"/>
      <c r="QYS12" s="11"/>
      <c r="QYT12" s="28"/>
      <c r="QYU12" s="11"/>
      <c r="QYV12" s="28"/>
      <c r="QYW12" s="11"/>
      <c r="QYX12" s="28"/>
      <c r="QYY12" s="11"/>
      <c r="QYZ12" s="28"/>
      <c r="QZA12" s="11"/>
      <c r="QZB12" s="28"/>
      <c r="QZC12" s="11"/>
      <c r="QZD12" s="28"/>
      <c r="QZE12" s="11"/>
      <c r="QZF12" s="28"/>
      <c r="QZG12" s="11"/>
      <c r="QZH12" s="28"/>
      <c r="QZI12" s="11"/>
      <c r="QZJ12" s="28"/>
      <c r="QZK12" s="11"/>
      <c r="QZL12" s="28"/>
      <c r="QZM12" s="11"/>
      <c r="QZN12" s="28"/>
      <c r="QZO12" s="11"/>
      <c r="QZP12" s="28"/>
      <c r="QZQ12" s="11"/>
      <c r="QZR12" s="28"/>
      <c r="QZS12" s="11"/>
      <c r="QZT12" s="28"/>
      <c r="QZU12" s="11"/>
      <c r="QZV12" s="28"/>
      <c r="QZW12" s="11"/>
      <c r="QZX12" s="28"/>
      <c r="QZY12" s="11"/>
      <c r="QZZ12" s="28"/>
      <c r="RAA12" s="11"/>
      <c r="RAB12" s="28"/>
      <c r="RAC12" s="11"/>
      <c r="RAD12" s="28"/>
      <c r="RAE12" s="11"/>
      <c r="RAF12" s="28"/>
      <c r="RAG12" s="11"/>
      <c r="RAH12" s="28"/>
      <c r="RAI12" s="11"/>
      <c r="RAJ12" s="28"/>
      <c r="RAK12" s="11"/>
      <c r="RAL12" s="28"/>
      <c r="RAM12" s="11"/>
      <c r="RAN12" s="28"/>
      <c r="RAO12" s="11"/>
      <c r="RAP12" s="28"/>
      <c r="RAQ12" s="11"/>
      <c r="RAR12" s="28"/>
      <c r="RAS12" s="11"/>
      <c r="RAT12" s="28"/>
      <c r="RAU12" s="11"/>
      <c r="RAV12" s="28"/>
      <c r="RAW12" s="11"/>
      <c r="RAX12" s="28"/>
      <c r="RAY12" s="11"/>
      <c r="RAZ12" s="28"/>
      <c r="RBA12" s="11"/>
      <c r="RBB12" s="28"/>
      <c r="RBC12" s="11"/>
      <c r="RBD12" s="28"/>
      <c r="RBE12" s="11"/>
      <c r="RBF12" s="28"/>
      <c r="RBG12" s="11"/>
      <c r="RBH12" s="28"/>
      <c r="RBI12" s="11"/>
      <c r="RBJ12" s="28"/>
      <c r="RBK12" s="11"/>
      <c r="RBL12" s="28"/>
      <c r="RBM12" s="11"/>
      <c r="RBN12" s="28"/>
      <c r="RBO12" s="11"/>
      <c r="RBP12" s="28"/>
      <c r="RBQ12" s="11"/>
      <c r="RBR12" s="28"/>
      <c r="RBS12" s="11"/>
      <c r="RBT12" s="28"/>
      <c r="RBU12" s="11"/>
      <c r="RBV12" s="28"/>
      <c r="RBW12" s="11"/>
      <c r="RBX12" s="28"/>
      <c r="RBY12" s="11"/>
      <c r="RBZ12" s="28"/>
      <c r="RCA12" s="11"/>
      <c r="RCB12" s="28"/>
      <c r="RCC12" s="11"/>
      <c r="RCD12" s="28"/>
      <c r="RCE12" s="11"/>
      <c r="RCF12" s="28"/>
      <c r="RCG12" s="11"/>
      <c r="RCH12" s="28"/>
      <c r="RCI12" s="11"/>
      <c r="RCJ12" s="28"/>
      <c r="RCK12" s="11"/>
      <c r="RCL12" s="28"/>
      <c r="RCM12" s="11"/>
      <c r="RCN12" s="28"/>
      <c r="RCO12" s="11"/>
      <c r="RCP12" s="28"/>
      <c r="RCQ12" s="11"/>
      <c r="RCR12" s="28"/>
      <c r="RCS12" s="11"/>
      <c r="RCT12" s="28"/>
      <c r="RCU12" s="11"/>
      <c r="RCV12" s="28"/>
      <c r="RCW12" s="11"/>
      <c r="RCX12" s="28"/>
      <c r="RCY12" s="11"/>
      <c r="RCZ12" s="28"/>
      <c r="RDA12" s="11"/>
      <c r="RDB12" s="28"/>
      <c r="RDC12" s="11"/>
      <c r="RDD12" s="28"/>
      <c r="RDE12" s="11"/>
      <c r="RDF12" s="28"/>
      <c r="RDG12" s="11"/>
      <c r="RDH12" s="28"/>
      <c r="RDI12" s="11"/>
      <c r="RDJ12" s="28"/>
      <c r="RDK12" s="11"/>
      <c r="RDL12" s="28"/>
      <c r="RDM12" s="11"/>
      <c r="RDN12" s="28"/>
      <c r="RDO12" s="11"/>
      <c r="RDP12" s="28"/>
      <c r="RDQ12" s="11"/>
      <c r="RDR12" s="28"/>
      <c r="RDS12" s="11"/>
      <c r="RDT12" s="28"/>
      <c r="RDU12" s="11"/>
      <c r="RDV12" s="28"/>
      <c r="RDW12" s="11"/>
      <c r="RDX12" s="28"/>
      <c r="RDY12" s="11"/>
      <c r="RDZ12" s="28"/>
      <c r="REA12" s="11"/>
      <c r="REB12" s="28"/>
      <c r="REC12" s="11"/>
      <c r="RED12" s="28"/>
      <c r="REE12" s="11"/>
      <c r="REF12" s="28"/>
      <c r="REG12" s="11"/>
      <c r="REH12" s="28"/>
      <c r="REI12" s="11"/>
      <c r="REJ12" s="28"/>
      <c r="REK12" s="11"/>
      <c r="REL12" s="28"/>
      <c r="REM12" s="11"/>
      <c r="REN12" s="28"/>
      <c r="REO12" s="11"/>
      <c r="REP12" s="28"/>
      <c r="REQ12" s="11"/>
      <c r="RER12" s="28"/>
      <c r="RES12" s="11"/>
      <c r="RET12" s="28"/>
      <c r="REU12" s="11"/>
      <c r="REV12" s="28"/>
      <c r="REW12" s="11"/>
      <c r="REX12" s="28"/>
      <c r="REY12" s="11"/>
      <c r="REZ12" s="28"/>
      <c r="RFA12" s="11"/>
      <c r="RFB12" s="28"/>
      <c r="RFC12" s="11"/>
      <c r="RFD12" s="28"/>
      <c r="RFE12" s="11"/>
      <c r="RFF12" s="28"/>
      <c r="RFG12" s="11"/>
      <c r="RFH12" s="28"/>
      <c r="RFI12" s="11"/>
      <c r="RFJ12" s="28"/>
      <c r="RFK12" s="11"/>
      <c r="RFL12" s="28"/>
      <c r="RFM12" s="11"/>
      <c r="RFN12" s="28"/>
      <c r="RFO12" s="11"/>
      <c r="RFP12" s="28"/>
      <c r="RFQ12" s="11"/>
      <c r="RFR12" s="28"/>
      <c r="RFS12" s="11"/>
      <c r="RFT12" s="28"/>
      <c r="RFU12" s="11"/>
      <c r="RFV12" s="28"/>
      <c r="RFW12" s="11"/>
      <c r="RFX12" s="28"/>
      <c r="RFY12" s="11"/>
      <c r="RFZ12" s="28"/>
      <c r="RGA12" s="11"/>
      <c r="RGB12" s="28"/>
      <c r="RGC12" s="11"/>
      <c r="RGD12" s="28"/>
      <c r="RGE12" s="11"/>
      <c r="RGF12" s="28"/>
      <c r="RGG12" s="11"/>
      <c r="RGH12" s="28"/>
      <c r="RGI12" s="11"/>
      <c r="RGJ12" s="28"/>
      <c r="RGK12" s="11"/>
      <c r="RGL12" s="28"/>
      <c r="RGM12" s="11"/>
      <c r="RGN12" s="28"/>
      <c r="RGO12" s="11"/>
      <c r="RGP12" s="28"/>
      <c r="RGQ12" s="11"/>
      <c r="RGR12" s="28"/>
      <c r="RGS12" s="11"/>
      <c r="RGT12" s="28"/>
      <c r="RGU12" s="11"/>
      <c r="RGV12" s="28"/>
      <c r="RGW12" s="11"/>
      <c r="RGX12" s="28"/>
      <c r="RGY12" s="11"/>
      <c r="RGZ12" s="28"/>
      <c r="RHA12" s="11"/>
      <c r="RHB12" s="28"/>
      <c r="RHC12" s="11"/>
      <c r="RHD12" s="28"/>
      <c r="RHE12" s="11"/>
      <c r="RHF12" s="28"/>
      <c r="RHG12" s="11"/>
      <c r="RHH12" s="28"/>
      <c r="RHI12" s="11"/>
      <c r="RHJ12" s="28"/>
      <c r="RHK12" s="11"/>
      <c r="RHL12" s="28"/>
      <c r="RHM12" s="11"/>
      <c r="RHN12" s="28"/>
      <c r="RHO12" s="11"/>
      <c r="RHP12" s="28"/>
      <c r="RHQ12" s="11"/>
      <c r="RHR12" s="28"/>
      <c r="RHS12" s="11"/>
      <c r="RHT12" s="28"/>
      <c r="RHU12" s="11"/>
      <c r="RHV12" s="28"/>
      <c r="RHW12" s="11"/>
      <c r="RHX12" s="28"/>
      <c r="RHY12" s="11"/>
      <c r="RHZ12" s="28"/>
      <c r="RIA12" s="11"/>
      <c r="RIB12" s="28"/>
      <c r="RIC12" s="11"/>
      <c r="RID12" s="28"/>
      <c r="RIE12" s="11"/>
      <c r="RIF12" s="28"/>
      <c r="RIG12" s="11"/>
      <c r="RIH12" s="28"/>
      <c r="RII12" s="11"/>
      <c r="RIJ12" s="28"/>
      <c r="RIK12" s="11"/>
      <c r="RIL12" s="28"/>
      <c r="RIM12" s="11"/>
      <c r="RIN12" s="28"/>
      <c r="RIO12" s="11"/>
      <c r="RIP12" s="28"/>
      <c r="RIQ12" s="11"/>
      <c r="RIR12" s="28"/>
      <c r="RIS12" s="11"/>
      <c r="RIT12" s="28"/>
      <c r="RIU12" s="11"/>
      <c r="RIV12" s="28"/>
      <c r="RIW12" s="11"/>
      <c r="RIX12" s="28"/>
      <c r="RIY12" s="11"/>
      <c r="RIZ12" s="28"/>
      <c r="RJA12" s="11"/>
      <c r="RJB12" s="28"/>
      <c r="RJC12" s="11"/>
      <c r="RJD12" s="28"/>
      <c r="RJE12" s="11"/>
      <c r="RJF12" s="28"/>
      <c r="RJG12" s="11"/>
      <c r="RJH12" s="28"/>
      <c r="RJI12" s="11"/>
      <c r="RJJ12" s="28"/>
      <c r="RJK12" s="11"/>
      <c r="RJL12" s="28"/>
      <c r="RJM12" s="11"/>
      <c r="RJN12" s="28"/>
      <c r="RJO12" s="11"/>
      <c r="RJP12" s="28"/>
      <c r="RJQ12" s="11"/>
      <c r="RJR12" s="28"/>
      <c r="RJS12" s="11"/>
      <c r="RJT12" s="28"/>
      <c r="RJU12" s="11"/>
      <c r="RJV12" s="28"/>
      <c r="RJW12" s="11"/>
      <c r="RJX12" s="28"/>
      <c r="RJY12" s="11"/>
      <c r="RJZ12" s="28"/>
      <c r="RKA12" s="11"/>
      <c r="RKB12" s="28"/>
      <c r="RKC12" s="11"/>
      <c r="RKD12" s="28"/>
      <c r="RKE12" s="11"/>
      <c r="RKF12" s="28"/>
      <c r="RKG12" s="11"/>
      <c r="RKH12" s="28"/>
      <c r="RKI12" s="11"/>
      <c r="RKJ12" s="28"/>
      <c r="RKK12" s="11"/>
      <c r="RKL12" s="28"/>
      <c r="RKM12" s="11"/>
      <c r="RKN12" s="28"/>
      <c r="RKO12" s="11"/>
      <c r="RKP12" s="28"/>
      <c r="RKQ12" s="11"/>
      <c r="RKR12" s="28"/>
      <c r="RKS12" s="11"/>
      <c r="RKT12" s="28"/>
      <c r="RKU12" s="11"/>
      <c r="RKV12" s="28"/>
      <c r="RKW12" s="11"/>
      <c r="RKX12" s="28"/>
      <c r="RKY12" s="11"/>
      <c r="RKZ12" s="28"/>
      <c r="RLA12" s="11"/>
      <c r="RLB12" s="28"/>
      <c r="RLC12" s="11"/>
      <c r="RLD12" s="28"/>
      <c r="RLE12" s="11"/>
      <c r="RLF12" s="28"/>
      <c r="RLG12" s="11"/>
      <c r="RLH12" s="28"/>
      <c r="RLI12" s="11"/>
      <c r="RLJ12" s="28"/>
      <c r="RLK12" s="11"/>
      <c r="RLL12" s="28"/>
      <c r="RLM12" s="11"/>
      <c r="RLN12" s="28"/>
      <c r="RLO12" s="11"/>
      <c r="RLP12" s="28"/>
      <c r="RLQ12" s="11"/>
      <c r="RLR12" s="28"/>
      <c r="RLS12" s="11"/>
      <c r="RLT12" s="28"/>
      <c r="RLU12" s="11"/>
      <c r="RLV12" s="28"/>
      <c r="RLW12" s="11"/>
      <c r="RLX12" s="28"/>
      <c r="RLY12" s="11"/>
      <c r="RLZ12" s="28"/>
      <c r="RMA12" s="11"/>
      <c r="RMB12" s="28"/>
      <c r="RMC12" s="11"/>
      <c r="RMD12" s="28"/>
      <c r="RME12" s="11"/>
      <c r="RMF12" s="28"/>
      <c r="RMG12" s="11"/>
      <c r="RMH12" s="28"/>
      <c r="RMI12" s="11"/>
      <c r="RMJ12" s="28"/>
      <c r="RMK12" s="11"/>
      <c r="RML12" s="28"/>
      <c r="RMM12" s="11"/>
      <c r="RMN12" s="28"/>
      <c r="RMO12" s="11"/>
      <c r="RMP12" s="28"/>
      <c r="RMQ12" s="11"/>
      <c r="RMR12" s="28"/>
      <c r="RMS12" s="11"/>
      <c r="RMT12" s="28"/>
      <c r="RMU12" s="11"/>
      <c r="RMV12" s="28"/>
      <c r="RMW12" s="11"/>
      <c r="RMX12" s="28"/>
      <c r="RMY12" s="11"/>
      <c r="RMZ12" s="28"/>
      <c r="RNA12" s="11"/>
      <c r="RNB12" s="28"/>
      <c r="RNC12" s="11"/>
      <c r="RND12" s="28"/>
      <c r="RNE12" s="11"/>
      <c r="RNF12" s="28"/>
      <c r="RNG12" s="11"/>
      <c r="RNH12" s="28"/>
      <c r="RNI12" s="11"/>
      <c r="RNJ12" s="28"/>
      <c r="RNK12" s="11"/>
      <c r="RNL12" s="28"/>
      <c r="RNM12" s="11"/>
      <c r="RNN12" s="28"/>
      <c r="RNO12" s="11"/>
      <c r="RNP12" s="28"/>
      <c r="RNQ12" s="11"/>
      <c r="RNR12" s="28"/>
      <c r="RNS12" s="11"/>
      <c r="RNT12" s="28"/>
      <c r="RNU12" s="11"/>
      <c r="RNV12" s="28"/>
      <c r="RNW12" s="11"/>
      <c r="RNX12" s="28"/>
      <c r="RNY12" s="11"/>
      <c r="RNZ12" s="28"/>
      <c r="ROA12" s="11"/>
      <c r="ROB12" s="28"/>
      <c r="ROC12" s="11"/>
      <c r="ROD12" s="28"/>
      <c r="ROE12" s="11"/>
      <c r="ROF12" s="28"/>
      <c r="ROG12" s="11"/>
      <c r="ROH12" s="28"/>
      <c r="ROI12" s="11"/>
      <c r="ROJ12" s="28"/>
      <c r="ROK12" s="11"/>
      <c r="ROL12" s="28"/>
      <c r="ROM12" s="11"/>
      <c r="RON12" s="28"/>
      <c r="ROO12" s="11"/>
      <c r="ROP12" s="28"/>
      <c r="ROQ12" s="11"/>
      <c r="ROR12" s="28"/>
      <c r="ROS12" s="11"/>
      <c r="ROT12" s="28"/>
      <c r="ROU12" s="11"/>
      <c r="ROV12" s="28"/>
      <c r="ROW12" s="11"/>
      <c r="ROX12" s="28"/>
      <c r="ROY12" s="11"/>
      <c r="ROZ12" s="28"/>
      <c r="RPA12" s="11"/>
      <c r="RPB12" s="28"/>
      <c r="RPC12" s="11"/>
      <c r="RPD12" s="28"/>
      <c r="RPE12" s="11"/>
      <c r="RPF12" s="28"/>
      <c r="RPG12" s="11"/>
      <c r="RPH12" s="28"/>
      <c r="RPI12" s="11"/>
      <c r="RPJ12" s="28"/>
      <c r="RPK12" s="11"/>
      <c r="RPL12" s="28"/>
      <c r="RPM12" s="11"/>
      <c r="RPN12" s="28"/>
      <c r="RPO12" s="11"/>
      <c r="RPP12" s="28"/>
      <c r="RPQ12" s="11"/>
      <c r="RPR12" s="28"/>
      <c r="RPS12" s="11"/>
      <c r="RPT12" s="28"/>
      <c r="RPU12" s="11"/>
      <c r="RPV12" s="28"/>
      <c r="RPW12" s="11"/>
      <c r="RPX12" s="28"/>
      <c r="RPY12" s="11"/>
      <c r="RPZ12" s="28"/>
      <c r="RQA12" s="11"/>
      <c r="RQB12" s="28"/>
      <c r="RQC12" s="11"/>
      <c r="RQD12" s="28"/>
      <c r="RQE12" s="11"/>
      <c r="RQF12" s="28"/>
      <c r="RQG12" s="11"/>
      <c r="RQH12" s="28"/>
      <c r="RQI12" s="11"/>
      <c r="RQJ12" s="28"/>
      <c r="RQK12" s="11"/>
      <c r="RQL12" s="28"/>
      <c r="RQM12" s="11"/>
      <c r="RQN12" s="28"/>
      <c r="RQO12" s="11"/>
      <c r="RQP12" s="28"/>
      <c r="RQQ12" s="11"/>
      <c r="RQR12" s="28"/>
      <c r="RQS12" s="11"/>
      <c r="RQT12" s="28"/>
      <c r="RQU12" s="11"/>
      <c r="RQV12" s="28"/>
      <c r="RQW12" s="11"/>
      <c r="RQX12" s="28"/>
      <c r="RQY12" s="11"/>
      <c r="RQZ12" s="28"/>
      <c r="RRA12" s="11"/>
      <c r="RRB12" s="28"/>
      <c r="RRC12" s="11"/>
      <c r="RRD12" s="28"/>
      <c r="RRE12" s="11"/>
      <c r="RRF12" s="28"/>
      <c r="RRG12" s="11"/>
      <c r="RRH12" s="28"/>
      <c r="RRI12" s="11"/>
      <c r="RRJ12" s="28"/>
      <c r="RRK12" s="11"/>
      <c r="RRL12" s="28"/>
      <c r="RRM12" s="11"/>
      <c r="RRN12" s="28"/>
      <c r="RRO12" s="11"/>
      <c r="RRP12" s="28"/>
      <c r="RRQ12" s="11"/>
      <c r="RRR12" s="28"/>
      <c r="RRS12" s="11"/>
      <c r="RRT12" s="28"/>
      <c r="RRU12" s="11"/>
      <c r="RRV12" s="28"/>
      <c r="RRW12" s="11"/>
      <c r="RRX12" s="28"/>
      <c r="RRY12" s="11"/>
      <c r="RRZ12" s="28"/>
      <c r="RSA12" s="11"/>
      <c r="RSB12" s="28"/>
      <c r="RSC12" s="11"/>
      <c r="RSD12" s="28"/>
      <c r="RSE12" s="11"/>
      <c r="RSF12" s="28"/>
      <c r="RSG12" s="11"/>
      <c r="RSH12" s="28"/>
      <c r="RSI12" s="11"/>
      <c r="RSJ12" s="28"/>
      <c r="RSK12" s="11"/>
      <c r="RSL12" s="28"/>
      <c r="RSM12" s="11"/>
      <c r="RSN12" s="28"/>
      <c r="RSO12" s="11"/>
      <c r="RSP12" s="28"/>
      <c r="RSQ12" s="11"/>
      <c r="RSR12" s="28"/>
      <c r="RSS12" s="11"/>
      <c r="RST12" s="28"/>
      <c r="RSU12" s="11"/>
      <c r="RSV12" s="28"/>
      <c r="RSW12" s="11"/>
      <c r="RSX12" s="28"/>
      <c r="RSY12" s="11"/>
      <c r="RSZ12" s="28"/>
      <c r="RTA12" s="11"/>
      <c r="RTB12" s="28"/>
      <c r="RTC12" s="11"/>
      <c r="RTD12" s="28"/>
      <c r="RTE12" s="11"/>
      <c r="RTF12" s="28"/>
      <c r="RTG12" s="11"/>
      <c r="RTH12" s="28"/>
      <c r="RTI12" s="11"/>
      <c r="RTJ12" s="28"/>
      <c r="RTK12" s="11"/>
      <c r="RTL12" s="28"/>
      <c r="RTM12" s="11"/>
      <c r="RTN12" s="28"/>
      <c r="RTO12" s="11"/>
      <c r="RTP12" s="28"/>
      <c r="RTQ12" s="11"/>
      <c r="RTR12" s="28"/>
      <c r="RTS12" s="11"/>
      <c r="RTT12" s="28"/>
      <c r="RTU12" s="11"/>
      <c r="RTV12" s="28"/>
      <c r="RTW12" s="11"/>
      <c r="RTX12" s="28"/>
      <c r="RTY12" s="11"/>
      <c r="RTZ12" s="28"/>
      <c r="RUA12" s="11"/>
      <c r="RUB12" s="28"/>
      <c r="RUC12" s="11"/>
      <c r="RUD12" s="28"/>
      <c r="RUE12" s="11"/>
      <c r="RUF12" s="28"/>
      <c r="RUG12" s="11"/>
      <c r="RUH12" s="28"/>
      <c r="RUI12" s="11"/>
      <c r="RUJ12" s="28"/>
      <c r="RUK12" s="11"/>
      <c r="RUL12" s="28"/>
      <c r="RUM12" s="11"/>
      <c r="RUN12" s="28"/>
      <c r="RUO12" s="11"/>
      <c r="RUP12" s="28"/>
      <c r="RUQ12" s="11"/>
      <c r="RUR12" s="28"/>
      <c r="RUS12" s="11"/>
      <c r="RUT12" s="28"/>
      <c r="RUU12" s="11"/>
      <c r="RUV12" s="28"/>
      <c r="RUW12" s="11"/>
      <c r="RUX12" s="28"/>
      <c r="RUY12" s="11"/>
      <c r="RUZ12" s="28"/>
      <c r="RVA12" s="11"/>
      <c r="RVB12" s="28"/>
      <c r="RVC12" s="11"/>
      <c r="RVD12" s="28"/>
      <c r="RVE12" s="11"/>
      <c r="RVF12" s="28"/>
      <c r="RVG12" s="11"/>
      <c r="RVH12" s="28"/>
      <c r="RVI12" s="11"/>
      <c r="RVJ12" s="28"/>
      <c r="RVK12" s="11"/>
      <c r="RVL12" s="28"/>
      <c r="RVM12" s="11"/>
      <c r="RVN12" s="28"/>
      <c r="RVO12" s="11"/>
      <c r="RVP12" s="28"/>
      <c r="RVQ12" s="11"/>
      <c r="RVR12" s="28"/>
      <c r="RVS12" s="11"/>
      <c r="RVT12" s="28"/>
      <c r="RVU12" s="11"/>
      <c r="RVV12" s="28"/>
      <c r="RVW12" s="11"/>
      <c r="RVX12" s="28"/>
      <c r="RVY12" s="11"/>
      <c r="RVZ12" s="28"/>
      <c r="RWA12" s="11"/>
      <c r="RWB12" s="28"/>
      <c r="RWC12" s="11"/>
      <c r="RWD12" s="28"/>
      <c r="RWE12" s="11"/>
      <c r="RWF12" s="28"/>
      <c r="RWG12" s="11"/>
      <c r="RWH12" s="28"/>
      <c r="RWI12" s="11"/>
      <c r="RWJ12" s="28"/>
      <c r="RWK12" s="11"/>
      <c r="RWL12" s="28"/>
      <c r="RWM12" s="11"/>
      <c r="RWN12" s="28"/>
      <c r="RWO12" s="11"/>
      <c r="RWP12" s="28"/>
      <c r="RWQ12" s="11"/>
      <c r="RWR12" s="28"/>
      <c r="RWS12" s="11"/>
      <c r="RWT12" s="28"/>
      <c r="RWU12" s="11"/>
      <c r="RWV12" s="28"/>
      <c r="RWW12" s="11"/>
      <c r="RWX12" s="28"/>
      <c r="RWY12" s="11"/>
      <c r="RWZ12" s="28"/>
      <c r="RXA12" s="11"/>
      <c r="RXB12" s="28"/>
      <c r="RXC12" s="11"/>
      <c r="RXD12" s="28"/>
      <c r="RXE12" s="11"/>
      <c r="RXF12" s="28"/>
      <c r="RXG12" s="11"/>
      <c r="RXH12" s="28"/>
      <c r="RXI12" s="11"/>
      <c r="RXJ12" s="28"/>
      <c r="RXK12" s="11"/>
      <c r="RXL12" s="28"/>
      <c r="RXM12" s="11"/>
      <c r="RXN12" s="28"/>
      <c r="RXO12" s="11"/>
      <c r="RXP12" s="28"/>
      <c r="RXQ12" s="11"/>
      <c r="RXR12" s="28"/>
      <c r="RXS12" s="11"/>
      <c r="RXT12" s="28"/>
      <c r="RXU12" s="11"/>
      <c r="RXV12" s="28"/>
      <c r="RXW12" s="11"/>
      <c r="RXX12" s="28"/>
      <c r="RXY12" s="11"/>
      <c r="RXZ12" s="28"/>
      <c r="RYA12" s="11"/>
      <c r="RYB12" s="28"/>
      <c r="RYC12" s="11"/>
      <c r="RYD12" s="28"/>
      <c r="RYE12" s="11"/>
      <c r="RYF12" s="28"/>
      <c r="RYG12" s="11"/>
      <c r="RYH12" s="28"/>
      <c r="RYI12" s="11"/>
      <c r="RYJ12" s="28"/>
      <c r="RYK12" s="11"/>
      <c r="RYL12" s="28"/>
      <c r="RYM12" s="11"/>
      <c r="RYN12" s="28"/>
      <c r="RYO12" s="11"/>
      <c r="RYP12" s="28"/>
      <c r="RYQ12" s="11"/>
      <c r="RYR12" s="28"/>
      <c r="RYS12" s="11"/>
      <c r="RYT12" s="28"/>
      <c r="RYU12" s="11"/>
      <c r="RYV12" s="28"/>
      <c r="RYW12" s="11"/>
      <c r="RYX12" s="28"/>
      <c r="RYY12" s="11"/>
      <c r="RYZ12" s="28"/>
      <c r="RZA12" s="11"/>
      <c r="RZB12" s="28"/>
      <c r="RZC12" s="11"/>
      <c r="RZD12" s="28"/>
      <c r="RZE12" s="11"/>
      <c r="RZF12" s="28"/>
      <c r="RZG12" s="11"/>
      <c r="RZH12" s="28"/>
      <c r="RZI12" s="11"/>
      <c r="RZJ12" s="28"/>
      <c r="RZK12" s="11"/>
      <c r="RZL12" s="28"/>
      <c r="RZM12" s="11"/>
      <c r="RZN12" s="28"/>
      <c r="RZO12" s="11"/>
      <c r="RZP12" s="28"/>
      <c r="RZQ12" s="11"/>
      <c r="RZR12" s="28"/>
      <c r="RZS12" s="11"/>
      <c r="RZT12" s="28"/>
      <c r="RZU12" s="11"/>
      <c r="RZV12" s="28"/>
      <c r="RZW12" s="11"/>
      <c r="RZX12" s="28"/>
      <c r="RZY12" s="11"/>
      <c r="RZZ12" s="28"/>
      <c r="SAA12" s="11"/>
      <c r="SAB12" s="28"/>
      <c r="SAC12" s="11"/>
      <c r="SAD12" s="28"/>
      <c r="SAE12" s="11"/>
      <c r="SAF12" s="28"/>
      <c r="SAG12" s="11"/>
      <c r="SAH12" s="28"/>
      <c r="SAI12" s="11"/>
      <c r="SAJ12" s="28"/>
      <c r="SAK12" s="11"/>
      <c r="SAL12" s="28"/>
      <c r="SAM12" s="11"/>
      <c r="SAN12" s="28"/>
      <c r="SAO12" s="11"/>
      <c r="SAP12" s="28"/>
      <c r="SAQ12" s="11"/>
      <c r="SAR12" s="28"/>
      <c r="SAS12" s="11"/>
      <c r="SAT12" s="28"/>
      <c r="SAU12" s="11"/>
      <c r="SAV12" s="28"/>
      <c r="SAW12" s="11"/>
      <c r="SAX12" s="28"/>
      <c r="SAY12" s="11"/>
      <c r="SAZ12" s="28"/>
      <c r="SBA12" s="11"/>
      <c r="SBB12" s="28"/>
      <c r="SBC12" s="11"/>
      <c r="SBD12" s="28"/>
      <c r="SBE12" s="11"/>
      <c r="SBF12" s="28"/>
      <c r="SBG12" s="11"/>
      <c r="SBH12" s="28"/>
      <c r="SBI12" s="11"/>
      <c r="SBJ12" s="28"/>
      <c r="SBK12" s="11"/>
      <c r="SBL12" s="28"/>
      <c r="SBM12" s="11"/>
      <c r="SBN12" s="28"/>
      <c r="SBO12" s="11"/>
      <c r="SBP12" s="28"/>
      <c r="SBQ12" s="11"/>
      <c r="SBR12" s="28"/>
      <c r="SBS12" s="11"/>
      <c r="SBT12" s="28"/>
      <c r="SBU12" s="11"/>
      <c r="SBV12" s="28"/>
      <c r="SBW12" s="11"/>
      <c r="SBX12" s="28"/>
      <c r="SBY12" s="11"/>
      <c r="SBZ12" s="28"/>
      <c r="SCA12" s="11"/>
      <c r="SCB12" s="28"/>
      <c r="SCC12" s="11"/>
      <c r="SCD12" s="28"/>
      <c r="SCE12" s="11"/>
      <c r="SCF12" s="28"/>
      <c r="SCG12" s="11"/>
      <c r="SCH12" s="28"/>
      <c r="SCI12" s="11"/>
      <c r="SCJ12" s="28"/>
      <c r="SCK12" s="11"/>
      <c r="SCL12" s="28"/>
      <c r="SCM12" s="11"/>
      <c r="SCN12" s="28"/>
      <c r="SCO12" s="11"/>
      <c r="SCP12" s="28"/>
      <c r="SCQ12" s="11"/>
      <c r="SCR12" s="28"/>
      <c r="SCS12" s="11"/>
      <c r="SCT12" s="28"/>
      <c r="SCU12" s="11"/>
      <c r="SCV12" s="28"/>
      <c r="SCW12" s="11"/>
      <c r="SCX12" s="28"/>
      <c r="SCY12" s="11"/>
      <c r="SCZ12" s="28"/>
      <c r="SDA12" s="11"/>
      <c r="SDB12" s="28"/>
      <c r="SDC12" s="11"/>
      <c r="SDD12" s="28"/>
      <c r="SDE12" s="11"/>
      <c r="SDF12" s="28"/>
      <c r="SDG12" s="11"/>
      <c r="SDH12" s="28"/>
      <c r="SDI12" s="11"/>
      <c r="SDJ12" s="28"/>
      <c r="SDK12" s="11"/>
      <c r="SDL12" s="28"/>
      <c r="SDM12" s="11"/>
      <c r="SDN12" s="28"/>
      <c r="SDO12" s="11"/>
      <c r="SDP12" s="28"/>
      <c r="SDQ12" s="11"/>
      <c r="SDR12" s="28"/>
      <c r="SDS12" s="11"/>
      <c r="SDT12" s="28"/>
      <c r="SDU12" s="11"/>
      <c r="SDV12" s="28"/>
      <c r="SDW12" s="11"/>
      <c r="SDX12" s="28"/>
      <c r="SDY12" s="11"/>
      <c r="SDZ12" s="28"/>
      <c r="SEA12" s="11"/>
      <c r="SEB12" s="28"/>
      <c r="SEC12" s="11"/>
      <c r="SED12" s="28"/>
      <c r="SEE12" s="11"/>
      <c r="SEF12" s="28"/>
      <c r="SEG12" s="11"/>
      <c r="SEH12" s="28"/>
      <c r="SEI12" s="11"/>
      <c r="SEJ12" s="28"/>
      <c r="SEK12" s="11"/>
      <c r="SEL12" s="28"/>
      <c r="SEM12" s="11"/>
      <c r="SEN12" s="28"/>
      <c r="SEO12" s="11"/>
      <c r="SEP12" s="28"/>
      <c r="SEQ12" s="11"/>
      <c r="SER12" s="28"/>
      <c r="SES12" s="11"/>
      <c r="SET12" s="28"/>
      <c r="SEU12" s="11"/>
      <c r="SEV12" s="28"/>
      <c r="SEW12" s="11"/>
      <c r="SEX12" s="28"/>
      <c r="SEY12" s="11"/>
      <c r="SEZ12" s="28"/>
      <c r="SFA12" s="11"/>
      <c r="SFB12" s="28"/>
      <c r="SFC12" s="11"/>
      <c r="SFD12" s="28"/>
      <c r="SFE12" s="11"/>
      <c r="SFF12" s="28"/>
      <c r="SFG12" s="11"/>
      <c r="SFH12" s="28"/>
      <c r="SFI12" s="11"/>
      <c r="SFJ12" s="28"/>
      <c r="SFK12" s="11"/>
      <c r="SFL12" s="28"/>
      <c r="SFM12" s="11"/>
      <c r="SFN12" s="28"/>
      <c r="SFO12" s="11"/>
      <c r="SFP12" s="28"/>
      <c r="SFQ12" s="11"/>
      <c r="SFR12" s="28"/>
      <c r="SFS12" s="11"/>
      <c r="SFT12" s="28"/>
      <c r="SFU12" s="11"/>
      <c r="SFV12" s="28"/>
      <c r="SFW12" s="11"/>
      <c r="SFX12" s="28"/>
      <c r="SFY12" s="11"/>
      <c r="SFZ12" s="28"/>
      <c r="SGA12" s="11"/>
      <c r="SGB12" s="28"/>
      <c r="SGC12" s="11"/>
      <c r="SGD12" s="28"/>
      <c r="SGE12" s="11"/>
      <c r="SGF12" s="28"/>
      <c r="SGG12" s="11"/>
      <c r="SGH12" s="28"/>
      <c r="SGI12" s="11"/>
      <c r="SGJ12" s="28"/>
      <c r="SGK12" s="11"/>
      <c r="SGL12" s="28"/>
      <c r="SGM12" s="11"/>
      <c r="SGN12" s="28"/>
      <c r="SGO12" s="11"/>
      <c r="SGP12" s="28"/>
      <c r="SGQ12" s="11"/>
      <c r="SGR12" s="28"/>
      <c r="SGS12" s="11"/>
      <c r="SGT12" s="28"/>
      <c r="SGU12" s="11"/>
      <c r="SGV12" s="28"/>
      <c r="SGW12" s="11"/>
      <c r="SGX12" s="28"/>
      <c r="SGY12" s="11"/>
      <c r="SGZ12" s="28"/>
      <c r="SHA12" s="11"/>
      <c r="SHB12" s="28"/>
      <c r="SHC12" s="11"/>
      <c r="SHD12" s="28"/>
      <c r="SHE12" s="11"/>
      <c r="SHF12" s="28"/>
      <c r="SHG12" s="11"/>
      <c r="SHH12" s="28"/>
      <c r="SHI12" s="11"/>
      <c r="SHJ12" s="28"/>
      <c r="SHK12" s="11"/>
      <c r="SHL12" s="28"/>
      <c r="SHM12" s="11"/>
      <c r="SHN12" s="28"/>
      <c r="SHO12" s="11"/>
      <c r="SHP12" s="28"/>
      <c r="SHQ12" s="11"/>
      <c r="SHR12" s="28"/>
      <c r="SHS12" s="11"/>
      <c r="SHT12" s="28"/>
      <c r="SHU12" s="11"/>
      <c r="SHV12" s="28"/>
      <c r="SHW12" s="11"/>
      <c r="SHX12" s="28"/>
      <c r="SHY12" s="11"/>
      <c r="SHZ12" s="28"/>
      <c r="SIA12" s="11"/>
      <c r="SIB12" s="28"/>
      <c r="SIC12" s="11"/>
      <c r="SID12" s="28"/>
      <c r="SIE12" s="11"/>
      <c r="SIF12" s="28"/>
      <c r="SIG12" s="11"/>
      <c r="SIH12" s="28"/>
      <c r="SII12" s="11"/>
      <c r="SIJ12" s="28"/>
      <c r="SIK12" s="11"/>
      <c r="SIL12" s="28"/>
      <c r="SIM12" s="11"/>
      <c r="SIN12" s="28"/>
      <c r="SIO12" s="11"/>
      <c r="SIP12" s="28"/>
      <c r="SIQ12" s="11"/>
      <c r="SIR12" s="28"/>
      <c r="SIS12" s="11"/>
      <c r="SIT12" s="28"/>
      <c r="SIU12" s="11"/>
      <c r="SIV12" s="28"/>
      <c r="SIW12" s="11"/>
      <c r="SIX12" s="28"/>
      <c r="SIY12" s="11"/>
      <c r="SIZ12" s="28"/>
      <c r="SJA12" s="11"/>
      <c r="SJB12" s="28"/>
      <c r="SJC12" s="11"/>
      <c r="SJD12" s="28"/>
      <c r="SJE12" s="11"/>
      <c r="SJF12" s="28"/>
      <c r="SJG12" s="11"/>
      <c r="SJH12" s="28"/>
      <c r="SJI12" s="11"/>
      <c r="SJJ12" s="28"/>
      <c r="SJK12" s="11"/>
      <c r="SJL12" s="28"/>
      <c r="SJM12" s="11"/>
      <c r="SJN12" s="28"/>
      <c r="SJO12" s="11"/>
      <c r="SJP12" s="28"/>
      <c r="SJQ12" s="11"/>
      <c r="SJR12" s="28"/>
      <c r="SJS12" s="11"/>
      <c r="SJT12" s="28"/>
      <c r="SJU12" s="11"/>
      <c r="SJV12" s="28"/>
      <c r="SJW12" s="11"/>
      <c r="SJX12" s="28"/>
      <c r="SJY12" s="11"/>
      <c r="SJZ12" s="28"/>
      <c r="SKA12" s="11"/>
      <c r="SKB12" s="28"/>
      <c r="SKC12" s="11"/>
      <c r="SKD12" s="28"/>
      <c r="SKE12" s="11"/>
      <c r="SKF12" s="28"/>
      <c r="SKG12" s="11"/>
      <c r="SKH12" s="28"/>
      <c r="SKI12" s="11"/>
      <c r="SKJ12" s="28"/>
      <c r="SKK12" s="11"/>
      <c r="SKL12" s="28"/>
      <c r="SKM12" s="11"/>
      <c r="SKN12" s="28"/>
      <c r="SKO12" s="11"/>
      <c r="SKP12" s="28"/>
      <c r="SKQ12" s="11"/>
      <c r="SKR12" s="28"/>
      <c r="SKS12" s="11"/>
      <c r="SKT12" s="28"/>
      <c r="SKU12" s="11"/>
      <c r="SKV12" s="28"/>
      <c r="SKW12" s="11"/>
      <c r="SKX12" s="28"/>
      <c r="SKY12" s="11"/>
      <c r="SKZ12" s="28"/>
      <c r="SLA12" s="11"/>
      <c r="SLB12" s="28"/>
      <c r="SLC12" s="11"/>
      <c r="SLD12" s="28"/>
      <c r="SLE12" s="11"/>
      <c r="SLF12" s="28"/>
      <c r="SLG12" s="11"/>
      <c r="SLH12" s="28"/>
      <c r="SLI12" s="11"/>
      <c r="SLJ12" s="28"/>
      <c r="SLK12" s="11"/>
      <c r="SLL12" s="28"/>
      <c r="SLM12" s="11"/>
      <c r="SLN12" s="28"/>
      <c r="SLO12" s="11"/>
      <c r="SLP12" s="28"/>
      <c r="SLQ12" s="11"/>
      <c r="SLR12" s="28"/>
      <c r="SLS12" s="11"/>
      <c r="SLT12" s="28"/>
      <c r="SLU12" s="11"/>
      <c r="SLV12" s="28"/>
      <c r="SLW12" s="11"/>
      <c r="SLX12" s="28"/>
      <c r="SLY12" s="11"/>
      <c r="SLZ12" s="28"/>
      <c r="SMA12" s="11"/>
      <c r="SMB12" s="28"/>
      <c r="SMC12" s="11"/>
      <c r="SMD12" s="28"/>
      <c r="SME12" s="11"/>
      <c r="SMF12" s="28"/>
      <c r="SMG12" s="11"/>
      <c r="SMH12" s="28"/>
      <c r="SMI12" s="11"/>
      <c r="SMJ12" s="28"/>
      <c r="SMK12" s="11"/>
      <c r="SML12" s="28"/>
      <c r="SMM12" s="11"/>
      <c r="SMN12" s="28"/>
      <c r="SMO12" s="11"/>
      <c r="SMP12" s="28"/>
      <c r="SMQ12" s="11"/>
      <c r="SMR12" s="28"/>
      <c r="SMS12" s="11"/>
      <c r="SMT12" s="28"/>
      <c r="SMU12" s="11"/>
      <c r="SMV12" s="28"/>
      <c r="SMW12" s="11"/>
      <c r="SMX12" s="28"/>
      <c r="SMY12" s="11"/>
      <c r="SMZ12" s="28"/>
      <c r="SNA12" s="11"/>
      <c r="SNB12" s="28"/>
      <c r="SNC12" s="11"/>
      <c r="SND12" s="28"/>
      <c r="SNE12" s="11"/>
      <c r="SNF12" s="28"/>
      <c r="SNG12" s="11"/>
      <c r="SNH12" s="28"/>
      <c r="SNI12" s="11"/>
      <c r="SNJ12" s="28"/>
      <c r="SNK12" s="11"/>
      <c r="SNL12" s="28"/>
      <c r="SNM12" s="11"/>
      <c r="SNN12" s="28"/>
      <c r="SNO12" s="11"/>
      <c r="SNP12" s="28"/>
      <c r="SNQ12" s="11"/>
      <c r="SNR12" s="28"/>
      <c r="SNS12" s="11"/>
      <c r="SNT12" s="28"/>
      <c r="SNU12" s="11"/>
      <c r="SNV12" s="28"/>
      <c r="SNW12" s="11"/>
      <c r="SNX12" s="28"/>
      <c r="SNY12" s="11"/>
      <c r="SNZ12" s="28"/>
      <c r="SOA12" s="11"/>
      <c r="SOB12" s="28"/>
      <c r="SOC12" s="11"/>
      <c r="SOD12" s="28"/>
      <c r="SOE12" s="11"/>
      <c r="SOF12" s="28"/>
      <c r="SOG12" s="11"/>
      <c r="SOH12" s="28"/>
      <c r="SOI12" s="11"/>
      <c r="SOJ12" s="28"/>
      <c r="SOK12" s="11"/>
      <c r="SOL12" s="28"/>
      <c r="SOM12" s="11"/>
      <c r="SON12" s="28"/>
      <c r="SOO12" s="11"/>
      <c r="SOP12" s="28"/>
      <c r="SOQ12" s="11"/>
      <c r="SOR12" s="28"/>
      <c r="SOS12" s="11"/>
      <c r="SOT12" s="28"/>
      <c r="SOU12" s="11"/>
      <c r="SOV12" s="28"/>
      <c r="SOW12" s="11"/>
      <c r="SOX12" s="28"/>
      <c r="SOY12" s="11"/>
      <c r="SOZ12" s="28"/>
      <c r="SPA12" s="11"/>
      <c r="SPB12" s="28"/>
      <c r="SPC12" s="11"/>
      <c r="SPD12" s="28"/>
      <c r="SPE12" s="11"/>
      <c r="SPF12" s="28"/>
      <c r="SPG12" s="11"/>
      <c r="SPH12" s="28"/>
      <c r="SPI12" s="11"/>
      <c r="SPJ12" s="28"/>
      <c r="SPK12" s="11"/>
      <c r="SPL12" s="28"/>
      <c r="SPM12" s="11"/>
      <c r="SPN12" s="28"/>
      <c r="SPO12" s="11"/>
      <c r="SPP12" s="28"/>
      <c r="SPQ12" s="11"/>
      <c r="SPR12" s="28"/>
      <c r="SPS12" s="11"/>
      <c r="SPT12" s="28"/>
      <c r="SPU12" s="11"/>
      <c r="SPV12" s="28"/>
      <c r="SPW12" s="11"/>
      <c r="SPX12" s="28"/>
      <c r="SPY12" s="11"/>
      <c r="SPZ12" s="28"/>
      <c r="SQA12" s="11"/>
      <c r="SQB12" s="28"/>
      <c r="SQC12" s="11"/>
      <c r="SQD12" s="28"/>
      <c r="SQE12" s="11"/>
      <c r="SQF12" s="28"/>
      <c r="SQG12" s="11"/>
      <c r="SQH12" s="28"/>
      <c r="SQI12" s="11"/>
      <c r="SQJ12" s="28"/>
      <c r="SQK12" s="11"/>
      <c r="SQL12" s="28"/>
      <c r="SQM12" s="11"/>
      <c r="SQN12" s="28"/>
      <c r="SQO12" s="11"/>
      <c r="SQP12" s="28"/>
      <c r="SQQ12" s="11"/>
      <c r="SQR12" s="28"/>
      <c r="SQS12" s="11"/>
      <c r="SQT12" s="28"/>
      <c r="SQU12" s="11"/>
      <c r="SQV12" s="28"/>
      <c r="SQW12" s="11"/>
      <c r="SQX12" s="28"/>
      <c r="SQY12" s="11"/>
      <c r="SQZ12" s="28"/>
      <c r="SRA12" s="11"/>
      <c r="SRB12" s="28"/>
      <c r="SRC12" s="11"/>
      <c r="SRD12" s="28"/>
      <c r="SRE12" s="11"/>
      <c r="SRF12" s="28"/>
      <c r="SRG12" s="11"/>
      <c r="SRH12" s="28"/>
      <c r="SRI12" s="11"/>
      <c r="SRJ12" s="28"/>
      <c r="SRK12" s="11"/>
      <c r="SRL12" s="28"/>
      <c r="SRM12" s="11"/>
      <c r="SRN12" s="28"/>
      <c r="SRO12" s="11"/>
      <c r="SRP12" s="28"/>
      <c r="SRQ12" s="11"/>
      <c r="SRR12" s="28"/>
      <c r="SRS12" s="11"/>
      <c r="SRT12" s="28"/>
      <c r="SRU12" s="11"/>
      <c r="SRV12" s="28"/>
      <c r="SRW12" s="11"/>
      <c r="SRX12" s="28"/>
      <c r="SRY12" s="11"/>
      <c r="SRZ12" s="28"/>
      <c r="SSA12" s="11"/>
      <c r="SSB12" s="28"/>
      <c r="SSC12" s="11"/>
      <c r="SSD12" s="28"/>
      <c r="SSE12" s="11"/>
      <c r="SSF12" s="28"/>
      <c r="SSG12" s="11"/>
      <c r="SSH12" s="28"/>
      <c r="SSI12" s="11"/>
      <c r="SSJ12" s="28"/>
      <c r="SSK12" s="11"/>
      <c r="SSL12" s="28"/>
      <c r="SSM12" s="11"/>
      <c r="SSN12" s="28"/>
      <c r="SSO12" s="11"/>
      <c r="SSP12" s="28"/>
      <c r="SSQ12" s="11"/>
      <c r="SSR12" s="28"/>
      <c r="SSS12" s="11"/>
      <c r="SST12" s="28"/>
      <c r="SSU12" s="11"/>
      <c r="SSV12" s="28"/>
      <c r="SSW12" s="11"/>
      <c r="SSX12" s="28"/>
      <c r="SSY12" s="11"/>
      <c r="SSZ12" s="28"/>
      <c r="STA12" s="11"/>
      <c r="STB12" s="28"/>
      <c r="STC12" s="11"/>
      <c r="STD12" s="28"/>
      <c r="STE12" s="11"/>
      <c r="STF12" s="28"/>
      <c r="STG12" s="11"/>
      <c r="STH12" s="28"/>
      <c r="STI12" s="11"/>
      <c r="STJ12" s="28"/>
      <c r="STK12" s="11"/>
      <c r="STL12" s="28"/>
      <c r="STM12" s="11"/>
      <c r="STN12" s="28"/>
      <c r="STO12" s="11"/>
      <c r="STP12" s="28"/>
      <c r="STQ12" s="11"/>
      <c r="STR12" s="28"/>
      <c r="STS12" s="11"/>
      <c r="STT12" s="28"/>
      <c r="STU12" s="11"/>
      <c r="STV12" s="28"/>
      <c r="STW12" s="11"/>
      <c r="STX12" s="28"/>
      <c r="STY12" s="11"/>
      <c r="STZ12" s="28"/>
      <c r="SUA12" s="11"/>
      <c r="SUB12" s="28"/>
      <c r="SUC12" s="11"/>
      <c r="SUD12" s="28"/>
      <c r="SUE12" s="11"/>
      <c r="SUF12" s="28"/>
      <c r="SUG12" s="11"/>
      <c r="SUH12" s="28"/>
      <c r="SUI12" s="11"/>
      <c r="SUJ12" s="28"/>
      <c r="SUK12" s="11"/>
      <c r="SUL12" s="28"/>
      <c r="SUM12" s="11"/>
      <c r="SUN12" s="28"/>
      <c r="SUO12" s="11"/>
      <c r="SUP12" s="28"/>
      <c r="SUQ12" s="11"/>
      <c r="SUR12" s="28"/>
      <c r="SUS12" s="11"/>
      <c r="SUT12" s="28"/>
      <c r="SUU12" s="11"/>
      <c r="SUV12" s="28"/>
      <c r="SUW12" s="11"/>
      <c r="SUX12" s="28"/>
      <c r="SUY12" s="11"/>
      <c r="SUZ12" s="28"/>
      <c r="SVA12" s="11"/>
      <c r="SVB12" s="28"/>
      <c r="SVC12" s="11"/>
      <c r="SVD12" s="28"/>
      <c r="SVE12" s="11"/>
      <c r="SVF12" s="28"/>
      <c r="SVG12" s="11"/>
      <c r="SVH12" s="28"/>
      <c r="SVI12" s="11"/>
      <c r="SVJ12" s="28"/>
      <c r="SVK12" s="11"/>
      <c r="SVL12" s="28"/>
      <c r="SVM12" s="11"/>
      <c r="SVN12" s="28"/>
      <c r="SVO12" s="11"/>
      <c r="SVP12" s="28"/>
      <c r="SVQ12" s="11"/>
      <c r="SVR12" s="28"/>
      <c r="SVS12" s="11"/>
      <c r="SVT12" s="28"/>
      <c r="SVU12" s="11"/>
      <c r="SVV12" s="28"/>
      <c r="SVW12" s="11"/>
      <c r="SVX12" s="28"/>
      <c r="SVY12" s="11"/>
      <c r="SVZ12" s="28"/>
      <c r="SWA12" s="11"/>
      <c r="SWB12" s="28"/>
      <c r="SWC12" s="11"/>
      <c r="SWD12" s="28"/>
      <c r="SWE12" s="11"/>
      <c r="SWF12" s="28"/>
      <c r="SWG12" s="11"/>
      <c r="SWH12" s="28"/>
      <c r="SWI12" s="11"/>
      <c r="SWJ12" s="28"/>
      <c r="SWK12" s="11"/>
      <c r="SWL12" s="28"/>
      <c r="SWM12" s="11"/>
      <c r="SWN12" s="28"/>
      <c r="SWO12" s="11"/>
      <c r="SWP12" s="28"/>
      <c r="SWQ12" s="11"/>
      <c r="SWR12" s="28"/>
      <c r="SWS12" s="11"/>
      <c r="SWT12" s="28"/>
      <c r="SWU12" s="11"/>
      <c r="SWV12" s="28"/>
      <c r="SWW12" s="11"/>
      <c r="SWX12" s="28"/>
      <c r="SWY12" s="11"/>
      <c r="SWZ12" s="28"/>
      <c r="SXA12" s="11"/>
      <c r="SXB12" s="28"/>
      <c r="SXC12" s="11"/>
      <c r="SXD12" s="28"/>
      <c r="SXE12" s="11"/>
      <c r="SXF12" s="28"/>
      <c r="SXG12" s="11"/>
      <c r="SXH12" s="28"/>
      <c r="SXI12" s="11"/>
      <c r="SXJ12" s="28"/>
      <c r="SXK12" s="11"/>
      <c r="SXL12" s="28"/>
      <c r="SXM12" s="11"/>
      <c r="SXN12" s="28"/>
      <c r="SXO12" s="11"/>
      <c r="SXP12" s="28"/>
      <c r="SXQ12" s="11"/>
      <c r="SXR12" s="28"/>
      <c r="SXS12" s="11"/>
      <c r="SXT12" s="28"/>
      <c r="SXU12" s="11"/>
      <c r="SXV12" s="28"/>
      <c r="SXW12" s="11"/>
      <c r="SXX12" s="28"/>
      <c r="SXY12" s="11"/>
      <c r="SXZ12" s="28"/>
      <c r="SYA12" s="11"/>
      <c r="SYB12" s="28"/>
      <c r="SYC12" s="11"/>
      <c r="SYD12" s="28"/>
      <c r="SYE12" s="11"/>
      <c r="SYF12" s="28"/>
      <c r="SYG12" s="11"/>
      <c r="SYH12" s="28"/>
      <c r="SYI12" s="11"/>
      <c r="SYJ12" s="28"/>
      <c r="SYK12" s="11"/>
      <c r="SYL12" s="28"/>
      <c r="SYM12" s="11"/>
      <c r="SYN12" s="28"/>
      <c r="SYO12" s="11"/>
      <c r="SYP12" s="28"/>
      <c r="SYQ12" s="11"/>
      <c r="SYR12" s="28"/>
      <c r="SYS12" s="11"/>
      <c r="SYT12" s="28"/>
      <c r="SYU12" s="11"/>
      <c r="SYV12" s="28"/>
      <c r="SYW12" s="11"/>
      <c r="SYX12" s="28"/>
      <c r="SYY12" s="11"/>
      <c r="SYZ12" s="28"/>
      <c r="SZA12" s="11"/>
      <c r="SZB12" s="28"/>
      <c r="SZC12" s="11"/>
      <c r="SZD12" s="28"/>
      <c r="SZE12" s="11"/>
      <c r="SZF12" s="28"/>
      <c r="SZG12" s="11"/>
      <c r="SZH12" s="28"/>
      <c r="SZI12" s="11"/>
      <c r="SZJ12" s="28"/>
      <c r="SZK12" s="11"/>
      <c r="SZL12" s="28"/>
      <c r="SZM12" s="11"/>
      <c r="SZN12" s="28"/>
      <c r="SZO12" s="11"/>
      <c r="SZP12" s="28"/>
      <c r="SZQ12" s="11"/>
      <c r="SZR12" s="28"/>
      <c r="SZS12" s="11"/>
      <c r="SZT12" s="28"/>
      <c r="SZU12" s="11"/>
      <c r="SZV12" s="28"/>
      <c r="SZW12" s="11"/>
      <c r="SZX12" s="28"/>
      <c r="SZY12" s="11"/>
      <c r="SZZ12" s="28"/>
      <c r="TAA12" s="11"/>
      <c r="TAB12" s="28"/>
      <c r="TAC12" s="11"/>
      <c r="TAD12" s="28"/>
      <c r="TAE12" s="11"/>
      <c r="TAF12" s="28"/>
      <c r="TAG12" s="11"/>
      <c r="TAH12" s="28"/>
      <c r="TAI12" s="11"/>
      <c r="TAJ12" s="28"/>
      <c r="TAK12" s="11"/>
      <c r="TAL12" s="28"/>
      <c r="TAM12" s="11"/>
      <c r="TAN12" s="28"/>
      <c r="TAO12" s="11"/>
      <c r="TAP12" s="28"/>
      <c r="TAQ12" s="11"/>
      <c r="TAR12" s="28"/>
      <c r="TAS12" s="11"/>
      <c r="TAT12" s="28"/>
      <c r="TAU12" s="11"/>
      <c r="TAV12" s="28"/>
      <c r="TAW12" s="11"/>
      <c r="TAX12" s="28"/>
      <c r="TAY12" s="11"/>
      <c r="TAZ12" s="28"/>
      <c r="TBA12" s="11"/>
      <c r="TBB12" s="28"/>
      <c r="TBC12" s="11"/>
      <c r="TBD12" s="28"/>
      <c r="TBE12" s="11"/>
      <c r="TBF12" s="28"/>
      <c r="TBG12" s="11"/>
      <c r="TBH12" s="28"/>
      <c r="TBI12" s="11"/>
      <c r="TBJ12" s="28"/>
      <c r="TBK12" s="11"/>
      <c r="TBL12" s="28"/>
      <c r="TBM12" s="11"/>
      <c r="TBN12" s="28"/>
      <c r="TBO12" s="11"/>
      <c r="TBP12" s="28"/>
      <c r="TBQ12" s="11"/>
      <c r="TBR12" s="28"/>
      <c r="TBS12" s="11"/>
      <c r="TBT12" s="28"/>
      <c r="TBU12" s="11"/>
      <c r="TBV12" s="28"/>
      <c r="TBW12" s="11"/>
      <c r="TBX12" s="28"/>
      <c r="TBY12" s="11"/>
      <c r="TBZ12" s="28"/>
      <c r="TCA12" s="11"/>
      <c r="TCB12" s="28"/>
      <c r="TCC12" s="11"/>
      <c r="TCD12" s="28"/>
      <c r="TCE12" s="11"/>
      <c r="TCF12" s="28"/>
      <c r="TCG12" s="11"/>
      <c r="TCH12" s="28"/>
      <c r="TCI12" s="11"/>
      <c r="TCJ12" s="28"/>
      <c r="TCK12" s="11"/>
      <c r="TCL12" s="28"/>
      <c r="TCM12" s="11"/>
      <c r="TCN12" s="28"/>
      <c r="TCO12" s="11"/>
      <c r="TCP12" s="28"/>
      <c r="TCQ12" s="11"/>
      <c r="TCR12" s="28"/>
      <c r="TCS12" s="11"/>
      <c r="TCT12" s="28"/>
      <c r="TCU12" s="11"/>
      <c r="TCV12" s="28"/>
      <c r="TCW12" s="11"/>
      <c r="TCX12" s="28"/>
      <c r="TCY12" s="11"/>
      <c r="TCZ12" s="28"/>
      <c r="TDA12" s="11"/>
      <c r="TDB12" s="28"/>
      <c r="TDC12" s="11"/>
      <c r="TDD12" s="28"/>
      <c r="TDE12" s="11"/>
      <c r="TDF12" s="28"/>
      <c r="TDG12" s="11"/>
      <c r="TDH12" s="28"/>
      <c r="TDI12" s="11"/>
      <c r="TDJ12" s="28"/>
      <c r="TDK12" s="11"/>
      <c r="TDL12" s="28"/>
      <c r="TDM12" s="11"/>
      <c r="TDN12" s="28"/>
      <c r="TDO12" s="11"/>
      <c r="TDP12" s="28"/>
      <c r="TDQ12" s="11"/>
      <c r="TDR12" s="28"/>
      <c r="TDS12" s="11"/>
      <c r="TDT12" s="28"/>
      <c r="TDU12" s="11"/>
      <c r="TDV12" s="28"/>
      <c r="TDW12" s="11"/>
      <c r="TDX12" s="28"/>
      <c r="TDY12" s="11"/>
      <c r="TDZ12" s="28"/>
      <c r="TEA12" s="11"/>
      <c r="TEB12" s="28"/>
      <c r="TEC12" s="11"/>
      <c r="TED12" s="28"/>
      <c r="TEE12" s="11"/>
      <c r="TEF12" s="28"/>
      <c r="TEG12" s="11"/>
      <c r="TEH12" s="28"/>
      <c r="TEI12" s="11"/>
      <c r="TEJ12" s="28"/>
      <c r="TEK12" s="11"/>
      <c r="TEL12" s="28"/>
      <c r="TEM12" s="11"/>
      <c r="TEN12" s="28"/>
      <c r="TEO12" s="11"/>
      <c r="TEP12" s="28"/>
      <c r="TEQ12" s="11"/>
      <c r="TER12" s="28"/>
      <c r="TES12" s="11"/>
      <c r="TET12" s="28"/>
      <c r="TEU12" s="11"/>
      <c r="TEV12" s="28"/>
      <c r="TEW12" s="11"/>
      <c r="TEX12" s="28"/>
      <c r="TEY12" s="11"/>
      <c r="TEZ12" s="28"/>
      <c r="TFA12" s="11"/>
      <c r="TFB12" s="28"/>
      <c r="TFC12" s="11"/>
      <c r="TFD12" s="28"/>
      <c r="TFE12" s="11"/>
      <c r="TFF12" s="28"/>
      <c r="TFG12" s="11"/>
      <c r="TFH12" s="28"/>
      <c r="TFI12" s="11"/>
      <c r="TFJ12" s="28"/>
      <c r="TFK12" s="11"/>
      <c r="TFL12" s="28"/>
      <c r="TFM12" s="11"/>
      <c r="TFN12" s="28"/>
      <c r="TFO12" s="11"/>
      <c r="TFP12" s="28"/>
      <c r="TFQ12" s="11"/>
      <c r="TFR12" s="28"/>
      <c r="TFS12" s="11"/>
      <c r="TFT12" s="28"/>
      <c r="TFU12" s="11"/>
      <c r="TFV12" s="28"/>
      <c r="TFW12" s="11"/>
      <c r="TFX12" s="28"/>
      <c r="TFY12" s="11"/>
      <c r="TFZ12" s="28"/>
      <c r="TGA12" s="11"/>
      <c r="TGB12" s="28"/>
      <c r="TGC12" s="11"/>
      <c r="TGD12" s="28"/>
      <c r="TGE12" s="11"/>
      <c r="TGF12" s="28"/>
      <c r="TGG12" s="11"/>
      <c r="TGH12" s="28"/>
      <c r="TGI12" s="11"/>
      <c r="TGJ12" s="28"/>
      <c r="TGK12" s="11"/>
      <c r="TGL12" s="28"/>
      <c r="TGM12" s="11"/>
      <c r="TGN12" s="28"/>
      <c r="TGO12" s="11"/>
      <c r="TGP12" s="28"/>
      <c r="TGQ12" s="11"/>
      <c r="TGR12" s="28"/>
      <c r="TGS12" s="11"/>
      <c r="TGT12" s="28"/>
      <c r="TGU12" s="11"/>
      <c r="TGV12" s="28"/>
      <c r="TGW12" s="11"/>
      <c r="TGX12" s="28"/>
      <c r="TGY12" s="11"/>
      <c r="TGZ12" s="28"/>
      <c r="THA12" s="11"/>
      <c r="THB12" s="28"/>
      <c r="THC12" s="11"/>
      <c r="THD12" s="28"/>
      <c r="THE12" s="11"/>
      <c r="THF12" s="28"/>
      <c r="THG12" s="11"/>
      <c r="THH12" s="28"/>
      <c r="THI12" s="11"/>
      <c r="THJ12" s="28"/>
      <c r="THK12" s="11"/>
      <c r="THL12" s="28"/>
      <c r="THM12" s="11"/>
      <c r="THN12" s="28"/>
      <c r="THO12" s="11"/>
      <c r="THP12" s="28"/>
      <c r="THQ12" s="11"/>
      <c r="THR12" s="28"/>
      <c r="THS12" s="11"/>
      <c r="THT12" s="28"/>
      <c r="THU12" s="11"/>
      <c r="THV12" s="28"/>
      <c r="THW12" s="11"/>
      <c r="THX12" s="28"/>
      <c r="THY12" s="11"/>
      <c r="THZ12" s="28"/>
      <c r="TIA12" s="11"/>
      <c r="TIB12" s="28"/>
      <c r="TIC12" s="11"/>
      <c r="TID12" s="28"/>
      <c r="TIE12" s="11"/>
      <c r="TIF12" s="28"/>
      <c r="TIG12" s="11"/>
      <c r="TIH12" s="28"/>
      <c r="TII12" s="11"/>
      <c r="TIJ12" s="28"/>
      <c r="TIK12" s="11"/>
      <c r="TIL12" s="28"/>
      <c r="TIM12" s="11"/>
      <c r="TIN12" s="28"/>
      <c r="TIO12" s="11"/>
      <c r="TIP12" s="28"/>
      <c r="TIQ12" s="11"/>
      <c r="TIR12" s="28"/>
      <c r="TIS12" s="11"/>
      <c r="TIT12" s="28"/>
      <c r="TIU12" s="11"/>
      <c r="TIV12" s="28"/>
      <c r="TIW12" s="11"/>
      <c r="TIX12" s="28"/>
      <c r="TIY12" s="11"/>
      <c r="TIZ12" s="28"/>
      <c r="TJA12" s="11"/>
      <c r="TJB12" s="28"/>
      <c r="TJC12" s="11"/>
      <c r="TJD12" s="28"/>
      <c r="TJE12" s="11"/>
      <c r="TJF12" s="28"/>
      <c r="TJG12" s="11"/>
      <c r="TJH12" s="28"/>
      <c r="TJI12" s="11"/>
      <c r="TJJ12" s="28"/>
      <c r="TJK12" s="11"/>
      <c r="TJL12" s="28"/>
      <c r="TJM12" s="11"/>
      <c r="TJN12" s="28"/>
      <c r="TJO12" s="11"/>
      <c r="TJP12" s="28"/>
      <c r="TJQ12" s="11"/>
      <c r="TJR12" s="28"/>
      <c r="TJS12" s="11"/>
      <c r="TJT12" s="28"/>
      <c r="TJU12" s="11"/>
      <c r="TJV12" s="28"/>
      <c r="TJW12" s="11"/>
      <c r="TJX12" s="28"/>
      <c r="TJY12" s="11"/>
      <c r="TJZ12" s="28"/>
      <c r="TKA12" s="11"/>
      <c r="TKB12" s="28"/>
      <c r="TKC12" s="11"/>
      <c r="TKD12" s="28"/>
      <c r="TKE12" s="11"/>
      <c r="TKF12" s="28"/>
      <c r="TKG12" s="11"/>
      <c r="TKH12" s="28"/>
      <c r="TKI12" s="11"/>
      <c r="TKJ12" s="28"/>
      <c r="TKK12" s="11"/>
      <c r="TKL12" s="28"/>
      <c r="TKM12" s="11"/>
      <c r="TKN12" s="28"/>
      <c r="TKO12" s="11"/>
      <c r="TKP12" s="28"/>
      <c r="TKQ12" s="11"/>
      <c r="TKR12" s="28"/>
      <c r="TKS12" s="11"/>
      <c r="TKT12" s="28"/>
      <c r="TKU12" s="11"/>
      <c r="TKV12" s="28"/>
      <c r="TKW12" s="11"/>
      <c r="TKX12" s="28"/>
      <c r="TKY12" s="11"/>
      <c r="TKZ12" s="28"/>
      <c r="TLA12" s="11"/>
      <c r="TLB12" s="28"/>
      <c r="TLC12" s="11"/>
      <c r="TLD12" s="28"/>
      <c r="TLE12" s="11"/>
      <c r="TLF12" s="28"/>
      <c r="TLG12" s="11"/>
      <c r="TLH12" s="28"/>
      <c r="TLI12" s="11"/>
      <c r="TLJ12" s="28"/>
      <c r="TLK12" s="11"/>
      <c r="TLL12" s="28"/>
      <c r="TLM12" s="11"/>
      <c r="TLN12" s="28"/>
      <c r="TLO12" s="11"/>
      <c r="TLP12" s="28"/>
      <c r="TLQ12" s="11"/>
      <c r="TLR12" s="28"/>
      <c r="TLS12" s="11"/>
      <c r="TLT12" s="28"/>
      <c r="TLU12" s="11"/>
      <c r="TLV12" s="28"/>
      <c r="TLW12" s="11"/>
      <c r="TLX12" s="28"/>
      <c r="TLY12" s="11"/>
      <c r="TLZ12" s="28"/>
      <c r="TMA12" s="11"/>
      <c r="TMB12" s="28"/>
      <c r="TMC12" s="11"/>
      <c r="TMD12" s="28"/>
      <c r="TME12" s="11"/>
      <c r="TMF12" s="28"/>
      <c r="TMG12" s="11"/>
      <c r="TMH12" s="28"/>
      <c r="TMI12" s="11"/>
      <c r="TMJ12" s="28"/>
      <c r="TMK12" s="11"/>
      <c r="TML12" s="28"/>
      <c r="TMM12" s="11"/>
      <c r="TMN12" s="28"/>
      <c r="TMO12" s="11"/>
      <c r="TMP12" s="28"/>
      <c r="TMQ12" s="11"/>
      <c r="TMR12" s="28"/>
      <c r="TMS12" s="11"/>
      <c r="TMT12" s="28"/>
      <c r="TMU12" s="11"/>
      <c r="TMV12" s="28"/>
      <c r="TMW12" s="11"/>
      <c r="TMX12" s="28"/>
      <c r="TMY12" s="11"/>
      <c r="TMZ12" s="28"/>
      <c r="TNA12" s="11"/>
      <c r="TNB12" s="28"/>
      <c r="TNC12" s="11"/>
      <c r="TND12" s="28"/>
      <c r="TNE12" s="11"/>
      <c r="TNF12" s="28"/>
      <c r="TNG12" s="11"/>
      <c r="TNH12" s="28"/>
      <c r="TNI12" s="11"/>
      <c r="TNJ12" s="28"/>
      <c r="TNK12" s="11"/>
      <c r="TNL12" s="28"/>
      <c r="TNM12" s="11"/>
      <c r="TNN12" s="28"/>
      <c r="TNO12" s="11"/>
      <c r="TNP12" s="28"/>
      <c r="TNQ12" s="11"/>
      <c r="TNR12" s="28"/>
      <c r="TNS12" s="11"/>
      <c r="TNT12" s="28"/>
      <c r="TNU12" s="11"/>
      <c r="TNV12" s="28"/>
      <c r="TNW12" s="11"/>
      <c r="TNX12" s="28"/>
      <c r="TNY12" s="11"/>
      <c r="TNZ12" s="28"/>
      <c r="TOA12" s="11"/>
      <c r="TOB12" s="28"/>
      <c r="TOC12" s="11"/>
      <c r="TOD12" s="28"/>
      <c r="TOE12" s="11"/>
      <c r="TOF12" s="28"/>
      <c r="TOG12" s="11"/>
      <c r="TOH12" s="28"/>
      <c r="TOI12" s="11"/>
      <c r="TOJ12" s="28"/>
      <c r="TOK12" s="11"/>
      <c r="TOL12" s="28"/>
      <c r="TOM12" s="11"/>
      <c r="TON12" s="28"/>
      <c r="TOO12" s="11"/>
      <c r="TOP12" s="28"/>
      <c r="TOQ12" s="11"/>
      <c r="TOR12" s="28"/>
      <c r="TOS12" s="11"/>
      <c r="TOT12" s="28"/>
      <c r="TOU12" s="11"/>
      <c r="TOV12" s="28"/>
      <c r="TOW12" s="11"/>
      <c r="TOX12" s="28"/>
      <c r="TOY12" s="11"/>
      <c r="TOZ12" s="28"/>
      <c r="TPA12" s="11"/>
      <c r="TPB12" s="28"/>
      <c r="TPC12" s="11"/>
      <c r="TPD12" s="28"/>
      <c r="TPE12" s="11"/>
      <c r="TPF12" s="28"/>
      <c r="TPG12" s="11"/>
      <c r="TPH12" s="28"/>
      <c r="TPI12" s="11"/>
      <c r="TPJ12" s="28"/>
      <c r="TPK12" s="11"/>
      <c r="TPL12" s="28"/>
      <c r="TPM12" s="11"/>
      <c r="TPN12" s="28"/>
      <c r="TPO12" s="11"/>
      <c r="TPP12" s="28"/>
      <c r="TPQ12" s="11"/>
      <c r="TPR12" s="28"/>
      <c r="TPS12" s="11"/>
      <c r="TPT12" s="28"/>
      <c r="TPU12" s="11"/>
      <c r="TPV12" s="28"/>
      <c r="TPW12" s="11"/>
      <c r="TPX12" s="28"/>
      <c r="TPY12" s="11"/>
      <c r="TPZ12" s="28"/>
      <c r="TQA12" s="11"/>
      <c r="TQB12" s="28"/>
      <c r="TQC12" s="11"/>
      <c r="TQD12" s="28"/>
      <c r="TQE12" s="11"/>
      <c r="TQF12" s="28"/>
      <c r="TQG12" s="11"/>
      <c r="TQH12" s="28"/>
      <c r="TQI12" s="11"/>
      <c r="TQJ12" s="28"/>
      <c r="TQK12" s="11"/>
      <c r="TQL12" s="28"/>
      <c r="TQM12" s="11"/>
      <c r="TQN12" s="28"/>
      <c r="TQO12" s="11"/>
      <c r="TQP12" s="28"/>
      <c r="TQQ12" s="11"/>
      <c r="TQR12" s="28"/>
      <c r="TQS12" s="11"/>
      <c r="TQT12" s="28"/>
      <c r="TQU12" s="11"/>
      <c r="TQV12" s="28"/>
      <c r="TQW12" s="11"/>
      <c r="TQX12" s="28"/>
      <c r="TQY12" s="11"/>
      <c r="TQZ12" s="28"/>
      <c r="TRA12" s="11"/>
      <c r="TRB12" s="28"/>
      <c r="TRC12" s="11"/>
      <c r="TRD12" s="28"/>
      <c r="TRE12" s="11"/>
      <c r="TRF12" s="28"/>
      <c r="TRG12" s="11"/>
      <c r="TRH12" s="28"/>
      <c r="TRI12" s="11"/>
      <c r="TRJ12" s="28"/>
      <c r="TRK12" s="11"/>
      <c r="TRL12" s="28"/>
      <c r="TRM12" s="11"/>
      <c r="TRN12" s="28"/>
      <c r="TRO12" s="11"/>
      <c r="TRP12" s="28"/>
      <c r="TRQ12" s="11"/>
      <c r="TRR12" s="28"/>
      <c r="TRS12" s="11"/>
      <c r="TRT12" s="28"/>
      <c r="TRU12" s="11"/>
      <c r="TRV12" s="28"/>
      <c r="TRW12" s="11"/>
      <c r="TRX12" s="28"/>
      <c r="TRY12" s="11"/>
      <c r="TRZ12" s="28"/>
      <c r="TSA12" s="11"/>
      <c r="TSB12" s="28"/>
      <c r="TSC12" s="11"/>
      <c r="TSD12" s="28"/>
      <c r="TSE12" s="11"/>
      <c r="TSF12" s="28"/>
      <c r="TSG12" s="11"/>
      <c r="TSH12" s="28"/>
      <c r="TSI12" s="11"/>
      <c r="TSJ12" s="28"/>
      <c r="TSK12" s="11"/>
      <c r="TSL12" s="28"/>
      <c r="TSM12" s="11"/>
      <c r="TSN12" s="28"/>
      <c r="TSO12" s="11"/>
      <c r="TSP12" s="28"/>
      <c r="TSQ12" s="11"/>
      <c r="TSR12" s="28"/>
      <c r="TSS12" s="11"/>
      <c r="TST12" s="28"/>
      <c r="TSU12" s="11"/>
      <c r="TSV12" s="28"/>
      <c r="TSW12" s="11"/>
      <c r="TSX12" s="28"/>
      <c r="TSY12" s="11"/>
      <c r="TSZ12" s="28"/>
      <c r="TTA12" s="11"/>
      <c r="TTB12" s="28"/>
      <c r="TTC12" s="11"/>
      <c r="TTD12" s="28"/>
      <c r="TTE12" s="11"/>
      <c r="TTF12" s="28"/>
      <c r="TTG12" s="11"/>
      <c r="TTH12" s="28"/>
      <c r="TTI12" s="11"/>
      <c r="TTJ12" s="28"/>
      <c r="TTK12" s="11"/>
      <c r="TTL12" s="28"/>
      <c r="TTM12" s="11"/>
      <c r="TTN12" s="28"/>
      <c r="TTO12" s="11"/>
      <c r="TTP12" s="28"/>
      <c r="TTQ12" s="11"/>
      <c r="TTR12" s="28"/>
      <c r="TTS12" s="11"/>
      <c r="TTT12" s="28"/>
      <c r="TTU12" s="11"/>
      <c r="TTV12" s="28"/>
      <c r="TTW12" s="11"/>
      <c r="TTX12" s="28"/>
      <c r="TTY12" s="11"/>
      <c r="TTZ12" s="28"/>
      <c r="TUA12" s="11"/>
      <c r="TUB12" s="28"/>
      <c r="TUC12" s="11"/>
      <c r="TUD12" s="28"/>
      <c r="TUE12" s="11"/>
      <c r="TUF12" s="28"/>
      <c r="TUG12" s="11"/>
      <c r="TUH12" s="28"/>
      <c r="TUI12" s="11"/>
      <c r="TUJ12" s="28"/>
      <c r="TUK12" s="11"/>
      <c r="TUL12" s="28"/>
      <c r="TUM12" s="11"/>
      <c r="TUN12" s="28"/>
      <c r="TUO12" s="11"/>
      <c r="TUP12" s="28"/>
      <c r="TUQ12" s="11"/>
      <c r="TUR12" s="28"/>
      <c r="TUS12" s="11"/>
      <c r="TUT12" s="28"/>
      <c r="TUU12" s="11"/>
      <c r="TUV12" s="28"/>
      <c r="TUW12" s="11"/>
      <c r="TUX12" s="28"/>
      <c r="TUY12" s="11"/>
      <c r="TUZ12" s="28"/>
      <c r="TVA12" s="11"/>
      <c r="TVB12" s="28"/>
      <c r="TVC12" s="11"/>
      <c r="TVD12" s="28"/>
      <c r="TVE12" s="11"/>
      <c r="TVF12" s="28"/>
      <c r="TVG12" s="11"/>
      <c r="TVH12" s="28"/>
      <c r="TVI12" s="11"/>
      <c r="TVJ12" s="28"/>
      <c r="TVK12" s="11"/>
      <c r="TVL12" s="28"/>
      <c r="TVM12" s="11"/>
      <c r="TVN12" s="28"/>
      <c r="TVO12" s="11"/>
      <c r="TVP12" s="28"/>
      <c r="TVQ12" s="11"/>
      <c r="TVR12" s="28"/>
      <c r="TVS12" s="11"/>
      <c r="TVT12" s="28"/>
      <c r="TVU12" s="11"/>
      <c r="TVV12" s="28"/>
      <c r="TVW12" s="11"/>
      <c r="TVX12" s="28"/>
      <c r="TVY12" s="11"/>
      <c r="TVZ12" s="28"/>
      <c r="TWA12" s="11"/>
      <c r="TWB12" s="28"/>
      <c r="TWC12" s="11"/>
      <c r="TWD12" s="28"/>
      <c r="TWE12" s="11"/>
      <c r="TWF12" s="28"/>
      <c r="TWG12" s="11"/>
      <c r="TWH12" s="28"/>
      <c r="TWI12" s="11"/>
      <c r="TWJ12" s="28"/>
      <c r="TWK12" s="11"/>
      <c r="TWL12" s="28"/>
      <c r="TWM12" s="11"/>
      <c r="TWN12" s="28"/>
      <c r="TWO12" s="11"/>
      <c r="TWP12" s="28"/>
      <c r="TWQ12" s="11"/>
      <c r="TWR12" s="28"/>
      <c r="TWS12" s="11"/>
      <c r="TWT12" s="28"/>
      <c r="TWU12" s="11"/>
      <c r="TWV12" s="28"/>
      <c r="TWW12" s="11"/>
      <c r="TWX12" s="28"/>
      <c r="TWY12" s="11"/>
      <c r="TWZ12" s="28"/>
      <c r="TXA12" s="11"/>
      <c r="TXB12" s="28"/>
      <c r="TXC12" s="11"/>
      <c r="TXD12" s="28"/>
      <c r="TXE12" s="11"/>
      <c r="TXF12" s="28"/>
      <c r="TXG12" s="11"/>
      <c r="TXH12" s="28"/>
      <c r="TXI12" s="11"/>
      <c r="TXJ12" s="28"/>
      <c r="TXK12" s="11"/>
      <c r="TXL12" s="28"/>
      <c r="TXM12" s="11"/>
      <c r="TXN12" s="28"/>
      <c r="TXO12" s="11"/>
      <c r="TXP12" s="28"/>
      <c r="TXQ12" s="11"/>
      <c r="TXR12" s="28"/>
      <c r="TXS12" s="11"/>
      <c r="TXT12" s="28"/>
      <c r="TXU12" s="11"/>
      <c r="TXV12" s="28"/>
      <c r="TXW12" s="11"/>
      <c r="TXX12" s="28"/>
      <c r="TXY12" s="11"/>
      <c r="TXZ12" s="28"/>
      <c r="TYA12" s="11"/>
      <c r="TYB12" s="28"/>
      <c r="TYC12" s="11"/>
      <c r="TYD12" s="28"/>
      <c r="TYE12" s="11"/>
      <c r="TYF12" s="28"/>
      <c r="TYG12" s="11"/>
      <c r="TYH12" s="28"/>
      <c r="TYI12" s="11"/>
      <c r="TYJ12" s="28"/>
      <c r="TYK12" s="11"/>
      <c r="TYL12" s="28"/>
      <c r="TYM12" s="11"/>
      <c r="TYN12" s="28"/>
      <c r="TYO12" s="11"/>
      <c r="TYP12" s="28"/>
      <c r="TYQ12" s="11"/>
      <c r="TYR12" s="28"/>
      <c r="TYS12" s="11"/>
      <c r="TYT12" s="28"/>
      <c r="TYU12" s="11"/>
      <c r="TYV12" s="28"/>
      <c r="TYW12" s="11"/>
      <c r="TYX12" s="28"/>
      <c r="TYY12" s="11"/>
      <c r="TYZ12" s="28"/>
      <c r="TZA12" s="11"/>
      <c r="TZB12" s="28"/>
      <c r="TZC12" s="11"/>
      <c r="TZD12" s="28"/>
      <c r="TZE12" s="11"/>
      <c r="TZF12" s="28"/>
      <c r="TZG12" s="11"/>
      <c r="TZH12" s="28"/>
      <c r="TZI12" s="11"/>
      <c r="TZJ12" s="28"/>
      <c r="TZK12" s="11"/>
      <c r="TZL12" s="28"/>
      <c r="TZM12" s="11"/>
      <c r="TZN12" s="28"/>
      <c r="TZO12" s="11"/>
      <c r="TZP12" s="28"/>
      <c r="TZQ12" s="11"/>
      <c r="TZR12" s="28"/>
      <c r="TZS12" s="11"/>
      <c r="TZT12" s="28"/>
      <c r="TZU12" s="11"/>
      <c r="TZV12" s="28"/>
      <c r="TZW12" s="11"/>
      <c r="TZX12" s="28"/>
      <c r="TZY12" s="11"/>
      <c r="TZZ12" s="28"/>
      <c r="UAA12" s="11"/>
      <c r="UAB12" s="28"/>
      <c r="UAC12" s="11"/>
      <c r="UAD12" s="28"/>
      <c r="UAE12" s="11"/>
      <c r="UAF12" s="28"/>
      <c r="UAG12" s="11"/>
      <c r="UAH12" s="28"/>
      <c r="UAI12" s="11"/>
      <c r="UAJ12" s="28"/>
      <c r="UAK12" s="11"/>
      <c r="UAL12" s="28"/>
      <c r="UAM12" s="11"/>
      <c r="UAN12" s="28"/>
      <c r="UAO12" s="11"/>
      <c r="UAP12" s="28"/>
      <c r="UAQ12" s="11"/>
      <c r="UAR12" s="28"/>
      <c r="UAS12" s="11"/>
      <c r="UAT12" s="28"/>
      <c r="UAU12" s="11"/>
      <c r="UAV12" s="28"/>
      <c r="UAW12" s="11"/>
      <c r="UAX12" s="28"/>
      <c r="UAY12" s="11"/>
      <c r="UAZ12" s="28"/>
      <c r="UBA12" s="11"/>
      <c r="UBB12" s="28"/>
      <c r="UBC12" s="11"/>
      <c r="UBD12" s="28"/>
      <c r="UBE12" s="11"/>
      <c r="UBF12" s="28"/>
      <c r="UBG12" s="11"/>
      <c r="UBH12" s="28"/>
      <c r="UBI12" s="11"/>
      <c r="UBJ12" s="28"/>
      <c r="UBK12" s="11"/>
      <c r="UBL12" s="28"/>
      <c r="UBM12" s="11"/>
      <c r="UBN12" s="28"/>
      <c r="UBO12" s="11"/>
      <c r="UBP12" s="28"/>
      <c r="UBQ12" s="11"/>
      <c r="UBR12" s="28"/>
      <c r="UBS12" s="11"/>
      <c r="UBT12" s="28"/>
      <c r="UBU12" s="11"/>
      <c r="UBV12" s="28"/>
      <c r="UBW12" s="11"/>
      <c r="UBX12" s="28"/>
      <c r="UBY12" s="11"/>
      <c r="UBZ12" s="28"/>
      <c r="UCA12" s="11"/>
      <c r="UCB12" s="28"/>
      <c r="UCC12" s="11"/>
      <c r="UCD12" s="28"/>
      <c r="UCE12" s="11"/>
      <c r="UCF12" s="28"/>
      <c r="UCG12" s="11"/>
      <c r="UCH12" s="28"/>
      <c r="UCI12" s="11"/>
      <c r="UCJ12" s="28"/>
      <c r="UCK12" s="11"/>
      <c r="UCL12" s="28"/>
      <c r="UCM12" s="11"/>
      <c r="UCN12" s="28"/>
      <c r="UCO12" s="11"/>
      <c r="UCP12" s="28"/>
      <c r="UCQ12" s="11"/>
      <c r="UCR12" s="28"/>
      <c r="UCS12" s="11"/>
      <c r="UCT12" s="28"/>
      <c r="UCU12" s="11"/>
      <c r="UCV12" s="28"/>
      <c r="UCW12" s="11"/>
      <c r="UCX12" s="28"/>
      <c r="UCY12" s="11"/>
      <c r="UCZ12" s="28"/>
      <c r="UDA12" s="11"/>
      <c r="UDB12" s="28"/>
      <c r="UDC12" s="11"/>
      <c r="UDD12" s="28"/>
      <c r="UDE12" s="11"/>
      <c r="UDF12" s="28"/>
      <c r="UDG12" s="11"/>
      <c r="UDH12" s="28"/>
      <c r="UDI12" s="11"/>
      <c r="UDJ12" s="28"/>
      <c r="UDK12" s="11"/>
      <c r="UDL12" s="28"/>
      <c r="UDM12" s="11"/>
      <c r="UDN12" s="28"/>
      <c r="UDO12" s="11"/>
      <c r="UDP12" s="28"/>
      <c r="UDQ12" s="11"/>
      <c r="UDR12" s="28"/>
      <c r="UDS12" s="11"/>
      <c r="UDT12" s="28"/>
      <c r="UDU12" s="11"/>
      <c r="UDV12" s="28"/>
      <c r="UDW12" s="11"/>
      <c r="UDX12" s="28"/>
      <c r="UDY12" s="11"/>
      <c r="UDZ12" s="28"/>
      <c r="UEA12" s="11"/>
      <c r="UEB12" s="28"/>
      <c r="UEC12" s="11"/>
      <c r="UED12" s="28"/>
      <c r="UEE12" s="11"/>
      <c r="UEF12" s="28"/>
      <c r="UEG12" s="11"/>
      <c r="UEH12" s="28"/>
      <c r="UEI12" s="11"/>
      <c r="UEJ12" s="28"/>
      <c r="UEK12" s="11"/>
      <c r="UEL12" s="28"/>
      <c r="UEM12" s="11"/>
      <c r="UEN12" s="28"/>
      <c r="UEO12" s="11"/>
      <c r="UEP12" s="28"/>
      <c r="UEQ12" s="11"/>
      <c r="UER12" s="28"/>
      <c r="UES12" s="11"/>
      <c r="UET12" s="28"/>
      <c r="UEU12" s="11"/>
      <c r="UEV12" s="28"/>
      <c r="UEW12" s="11"/>
      <c r="UEX12" s="28"/>
      <c r="UEY12" s="11"/>
      <c r="UEZ12" s="28"/>
      <c r="UFA12" s="11"/>
      <c r="UFB12" s="28"/>
      <c r="UFC12" s="11"/>
      <c r="UFD12" s="28"/>
      <c r="UFE12" s="11"/>
      <c r="UFF12" s="28"/>
      <c r="UFG12" s="11"/>
      <c r="UFH12" s="28"/>
      <c r="UFI12" s="11"/>
      <c r="UFJ12" s="28"/>
      <c r="UFK12" s="11"/>
      <c r="UFL12" s="28"/>
      <c r="UFM12" s="11"/>
      <c r="UFN12" s="28"/>
      <c r="UFO12" s="11"/>
      <c r="UFP12" s="28"/>
      <c r="UFQ12" s="11"/>
      <c r="UFR12" s="28"/>
      <c r="UFS12" s="11"/>
      <c r="UFT12" s="28"/>
      <c r="UFU12" s="11"/>
      <c r="UFV12" s="28"/>
      <c r="UFW12" s="11"/>
      <c r="UFX12" s="28"/>
      <c r="UFY12" s="11"/>
      <c r="UFZ12" s="28"/>
      <c r="UGA12" s="11"/>
      <c r="UGB12" s="28"/>
      <c r="UGC12" s="11"/>
      <c r="UGD12" s="28"/>
      <c r="UGE12" s="11"/>
      <c r="UGF12" s="28"/>
      <c r="UGG12" s="11"/>
      <c r="UGH12" s="28"/>
      <c r="UGI12" s="11"/>
      <c r="UGJ12" s="28"/>
      <c r="UGK12" s="11"/>
      <c r="UGL12" s="28"/>
      <c r="UGM12" s="11"/>
      <c r="UGN12" s="28"/>
      <c r="UGO12" s="11"/>
      <c r="UGP12" s="28"/>
      <c r="UGQ12" s="11"/>
      <c r="UGR12" s="28"/>
      <c r="UGS12" s="11"/>
      <c r="UGT12" s="28"/>
      <c r="UGU12" s="11"/>
      <c r="UGV12" s="28"/>
      <c r="UGW12" s="11"/>
      <c r="UGX12" s="28"/>
      <c r="UGY12" s="11"/>
      <c r="UGZ12" s="28"/>
      <c r="UHA12" s="11"/>
      <c r="UHB12" s="28"/>
      <c r="UHC12" s="11"/>
      <c r="UHD12" s="28"/>
      <c r="UHE12" s="11"/>
      <c r="UHF12" s="28"/>
      <c r="UHG12" s="11"/>
      <c r="UHH12" s="28"/>
      <c r="UHI12" s="11"/>
      <c r="UHJ12" s="28"/>
      <c r="UHK12" s="11"/>
      <c r="UHL12" s="28"/>
      <c r="UHM12" s="11"/>
      <c r="UHN12" s="28"/>
      <c r="UHO12" s="11"/>
      <c r="UHP12" s="28"/>
      <c r="UHQ12" s="11"/>
      <c r="UHR12" s="28"/>
      <c r="UHS12" s="11"/>
      <c r="UHT12" s="28"/>
      <c r="UHU12" s="11"/>
      <c r="UHV12" s="28"/>
      <c r="UHW12" s="11"/>
      <c r="UHX12" s="28"/>
      <c r="UHY12" s="11"/>
      <c r="UHZ12" s="28"/>
      <c r="UIA12" s="11"/>
      <c r="UIB12" s="28"/>
      <c r="UIC12" s="11"/>
      <c r="UID12" s="28"/>
      <c r="UIE12" s="11"/>
      <c r="UIF12" s="28"/>
      <c r="UIG12" s="11"/>
      <c r="UIH12" s="28"/>
      <c r="UII12" s="11"/>
      <c r="UIJ12" s="28"/>
      <c r="UIK12" s="11"/>
      <c r="UIL12" s="28"/>
      <c r="UIM12" s="11"/>
      <c r="UIN12" s="28"/>
      <c r="UIO12" s="11"/>
      <c r="UIP12" s="28"/>
      <c r="UIQ12" s="11"/>
      <c r="UIR12" s="28"/>
      <c r="UIS12" s="11"/>
      <c r="UIT12" s="28"/>
      <c r="UIU12" s="11"/>
      <c r="UIV12" s="28"/>
      <c r="UIW12" s="11"/>
      <c r="UIX12" s="28"/>
      <c r="UIY12" s="11"/>
      <c r="UIZ12" s="28"/>
      <c r="UJA12" s="11"/>
      <c r="UJB12" s="28"/>
      <c r="UJC12" s="11"/>
      <c r="UJD12" s="28"/>
      <c r="UJE12" s="11"/>
      <c r="UJF12" s="28"/>
      <c r="UJG12" s="11"/>
      <c r="UJH12" s="28"/>
      <c r="UJI12" s="11"/>
      <c r="UJJ12" s="28"/>
      <c r="UJK12" s="11"/>
      <c r="UJL12" s="28"/>
      <c r="UJM12" s="11"/>
      <c r="UJN12" s="28"/>
      <c r="UJO12" s="11"/>
      <c r="UJP12" s="28"/>
      <c r="UJQ12" s="11"/>
      <c r="UJR12" s="28"/>
      <c r="UJS12" s="11"/>
      <c r="UJT12" s="28"/>
      <c r="UJU12" s="11"/>
      <c r="UJV12" s="28"/>
      <c r="UJW12" s="11"/>
      <c r="UJX12" s="28"/>
      <c r="UJY12" s="11"/>
      <c r="UJZ12" s="28"/>
      <c r="UKA12" s="11"/>
      <c r="UKB12" s="28"/>
      <c r="UKC12" s="11"/>
      <c r="UKD12" s="28"/>
      <c r="UKE12" s="11"/>
      <c r="UKF12" s="28"/>
      <c r="UKG12" s="11"/>
      <c r="UKH12" s="28"/>
      <c r="UKI12" s="11"/>
      <c r="UKJ12" s="28"/>
      <c r="UKK12" s="11"/>
      <c r="UKL12" s="28"/>
      <c r="UKM12" s="11"/>
      <c r="UKN12" s="28"/>
      <c r="UKO12" s="11"/>
      <c r="UKP12" s="28"/>
      <c r="UKQ12" s="11"/>
      <c r="UKR12" s="28"/>
      <c r="UKS12" s="11"/>
      <c r="UKT12" s="28"/>
      <c r="UKU12" s="11"/>
      <c r="UKV12" s="28"/>
      <c r="UKW12" s="11"/>
      <c r="UKX12" s="28"/>
      <c r="UKY12" s="11"/>
      <c r="UKZ12" s="28"/>
      <c r="ULA12" s="11"/>
      <c r="ULB12" s="28"/>
      <c r="ULC12" s="11"/>
      <c r="ULD12" s="28"/>
      <c r="ULE12" s="11"/>
      <c r="ULF12" s="28"/>
      <c r="ULG12" s="11"/>
      <c r="ULH12" s="28"/>
      <c r="ULI12" s="11"/>
      <c r="ULJ12" s="28"/>
      <c r="ULK12" s="11"/>
      <c r="ULL12" s="28"/>
      <c r="ULM12" s="11"/>
      <c r="ULN12" s="28"/>
      <c r="ULO12" s="11"/>
      <c r="ULP12" s="28"/>
      <c r="ULQ12" s="11"/>
      <c r="ULR12" s="28"/>
      <c r="ULS12" s="11"/>
      <c r="ULT12" s="28"/>
      <c r="ULU12" s="11"/>
      <c r="ULV12" s="28"/>
      <c r="ULW12" s="11"/>
      <c r="ULX12" s="28"/>
      <c r="ULY12" s="11"/>
      <c r="ULZ12" s="28"/>
      <c r="UMA12" s="11"/>
      <c r="UMB12" s="28"/>
      <c r="UMC12" s="11"/>
      <c r="UMD12" s="28"/>
      <c r="UME12" s="11"/>
      <c r="UMF12" s="28"/>
      <c r="UMG12" s="11"/>
      <c r="UMH12" s="28"/>
      <c r="UMI12" s="11"/>
      <c r="UMJ12" s="28"/>
      <c r="UMK12" s="11"/>
      <c r="UML12" s="28"/>
      <c r="UMM12" s="11"/>
      <c r="UMN12" s="28"/>
      <c r="UMO12" s="11"/>
      <c r="UMP12" s="28"/>
      <c r="UMQ12" s="11"/>
      <c r="UMR12" s="28"/>
      <c r="UMS12" s="11"/>
      <c r="UMT12" s="28"/>
      <c r="UMU12" s="11"/>
      <c r="UMV12" s="28"/>
      <c r="UMW12" s="11"/>
      <c r="UMX12" s="28"/>
      <c r="UMY12" s="11"/>
      <c r="UMZ12" s="28"/>
      <c r="UNA12" s="11"/>
      <c r="UNB12" s="28"/>
      <c r="UNC12" s="11"/>
      <c r="UND12" s="28"/>
      <c r="UNE12" s="11"/>
      <c r="UNF12" s="28"/>
      <c r="UNG12" s="11"/>
      <c r="UNH12" s="28"/>
      <c r="UNI12" s="11"/>
      <c r="UNJ12" s="28"/>
      <c r="UNK12" s="11"/>
      <c r="UNL12" s="28"/>
      <c r="UNM12" s="11"/>
      <c r="UNN12" s="28"/>
      <c r="UNO12" s="11"/>
      <c r="UNP12" s="28"/>
      <c r="UNQ12" s="11"/>
      <c r="UNR12" s="28"/>
      <c r="UNS12" s="11"/>
      <c r="UNT12" s="28"/>
      <c r="UNU12" s="11"/>
      <c r="UNV12" s="28"/>
      <c r="UNW12" s="11"/>
      <c r="UNX12" s="28"/>
      <c r="UNY12" s="11"/>
      <c r="UNZ12" s="28"/>
      <c r="UOA12" s="11"/>
      <c r="UOB12" s="28"/>
      <c r="UOC12" s="11"/>
      <c r="UOD12" s="28"/>
      <c r="UOE12" s="11"/>
      <c r="UOF12" s="28"/>
      <c r="UOG12" s="11"/>
      <c r="UOH12" s="28"/>
      <c r="UOI12" s="11"/>
      <c r="UOJ12" s="28"/>
      <c r="UOK12" s="11"/>
      <c r="UOL12" s="28"/>
      <c r="UOM12" s="11"/>
      <c r="UON12" s="28"/>
      <c r="UOO12" s="11"/>
      <c r="UOP12" s="28"/>
      <c r="UOQ12" s="11"/>
      <c r="UOR12" s="28"/>
      <c r="UOS12" s="11"/>
      <c r="UOT12" s="28"/>
      <c r="UOU12" s="11"/>
      <c r="UOV12" s="28"/>
      <c r="UOW12" s="11"/>
      <c r="UOX12" s="28"/>
      <c r="UOY12" s="11"/>
      <c r="UOZ12" s="28"/>
      <c r="UPA12" s="11"/>
      <c r="UPB12" s="28"/>
      <c r="UPC12" s="11"/>
      <c r="UPD12" s="28"/>
      <c r="UPE12" s="11"/>
      <c r="UPF12" s="28"/>
      <c r="UPG12" s="11"/>
      <c r="UPH12" s="28"/>
      <c r="UPI12" s="11"/>
      <c r="UPJ12" s="28"/>
      <c r="UPK12" s="11"/>
      <c r="UPL12" s="28"/>
      <c r="UPM12" s="11"/>
      <c r="UPN12" s="28"/>
      <c r="UPO12" s="11"/>
      <c r="UPP12" s="28"/>
      <c r="UPQ12" s="11"/>
      <c r="UPR12" s="28"/>
      <c r="UPS12" s="11"/>
      <c r="UPT12" s="28"/>
      <c r="UPU12" s="11"/>
      <c r="UPV12" s="28"/>
      <c r="UPW12" s="11"/>
      <c r="UPX12" s="28"/>
      <c r="UPY12" s="11"/>
      <c r="UPZ12" s="28"/>
      <c r="UQA12" s="11"/>
      <c r="UQB12" s="28"/>
      <c r="UQC12" s="11"/>
      <c r="UQD12" s="28"/>
      <c r="UQE12" s="11"/>
      <c r="UQF12" s="28"/>
      <c r="UQG12" s="11"/>
      <c r="UQH12" s="28"/>
      <c r="UQI12" s="11"/>
      <c r="UQJ12" s="28"/>
      <c r="UQK12" s="11"/>
      <c r="UQL12" s="28"/>
      <c r="UQM12" s="11"/>
      <c r="UQN12" s="28"/>
      <c r="UQO12" s="11"/>
      <c r="UQP12" s="28"/>
      <c r="UQQ12" s="11"/>
      <c r="UQR12" s="28"/>
      <c r="UQS12" s="11"/>
      <c r="UQT12" s="28"/>
      <c r="UQU12" s="11"/>
      <c r="UQV12" s="28"/>
      <c r="UQW12" s="11"/>
      <c r="UQX12" s="28"/>
      <c r="UQY12" s="11"/>
      <c r="UQZ12" s="28"/>
      <c r="URA12" s="11"/>
      <c r="URB12" s="28"/>
      <c r="URC12" s="11"/>
      <c r="URD12" s="28"/>
      <c r="URE12" s="11"/>
      <c r="URF12" s="28"/>
      <c r="URG12" s="11"/>
      <c r="URH12" s="28"/>
      <c r="URI12" s="11"/>
      <c r="URJ12" s="28"/>
      <c r="URK12" s="11"/>
      <c r="URL12" s="28"/>
      <c r="URM12" s="11"/>
      <c r="URN12" s="28"/>
      <c r="URO12" s="11"/>
      <c r="URP12" s="28"/>
      <c r="URQ12" s="11"/>
      <c r="URR12" s="28"/>
      <c r="URS12" s="11"/>
      <c r="URT12" s="28"/>
      <c r="URU12" s="11"/>
      <c r="URV12" s="28"/>
      <c r="URW12" s="11"/>
      <c r="URX12" s="28"/>
      <c r="URY12" s="11"/>
      <c r="URZ12" s="28"/>
      <c r="USA12" s="11"/>
      <c r="USB12" s="28"/>
      <c r="USC12" s="11"/>
      <c r="USD12" s="28"/>
      <c r="USE12" s="11"/>
      <c r="USF12" s="28"/>
      <c r="USG12" s="11"/>
      <c r="USH12" s="28"/>
      <c r="USI12" s="11"/>
      <c r="USJ12" s="28"/>
      <c r="USK12" s="11"/>
      <c r="USL12" s="28"/>
      <c r="USM12" s="11"/>
      <c r="USN12" s="28"/>
      <c r="USO12" s="11"/>
      <c r="USP12" s="28"/>
      <c r="USQ12" s="11"/>
      <c r="USR12" s="28"/>
      <c r="USS12" s="11"/>
      <c r="UST12" s="28"/>
      <c r="USU12" s="11"/>
      <c r="USV12" s="28"/>
      <c r="USW12" s="11"/>
      <c r="USX12" s="28"/>
      <c r="USY12" s="11"/>
      <c r="USZ12" s="28"/>
      <c r="UTA12" s="11"/>
      <c r="UTB12" s="28"/>
      <c r="UTC12" s="11"/>
      <c r="UTD12" s="28"/>
      <c r="UTE12" s="11"/>
      <c r="UTF12" s="28"/>
      <c r="UTG12" s="11"/>
      <c r="UTH12" s="28"/>
      <c r="UTI12" s="11"/>
      <c r="UTJ12" s="28"/>
      <c r="UTK12" s="11"/>
      <c r="UTL12" s="28"/>
      <c r="UTM12" s="11"/>
      <c r="UTN12" s="28"/>
      <c r="UTO12" s="11"/>
      <c r="UTP12" s="28"/>
      <c r="UTQ12" s="11"/>
      <c r="UTR12" s="28"/>
      <c r="UTS12" s="11"/>
      <c r="UTT12" s="28"/>
      <c r="UTU12" s="11"/>
      <c r="UTV12" s="28"/>
      <c r="UTW12" s="11"/>
      <c r="UTX12" s="28"/>
      <c r="UTY12" s="11"/>
      <c r="UTZ12" s="28"/>
      <c r="UUA12" s="11"/>
      <c r="UUB12" s="28"/>
      <c r="UUC12" s="11"/>
      <c r="UUD12" s="28"/>
      <c r="UUE12" s="11"/>
      <c r="UUF12" s="28"/>
      <c r="UUG12" s="11"/>
      <c r="UUH12" s="28"/>
      <c r="UUI12" s="11"/>
      <c r="UUJ12" s="28"/>
      <c r="UUK12" s="11"/>
      <c r="UUL12" s="28"/>
      <c r="UUM12" s="11"/>
      <c r="UUN12" s="28"/>
      <c r="UUO12" s="11"/>
      <c r="UUP12" s="28"/>
      <c r="UUQ12" s="11"/>
      <c r="UUR12" s="28"/>
      <c r="UUS12" s="11"/>
      <c r="UUT12" s="28"/>
      <c r="UUU12" s="11"/>
      <c r="UUV12" s="28"/>
      <c r="UUW12" s="11"/>
      <c r="UUX12" s="28"/>
      <c r="UUY12" s="11"/>
      <c r="UUZ12" s="28"/>
      <c r="UVA12" s="11"/>
      <c r="UVB12" s="28"/>
      <c r="UVC12" s="11"/>
      <c r="UVD12" s="28"/>
      <c r="UVE12" s="11"/>
      <c r="UVF12" s="28"/>
      <c r="UVG12" s="11"/>
      <c r="UVH12" s="28"/>
      <c r="UVI12" s="11"/>
      <c r="UVJ12" s="28"/>
      <c r="UVK12" s="11"/>
      <c r="UVL12" s="28"/>
      <c r="UVM12" s="11"/>
      <c r="UVN12" s="28"/>
      <c r="UVO12" s="11"/>
      <c r="UVP12" s="28"/>
      <c r="UVQ12" s="11"/>
      <c r="UVR12" s="28"/>
      <c r="UVS12" s="11"/>
      <c r="UVT12" s="28"/>
      <c r="UVU12" s="11"/>
      <c r="UVV12" s="28"/>
      <c r="UVW12" s="11"/>
      <c r="UVX12" s="28"/>
      <c r="UVY12" s="11"/>
      <c r="UVZ12" s="28"/>
      <c r="UWA12" s="11"/>
      <c r="UWB12" s="28"/>
      <c r="UWC12" s="11"/>
      <c r="UWD12" s="28"/>
      <c r="UWE12" s="11"/>
      <c r="UWF12" s="28"/>
      <c r="UWG12" s="11"/>
      <c r="UWH12" s="28"/>
      <c r="UWI12" s="11"/>
      <c r="UWJ12" s="28"/>
      <c r="UWK12" s="11"/>
      <c r="UWL12" s="28"/>
      <c r="UWM12" s="11"/>
      <c r="UWN12" s="28"/>
      <c r="UWO12" s="11"/>
      <c r="UWP12" s="28"/>
      <c r="UWQ12" s="11"/>
      <c r="UWR12" s="28"/>
      <c r="UWS12" s="11"/>
      <c r="UWT12" s="28"/>
      <c r="UWU12" s="11"/>
      <c r="UWV12" s="28"/>
      <c r="UWW12" s="11"/>
      <c r="UWX12" s="28"/>
      <c r="UWY12" s="11"/>
      <c r="UWZ12" s="28"/>
      <c r="UXA12" s="11"/>
      <c r="UXB12" s="28"/>
      <c r="UXC12" s="11"/>
      <c r="UXD12" s="28"/>
      <c r="UXE12" s="11"/>
      <c r="UXF12" s="28"/>
      <c r="UXG12" s="11"/>
      <c r="UXH12" s="28"/>
      <c r="UXI12" s="11"/>
      <c r="UXJ12" s="28"/>
      <c r="UXK12" s="11"/>
      <c r="UXL12" s="28"/>
      <c r="UXM12" s="11"/>
      <c r="UXN12" s="28"/>
      <c r="UXO12" s="11"/>
      <c r="UXP12" s="28"/>
      <c r="UXQ12" s="11"/>
      <c r="UXR12" s="28"/>
      <c r="UXS12" s="11"/>
      <c r="UXT12" s="28"/>
      <c r="UXU12" s="11"/>
      <c r="UXV12" s="28"/>
      <c r="UXW12" s="11"/>
      <c r="UXX12" s="28"/>
      <c r="UXY12" s="11"/>
      <c r="UXZ12" s="28"/>
      <c r="UYA12" s="11"/>
      <c r="UYB12" s="28"/>
      <c r="UYC12" s="11"/>
      <c r="UYD12" s="28"/>
      <c r="UYE12" s="11"/>
      <c r="UYF12" s="28"/>
      <c r="UYG12" s="11"/>
      <c r="UYH12" s="28"/>
      <c r="UYI12" s="11"/>
      <c r="UYJ12" s="28"/>
      <c r="UYK12" s="11"/>
      <c r="UYL12" s="28"/>
      <c r="UYM12" s="11"/>
      <c r="UYN12" s="28"/>
      <c r="UYO12" s="11"/>
      <c r="UYP12" s="28"/>
      <c r="UYQ12" s="11"/>
      <c r="UYR12" s="28"/>
      <c r="UYS12" s="11"/>
      <c r="UYT12" s="28"/>
      <c r="UYU12" s="11"/>
      <c r="UYV12" s="28"/>
      <c r="UYW12" s="11"/>
      <c r="UYX12" s="28"/>
      <c r="UYY12" s="11"/>
      <c r="UYZ12" s="28"/>
      <c r="UZA12" s="11"/>
      <c r="UZB12" s="28"/>
      <c r="UZC12" s="11"/>
      <c r="UZD12" s="28"/>
      <c r="UZE12" s="11"/>
      <c r="UZF12" s="28"/>
      <c r="UZG12" s="11"/>
      <c r="UZH12" s="28"/>
      <c r="UZI12" s="11"/>
      <c r="UZJ12" s="28"/>
      <c r="UZK12" s="11"/>
      <c r="UZL12" s="28"/>
      <c r="UZM12" s="11"/>
      <c r="UZN12" s="28"/>
      <c r="UZO12" s="11"/>
      <c r="UZP12" s="28"/>
      <c r="UZQ12" s="11"/>
      <c r="UZR12" s="28"/>
      <c r="UZS12" s="11"/>
      <c r="UZT12" s="28"/>
      <c r="UZU12" s="11"/>
      <c r="UZV12" s="28"/>
      <c r="UZW12" s="11"/>
      <c r="UZX12" s="28"/>
      <c r="UZY12" s="11"/>
      <c r="UZZ12" s="28"/>
      <c r="VAA12" s="11"/>
      <c r="VAB12" s="28"/>
      <c r="VAC12" s="11"/>
      <c r="VAD12" s="28"/>
      <c r="VAE12" s="11"/>
      <c r="VAF12" s="28"/>
      <c r="VAG12" s="11"/>
      <c r="VAH12" s="28"/>
      <c r="VAI12" s="11"/>
      <c r="VAJ12" s="28"/>
      <c r="VAK12" s="11"/>
      <c r="VAL12" s="28"/>
      <c r="VAM12" s="11"/>
      <c r="VAN12" s="28"/>
      <c r="VAO12" s="11"/>
      <c r="VAP12" s="28"/>
      <c r="VAQ12" s="11"/>
      <c r="VAR12" s="28"/>
      <c r="VAS12" s="11"/>
      <c r="VAT12" s="28"/>
      <c r="VAU12" s="11"/>
      <c r="VAV12" s="28"/>
      <c r="VAW12" s="11"/>
      <c r="VAX12" s="28"/>
      <c r="VAY12" s="11"/>
      <c r="VAZ12" s="28"/>
      <c r="VBA12" s="11"/>
      <c r="VBB12" s="28"/>
      <c r="VBC12" s="11"/>
      <c r="VBD12" s="28"/>
      <c r="VBE12" s="11"/>
      <c r="VBF12" s="28"/>
      <c r="VBG12" s="11"/>
      <c r="VBH12" s="28"/>
      <c r="VBI12" s="11"/>
      <c r="VBJ12" s="28"/>
      <c r="VBK12" s="11"/>
      <c r="VBL12" s="28"/>
      <c r="VBM12" s="11"/>
      <c r="VBN12" s="28"/>
      <c r="VBO12" s="11"/>
      <c r="VBP12" s="28"/>
      <c r="VBQ12" s="11"/>
      <c r="VBR12" s="28"/>
      <c r="VBS12" s="11"/>
      <c r="VBT12" s="28"/>
      <c r="VBU12" s="11"/>
      <c r="VBV12" s="28"/>
      <c r="VBW12" s="11"/>
      <c r="VBX12" s="28"/>
      <c r="VBY12" s="11"/>
      <c r="VBZ12" s="28"/>
      <c r="VCA12" s="11"/>
      <c r="VCB12" s="28"/>
      <c r="VCC12" s="11"/>
      <c r="VCD12" s="28"/>
      <c r="VCE12" s="11"/>
      <c r="VCF12" s="28"/>
      <c r="VCG12" s="11"/>
      <c r="VCH12" s="28"/>
      <c r="VCI12" s="11"/>
      <c r="VCJ12" s="28"/>
      <c r="VCK12" s="11"/>
      <c r="VCL12" s="28"/>
      <c r="VCM12" s="11"/>
      <c r="VCN12" s="28"/>
      <c r="VCO12" s="11"/>
      <c r="VCP12" s="28"/>
      <c r="VCQ12" s="11"/>
      <c r="VCR12" s="28"/>
      <c r="VCS12" s="11"/>
      <c r="VCT12" s="28"/>
      <c r="VCU12" s="11"/>
      <c r="VCV12" s="28"/>
      <c r="VCW12" s="11"/>
      <c r="VCX12" s="28"/>
      <c r="VCY12" s="11"/>
      <c r="VCZ12" s="28"/>
      <c r="VDA12" s="11"/>
      <c r="VDB12" s="28"/>
      <c r="VDC12" s="11"/>
      <c r="VDD12" s="28"/>
      <c r="VDE12" s="11"/>
      <c r="VDF12" s="28"/>
      <c r="VDG12" s="11"/>
      <c r="VDH12" s="28"/>
      <c r="VDI12" s="11"/>
      <c r="VDJ12" s="28"/>
      <c r="VDK12" s="11"/>
      <c r="VDL12" s="28"/>
      <c r="VDM12" s="11"/>
      <c r="VDN12" s="28"/>
      <c r="VDO12" s="11"/>
      <c r="VDP12" s="28"/>
      <c r="VDQ12" s="11"/>
      <c r="VDR12" s="28"/>
      <c r="VDS12" s="11"/>
      <c r="VDT12" s="28"/>
      <c r="VDU12" s="11"/>
      <c r="VDV12" s="28"/>
      <c r="VDW12" s="11"/>
      <c r="VDX12" s="28"/>
      <c r="VDY12" s="11"/>
      <c r="VDZ12" s="28"/>
      <c r="VEA12" s="11"/>
      <c r="VEB12" s="28"/>
      <c r="VEC12" s="11"/>
      <c r="VED12" s="28"/>
      <c r="VEE12" s="11"/>
      <c r="VEF12" s="28"/>
      <c r="VEG12" s="11"/>
      <c r="VEH12" s="28"/>
      <c r="VEI12" s="11"/>
      <c r="VEJ12" s="28"/>
      <c r="VEK12" s="11"/>
      <c r="VEL12" s="28"/>
      <c r="VEM12" s="11"/>
      <c r="VEN12" s="28"/>
      <c r="VEO12" s="11"/>
      <c r="VEP12" s="28"/>
      <c r="VEQ12" s="11"/>
      <c r="VER12" s="28"/>
      <c r="VES12" s="11"/>
      <c r="VET12" s="28"/>
      <c r="VEU12" s="11"/>
      <c r="VEV12" s="28"/>
      <c r="VEW12" s="11"/>
      <c r="VEX12" s="28"/>
      <c r="VEY12" s="11"/>
      <c r="VEZ12" s="28"/>
      <c r="VFA12" s="11"/>
      <c r="VFB12" s="28"/>
      <c r="VFC12" s="11"/>
      <c r="VFD12" s="28"/>
      <c r="VFE12" s="11"/>
      <c r="VFF12" s="28"/>
      <c r="VFG12" s="11"/>
      <c r="VFH12" s="28"/>
      <c r="VFI12" s="11"/>
      <c r="VFJ12" s="28"/>
      <c r="VFK12" s="11"/>
      <c r="VFL12" s="28"/>
      <c r="VFM12" s="11"/>
      <c r="VFN12" s="28"/>
      <c r="VFO12" s="11"/>
      <c r="VFP12" s="28"/>
      <c r="VFQ12" s="11"/>
      <c r="VFR12" s="28"/>
      <c r="VFS12" s="11"/>
      <c r="VFT12" s="28"/>
      <c r="VFU12" s="11"/>
      <c r="VFV12" s="28"/>
      <c r="VFW12" s="11"/>
      <c r="VFX12" s="28"/>
      <c r="VFY12" s="11"/>
      <c r="VFZ12" s="28"/>
      <c r="VGA12" s="11"/>
      <c r="VGB12" s="28"/>
      <c r="VGC12" s="11"/>
      <c r="VGD12" s="28"/>
      <c r="VGE12" s="11"/>
      <c r="VGF12" s="28"/>
      <c r="VGG12" s="11"/>
      <c r="VGH12" s="28"/>
      <c r="VGI12" s="11"/>
      <c r="VGJ12" s="28"/>
      <c r="VGK12" s="11"/>
      <c r="VGL12" s="28"/>
      <c r="VGM12" s="11"/>
      <c r="VGN12" s="28"/>
      <c r="VGO12" s="11"/>
      <c r="VGP12" s="28"/>
      <c r="VGQ12" s="11"/>
      <c r="VGR12" s="28"/>
      <c r="VGS12" s="11"/>
      <c r="VGT12" s="28"/>
      <c r="VGU12" s="11"/>
      <c r="VGV12" s="28"/>
      <c r="VGW12" s="11"/>
      <c r="VGX12" s="28"/>
      <c r="VGY12" s="11"/>
      <c r="VGZ12" s="28"/>
      <c r="VHA12" s="11"/>
      <c r="VHB12" s="28"/>
      <c r="VHC12" s="11"/>
      <c r="VHD12" s="28"/>
      <c r="VHE12" s="11"/>
      <c r="VHF12" s="28"/>
      <c r="VHG12" s="11"/>
      <c r="VHH12" s="28"/>
      <c r="VHI12" s="11"/>
      <c r="VHJ12" s="28"/>
      <c r="VHK12" s="11"/>
      <c r="VHL12" s="28"/>
      <c r="VHM12" s="11"/>
      <c r="VHN12" s="28"/>
      <c r="VHO12" s="11"/>
      <c r="VHP12" s="28"/>
      <c r="VHQ12" s="11"/>
      <c r="VHR12" s="28"/>
      <c r="VHS12" s="11"/>
      <c r="VHT12" s="28"/>
      <c r="VHU12" s="11"/>
      <c r="VHV12" s="28"/>
      <c r="VHW12" s="11"/>
      <c r="VHX12" s="28"/>
      <c r="VHY12" s="11"/>
      <c r="VHZ12" s="28"/>
      <c r="VIA12" s="11"/>
      <c r="VIB12" s="28"/>
      <c r="VIC12" s="11"/>
      <c r="VID12" s="28"/>
      <c r="VIE12" s="11"/>
      <c r="VIF12" s="28"/>
      <c r="VIG12" s="11"/>
      <c r="VIH12" s="28"/>
      <c r="VII12" s="11"/>
      <c r="VIJ12" s="28"/>
      <c r="VIK12" s="11"/>
      <c r="VIL12" s="28"/>
      <c r="VIM12" s="11"/>
      <c r="VIN12" s="28"/>
      <c r="VIO12" s="11"/>
      <c r="VIP12" s="28"/>
      <c r="VIQ12" s="11"/>
      <c r="VIR12" s="28"/>
      <c r="VIS12" s="11"/>
      <c r="VIT12" s="28"/>
      <c r="VIU12" s="11"/>
      <c r="VIV12" s="28"/>
      <c r="VIW12" s="11"/>
      <c r="VIX12" s="28"/>
      <c r="VIY12" s="11"/>
      <c r="VIZ12" s="28"/>
      <c r="VJA12" s="11"/>
      <c r="VJB12" s="28"/>
      <c r="VJC12" s="11"/>
      <c r="VJD12" s="28"/>
      <c r="VJE12" s="11"/>
      <c r="VJF12" s="28"/>
      <c r="VJG12" s="11"/>
      <c r="VJH12" s="28"/>
      <c r="VJI12" s="11"/>
      <c r="VJJ12" s="28"/>
      <c r="VJK12" s="11"/>
      <c r="VJL12" s="28"/>
      <c r="VJM12" s="11"/>
      <c r="VJN12" s="28"/>
      <c r="VJO12" s="11"/>
      <c r="VJP12" s="28"/>
      <c r="VJQ12" s="11"/>
      <c r="VJR12" s="28"/>
      <c r="VJS12" s="11"/>
      <c r="VJT12" s="28"/>
      <c r="VJU12" s="11"/>
      <c r="VJV12" s="28"/>
      <c r="VJW12" s="11"/>
      <c r="VJX12" s="28"/>
      <c r="VJY12" s="11"/>
      <c r="VJZ12" s="28"/>
      <c r="VKA12" s="11"/>
      <c r="VKB12" s="28"/>
      <c r="VKC12" s="11"/>
      <c r="VKD12" s="28"/>
      <c r="VKE12" s="11"/>
      <c r="VKF12" s="28"/>
      <c r="VKG12" s="11"/>
      <c r="VKH12" s="28"/>
      <c r="VKI12" s="11"/>
      <c r="VKJ12" s="28"/>
      <c r="VKK12" s="11"/>
      <c r="VKL12" s="28"/>
      <c r="VKM12" s="11"/>
      <c r="VKN12" s="28"/>
      <c r="VKO12" s="11"/>
      <c r="VKP12" s="28"/>
      <c r="VKQ12" s="11"/>
      <c r="VKR12" s="28"/>
      <c r="VKS12" s="11"/>
      <c r="VKT12" s="28"/>
      <c r="VKU12" s="11"/>
      <c r="VKV12" s="28"/>
      <c r="VKW12" s="11"/>
      <c r="VKX12" s="28"/>
      <c r="VKY12" s="11"/>
      <c r="VKZ12" s="28"/>
      <c r="VLA12" s="11"/>
      <c r="VLB12" s="28"/>
      <c r="VLC12" s="11"/>
      <c r="VLD12" s="28"/>
      <c r="VLE12" s="11"/>
      <c r="VLF12" s="28"/>
      <c r="VLG12" s="11"/>
      <c r="VLH12" s="28"/>
      <c r="VLI12" s="11"/>
      <c r="VLJ12" s="28"/>
      <c r="VLK12" s="11"/>
      <c r="VLL12" s="28"/>
      <c r="VLM12" s="11"/>
      <c r="VLN12" s="28"/>
      <c r="VLO12" s="11"/>
      <c r="VLP12" s="28"/>
      <c r="VLQ12" s="11"/>
      <c r="VLR12" s="28"/>
      <c r="VLS12" s="11"/>
      <c r="VLT12" s="28"/>
      <c r="VLU12" s="11"/>
      <c r="VLV12" s="28"/>
      <c r="VLW12" s="11"/>
      <c r="VLX12" s="28"/>
      <c r="VLY12" s="11"/>
      <c r="VLZ12" s="28"/>
      <c r="VMA12" s="11"/>
      <c r="VMB12" s="28"/>
      <c r="VMC12" s="11"/>
      <c r="VMD12" s="28"/>
      <c r="VME12" s="11"/>
      <c r="VMF12" s="28"/>
      <c r="VMG12" s="11"/>
      <c r="VMH12" s="28"/>
      <c r="VMI12" s="11"/>
      <c r="VMJ12" s="28"/>
      <c r="VMK12" s="11"/>
      <c r="VML12" s="28"/>
      <c r="VMM12" s="11"/>
      <c r="VMN12" s="28"/>
      <c r="VMO12" s="11"/>
      <c r="VMP12" s="28"/>
      <c r="VMQ12" s="11"/>
      <c r="VMR12" s="28"/>
      <c r="VMS12" s="11"/>
      <c r="VMT12" s="28"/>
      <c r="VMU12" s="11"/>
      <c r="VMV12" s="28"/>
      <c r="VMW12" s="11"/>
      <c r="VMX12" s="28"/>
      <c r="VMY12" s="11"/>
      <c r="VMZ12" s="28"/>
      <c r="VNA12" s="11"/>
      <c r="VNB12" s="28"/>
      <c r="VNC12" s="11"/>
      <c r="VND12" s="28"/>
      <c r="VNE12" s="11"/>
      <c r="VNF12" s="28"/>
      <c r="VNG12" s="11"/>
      <c r="VNH12" s="28"/>
      <c r="VNI12" s="11"/>
      <c r="VNJ12" s="28"/>
      <c r="VNK12" s="11"/>
      <c r="VNL12" s="28"/>
      <c r="VNM12" s="11"/>
      <c r="VNN12" s="28"/>
      <c r="VNO12" s="11"/>
      <c r="VNP12" s="28"/>
      <c r="VNQ12" s="11"/>
      <c r="VNR12" s="28"/>
      <c r="VNS12" s="11"/>
      <c r="VNT12" s="28"/>
      <c r="VNU12" s="11"/>
      <c r="VNV12" s="28"/>
      <c r="VNW12" s="11"/>
      <c r="VNX12" s="28"/>
      <c r="VNY12" s="11"/>
      <c r="VNZ12" s="28"/>
      <c r="VOA12" s="11"/>
      <c r="VOB12" s="28"/>
      <c r="VOC12" s="11"/>
      <c r="VOD12" s="28"/>
      <c r="VOE12" s="11"/>
      <c r="VOF12" s="28"/>
      <c r="VOG12" s="11"/>
      <c r="VOH12" s="28"/>
      <c r="VOI12" s="11"/>
      <c r="VOJ12" s="28"/>
      <c r="VOK12" s="11"/>
      <c r="VOL12" s="28"/>
      <c r="VOM12" s="11"/>
      <c r="VON12" s="28"/>
      <c r="VOO12" s="11"/>
      <c r="VOP12" s="28"/>
      <c r="VOQ12" s="11"/>
      <c r="VOR12" s="28"/>
      <c r="VOS12" s="11"/>
      <c r="VOT12" s="28"/>
      <c r="VOU12" s="11"/>
      <c r="VOV12" s="28"/>
      <c r="VOW12" s="11"/>
      <c r="VOX12" s="28"/>
      <c r="VOY12" s="11"/>
      <c r="VOZ12" s="28"/>
      <c r="VPA12" s="11"/>
      <c r="VPB12" s="28"/>
      <c r="VPC12" s="11"/>
      <c r="VPD12" s="28"/>
      <c r="VPE12" s="11"/>
      <c r="VPF12" s="28"/>
      <c r="VPG12" s="11"/>
      <c r="VPH12" s="28"/>
      <c r="VPI12" s="11"/>
      <c r="VPJ12" s="28"/>
      <c r="VPK12" s="11"/>
      <c r="VPL12" s="28"/>
      <c r="VPM12" s="11"/>
      <c r="VPN12" s="28"/>
      <c r="VPO12" s="11"/>
      <c r="VPP12" s="28"/>
      <c r="VPQ12" s="11"/>
      <c r="VPR12" s="28"/>
      <c r="VPS12" s="11"/>
      <c r="VPT12" s="28"/>
      <c r="VPU12" s="11"/>
      <c r="VPV12" s="28"/>
      <c r="VPW12" s="11"/>
      <c r="VPX12" s="28"/>
      <c r="VPY12" s="11"/>
      <c r="VPZ12" s="28"/>
      <c r="VQA12" s="11"/>
      <c r="VQB12" s="28"/>
      <c r="VQC12" s="11"/>
      <c r="VQD12" s="28"/>
      <c r="VQE12" s="11"/>
      <c r="VQF12" s="28"/>
      <c r="VQG12" s="11"/>
      <c r="VQH12" s="28"/>
      <c r="VQI12" s="11"/>
      <c r="VQJ12" s="28"/>
      <c r="VQK12" s="11"/>
      <c r="VQL12" s="28"/>
      <c r="VQM12" s="11"/>
      <c r="VQN12" s="28"/>
      <c r="VQO12" s="11"/>
      <c r="VQP12" s="28"/>
      <c r="VQQ12" s="11"/>
      <c r="VQR12" s="28"/>
      <c r="VQS12" s="11"/>
      <c r="VQT12" s="28"/>
      <c r="VQU12" s="11"/>
      <c r="VQV12" s="28"/>
      <c r="VQW12" s="11"/>
      <c r="VQX12" s="28"/>
      <c r="VQY12" s="11"/>
      <c r="VQZ12" s="28"/>
      <c r="VRA12" s="11"/>
      <c r="VRB12" s="28"/>
      <c r="VRC12" s="11"/>
      <c r="VRD12" s="28"/>
      <c r="VRE12" s="11"/>
      <c r="VRF12" s="28"/>
      <c r="VRG12" s="11"/>
      <c r="VRH12" s="28"/>
      <c r="VRI12" s="11"/>
      <c r="VRJ12" s="28"/>
      <c r="VRK12" s="11"/>
      <c r="VRL12" s="28"/>
      <c r="VRM12" s="11"/>
      <c r="VRN12" s="28"/>
      <c r="VRO12" s="11"/>
      <c r="VRP12" s="28"/>
      <c r="VRQ12" s="11"/>
      <c r="VRR12" s="28"/>
      <c r="VRS12" s="11"/>
      <c r="VRT12" s="28"/>
      <c r="VRU12" s="11"/>
      <c r="VRV12" s="28"/>
      <c r="VRW12" s="11"/>
      <c r="VRX12" s="28"/>
      <c r="VRY12" s="11"/>
      <c r="VRZ12" s="28"/>
      <c r="VSA12" s="11"/>
      <c r="VSB12" s="28"/>
      <c r="VSC12" s="11"/>
      <c r="VSD12" s="28"/>
      <c r="VSE12" s="11"/>
      <c r="VSF12" s="28"/>
      <c r="VSG12" s="11"/>
      <c r="VSH12" s="28"/>
      <c r="VSI12" s="11"/>
      <c r="VSJ12" s="28"/>
      <c r="VSK12" s="11"/>
      <c r="VSL12" s="28"/>
      <c r="VSM12" s="11"/>
      <c r="VSN12" s="28"/>
      <c r="VSO12" s="11"/>
      <c r="VSP12" s="28"/>
      <c r="VSQ12" s="11"/>
      <c r="VSR12" s="28"/>
      <c r="VSS12" s="11"/>
      <c r="VST12" s="28"/>
      <c r="VSU12" s="11"/>
      <c r="VSV12" s="28"/>
      <c r="VSW12" s="11"/>
      <c r="VSX12" s="28"/>
      <c r="VSY12" s="11"/>
      <c r="VSZ12" s="28"/>
      <c r="VTA12" s="11"/>
      <c r="VTB12" s="28"/>
      <c r="VTC12" s="11"/>
      <c r="VTD12" s="28"/>
      <c r="VTE12" s="11"/>
      <c r="VTF12" s="28"/>
      <c r="VTG12" s="11"/>
      <c r="VTH12" s="28"/>
      <c r="VTI12" s="11"/>
      <c r="VTJ12" s="28"/>
      <c r="VTK12" s="11"/>
      <c r="VTL12" s="28"/>
      <c r="VTM12" s="11"/>
      <c r="VTN12" s="28"/>
      <c r="VTO12" s="11"/>
      <c r="VTP12" s="28"/>
      <c r="VTQ12" s="11"/>
      <c r="VTR12" s="28"/>
      <c r="VTS12" s="11"/>
      <c r="VTT12" s="28"/>
      <c r="VTU12" s="11"/>
      <c r="VTV12" s="28"/>
      <c r="VTW12" s="11"/>
      <c r="VTX12" s="28"/>
      <c r="VTY12" s="11"/>
      <c r="VTZ12" s="28"/>
      <c r="VUA12" s="11"/>
      <c r="VUB12" s="28"/>
      <c r="VUC12" s="11"/>
      <c r="VUD12" s="28"/>
      <c r="VUE12" s="11"/>
      <c r="VUF12" s="28"/>
      <c r="VUG12" s="11"/>
      <c r="VUH12" s="28"/>
      <c r="VUI12" s="11"/>
      <c r="VUJ12" s="28"/>
      <c r="VUK12" s="11"/>
      <c r="VUL12" s="28"/>
      <c r="VUM12" s="11"/>
      <c r="VUN12" s="28"/>
      <c r="VUO12" s="11"/>
      <c r="VUP12" s="28"/>
      <c r="VUQ12" s="11"/>
      <c r="VUR12" s="28"/>
      <c r="VUS12" s="11"/>
      <c r="VUT12" s="28"/>
      <c r="VUU12" s="11"/>
      <c r="VUV12" s="28"/>
      <c r="VUW12" s="11"/>
      <c r="VUX12" s="28"/>
      <c r="VUY12" s="11"/>
      <c r="VUZ12" s="28"/>
      <c r="VVA12" s="11"/>
      <c r="VVB12" s="28"/>
      <c r="VVC12" s="11"/>
      <c r="VVD12" s="28"/>
      <c r="VVE12" s="11"/>
      <c r="VVF12" s="28"/>
      <c r="VVG12" s="11"/>
      <c r="VVH12" s="28"/>
      <c r="VVI12" s="11"/>
      <c r="VVJ12" s="28"/>
      <c r="VVK12" s="11"/>
      <c r="VVL12" s="28"/>
      <c r="VVM12" s="11"/>
      <c r="VVN12" s="28"/>
      <c r="VVO12" s="11"/>
      <c r="VVP12" s="28"/>
      <c r="VVQ12" s="11"/>
      <c r="VVR12" s="28"/>
      <c r="VVS12" s="11"/>
      <c r="VVT12" s="28"/>
      <c r="VVU12" s="11"/>
      <c r="VVV12" s="28"/>
      <c r="VVW12" s="11"/>
      <c r="VVX12" s="28"/>
      <c r="VVY12" s="11"/>
      <c r="VVZ12" s="28"/>
      <c r="VWA12" s="11"/>
      <c r="VWB12" s="28"/>
      <c r="VWC12" s="11"/>
      <c r="VWD12" s="28"/>
      <c r="VWE12" s="11"/>
      <c r="VWF12" s="28"/>
      <c r="VWG12" s="11"/>
      <c r="VWH12" s="28"/>
      <c r="VWI12" s="11"/>
      <c r="VWJ12" s="28"/>
      <c r="VWK12" s="11"/>
      <c r="VWL12" s="28"/>
      <c r="VWM12" s="11"/>
      <c r="VWN12" s="28"/>
      <c r="VWO12" s="11"/>
      <c r="VWP12" s="28"/>
      <c r="VWQ12" s="11"/>
      <c r="VWR12" s="28"/>
      <c r="VWS12" s="11"/>
      <c r="VWT12" s="28"/>
      <c r="VWU12" s="11"/>
      <c r="VWV12" s="28"/>
      <c r="VWW12" s="11"/>
      <c r="VWX12" s="28"/>
      <c r="VWY12" s="11"/>
      <c r="VWZ12" s="28"/>
      <c r="VXA12" s="11"/>
      <c r="VXB12" s="28"/>
      <c r="VXC12" s="11"/>
      <c r="VXD12" s="28"/>
      <c r="VXE12" s="11"/>
      <c r="VXF12" s="28"/>
      <c r="VXG12" s="11"/>
      <c r="VXH12" s="28"/>
      <c r="VXI12" s="11"/>
      <c r="VXJ12" s="28"/>
      <c r="VXK12" s="11"/>
      <c r="VXL12" s="28"/>
      <c r="VXM12" s="11"/>
      <c r="VXN12" s="28"/>
      <c r="VXO12" s="11"/>
      <c r="VXP12" s="28"/>
      <c r="VXQ12" s="11"/>
      <c r="VXR12" s="28"/>
      <c r="VXS12" s="11"/>
      <c r="VXT12" s="28"/>
      <c r="VXU12" s="11"/>
      <c r="VXV12" s="28"/>
      <c r="VXW12" s="11"/>
      <c r="VXX12" s="28"/>
      <c r="VXY12" s="11"/>
      <c r="VXZ12" s="28"/>
      <c r="VYA12" s="11"/>
      <c r="VYB12" s="28"/>
      <c r="VYC12" s="11"/>
      <c r="VYD12" s="28"/>
      <c r="VYE12" s="11"/>
      <c r="VYF12" s="28"/>
      <c r="VYG12" s="11"/>
      <c r="VYH12" s="28"/>
      <c r="VYI12" s="11"/>
      <c r="VYJ12" s="28"/>
      <c r="VYK12" s="11"/>
      <c r="VYL12" s="28"/>
      <c r="VYM12" s="11"/>
      <c r="VYN12" s="28"/>
      <c r="VYO12" s="11"/>
      <c r="VYP12" s="28"/>
      <c r="VYQ12" s="11"/>
      <c r="VYR12" s="28"/>
      <c r="VYS12" s="11"/>
      <c r="VYT12" s="28"/>
      <c r="VYU12" s="11"/>
      <c r="VYV12" s="28"/>
      <c r="VYW12" s="11"/>
      <c r="VYX12" s="28"/>
      <c r="VYY12" s="11"/>
      <c r="VYZ12" s="28"/>
      <c r="VZA12" s="11"/>
      <c r="VZB12" s="28"/>
      <c r="VZC12" s="11"/>
      <c r="VZD12" s="28"/>
      <c r="VZE12" s="11"/>
      <c r="VZF12" s="28"/>
      <c r="VZG12" s="11"/>
      <c r="VZH12" s="28"/>
      <c r="VZI12" s="11"/>
      <c r="VZJ12" s="28"/>
      <c r="VZK12" s="11"/>
      <c r="VZL12" s="28"/>
      <c r="VZM12" s="11"/>
      <c r="VZN12" s="28"/>
      <c r="VZO12" s="11"/>
      <c r="VZP12" s="28"/>
      <c r="VZQ12" s="11"/>
      <c r="VZR12" s="28"/>
      <c r="VZS12" s="11"/>
      <c r="VZT12" s="28"/>
      <c r="VZU12" s="11"/>
      <c r="VZV12" s="28"/>
      <c r="VZW12" s="11"/>
      <c r="VZX12" s="28"/>
      <c r="VZY12" s="11"/>
      <c r="VZZ12" s="28"/>
      <c r="WAA12" s="11"/>
      <c r="WAB12" s="28"/>
      <c r="WAC12" s="11"/>
      <c r="WAD12" s="28"/>
      <c r="WAE12" s="11"/>
      <c r="WAF12" s="28"/>
      <c r="WAG12" s="11"/>
      <c r="WAH12" s="28"/>
      <c r="WAI12" s="11"/>
      <c r="WAJ12" s="28"/>
      <c r="WAK12" s="11"/>
      <c r="WAL12" s="28"/>
      <c r="WAM12" s="11"/>
      <c r="WAN12" s="28"/>
      <c r="WAO12" s="11"/>
      <c r="WAP12" s="28"/>
      <c r="WAQ12" s="11"/>
      <c r="WAR12" s="28"/>
      <c r="WAS12" s="11"/>
      <c r="WAT12" s="28"/>
      <c r="WAU12" s="11"/>
      <c r="WAV12" s="28"/>
      <c r="WAW12" s="11"/>
      <c r="WAX12" s="28"/>
      <c r="WAY12" s="11"/>
      <c r="WAZ12" s="28"/>
      <c r="WBA12" s="11"/>
      <c r="WBB12" s="28"/>
      <c r="WBC12" s="11"/>
      <c r="WBD12" s="28"/>
      <c r="WBE12" s="11"/>
      <c r="WBF12" s="28"/>
      <c r="WBG12" s="11"/>
      <c r="WBH12" s="28"/>
      <c r="WBI12" s="11"/>
      <c r="WBJ12" s="28"/>
      <c r="WBK12" s="11"/>
      <c r="WBL12" s="28"/>
      <c r="WBM12" s="11"/>
      <c r="WBN12" s="28"/>
      <c r="WBO12" s="11"/>
      <c r="WBP12" s="28"/>
      <c r="WBQ12" s="11"/>
      <c r="WBR12" s="28"/>
      <c r="WBS12" s="11"/>
      <c r="WBT12" s="28"/>
      <c r="WBU12" s="11"/>
      <c r="WBV12" s="28"/>
      <c r="WBW12" s="11"/>
      <c r="WBX12" s="28"/>
      <c r="WBY12" s="11"/>
      <c r="WBZ12" s="28"/>
      <c r="WCA12" s="11"/>
      <c r="WCB12" s="28"/>
      <c r="WCC12" s="11"/>
      <c r="WCD12" s="28"/>
      <c r="WCE12" s="11"/>
      <c r="WCF12" s="28"/>
      <c r="WCG12" s="11"/>
      <c r="WCH12" s="28"/>
      <c r="WCI12" s="11"/>
      <c r="WCJ12" s="28"/>
      <c r="WCK12" s="11"/>
      <c r="WCL12" s="28"/>
      <c r="WCM12" s="11"/>
      <c r="WCN12" s="28"/>
      <c r="WCO12" s="11"/>
      <c r="WCP12" s="28"/>
      <c r="WCQ12" s="11"/>
      <c r="WCR12" s="28"/>
      <c r="WCS12" s="11"/>
      <c r="WCT12" s="28"/>
      <c r="WCU12" s="11"/>
      <c r="WCV12" s="28"/>
      <c r="WCW12" s="11"/>
      <c r="WCX12" s="28"/>
      <c r="WCY12" s="11"/>
      <c r="WCZ12" s="28"/>
      <c r="WDA12" s="11"/>
      <c r="WDB12" s="28"/>
      <c r="WDC12" s="11"/>
      <c r="WDD12" s="28"/>
      <c r="WDE12" s="11"/>
      <c r="WDF12" s="28"/>
      <c r="WDG12" s="11"/>
      <c r="WDH12" s="28"/>
      <c r="WDI12" s="11"/>
      <c r="WDJ12" s="28"/>
      <c r="WDK12" s="11"/>
      <c r="WDL12" s="28"/>
      <c r="WDM12" s="11"/>
      <c r="WDN12" s="28"/>
      <c r="WDO12" s="11"/>
      <c r="WDP12" s="28"/>
      <c r="WDQ12" s="11"/>
      <c r="WDR12" s="28"/>
      <c r="WDS12" s="11"/>
      <c r="WDT12" s="28"/>
      <c r="WDU12" s="11"/>
      <c r="WDV12" s="28"/>
      <c r="WDW12" s="11"/>
      <c r="WDX12" s="28"/>
      <c r="WDY12" s="11"/>
      <c r="WDZ12" s="28"/>
      <c r="WEA12" s="11"/>
      <c r="WEB12" s="28"/>
      <c r="WEC12" s="11"/>
      <c r="WED12" s="28"/>
      <c r="WEE12" s="11"/>
      <c r="WEF12" s="28"/>
      <c r="WEG12" s="11"/>
      <c r="WEH12" s="28"/>
      <c r="WEI12" s="11"/>
      <c r="WEJ12" s="28"/>
      <c r="WEK12" s="11"/>
      <c r="WEL12" s="28"/>
      <c r="WEM12" s="11"/>
      <c r="WEN12" s="28"/>
      <c r="WEO12" s="11"/>
      <c r="WEP12" s="28"/>
      <c r="WEQ12" s="11"/>
      <c r="WER12" s="28"/>
      <c r="WES12" s="11"/>
      <c r="WET12" s="28"/>
      <c r="WEU12" s="11"/>
      <c r="WEV12" s="28"/>
      <c r="WEW12" s="11"/>
      <c r="WEX12" s="28"/>
      <c r="WEY12" s="11"/>
      <c r="WEZ12" s="28"/>
      <c r="WFA12" s="11"/>
      <c r="WFB12" s="28"/>
      <c r="WFC12" s="11"/>
      <c r="WFD12" s="28"/>
      <c r="WFE12" s="11"/>
      <c r="WFF12" s="28"/>
      <c r="WFG12" s="11"/>
      <c r="WFH12" s="28"/>
      <c r="WFI12" s="11"/>
      <c r="WFJ12" s="28"/>
      <c r="WFK12" s="11"/>
      <c r="WFL12" s="28"/>
      <c r="WFM12" s="11"/>
      <c r="WFN12" s="28"/>
      <c r="WFO12" s="11"/>
      <c r="WFP12" s="28"/>
      <c r="WFQ12" s="11"/>
      <c r="WFR12" s="28"/>
      <c r="WFS12" s="11"/>
      <c r="WFT12" s="28"/>
      <c r="WFU12" s="11"/>
      <c r="WFV12" s="28"/>
      <c r="WFW12" s="11"/>
      <c r="WFX12" s="28"/>
      <c r="WFY12" s="11"/>
      <c r="WFZ12" s="28"/>
      <c r="WGA12" s="11"/>
      <c r="WGB12" s="28"/>
      <c r="WGC12" s="11"/>
      <c r="WGD12" s="28"/>
      <c r="WGE12" s="11"/>
      <c r="WGF12" s="28"/>
      <c r="WGG12" s="11"/>
      <c r="WGH12" s="28"/>
      <c r="WGI12" s="11"/>
      <c r="WGJ12" s="28"/>
      <c r="WGK12" s="11"/>
      <c r="WGL12" s="28"/>
      <c r="WGM12" s="11"/>
      <c r="WGN12" s="28"/>
      <c r="WGO12" s="11"/>
      <c r="WGP12" s="28"/>
      <c r="WGQ12" s="11"/>
      <c r="WGR12" s="28"/>
      <c r="WGS12" s="11"/>
      <c r="WGT12" s="28"/>
      <c r="WGU12" s="11"/>
      <c r="WGV12" s="28"/>
      <c r="WGW12" s="11"/>
      <c r="WGX12" s="28"/>
      <c r="WGY12" s="11"/>
      <c r="WGZ12" s="28"/>
      <c r="WHA12" s="11"/>
      <c r="WHB12" s="28"/>
      <c r="WHC12" s="11"/>
      <c r="WHD12" s="28"/>
      <c r="WHE12" s="11"/>
      <c r="WHF12" s="28"/>
      <c r="WHG12" s="11"/>
      <c r="WHH12" s="28"/>
      <c r="WHI12" s="11"/>
      <c r="WHJ12" s="28"/>
      <c r="WHK12" s="11"/>
      <c r="WHL12" s="28"/>
      <c r="WHM12" s="11"/>
      <c r="WHN12" s="28"/>
      <c r="WHO12" s="11"/>
      <c r="WHP12" s="28"/>
      <c r="WHQ12" s="11"/>
      <c r="WHR12" s="28"/>
      <c r="WHS12" s="11"/>
      <c r="WHT12" s="28"/>
      <c r="WHU12" s="11"/>
      <c r="WHV12" s="28"/>
      <c r="WHW12" s="11"/>
      <c r="WHX12" s="28"/>
      <c r="WHY12" s="11"/>
      <c r="WHZ12" s="28"/>
      <c r="WIA12" s="11"/>
      <c r="WIB12" s="28"/>
      <c r="WIC12" s="11"/>
      <c r="WID12" s="28"/>
      <c r="WIE12" s="11"/>
      <c r="WIF12" s="28"/>
      <c r="WIG12" s="11"/>
      <c r="WIH12" s="28"/>
      <c r="WII12" s="11"/>
      <c r="WIJ12" s="28"/>
      <c r="WIK12" s="11"/>
      <c r="WIL12" s="28"/>
      <c r="WIM12" s="11"/>
      <c r="WIN12" s="28"/>
      <c r="WIO12" s="11"/>
      <c r="WIP12" s="28"/>
      <c r="WIQ12" s="11"/>
      <c r="WIR12" s="28"/>
      <c r="WIS12" s="11"/>
      <c r="WIT12" s="28"/>
      <c r="WIU12" s="11"/>
      <c r="WIV12" s="28"/>
      <c r="WIW12" s="11"/>
      <c r="WIX12" s="28"/>
      <c r="WIY12" s="11"/>
      <c r="WIZ12" s="28"/>
      <c r="WJA12" s="11"/>
      <c r="WJB12" s="28"/>
      <c r="WJC12" s="11"/>
      <c r="WJD12" s="28"/>
      <c r="WJE12" s="11"/>
      <c r="WJF12" s="28"/>
      <c r="WJG12" s="11"/>
      <c r="WJH12" s="28"/>
      <c r="WJI12" s="11"/>
      <c r="WJJ12" s="28"/>
      <c r="WJK12" s="11"/>
      <c r="WJL12" s="28"/>
      <c r="WJM12" s="11"/>
      <c r="WJN12" s="28"/>
      <c r="WJO12" s="11"/>
      <c r="WJP12" s="28"/>
      <c r="WJQ12" s="11"/>
      <c r="WJR12" s="28"/>
      <c r="WJS12" s="11"/>
      <c r="WJT12" s="28"/>
      <c r="WJU12" s="11"/>
      <c r="WJV12" s="28"/>
      <c r="WJW12" s="11"/>
      <c r="WJX12" s="28"/>
      <c r="WJY12" s="11"/>
      <c r="WJZ12" s="28"/>
      <c r="WKA12" s="11"/>
      <c r="WKB12" s="28"/>
      <c r="WKC12" s="11"/>
      <c r="WKD12" s="28"/>
      <c r="WKE12" s="11"/>
      <c r="WKF12" s="28"/>
      <c r="WKG12" s="11"/>
      <c r="WKH12" s="28"/>
      <c r="WKI12" s="11"/>
      <c r="WKJ12" s="28"/>
      <c r="WKK12" s="11"/>
      <c r="WKL12" s="28"/>
      <c r="WKM12" s="11"/>
      <c r="WKN12" s="28"/>
      <c r="WKO12" s="11"/>
      <c r="WKP12" s="28"/>
      <c r="WKQ12" s="11"/>
      <c r="WKR12" s="28"/>
      <c r="WKS12" s="11"/>
      <c r="WKT12" s="28"/>
      <c r="WKU12" s="11"/>
      <c r="WKV12" s="28"/>
      <c r="WKW12" s="11"/>
      <c r="WKX12" s="28"/>
      <c r="WKY12" s="11"/>
      <c r="WKZ12" s="28"/>
      <c r="WLA12" s="11"/>
      <c r="WLB12" s="28"/>
      <c r="WLC12" s="11"/>
      <c r="WLD12" s="28"/>
      <c r="WLE12" s="11"/>
      <c r="WLF12" s="28"/>
      <c r="WLG12" s="11"/>
      <c r="WLH12" s="28"/>
      <c r="WLI12" s="11"/>
      <c r="WLJ12" s="28"/>
      <c r="WLK12" s="11"/>
      <c r="WLL12" s="28"/>
      <c r="WLM12" s="11"/>
      <c r="WLN12" s="28"/>
      <c r="WLO12" s="11"/>
      <c r="WLP12" s="28"/>
      <c r="WLQ12" s="11"/>
      <c r="WLR12" s="28"/>
      <c r="WLS12" s="11"/>
      <c r="WLT12" s="28"/>
      <c r="WLU12" s="11"/>
      <c r="WLV12" s="28"/>
      <c r="WLW12" s="11"/>
      <c r="WLX12" s="28"/>
      <c r="WLY12" s="11"/>
      <c r="WLZ12" s="28"/>
      <c r="WMA12" s="11"/>
      <c r="WMB12" s="28"/>
      <c r="WMC12" s="11"/>
      <c r="WMD12" s="28"/>
      <c r="WME12" s="11"/>
      <c r="WMF12" s="28"/>
      <c r="WMG12" s="11"/>
      <c r="WMH12" s="28"/>
      <c r="WMI12" s="11"/>
      <c r="WMJ12" s="28"/>
      <c r="WMK12" s="11"/>
      <c r="WML12" s="28"/>
      <c r="WMM12" s="11"/>
      <c r="WMN12" s="28"/>
      <c r="WMO12" s="11"/>
      <c r="WMP12" s="28"/>
      <c r="WMQ12" s="11"/>
      <c r="WMR12" s="28"/>
      <c r="WMS12" s="11"/>
      <c r="WMT12" s="28"/>
      <c r="WMU12" s="11"/>
      <c r="WMV12" s="28"/>
      <c r="WMW12" s="11"/>
      <c r="WMX12" s="28"/>
      <c r="WMY12" s="11"/>
      <c r="WMZ12" s="28"/>
      <c r="WNA12" s="11"/>
      <c r="WNB12" s="28"/>
      <c r="WNC12" s="11"/>
      <c r="WND12" s="28"/>
      <c r="WNE12" s="11"/>
      <c r="WNF12" s="28"/>
      <c r="WNG12" s="11"/>
      <c r="WNH12" s="28"/>
      <c r="WNI12" s="11"/>
      <c r="WNJ12" s="28"/>
      <c r="WNK12" s="11"/>
      <c r="WNL12" s="28"/>
      <c r="WNM12" s="11"/>
      <c r="WNN12" s="28"/>
      <c r="WNO12" s="11"/>
      <c r="WNP12" s="28"/>
      <c r="WNQ12" s="11"/>
      <c r="WNR12" s="28"/>
      <c r="WNS12" s="11"/>
      <c r="WNT12" s="28"/>
      <c r="WNU12" s="11"/>
      <c r="WNV12" s="28"/>
      <c r="WNW12" s="11"/>
      <c r="WNX12" s="28"/>
      <c r="WNY12" s="11"/>
      <c r="WNZ12" s="28"/>
      <c r="WOA12" s="11"/>
      <c r="WOB12" s="28"/>
      <c r="WOC12" s="11"/>
      <c r="WOD12" s="28"/>
      <c r="WOE12" s="11"/>
      <c r="WOF12" s="28"/>
      <c r="WOG12" s="11"/>
      <c r="WOH12" s="28"/>
      <c r="WOI12" s="11"/>
      <c r="WOJ12" s="28"/>
      <c r="WOK12" s="11"/>
      <c r="WOL12" s="28"/>
      <c r="WOM12" s="11"/>
      <c r="WON12" s="28"/>
      <c r="WOO12" s="11"/>
      <c r="WOP12" s="28"/>
      <c r="WOQ12" s="11"/>
      <c r="WOR12" s="28"/>
      <c r="WOS12" s="11"/>
      <c r="WOT12" s="28"/>
      <c r="WOU12" s="11"/>
      <c r="WOV12" s="28"/>
      <c r="WOW12" s="11"/>
      <c r="WOX12" s="28"/>
      <c r="WOY12" s="11"/>
      <c r="WOZ12" s="28"/>
      <c r="WPA12" s="11"/>
      <c r="WPB12" s="28"/>
      <c r="WPC12" s="11"/>
      <c r="WPD12" s="28"/>
      <c r="WPE12" s="11"/>
      <c r="WPF12" s="28"/>
      <c r="WPG12" s="11"/>
      <c r="WPH12" s="28"/>
      <c r="WPI12" s="11"/>
      <c r="WPJ12" s="28"/>
      <c r="WPK12" s="11"/>
      <c r="WPL12" s="28"/>
      <c r="WPM12" s="11"/>
      <c r="WPN12" s="28"/>
      <c r="WPO12" s="11"/>
      <c r="WPP12" s="28"/>
      <c r="WPQ12" s="11"/>
      <c r="WPR12" s="28"/>
      <c r="WPS12" s="11"/>
      <c r="WPT12" s="28"/>
      <c r="WPU12" s="11"/>
      <c r="WPV12" s="28"/>
      <c r="WPW12" s="11"/>
      <c r="WPX12" s="28"/>
      <c r="WPY12" s="11"/>
      <c r="WPZ12" s="28"/>
      <c r="WQA12" s="11"/>
      <c r="WQB12" s="28"/>
      <c r="WQC12" s="11"/>
      <c r="WQD12" s="28"/>
      <c r="WQE12" s="11"/>
      <c r="WQF12" s="28"/>
      <c r="WQG12" s="11"/>
      <c r="WQH12" s="28"/>
      <c r="WQI12" s="11"/>
      <c r="WQJ12" s="28"/>
      <c r="WQK12" s="11"/>
      <c r="WQL12" s="28"/>
      <c r="WQM12" s="11"/>
      <c r="WQN12" s="28"/>
      <c r="WQO12" s="11"/>
      <c r="WQP12" s="28"/>
      <c r="WQQ12" s="11"/>
      <c r="WQR12" s="28"/>
      <c r="WQS12" s="11"/>
      <c r="WQT12" s="28"/>
      <c r="WQU12" s="11"/>
      <c r="WQV12" s="28"/>
      <c r="WQW12" s="11"/>
      <c r="WQX12" s="28"/>
      <c r="WQY12" s="11"/>
      <c r="WQZ12" s="28"/>
      <c r="WRA12" s="11"/>
      <c r="WRB12" s="28"/>
      <c r="WRC12" s="11"/>
      <c r="WRD12" s="28"/>
      <c r="WRE12" s="11"/>
      <c r="WRF12" s="28"/>
      <c r="WRG12" s="11"/>
      <c r="WRH12" s="28"/>
      <c r="WRI12" s="11"/>
      <c r="WRJ12" s="28"/>
      <c r="WRK12" s="11"/>
      <c r="WRL12" s="28"/>
      <c r="WRM12" s="11"/>
      <c r="WRN12" s="28"/>
      <c r="WRO12" s="11"/>
      <c r="WRP12" s="28"/>
      <c r="WRQ12" s="11"/>
      <c r="WRR12" s="28"/>
      <c r="WRS12" s="11"/>
      <c r="WRT12" s="28"/>
      <c r="WRU12" s="11"/>
      <c r="WRV12" s="28"/>
      <c r="WRW12" s="11"/>
      <c r="WRX12" s="28"/>
      <c r="WRY12" s="11"/>
      <c r="WRZ12" s="28"/>
      <c r="WSA12" s="11"/>
      <c r="WSB12" s="28"/>
      <c r="WSC12" s="11"/>
      <c r="WSD12" s="28"/>
      <c r="WSE12" s="11"/>
      <c r="WSF12" s="28"/>
      <c r="WSG12" s="11"/>
      <c r="WSH12" s="28"/>
      <c r="WSI12" s="11"/>
      <c r="WSJ12" s="28"/>
      <c r="WSK12" s="11"/>
      <c r="WSL12" s="28"/>
      <c r="WSM12" s="11"/>
      <c r="WSN12" s="28"/>
      <c r="WSO12" s="11"/>
      <c r="WSP12" s="28"/>
      <c r="WSQ12" s="11"/>
      <c r="WSR12" s="28"/>
      <c r="WSS12" s="11"/>
      <c r="WST12" s="28"/>
      <c r="WSU12" s="11"/>
      <c r="WSV12" s="28"/>
      <c r="WSW12" s="11"/>
      <c r="WSX12" s="28"/>
      <c r="WSY12" s="11"/>
      <c r="WSZ12" s="28"/>
      <c r="WTA12" s="11"/>
      <c r="WTB12" s="28"/>
      <c r="WTC12" s="11"/>
      <c r="WTD12" s="28"/>
      <c r="WTE12" s="11"/>
      <c r="WTF12" s="28"/>
      <c r="WTG12" s="11"/>
      <c r="WTH12" s="28"/>
      <c r="WTI12" s="11"/>
      <c r="WTJ12" s="28"/>
      <c r="WTK12" s="11"/>
      <c r="WTL12" s="28"/>
      <c r="WTM12" s="11"/>
      <c r="WTN12" s="28"/>
      <c r="WTO12" s="11"/>
      <c r="WTP12" s="28"/>
      <c r="WTQ12" s="11"/>
      <c r="WTR12" s="28"/>
      <c r="WTS12" s="11"/>
      <c r="WTT12" s="28"/>
      <c r="WTU12" s="11"/>
      <c r="WTV12" s="28"/>
      <c r="WTW12" s="11"/>
      <c r="WTX12" s="28"/>
      <c r="WTY12" s="11"/>
      <c r="WTZ12" s="28"/>
      <c r="WUA12" s="11"/>
      <c r="WUB12" s="28"/>
      <c r="WUC12" s="11"/>
      <c r="WUD12" s="28"/>
      <c r="WUE12" s="11"/>
      <c r="WUF12" s="28"/>
      <c r="WUG12" s="11"/>
      <c r="WUH12" s="28"/>
      <c r="WUI12" s="11"/>
      <c r="WUJ12" s="28"/>
      <c r="WUK12" s="11"/>
      <c r="WUL12" s="28"/>
      <c r="WUM12" s="11"/>
      <c r="WUN12" s="28"/>
      <c r="WUO12" s="11"/>
      <c r="WUP12" s="28"/>
      <c r="WUQ12" s="11"/>
      <c r="WUR12" s="28"/>
      <c r="WUS12" s="11"/>
      <c r="WUT12" s="28"/>
      <c r="WUU12" s="11"/>
      <c r="WUV12" s="28"/>
      <c r="WUW12" s="11"/>
      <c r="WUX12" s="28"/>
      <c r="WUY12" s="11"/>
      <c r="WUZ12" s="28"/>
      <c r="WVA12" s="11"/>
      <c r="WVB12" s="28"/>
      <c r="WVC12" s="11"/>
      <c r="WVD12" s="28"/>
      <c r="WVE12" s="11"/>
      <c r="WVF12" s="28"/>
      <c r="WVG12" s="11"/>
      <c r="WVH12" s="28"/>
      <c r="WVI12" s="11"/>
      <c r="WVJ12" s="28"/>
      <c r="WVK12" s="11"/>
      <c r="WVL12" s="28"/>
      <c r="WVM12" s="11"/>
      <c r="WVN12" s="28"/>
      <c r="WVO12" s="11"/>
      <c r="WVP12" s="28"/>
      <c r="WVQ12" s="11"/>
      <c r="WVR12" s="28"/>
      <c r="WVS12" s="11"/>
      <c r="WVT12" s="28"/>
      <c r="WVU12" s="11"/>
      <c r="WVV12" s="28"/>
      <c r="WVW12" s="11"/>
      <c r="WVX12" s="28"/>
      <c r="WVY12" s="11"/>
      <c r="WVZ12" s="28"/>
      <c r="WWA12" s="11"/>
      <c r="WWB12" s="28"/>
      <c r="WWC12" s="11"/>
      <c r="WWD12" s="28"/>
      <c r="WWE12" s="11"/>
      <c r="WWF12" s="28"/>
      <c r="WWG12" s="11"/>
      <c r="WWH12" s="28"/>
      <c r="WWI12" s="11"/>
      <c r="WWJ12" s="28"/>
      <c r="WWK12" s="11"/>
      <c r="WWL12" s="28"/>
      <c r="WWM12" s="11"/>
      <c r="WWN12" s="28"/>
      <c r="WWO12" s="11"/>
      <c r="WWP12" s="28"/>
      <c r="WWQ12" s="11"/>
      <c r="WWR12" s="28"/>
      <c r="WWS12" s="11"/>
      <c r="WWT12" s="28"/>
      <c r="WWU12" s="11"/>
      <c r="WWV12" s="28"/>
      <c r="WWW12" s="11"/>
      <c r="WWX12" s="28"/>
      <c r="WWY12" s="11"/>
      <c r="WWZ12" s="28"/>
      <c r="WXA12" s="11"/>
      <c r="WXB12" s="28"/>
      <c r="WXC12" s="11"/>
      <c r="WXD12" s="28"/>
      <c r="WXE12" s="11"/>
      <c r="WXF12" s="28"/>
      <c r="WXG12" s="11"/>
      <c r="WXH12" s="28"/>
      <c r="WXI12" s="11"/>
      <c r="WXJ12" s="28"/>
      <c r="WXK12" s="11"/>
      <c r="WXL12" s="28"/>
      <c r="WXM12" s="11"/>
      <c r="WXN12" s="28"/>
      <c r="WXO12" s="11"/>
      <c r="WXP12" s="28"/>
      <c r="WXQ12" s="11"/>
      <c r="WXR12" s="28"/>
      <c r="WXS12" s="11"/>
      <c r="WXT12" s="28"/>
      <c r="WXU12" s="11"/>
      <c r="WXV12" s="28"/>
      <c r="WXW12" s="11"/>
      <c r="WXX12" s="28"/>
      <c r="WXY12" s="11"/>
      <c r="WXZ12" s="28"/>
      <c r="WYA12" s="11"/>
      <c r="WYB12" s="28"/>
      <c r="WYC12" s="11"/>
      <c r="WYD12" s="28"/>
      <c r="WYE12" s="11"/>
      <c r="WYF12" s="28"/>
      <c r="WYG12" s="11"/>
      <c r="WYH12" s="28"/>
      <c r="WYI12" s="11"/>
      <c r="WYJ12" s="28"/>
      <c r="WYK12" s="11"/>
      <c r="WYL12" s="28"/>
      <c r="WYM12" s="11"/>
      <c r="WYN12" s="28"/>
      <c r="WYO12" s="11"/>
      <c r="WYP12" s="28"/>
      <c r="WYQ12" s="11"/>
      <c r="WYR12" s="28"/>
      <c r="WYS12" s="11"/>
      <c r="WYT12" s="28"/>
      <c r="WYU12" s="11"/>
      <c r="WYV12" s="28"/>
      <c r="WYW12" s="11"/>
      <c r="WYX12" s="28"/>
      <c r="WYY12" s="11"/>
      <c r="WYZ12" s="28"/>
      <c r="WZA12" s="11"/>
      <c r="WZB12" s="28"/>
      <c r="WZC12" s="11"/>
      <c r="WZD12" s="28"/>
      <c r="WZE12" s="11"/>
      <c r="WZF12" s="28"/>
      <c r="WZG12" s="11"/>
      <c r="WZH12" s="28"/>
      <c r="WZI12" s="11"/>
      <c r="WZJ12" s="28"/>
      <c r="WZK12" s="11"/>
      <c r="WZL12" s="28"/>
      <c r="WZM12" s="11"/>
      <c r="WZN12" s="28"/>
      <c r="WZO12" s="11"/>
      <c r="WZP12" s="28"/>
      <c r="WZQ12" s="11"/>
      <c r="WZR12" s="28"/>
      <c r="WZS12" s="11"/>
      <c r="WZT12" s="28"/>
      <c r="WZU12" s="11"/>
      <c r="WZV12" s="28"/>
      <c r="WZW12" s="11"/>
      <c r="WZX12" s="28"/>
      <c r="WZY12" s="11"/>
      <c r="WZZ12" s="28"/>
      <c r="XAA12" s="11"/>
      <c r="XAB12" s="28"/>
      <c r="XAC12" s="11"/>
      <c r="XAD12" s="28"/>
      <c r="XAE12" s="11"/>
      <c r="XAF12" s="28"/>
      <c r="XAG12" s="11"/>
      <c r="XAH12" s="28"/>
      <c r="XAI12" s="11"/>
      <c r="XAJ12" s="28"/>
      <c r="XAK12" s="11"/>
      <c r="XAL12" s="28"/>
      <c r="XAM12" s="11"/>
      <c r="XAN12" s="28"/>
      <c r="XAO12" s="11"/>
      <c r="XAP12" s="28"/>
      <c r="XAQ12" s="11"/>
      <c r="XAR12" s="28"/>
      <c r="XAS12" s="11"/>
      <c r="XAT12" s="28"/>
      <c r="XAU12" s="11"/>
      <c r="XAV12" s="28"/>
      <c r="XAW12" s="11"/>
      <c r="XAX12" s="28"/>
      <c r="XAY12" s="11"/>
      <c r="XAZ12" s="28"/>
      <c r="XBA12" s="11"/>
      <c r="XBB12" s="28"/>
      <c r="XBC12" s="11"/>
      <c r="XBD12" s="28"/>
      <c r="XBE12" s="11"/>
      <c r="XBF12" s="28"/>
      <c r="XBG12" s="11"/>
      <c r="XBH12" s="28"/>
      <c r="XBI12" s="11"/>
      <c r="XBJ12" s="28"/>
      <c r="XBK12" s="11"/>
      <c r="XBL12" s="28"/>
      <c r="XBM12" s="11"/>
      <c r="XBN12" s="28"/>
      <c r="XBO12" s="11"/>
      <c r="XBP12" s="28"/>
      <c r="XBQ12" s="11"/>
      <c r="XBR12" s="28"/>
      <c r="XBS12" s="11"/>
      <c r="XBT12" s="28"/>
      <c r="XBU12" s="11"/>
      <c r="XBV12" s="28"/>
      <c r="XBW12" s="11"/>
      <c r="XBX12" s="28"/>
      <c r="XBY12" s="11"/>
      <c r="XBZ12" s="28"/>
      <c r="XCA12" s="11"/>
      <c r="XCB12" s="28"/>
      <c r="XCC12" s="11"/>
      <c r="XCD12" s="28"/>
      <c r="XCE12" s="11"/>
      <c r="XCF12" s="28"/>
      <c r="XCG12" s="11"/>
      <c r="XCH12" s="28"/>
      <c r="XCI12" s="11"/>
      <c r="XCJ12" s="28"/>
      <c r="XCK12" s="11"/>
      <c r="XCL12" s="28"/>
      <c r="XCM12" s="11"/>
      <c r="XCN12" s="28"/>
      <c r="XCO12" s="11"/>
      <c r="XCP12" s="28"/>
      <c r="XCQ12" s="11"/>
      <c r="XCR12" s="28"/>
      <c r="XCS12" s="11"/>
      <c r="XCT12" s="28"/>
      <c r="XCU12" s="11"/>
      <c r="XCV12" s="28"/>
      <c r="XCW12" s="11"/>
      <c r="XCX12" s="28"/>
      <c r="XCY12" s="11"/>
      <c r="XCZ12" s="28"/>
      <c r="XDA12" s="11"/>
      <c r="XDB12" s="28"/>
      <c r="XDC12" s="11"/>
      <c r="XDD12" s="28"/>
      <c r="XDE12" s="11"/>
      <c r="XDF12" s="28"/>
      <c r="XDG12" s="11"/>
      <c r="XDH12" s="28"/>
      <c r="XDI12" s="11"/>
      <c r="XDJ12" s="28"/>
      <c r="XDK12" s="11"/>
      <c r="XDL12" s="28"/>
      <c r="XDM12" s="11"/>
      <c r="XDN12" s="28"/>
      <c r="XDO12" s="11"/>
      <c r="XDP12" s="28"/>
      <c r="XDQ12" s="11"/>
      <c r="XDR12" s="28"/>
      <c r="XDS12" s="11"/>
      <c r="XDT12" s="28"/>
      <c r="XDU12" s="11"/>
      <c r="XDV12" s="28"/>
      <c r="XDW12" s="11"/>
      <c r="XDX12" s="28"/>
      <c r="XDY12" s="11"/>
      <c r="XDZ12" s="28"/>
      <c r="XEA12" s="11"/>
      <c r="XEB12" s="28"/>
      <c r="XEC12" s="11"/>
      <c r="XED12" s="28"/>
      <c r="XEE12" s="11"/>
      <c r="XEF12" s="28"/>
      <c r="XEG12" s="11"/>
      <c r="XEH12" s="28"/>
      <c r="XEI12" s="11"/>
      <c r="XEJ12" s="28"/>
      <c r="XEK12" s="11"/>
      <c r="XEL12" s="28"/>
      <c r="XEM12" s="11"/>
      <c r="XEN12" s="28"/>
      <c r="XEO12" s="11"/>
      <c r="XEP12" s="28"/>
      <c r="XEQ12" s="11"/>
      <c r="XER12" s="28"/>
      <c r="XES12" s="11"/>
      <c r="XET12" s="28"/>
      <c r="XEU12" s="11"/>
      <c r="XEV12" s="28"/>
      <c r="XEW12" s="11"/>
      <c r="XEX12" s="28"/>
      <c r="XEY12" s="11"/>
      <c r="XEZ12" s="28"/>
      <c r="XFA12" s="11"/>
      <c r="XFB12" s="28"/>
      <c r="XFC12" s="11"/>
      <c r="XFD12" s="28"/>
    </row>
    <row r="13" spans="1:16384" ht="14.25" customHeight="1" x14ac:dyDescent="0.35">
      <c r="A13" s="323" t="s">
        <v>90</v>
      </c>
      <c r="B13" s="324"/>
      <c r="C13" s="325"/>
    </row>
    <row r="14" spans="1:16384" ht="14.25" customHeight="1" x14ac:dyDescent="0.35">
      <c r="A14" s="11">
        <v>1</v>
      </c>
      <c r="B14" t="s">
        <v>91</v>
      </c>
      <c r="C14" s="124">
        <f>Variables!C2*(C3+C4+C7+C8+C9)</f>
        <v>3392241728.5349898</v>
      </c>
    </row>
    <row r="15" spans="1:16384" ht="14.25" customHeight="1" x14ac:dyDescent="0.35">
      <c r="A15" s="323" t="s">
        <v>94</v>
      </c>
      <c r="B15" s="324"/>
      <c r="C15" s="325"/>
    </row>
    <row r="16" spans="1:16384" ht="14.25" customHeight="1" x14ac:dyDescent="0.35">
      <c r="A16" s="11">
        <v>1</v>
      </c>
      <c r="B16" t="s">
        <v>77</v>
      </c>
      <c r="C16" s="4">
        <f>'Cost Calculations'!AS46</f>
        <v>12950000</v>
      </c>
    </row>
    <row r="17" spans="1:4" ht="14.25" customHeight="1" x14ac:dyDescent="0.35">
      <c r="A17" s="326" t="s">
        <v>315</v>
      </c>
      <c r="B17" s="327"/>
      <c r="C17" s="15">
        <f>SUM(C3,C4,C5,C7,C8,C9,C10,C11,C14,C16)/10^6</f>
        <v>139244.35064541848</v>
      </c>
    </row>
    <row r="18" spans="1:4" ht="14.25" customHeight="1" x14ac:dyDescent="0.35">
      <c r="A18" s="11"/>
    </row>
    <row r="19" spans="1:4" ht="14.25" customHeight="1" x14ac:dyDescent="0.35">
      <c r="A19" s="11"/>
      <c r="B19" s="16"/>
      <c r="C19" s="11"/>
      <c r="D19" s="12"/>
    </row>
    <row r="20" spans="1:4" ht="14.25" customHeight="1" x14ac:dyDescent="0.35">
      <c r="A20" s="11"/>
    </row>
    <row r="21" spans="1:4" ht="14.25" customHeight="1" x14ac:dyDescent="0.35">
      <c r="A21" s="11"/>
    </row>
    <row r="22" spans="1:4" ht="14.25" customHeight="1" x14ac:dyDescent="0.35">
      <c r="A22" s="11"/>
    </row>
    <row r="23" spans="1:4" ht="14.25" customHeight="1" x14ac:dyDescent="0.35">
      <c r="A23" s="11"/>
    </row>
    <row r="24" spans="1:4" ht="14.25" customHeight="1" x14ac:dyDescent="0.35">
      <c r="A24" s="11"/>
    </row>
    <row r="25" spans="1:4" ht="14.25" customHeight="1" x14ac:dyDescent="0.35">
      <c r="A25" s="11"/>
    </row>
    <row r="26" spans="1:4" ht="14.25" customHeight="1" x14ac:dyDescent="0.35">
      <c r="A26" s="11"/>
    </row>
    <row r="27" spans="1:4" ht="14.25" customHeight="1" x14ac:dyDescent="0.35">
      <c r="A27" s="11"/>
    </row>
    <row r="28" spans="1:4" ht="14.25" customHeight="1" x14ac:dyDescent="0.35">
      <c r="A28" s="11"/>
    </row>
    <row r="29" spans="1:4" ht="14.25" customHeight="1" x14ac:dyDescent="0.35">
      <c r="A29" s="11"/>
    </row>
    <row r="30" spans="1:4" ht="14.25" customHeight="1" x14ac:dyDescent="0.35">
      <c r="A30" s="11"/>
    </row>
    <row r="31" spans="1:4" ht="14.25" customHeight="1" x14ac:dyDescent="0.35">
      <c r="A31" s="11"/>
    </row>
    <row r="32" spans="1:4" ht="14.25" customHeight="1" x14ac:dyDescent="0.35">
      <c r="A32" s="11"/>
    </row>
    <row r="33" spans="1:1" ht="14.25" customHeight="1" x14ac:dyDescent="0.35">
      <c r="A33" s="11"/>
    </row>
    <row r="34" spans="1:1" ht="14.25" customHeight="1" x14ac:dyDescent="0.35">
      <c r="A34" s="11"/>
    </row>
    <row r="35" spans="1:1" ht="14.25" customHeight="1" x14ac:dyDescent="0.35">
      <c r="A35" s="11"/>
    </row>
    <row r="36" spans="1:1" ht="14.25" customHeight="1" x14ac:dyDescent="0.35">
      <c r="A36" s="11"/>
    </row>
    <row r="37" spans="1:1" ht="14.25" customHeight="1" x14ac:dyDescent="0.35">
      <c r="A37" s="11"/>
    </row>
    <row r="38" spans="1:1" ht="14.25" customHeight="1" x14ac:dyDescent="0.35">
      <c r="A38" s="11"/>
    </row>
    <row r="39" spans="1:1" ht="14.25" customHeight="1" x14ac:dyDescent="0.35">
      <c r="A39" s="11"/>
    </row>
    <row r="40" spans="1:1" ht="14.25" customHeight="1" x14ac:dyDescent="0.35">
      <c r="A40" s="11"/>
    </row>
    <row r="41" spans="1:1" ht="14.25" customHeight="1" x14ac:dyDescent="0.35">
      <c r="A41" s="11"/>
    </row>
    <row r="42" spans="1:1" ht="14.25" customHeight="1" x14ac:dyDescent="0.35">
      <c r="A42" s="11"/>
    </row>
    <row r="43" spans="1:1" ht="14.25" customHeight="1" x14ac:dyDescent="0.35">
      <c r="A43" s="11"/>
    </row>
    <row r="44" spans="1:1" ht="14.25" customHeight="1" x14ac:dyDescent="0.35">
      <c r="A44" s="11"/>
    </row>
    <row r="45" spans="1:1" ht="14.25" customHeight="1" x14ac:dyDescent="0.35">
      <c r="A45" s="11"/>
    </row>
    <row r="46" spans="1:1" ht="14.25" customHeight="1" x14ac:dyDescent="0.35">
      <c r="A46" s="11"/>
    </row>
    <row r="47" spans="1:1" ht="14.25" customHeight="1" x14ac:dyDescent="0.35">
      <c r="A47" s="11"/>
    </row>
    <row r="48" spans="1:1" ht="14.25" customHeight="1" x14ac:dyDescent="0.35">
      <c r="A48" s="11"/>
    </row>
    <row r="49" spans="1:1" ht="14.25" customHeight="1" x14ac:dyDescent="0.35">
      <c r="A49" s="11"/>
    </row>
    <row r="50" spans="1:1" ht="14.25" customHeight="1" x14ac:dyDescent="0.35">
      <c r="A50" s="11"/>
    </row>
    <row r="51" spans="1:1" ht="14.25" customHeight="1" x14ac:dyDescent="0.35">
      <c r="A51" s="11"/>
    </row>
    <row r="52" spans="1:1" ht="14.25" customHeight="1" x14ac:dyDescent="0.35">
      <c r="A52" s="11"/>
    </row>
    <row r="53" spans="1:1" ht="14.25" customHeight="1" x14ac:dyDescent="0.35">
      <c r="A53" s="11"/>
    </row>
    <row r="54" spans="1:1" ht="14.25" customHeight="1" x14ac:dyDescent="0.35">
      <c r="A54" s="11"/>
    </row>
    <row r="55" spans="1:1" ht="14.25" customHeight="1" x14ac:dyDescent="0.35">
      <c r="A55" s="11"/>
    </row>
    <row r="56" spans="1:1" ht="14.25" customHeight="1" x14ac:dyDescent="0.35">
      <c r="A56" s="11"/>
    </row>
    <row r="57" spans="1:1" ht="14.25" customHeight="1" x14ac:dyDescent="0.35">
      <c r="A57" s="11"/>
    </row>
    <row r="58" spans="1:1" ht="14.25" customHeight="1" x14ac:dyDescent="0.35">
      <c r="A58" s="11"/>
    </row>
    <row r="59" spans="1:1" ht="14.25" customHeight="1" x14ac:dyDescent="0.35">
      <c r="A59" s="11"/>
    </row>
    <row r="60" spans="1:1" ht="14.25" customHeight="1" x14ac:dyDescent="0.35">
      <c r="A60" s="11"/>
    </row>
    <row r="61" spans="1:1" ht="14.25" customHeight="1" x14ac:dyDescent="0.35">
      <c r="A61" s="11"/>
    </row>
    <row r="62" spans="1:1" ht="14.25" customHeight="1" x14ac:dyDescent="0.35">
      <c r="A62" s="11"/>
    </row>
    <row r="63" spans="1:1" ht="14.25" customHeight="1" x14ac:dyDescent="0.35">
      <c r="A63" s="11"/>
    </row>
    <row r="64" spans="1:1" ht="14.25" customHeight="1" x14ac:dyDescent="0.35">
      <c r="A64" s="11"/>
    </row>
    <row r="65" spans="1:1" ht="14.25" customHeight="1" x14ac:dyDescent="0.35">
      <c r="A65" s="11"/>
    </row>
    <row r="66" spans="1:1" ht="14.25" customHeight="1" x14ac:dyDescent="0.35">
      <c r="A66" s="11"/>
    </row>
    <row r="67" spans="1:1" ht="14.25" customHeight="1" x14ac:dyDescent="0.35">
      <c r="A67" s="11"/>
    </row>
    <row r="68" spans="1:1" ht="14.25" customHeight="1" x14ac:dyDescent="0.35">
      <c r="A68" s="11"/>
    </row>
    <row r="69" spans="1:1" ht="14.25" customHeight="1" x14ac:dyDescent="0.35">
      <c r="A69" s="11"/>
    </row>
    <row r="70" spans="1:1" ht="14.25" customHeight="1" x14ac:dyDescent="0.35">
      <c r="A70" s="11"/>
    </row>
    <row r="71" spans="1:1" ht="14.25" customHeight="1" x14ac:dyDescent="0.35">
      <c r="A71" s="11"/>
    </row>
    <row r="72" spans="1:1" ht="14.25" customHeight="1" x14ac:dyDescent="0.35">
      <c r="A72" s="11"/>
    </row>
    <row r="73" spans="1:1" ht="14.25" customHeight="1" x14ac:dyDescent="0.35">
      <c r="A73" s="11"/>
    </row>
    <row r="74" spans="1:1" ht="14.25" customHeight="1" x14ac:dyDescent="0.35">
      <c r="A74" s="11"/>
    </row>
    <row r="75" spans="1:1" ht="14.25" customHeight="1" x14ac:dyDescent="0.35">
      <c r="A75" s="11"/>
    </row>
    <row r="76" spans="1:1" ht="14.25" customHeight="1" x14ac:dyDescent="0.35">
      <c r="A76" s="11"/>
    </row>
    <row r="77" spans="1:1" ht="14.25" customHeight="1" x14ac:dyDescent="0.35">
      <c r="A77" s="11"/>
    </row>
    <row r="78" spans="1:1" ht="14.25" customHeight="1" x14ac:dyDescent="0.35">
      <c r="A78" s="11"/>
    </row>
    <row r="79" spans="1:1" ht="14.25" customHeight="1" x14ac:dyDescent="0.35">
      <c r="A79" s="11"/>
    </row>
    <row r="80" spans="1:1" ht="14.25" customHeight="1" x14ac:dyDescent="0.35">
      <c r="A80" s="11"/>
    </row>
    <row r="81" spans="1:1" ht="14.25" customHeight="1" x14ac:dyDescent="0.35">
      <c r="A81" s="11"/>
    </row>
    <row r="82" spans="1:1" ht="14.25" customHeight="1" x14ac:dyDescent="0.35">
      <c r="A82" s="11"/>
    </row>
    <row r="83" spans="1:1" ht="14.25" customHeight="1" x14ac:dyDescent="0.35">
      <c r="A83" s="11"/>
    </row>
    <row r="84" spans="1:1" ht="14.25" customHeight="1" x14ac:dyDescent="0.35">
      <c r="A84" s="11"/>
    </row>
    <row r="85" spans="1:1" ht="14.25" customHeight="1" x14ac:dyDescent="0.35">
      <c r="A85" s="11"/>
    </row>
    <row r="86" spans="1:1" ht="14.25" customHeight="1" x14ac:dyDescent="0.35">
      <c r="A86" s="11"/>
    </row>
    <row r="87" spans="1:1" ht="14.25" customHeight="1" x14ac:dyDescent="0.35">
      <c r="A87" s="11"/>
    </row>
    <row r="88" spans="1:1" ht="14.25" customHeight="1" x14ac:dyDescent="0.35">
      <c r="A88" s="11"/>
    </row>
    <row r="89" spans="1:1" ht="14.25" customHeight="1" x14ac:dyDescent="0.35">
      <c r="A89" s="11"/>
    </row>
    <row r="90" spans="1:1" ht="14.25" customHeight="1" x14ac:dyDescent="0.35">
      <c r="A90" s="11"/>
    </row>
    <row r="91" spans="1:1" ht="14.25" customHeight="1" x14ac:dyDescent="0.35">
      <c r="A91" s="11"/>
    </row>
    <row r="92" spans="1:1" ht="14.25" customHeight="1" x14ac:dyDescent="0.35">
      <c r="A92" s="11"/>
    </row>
    <row r="93" spans="1:1" ht="14.25" customHeight="1" x14ac:dyDescent="0.35">
      <c r="A93" s="11"/>
    </row>
    <row r="94" spans="1:1" ht="14.25" customHeight="1" x14ac:dyDescent="0.35">
      <c r="A94" s="11"/>
    </row>
    <row r="95" spans="1:1" ht="14.25" customHeight="1" x14ac:dyDescent="0.35">
      <c r="A95" s="11"/>
    </row>
    <row r="96" spans="1:1" ht="14.25" customHeight="1" x14ac:dyDescent="0.35">
      <c r="A96" s="11"/>
    </row>
    <row r="97" spans="1:1" ht="14.25" customHeight="1" x14ac:dyDescent="0.35">
      <c r="A97" s="11"/>
    </row>
    <row r="98" spans="1:1" ht="14.25" customHeight="1" x14ac:dyDescent="0.35">
      <c r="A98" s="11"/>
    </row>
    <row r="99" spans="1:1" ht="14.25" customHeight="1" x14ac:dyDescent="0.35">
      <c r="A99" s="11"/>
    </row>
    <row r="100" spans="1:1" ht="14.25" customHeight="1" x14ac:dyDescent="0.35">
      <c r="A100" s="11"/>
    </row>
    <row r="101" spans="1:1" ht="14.25" customHeight="1" x14ac:dyDescent="0.35">
      <c r="A101" s="11"/>
    </row>
    <row r="102" spans="1:1" ht="14.25" customHeight="1" x14ac:dyDescent="0.35">
      <c r="A102" s="11"/>
    </row>
    <row r="103" spans="1:1" ht="14.25" customHeight="1" x14ac:dyDescent="0.35">
      <c r="A103" s="11"/>
    </row>
    <row r="104" spans="1:1" ht="14.25" customHeight="1" x14ac:dyDescent="0.35">
      <c r="A104" s="11"/>
    </row>
    <row r="105" spans="1:1" ht="14.25" customHeight="1" x14ac:dyDescent="0.35">
      <c r="A105" s="11"/>
    </row>
    <row r="106" spans="1:1" ht="14.25" customHeight="1" x14ac:dyDescent="0.35">
      <c r="A106" s="11"/>
    </row>
    <row r="107" spans="1:1" ht="14.25" customHeight="1" x14ac:dyDescent="0.35">
      <c r="A107" s="11"/>
    </row>
    <row r="108" spans="1:1" ht="14.25" customHeight="1" x14ac:dyDescent="0.35">
      <c r="A108" s="11"/>
    </row>
    <row r="109" spans="1:1" ht="14.25" customHeight="1" x14ac:dyDescent="0.35">
      <c r="A109" s="11"/>
    </row>
    <row r="110" spans="1:1" ht="14.25" customHeight="1" x14ac:dyDescent="0.35">
      <c r="A110" s="11"/>
    </row>
    <row r="111" spans="1:1" ht="14.25" customHeight="1" x14ac:dyDescent="0.35">
      <c r="A111" s="11"/>
    </row>
    <row r="112" spans="1:1" ht="14.25" customHeight="1" x14ac:dyDescent="0.35">
      <c r="A112" s="11"/>
    </row>
    <row r="113" spans="1:1" ht="14.25" customHeight="1" x14ac:dyDescent="0.35">
      <c r="A113" s="11"/>
    </row>
    <row r="114" spans="1:1" ht="14.25" customHeight="1" x14ac:dyDescent="0.35">
      <c r="A114" s="11"/>
    </row>
    <row r="115" spans="1:1" ht="14.25" customHeight="1" x14ac:dyDescent="0.35">
      <c r="A115" s="11"/>
    </row>
    <row r="116" spans="1:1" ht="14.25" customHeight="1" x14ac:dyDescent="0.35">
      <c r="A116" s="11"/>
    </row>
    <row r="117" spans="1:1" ht="14.25" customHeight="1" x14ac:dyDescent="0.35">
      <c r="A117" s="11"/>
    </row>
    <row r="118" spans="1:1" ht="14.25" customHeight="1" x14ac:dyDescent="0.35">
      <c r="A118" s="11"/>
    </row>
    <row r="119" spans="1:1" ht="14.25" customHeight="1" x14ac:dyDescent="0.35">
      <c r="A119" s="11"/>
    </row>
    <row r="120" spans="1:1" ht="14.25" customHeight="1" x14ac:dyDescent="0.35">
      <c r="A120" s="11"/>
    </row>
    <row r="121" spans="1:1" ht="14.25" customHeight="1" x14ac:dyDescent="0.35">
      <c r="A121" s="11"/>
    </row>
    <row r="122" spans="1:1" ht="14.25" customHeight="1" x14ac:dyDescent="0.35">
      <c r="A122" s="11"/>
    </row>
    <row r="123" spans="1:1" ht="14.25" customHeight="1" x14ac:dyDescent="0.35">
      <c r="A123" s="11"/>
    </row>
    <row r="124" spans="1:1" ht="14.25" customHeight="1" x14ac:dyDescent="0.35">
      <c r="A124" s="11"/>
    </row>
    <row r="125" spans="1:1" ht="14.25" customHeight="1" x14ac:dyDescent="0.35">
      <c r="A125" s="11"/>
    </row>
    <row r="126" spans="1:1" ht="14.25" customHeight="1" x14ac:dyDescent="0.35">
      <c r="A126" s="11"/>
    </row>
    <row r="127" spans="1:1" ht="14.25" customHeight="1" x14ac:dyDescent="0.35">
      <c r="A127" s="11"/>
    </row>
    <row r="128" spans="1:1" ht="14.25" customHeight="1" x14ac:dyDescent="0.35">
      <c r="A128" s="11"/>
    </row>
    <row r="129" spans="1:1" ht="14.25" customHeight="1" x14ac:dyDescent="0.35">
      <c r="A129" s="11"/>
    </row>
    <row r="130" spans="1:1" ht="14.25" customHeight="1" x14ac:dyDescent="0.35">
      <c r="A130" s="11"/>
    </row>
    <row r="131" spans="1:1" ht="14.25" customHeight="1" x14ac:dyDescent="0.35">
      <c r="A131" s="11"/>
    </row>
    <row r="132" spans="1:1" ht="14.25" customHeight="1" x14ac:dyDescent="0.35">
      <c r="A132" s="11"/>
    </row>
    <row r="133" spans="1:1" ht="14.25" customHeight="1" x14ac:dyDescent="0.35">
      <c r="A133" s="11"/>
    </row>
    <row r="134" spans="1:1" ht="14.25" customHeight="1" x14ac:dyDescent="0.35">
      <c r="A134" s="11"/>
    </row>
    <row r="135" spans="1:1" ht="14.25" customHeight="1" x14ac:dyDescent="0.35">
      <c r="A135" s="11"/>
    </row>
    <row r="136" spans="1:1" ht="14.25" customHeight="1" x14ac:dyDescent="0.35">
      <c r="A136" s="11"/>
    </row>
    <row r="137" spans="1:1" ht="14.25" customHeight="1" x14ac:dyDescent="0.35">
      <c r="A137" s="11"/>
    </row>
    <row r="138" spans="1:1" ht="14.25" customHeight="1" x14ac:dyDescent="0.35">
      <c r="A138" s="11"/>
    </row>
    <row r="139" spans="1:1" ht="14.25" customHeight="1" x14ac:dyDescent="0.35">
      <c r="A139" s="11"/>
    </row>
    <row r="140" spans="1:1" ht="14.25" customHeight="1" x14ac:dyDescent="0.35">
      <c r="A140" s="11"/>
    </row>
    <row r="141" spans="1:1" ht="14.25" customHeight="1" x14ac:dyDescent="0.35">
      <c r="A141" s="11"/>
    </row>
    <row r="142" spans="1:1" ht="14.25" customHeight="1" x14ac:dyDescent="0.35">
      <c r="A142" s="11"/>
    </row>
    <row r="143" spans="1:1" ht="14.25" customHeight="1" x14ac:dyDescent="0.35">
      <c r="A143" s="11"/>
    </row>
    <row r="144" spans="1:1" ht="14.25" customHeight="1" x14ac:dyDescent="0.35">
      <c r="A144" s="11"/>
    </row>
    <row r="145" spans="1:1" ht="14.25" customHeight="1" x14ac:dyDescent="0.35">
      <c r="A145" s="11"/>
    </row>
    <row r="146" spans="1:1" ht="14.25" customHeight="1" x14ac:dyDescent="0.35">
      <c r="A146" s="11"/>
    </row>
    <row r="147" spans="1:1" ht="14.25" customHeight="1" x14ac:dyDescent="0.35">
      <c r="A147" s="11"/>
    </row>
    <row r="148" spans="1:1" ht="14.25" customHeight="1" x14ac:dyDescent="0.35">
      <c r="A148" s="11"/>
    </row>
    <row r="149" spans="1:1" ht="14.25" customHeight="1" x14ac:dyDescent="0.35">
      <c r="A149" s="11"/>
    </row>
    <row r="150" spans="1:1" ht="14.25" customHeight="1" x14ac:dyDescent="0.35">
      <c r="A150" s="11"/>
    </row>
    <row r="151" spans="1:1" ht="14.25" customHeight="1" x14ac:dyDescent="0.35">
      <c r="A151" s="11"/>
    </row>
    <row r="152" spans="1:1" ht="14.25" customHeight="1" x14ac:dyDescent="0.35">
      <c r="A152" s="11"/>
    </row>
    <row r="153" spans="1:1" ht="14.25" customHeight="1" x14ac:dyDescent="0.35">
      <c r="A153" s="11"/>
    </row>
    <row r="154" spans="1:1" ht="14.25" customHeight="1" x14ac:dyDescent="0.35">
      <c r="A154" s="11"/>
    </row>
    <row r="155" spans="1:1" ht="14.25" customHeight="1" x14ac:dyDescent="0.35">
      <c r="A155" s="11"/>
    </row>
    <row r="156" spans="1:1" ht="14.25" customHeight="1" x14ac:dyDescent="0.35">
      <c r="A156" s="11"/>
    </row>
    <row r="157" spans="1:1" ht="14.25" customHeight="1" x14ac:dyDescent="0.35">
      <c r="A157" s="11"/>
    </row>
    <row r="158" spans="1:1" ht="14.25" customHeight="1" x14ac:dyDescent="0.35">
      <c r="A158" s="11"/>
    </row>
    <row r="159" spans="1:1" ht="14.25" customHeight="1" x14ac:dyDescent="0.35">
      <c r="A159" s="11"/>
    </row>
    <row r="160" spans="1:1" ht="14.25" customHeight="1" x14ac:dyDescent="0.35">
      <c r="A160" s="11"/>
    </row>
    <row r="161" spans="1:1" ht="14.25" customHeight="1" x14ac:dyDescent="0.35">
      <c r="A161" s="11"/>
    </row>
    <row r="162" spans="1:1" ht="14.25" customHeight="1" x14ac:dyDescent="0.35">
      <c r="A162" s="11"/>
    </row>
    <row r="163" spans="1:1" ht="14.25" customHeight="1" x14ac:dyDescent="0.35">
      <c r="A163" s="11"/>
    </row>
    <row r="164" spans="1:1" ht="14.25" customHeight="1" x14ac:dyDescent="0.35">
      <c r="A164" s="11"/>
    </row>
    <row r="165" spans="1:1" ht="14.25" customHeight="1" x14ac:dyDescent="0.35">
      <c r="A165" s="11"/>
    </row>
    <row r="166" spans="1:1" ht="14.25" customHeight="1" x14ac:dyDescent="0.35">
      <c r="A166" s="11"/>
    </row>
    <row r="167" spans="1:1" ht="14.25" customHeight="1" x14ac:dyDescent="0.35">
      <c r="A167" s="11"/>
    </row>
    <row r="168" spans="1:1" ht="14.25" customHeight="1" x14ac:dyDescent="0.35">
      <c r="A168" s="11"/>
    </row>
    <row r="169" spans="1:1" ht="14.25" customHeight="1" x14ac:dyDescent="0.35">
      <c r="A169" s="11"/>
    </row>
    <row r="170" spans="1:1" ht="14.25" customHeight="1" x14ac:dyDescent="0.35">
      <c r="A170" s="11"/>
    </row>
    <row r="171" spans="1:1" ht="14.25" customHeight="1" x14ac:dyDescent="0.35">
      <c r="A171" s="11"/>
    </row>
    <row r="172" spans="1:1" ht="14.25" customHeight="1" x14ac:dyDescent="0.35">
      <c r="A172" s="11"/>
    </row>
    <row r="173" spans="1:1" ht="14.25" customHeight="1" x14ac:dyDescent="0.35">
      <c r="A173" s="11"/>
    </row>
    <row r="174" spans="1:1" ht="14.25" customHeight="1" x14ac:dyDescent="0.35">
      <c r="A174" s="11"/>
    </row>
    <row r="175" spans="1:1" ht="14.25" customHeight="1" x14ac:dyDescent="0.35">
      <c r="A175" s="11"/>
    </row>
    <row r="176" spans="1:1" ht="14.25" customHeight="1" x14ac:dyDescent="0.35">
      <c r="A176" s="11"/>
    </row>
    <row r="177" spans="1:1" ht="14.25" customHeight="1" x14ac:dyDescent="0.35">
      <c r="A177" s="11"/>
    </row>
    <row r="178" spans="1:1" ht="14.25" customHeight="1" x14ac:dyDescent="0.35">
      <c r="A178" s="11"/>
    </row>
    <row r="179" spans="1:1" ht="14.25" customHeight="1" x14ac:dyDescent="0.35">
      <c r="A179" s="11"/>
    </row>
    <row r="180" spans="1:1" ht="14.25" customHeight="1" x14ac:dyDescent="0.35">
      <c r="A180" s="11"/>
    </row>
    <row r="181" spans="1:1" ht="14.25" customHeight="1" x14ac:dyDescent="0.35">
      <c r="A181" s="11"/>
    </row>
    <row r="182" spans="1:1" ht="14.25" customHeight="1" x14ac:dyDescent="0.35">
      <c r="A182" s="11"/>
    </row>
    <row r="183" spans="1:1" ht="14.25" customHeight="1" x14ac:dyDescent="0.35">
      <c r="A183" s="11"/>
    </row>
    <row r="184" spans="1:1" ht="14.25" customHeight="1" x14ac:dyDescent="0.35">
      <c r="A184" s="11"/>
    </row>
    <row r="185" spans="1:1" ht="14.25" customHeight="1" x14ac:dyDescent="0.35">
      <c r="A185" s="11"/>
    </row>
    <row r="186" spans="1:1" ht="14.25" customHeight="1" x14ac:dyDescent="0.35">
      <c r="A186" s="11"/>
    </row>
    <row r="187" spans="1:1" ht="14.25" customHeight="1" x14ac:dyDescent="0.35">
      <c r="A187" s="11"/>
    </row>
    <row r="188" spans="1:1" ht="14.25" customHeight="1" x14ac:dyDescent="0.35">
      <c r="A188" s="11"/>
    </row>
    <row r="189" spans="1:1" ht="14.25" customHeight="1" x14ac:dyDescent="0.35">
      <c r="A189" s="11"/>
    </row>
    <row r="190" spans="1:1" ht="14.25" customHeight="1" x14ac:dyDescent="0.35">
      <c r="A190" s="11"/>
    </row>
    <row r="191" spans="1:1" ht="14.25" customHeight="1" x14ac:dyDescent="0.35">
      <c r="A191" s="11"/>
    </row>
    <row r="192" spans="1:1" ht="14.25" customHeight="1" x14ac:dyDescent="0.35">
      <c r="A192" s="11"/>
    </row>
    <row r="193" spans="1:1" ht="14.25" customHeight="1" x14ac:dyDescent="0.35">
      <c r="A193" s="11"/>
    </row>
    <row r="194" spans="1:1" ht="14.25" customHeight="1" x14ac:dyDescent="0.35">
      <c r="A194" s="11"/>
    </row>
    <row r="195" spans="1:1" ht="14.25" customHeight="1" x14ac:dyDescent="0.35">
      <c r="A195" s="11"/>
    </row>
    <row r="196" spans="1:1" ht="14.25" customHeight="1" x14ac:dyDescent="0.35">
      <c r="A196" s="11"/>
    </row>
    <row r="197" spans="1:1" ht="14.25" customHeight="1" x14ac:dyDescent="0.35">
      <c r="A197" s="11"/>
    </row>
    <row r="198" spans="1:1" ht="14.25" customHeight="1" x14ac:dyDescent="0.35">
      <c r="A198" s="11"/>
    </row>
    <row r="199" spans="1:1" ht="14.25" customHeight="1" x14ac:dyDescent="0.35">
      <c r="A199" s="11"/>
    </row>
    <row r="200" spans="1:1" ht="14.25" customHeight="1" x14ac:dyDescent="0.35">
      <c r="A200" s="11"/>
    </row>
    <row r="201" spans="1:1" ht="14.25" customHeight="1" x14ac:dyDescent="0.35">
      <c r="A201" s="11"/>
    </row>
    <row r="202" spans="1:1" ht="14.25" customHeight="1" x14ac:dyDescent="0.35">
      <c r="A202" s="11"/>
    </row>
    <row r="203" spans="1:1" ht="14.25" customHeight="1" x14ac:dyDescent="0.35">
      <c r="A203" s="11"/>
    </row>
    <row r="204" spans="1:1" ht="14.25" customHeight="1" x14ac:dyDescent="0.35">
      <c r="A204" s="11"/>
    </row>
    <row r="205" spans="1:1" ht="14.25" customHeight="1" x14ac:dyDescent="0.35">
      <c r="A205" s="11"/>
    </row>
    <row r="206" spans="1:1" ht="14.25" customHeight="1" x14ac:dyDescent="0.35">
      <c r="A206" s="11"/>
    </row>
    <row r="207" spans="1:1" ht="14.25" customHeight="1" x14ac:dyDescent="0.35">
      <c r="A207" s="11"/>
    </row>
    <row r="208" spans="1:1" ht="14.25" customHeight="1" x14ac:dyDescent="0.35">
      <c r="A208" s="11"/>
    </row>
    <row r="209" spans="1:1" ht="14.25" customHeight="1" x14ac:dyDescent="0.35">
      <c r="A209" s="11"/>
    </row>
    <row r="210" spans="1:1" ht="14.25" customHeight="1" x14ac:dyDescent="0.35">
      <c r="A210" s="11"/>
    </row>
    <row r="211" spans="1:1" ht="14.25" customHeight="1" x14ac:dyDescent="0.35">
      <c r="A211" s="11"/>
    </row>
    <row r="212" spans="1:1" ht="14.25" customHeight="1" x14ac:dyDescent="0.35">
      <c r="A212" s="11"/>
    </row>
    <row r="213" spans="1:1" ht="14.25" customHeight="1" x14ac:dyDescent="0.35">
      <c r="A213" s="11"/>
    </row>
    <row r="214" spans="1:1" ht="14.25" customHeight="1" x14ac:dyDescent="0.35">
      <c r="A214" s="11"/>
    </row>
    <row r="215" spans="1:1" ht="14.25" customHeight="1" x14ac:dyDescent="0.35">
      <c r="A215" s="11"/>
    </row>
    <row r="216" spans="1:1" ht="14.25" customHeight="1" x14ac:dyDescent="0.35">
      <c r="A216" s="11"/>
    </row>
    <row r="217" spans="1:1" ht="14.25" customHeight="1" x14ac:dyDescent="0.35">
      <c r="A217" s="11"/>
    </row>
    <row r="218" spans="1:1" ht="14.25" customHeight="1" x14ac:dyDescent="0.35">
      <c r="A218" s="11"/>
    </row>
    <row r="219" spans="1:1" ht="14.25" customHeight="1" x14ac:dyDescent="0.35">
      <c r="A219" s="11"/>
    </row>
    <row r="220" spans="1:1" ht="14.25" customHeight="1" x14ac:dyDescent="0.35">
      <c r="A220" s="11"/>
    </row>
    <row r="221" spans="1:1" ht="14.25" customHeight="1" x14ac:dyDescent="0.35">
      <c r="A221" s="11"/>
    </row>
    <row r="222" spans="1:1" ht="14.25" customHeight="1" x14ac:dyDescent="0.35">
      <c r="A222" s="11"/>
    </row>
    <row r="223" spans="1:1" ht="14.25" customHeight="1" x14ac:dyDescent="0.35">
      <c r="A223" s="11"/>
    </row>
    <row r="224" spans="1:1" ht="14.25" customHeight="1" x14ac:dyDescent="0.35">
      <c r="A224" s="11"/>
    </row>
    <row r="225" spans="1:1" ht="14.25" customHeight="1" x14ac:dyDescent="0.35">
      <c r="A225" s="11"/>
    </row>
    <row r="226" spans="1:1" ht="14.25" customHeight="1" x14ac:dyDescent="0.35">
      <c r="A226" s="11"/>
    </row>
    <row r="227" spans="1:1" ht="14.25" customHeight="1" x14ac:dyDescent="0.35">
      <c r="A227" s="11"/>
    </row>
    <row r="228" spans="1:1" ht="14.25" customHeight="1" x14ac:dyDescent="0.35">
      <c r="A228" s="11"/>
    </row>
    <row r="229" spans="1:1" ht="14.25" customHeight="1" x14ac:dyDescent="0.35">
      <c r="A229" s="11"/>
    </row>
    <row r="230" spans="1:1" ht="14.25" customHeight="1" x14ac:dyDescent="0.35">
      <c r="A230" s="11"/>
    </row>
    <row r="231" spans="1:1" ht="14.25" customHeight="1" x14ac:dyDescent="0.35">
      <c r="A231" s="11"/>
    </row>
    <row r="232" spans="1:1" ht="14.25" customHeight="1" x14ac:dyDescent="0.35">
      <c r="A232" s="11"/>
    </row>
    <row r="233" spans="1:1" ht="14.25" customHeight="1" x14ac:dyDescent="0.35">
      <c r="A233" s="11"/>
    </row>
    <row r="234" spans="1:1" ht="14.25" customHeight="1" x14ac:dyDescent="0.35">
      <c r="A234" s="11"/>
    </row>
    <row r="235" spans="1:1" ht="14.25" customHeight="1" x14ac:dyDescent="0.35">
      <c r="A235" s="11"/>
    </row>
    <row r="236" spans="1:1" ht="14.25" customHeight="1" x14ac:dyDescent="0.35">
      <c r="A236" s="11"/>
    </row>
    <row r="237" spans="1:1" ht="14.25" customHeight="1" x14ac:dyDescent="0.35">
      <c r="A237" s="11"/>
    </row>
    <row r="238" spans="1:1" ht="14.25" customHeight="1" x14ac:dyDescent="0.35">
      <c r="A238" s="11"/>
    </row>
    <row r="239" spans="1:1" ht="14.25" customHeight="1" x14ac:dyDescent="0.35">
      <c r="A239" s="11"/>
    </row>
    <row r="240" spans="1:1" ht="14.25" customHeight="1" x14ac:dyDescent="0.35">
      <c r="A240" s="11"/>
    </row>
    <row r="241" spans="1:1" ht="14.25" customHeight="1" x14ac:dyDescent="0.35">
      <c r="A241" s="11"/>
    </row>
    <row r="242" spans="1:1" ht="14.25" customHeight="1" x14ac:dyDescent="0.35">
      <c r="A242" s="11"/>
    </row>
    <row r="243" spans="1:1" ht="14.25" customHeight="1" x14ac:dyDescent="0.35">
      <c r="A243" s="11"/>
    </row>
    <row r="244" spans="1:1" ht="14.25" customHeight="1" x14ac:dyDescent="0.35">
      <c r="A244" s="11"/>
    </row>
    <row r="245" spans="1:1" ht="14.25" customHeight="1" x14ac:dyDescent="0.35">
      <c r="A245" s="11"/>
    </row>
    <row r="246" spans="1:1" ht="14.25" customHeight="1" x14ac:dyDescent="0.35">
      <c r="A246" s="11"/>
    </row>
    <row r="247" spans="1:1" ht="14.25" customHeight="1" x14ac:dyDescent="0.35">
      <c r="A247" s="11"/>
    </row>
    <row r="248" spans="1:1" ht="14.25" customHeight="1" x14ac:dyDescent="0.35">
      <c r="A248" s="11"/>
    </row>
    <row r="249" spans="1:1" ht="14.25" customHeight="1" x14ac:dyDescent="0.35">
      <c r="A249" s="11"/>
    </row>
    <row r="250" spans="1:1" ht="14.25" customHeight="1" x14ac:dyDescent="0.35">
      <c r="A250" s="11"/>
    </row>
    <row r="251" spans="1:1" ht="14.25" customHeight="1" x14ac:dyDescent="0.35">
      <c r="A251" s="11"/>
    </row>
    <row r="252" spans="1:1" ht="14.25" customHeight="1" x14ac:dyDescent="0.35">
      <c r="A252" s="11"/>
    </row>
    <row r="253" spans="1:1" ht="14.25" customHeight="1" x14ac:dyDescent="0.35">
      <c r="A253" s="11"/>
    </row>
    <row r="254" spans="1:1" ht="14.25" customHeight="1" x14ac:dyDescent="0.35">
      <c r="A254" s="11"/>
    </row>
    <row r="255" spans="1:1" ht="14.25" customHeight="1" x14ac:dyDescent="0.35">
      <c r="A255" s="11"/>
    </row>
    <row r="256" spans="1:1" ht="14.25" customHeight="1" x14ac:dyDescent="0.35">
      <c r="A256" s="11"/>
    </row>
    <row r="257" spans="1:1" ht="14.25" customHeight="1" x14ac:dyDescent="0.35">
      <c r="A257" s="11"/>
    </row>
    <row r="258" spans="1:1" ht="14.25" customHeight="1" x14ac:dyDescent="0.35">
      <c r="A258" s="11"/>
    </row>
    <row r="259" spans="1:1" ht="14.25" customHeight="1" x14ac:dyDescent="0.35">
      <c r="A259" s="11"/>
    </row>
    <row r="260" spans="1:1" ht="14.25" customHeight="1" x14ac:dyDescent="0.35">
      <c r="A260" s="11"/>
    </row>
    <row r="261" spans="1:1" ht="14.25" customHeight="1" x14ac:dyDescent="0.35">
      <c r="A261" s="11"/>
    </row>
    <row r="262" spans="1:1" ht="14.25" customHeight="1" x14ac:dyDescent="0.35">
      <c r="A262" s="11"/>
    </row>
    <row r="263" spans="1:1" ht="14.25" customHeight="1" x14ac:dyDescent="0.35">
      <c r="A263" s="11"/>
    </row>
    <row r="264" spans="1:1" ht="14.25" customHeight="1" x14ac:dyDescent="0.35">
      <c r="A264" s="11"/>
    </row>
    <row r="265" spans="1:1" ht="14.25" customHeight="1" x14ac:dyDescent="0.35">
      <c r="A265" s="11"/>
    </row>
    <row r="266" spans="1:1" ht="14.25" customHeight="1" x14ac:dyDescent="0.35">
      <c r="A266" s="11"/>
    </row>
    <row r="267" spans="1:1" ht="14.25" customHeight="1" x14ac:dyDescent="0.35">
      <c r="A267" s="11"/>
    </row>
    <row r="268" spans="1:1" ht="14.25" customHeight="1" x14ac:dyDescent="0.35">
      <c r="A268" s="11"/>
    </row>
    <row r="269" spans="1:1" ht="14.25" customHeight="1" x14ac:dyDescent="0.35">
      <c r="A269" s="11"/>
    </row>
    <row r="270" spans="1:1" ht="14.25" customHeight="1" x14ac:dyDescent="0.35">
      <c r="A270" s="11"/>
    </row>
    <row r="271" spans="1:1" ht="14.25" customHeight="1" x14ac:dyDescent="0.35">
      <c r="A271" s="11"/>
    </row>
    <row r="272" spans="1:1" ht="14.25" customHeight="1" x14ac:dyDescent="0.35">
      <c r="A272" s="11"/>
    </row>
    <row r="273" spans="1:1" ht="14.25" customHeight="1" x14ac:dyDescent="0.35">
      <c r="A273" s="11"/>
    </row>
    <row r="274" spans="1:1" ht="14.25" customHeight="1" x14ac:dyDescent="0.35">
      <c r="A274" s="11"/>
    </row>
    <row r="275" spans="1:1" ht="14.25" customHeight="1" x14ac:dyDescent="0.35">
      <c r="A275" s="11"/>
    </row>
    <row r="276" spans="1:1" ht="14.25" customHeight="1" x14ac:dyDescent="0.35">
      <c r="A276" s="11"/>
    </row>
    <row r="277" spans="1:1" ht="14.25" customHeight="1" x14ac:dyDescent="0.35">
      <c r="A277" s="11"/>
    </row>
    <row r="278" spans="1:1" ht="14.25" customHeight="1" x14ac:dyDescent="0.35">
      <c r="A278" s="11"/>
    </row>
    <row r="279" spans="1:1" ht="14.25" customHeight="1" x14ac:dyDescent="0.35">
      <c r="A279" s="11"/>
    </row>
    <row r="280" spans="1:1" ht="14.25" customHeight="1" x14ac:dyDescent="0.35">
      <c r="A280" s="11"/>
    </row>
    <row r="281" spans="1:1" ht="14.25" customHeight="1" x14ac:dyDescent="0.35">
      <c r="A281" s="11"/>
    </row>
    <row r="282" spans="1:1" ht="14.25" customHeight="1" x14ac:dyDescent="0.35">
      <c r="A282" s="11"/>
    </row>
    <row r="283" spans="1:1" ht="14.25" customHeight="1" x14ac:dyDescent="0.35">
      <c r="A283" s="11"/>
    </row>
    <row r="284" spans="1:1" ht="14.25" customHeight="1" x14ac:dyDescent="0.35">
      <c r="A284" s="11"/>
    </row>
    <row r="285" spans="1:1" ht="14.25" customHeight="1" x14ac:dyDescent="0.35">
      <c r="A285" s="11"/>
    </row>
    <row r="286" spans="1:1" ht="14.25" customHeight="1" x14ac:dyDescent="0.35">
      <c r="A286" s="11"/>
    </row>
    <row r="287" spans="1:1" ht="14.25" customHeight="1" x14ac:dyDescent="0.35">
      <c r="A287" s="11"/>
    </row>
    <row r="288" spans="1:1" ht="14.25" customHeight="1" x14ac:dyDescent="0.35">
      <c r="A288" s="11"/>
    </row>
    <row r="289" spans="1:1" ht="14.25" customHeight="1" x14ac:dyDescent="0.35">
      <c r="A289" s="11"/>
    </row>
    <row r="290" spans="1:1" ht="14.25" customHeight="1" x14ac:dyDescent="0.35">
      <c r="A290" s="11"/>
    </row>
    <row r="291" spans="1:1" ht="14.25" customHeight="1" x14ac:dyDescent="0.35">
      <c r="A291" s="11"/>
    </row>
    <row r="292" spans="1:1" ht="14.25" customHeight="1" x14ac:dyDescent="0.35">
      <c r="A292" s="11"/>
    </row>
    <row r="293" spans="1:1" ht="14.25" customHeight="1" x14ac:dyDescent="0.35">
      <c r="A293" s="11"/>
    </row>
    <row r="294" spans="1:1" ht="14.25" customHeight="1" x14ac:dyDescent="0.35">
      <c r="A294" s="11"/>
    </row>
    <row r="295" spans="1:1" ht="14.25" customHeight="1" x14ac:dyDescent="0.35">
      <c r="A295" s="11"/>
    </row>
    <row r="296" spans="1:1" ht="14.25" customHeight="1" x14ac:dyDescent="0.35">
      <c r="A296" s="11"/>
    </row>
    <row r="297" spans="1:1" ht="14.25" customHeight="1" x14ac:dyDescent="0.35">
      <c r="A297" s="11"/>
    </row>
    <row r="298" spans="1:1" ht="14.25" customHeight="1" x14ac:dyDescent="0.35">
      <c r="A298" s="11"/>
    </row>
    <row r="299" spans="1:1" ht="14.25" customHeight="1" x14ac:dyDescent="0.35">
      <c r="A299" s="11"/>
    </row>
    <row r="300" spans="1:1" ht="14.25" customHeight="1" x14ac:dyDescent="0.35">
      <c r="A300" s="11"/>
    </row>
    <row r="301" spans="1:1" ht="14.25" customHeight="1" x14ac:dyDescent="0.35">
      <c r="A301" s="11"/>
    </row>
    <row r="302" spans="1:1" ht="14.25" customHeight="1" x14ac:dyDescent="0.35">
      <c r="A302" s="11"/>
    </row>
    <row r="303" spans="1:1" ht="14.25" customHeight="1" x14ac:dyDescent="0.35">
      <c r="A303" s="11"/>
    </row>
    <row r="304" spans="1:1" ht="14.25" customHeight="1" x14ac:dyDescent="0.35">
      <c r="A304" s="11"/>
    </row>
    <row r="305" spans="1:1" ht="14.25" customHeight="1" x14ac:dyDescent="0.35">
      <c r="A305" s="11"/>
    </row>
    <row r="306" spans="1:1" ht="14.25" customHeight="1" x14ac:dyDescent="0.35">
      <c r="A306" s="11"/>
    </row>
    <row r="307" spans="1:1" ht="14.25" customHeight="1" x14ac:dyDescent="0.35">
      <c r="A307" s="11"/>
    </row>
    <row r="308" spans="1:1" ht="14.25" customHeight="1" x14ac:dyDescent="0.35">
      <c r="A308" s="11"/>
    </row>
    <row r="309" spans="1:1" ht="14.25" customHeight="1" x14ac:dyDescent="0.35">
      <c r="A309" s="11"/>
    </row>
    <row r="310" spans="1:1" ht="14.25" customHeight="1" x14ac:dyDescent="0.35">
      <c r="A310" s="11"/>
    </row>
    <row r="311" spans="1:1" ht="14.25" customHeight="1" x14ac:dyDescent="0.35">
      <c r="A311" s="11"/>
    </row>
    <row r="312" spans="1:1" ht="14.25" customHeight="1" x14ac:dyDescent="0.35">
      <c r="A312" s="11"/>
    </row>
    <row r="313" spans="1:1" ht="14.25" customHeight="1" x14ac:dyDescent="0.35">
      <c r="A313" s="11"/>
    </row>
    <row r="314" spans="1:1" ht="14.25" customHeight="1" x14ac:dyDescent="0.35">
      <c r="A314" s="11"/>
    </row>
    <row r="315" spans="1:1" ht="14.25" customHeight="1" x14ac:dyDescent="0.35">
      <c r="A315" s="11"/>
    </row>
    <row r="316" spans="1:1" ht="14.25" customHeight="1" x14ac:dyDescent="0.35">
      <c r="A316" s="11"/>
    </row>
    <row r="317" spans="1:1" ht="14.25" customHeight="1" x14ac:dyDescent="0.35">
      <c r="A317" s="11"/>
    </row>
    <row r="318" spans="1:1" ht="14.25" customHeight="1" x14ac:dyDescent="0.35">
      <c r="A318" s="11"/>
    </row>
    <row r="319" spans="1:1" ht="14.25" customHeight="1" x14ac:dyDescent="0.35">
      <c r="A319" s="11"/>
    </row>
    <row r="320" spans="1:1" ht="14.25" customHeight="1" x14ac:dyDescent="0.35">
      <c r="A320" s="11"/>
    </row>
    <row r="321" spans="1:1" ht="14.25" customHeight="1" x14ac:dyDescent="0.35">
      <c r="A321" s="11"/>
    </row>
    <row r="322" spans="1:1" ht="14.25" customHeight="1" x14ac:dyDescent="0.35">
      <c r="A322" s="11"/>
    </row>
    <row r="323" spans="1:1" ht="14.25" customHeight="1" x14ac:dyDescent="0.35">
      <c r="A323" s="11"/>
    </row>
    <row r="324" spans="1:1" ht="14.25" customHeight="1" x14ac:dyDescent="0.35">
      <c r="A324" s="11"/>
    </row>
    <row r="325" spans="1:1" ht="14.25" customHeight="1" x14ac:dyDescent="0.35">
      <c r="A325" s="11"/>
    </row>
    <row r="326" spans="1:1" ht="14.25" customHeight="1" x14ac:dyDescent="0.35">
      <c r="A326" s="11"/>
    </row>
    <row r="327" spans="1:1" ht="14.25" customHeight="1" x14ac:dyDescent="0.35">
      <c r="A327" s="11"/>
    </row>
    <row r="328" spans="1:1" ht="14.25" customHeight="1" x14ac:dyDescent="0.35">
      <c r="A328" s="11"/>
    </row>
    <row r="329" spans="1:1" ht="14.25" customHeight="1" x14ac:dyDescent="0.35">
      <c r="A329" s="11"/>
    </row>
    <row r="330" spans="1:1" ht="14.25" customHeight="1" x14ac:dyDescent="0.35">
      <c r="A330" s="11"/>
    </row>
    <row r="331" spans="1:1" ht="14.25" customHeight="1" x14ac:dyDescent="0.35">
      <c r="A331" s="11"/>
    </row>
    <row r="332" spans="1:1" ht="14.25" customHeight="1" x14ac:dyDescent="0.35">
      <c r="A332" s="11"/>
    </row>
    <row r="333" spans="1:1" ht="14.25" customHeight="1" x14ac:dyDescent="0.35">
      <c r="A333" s="11"/>
    </row>
    <row r="334" spans="1:1" ht="14.25" customHeight="1" x14ac:dyDescent="0.35">
      <c r="A334" s="11"/>
    </row>
    <row r="335" spans="1:1" ht="14.25" customHeight="1" x14ac:dyDescent="0.35">
      <c r="A335" s="11"/>
    </row>
    <row r="336" spans="1:1" ht="14.25" customHeight="1" x14ac:dyDescent="0.35">
      <c r="A336" s="11"/>
    </row>
    <row r="337" spans="1:1" ht="14.25" customHeight="1" x14ac:dyDescent="0.35">
      <c r="A337" s="11"/>
    </row>
    <row r="338" spans="1:1" ht="14.25" customHeight="1" x14ac:dyDescent="0.35">
      <c r="A338" s="11"/>
    </row>
    <row r="339" spans="1:1" ht="14.25" customHeight="1" x14ac:dyDescent="0.35">
      <c r="A339" s="11"/>
    </row>
    <row r="340" spans="1:1" ht="14.25" customHeight="1" x14ac:dyDescent="0.35">
      <c r="A340" s="11"/>
    </row>
    <row r="341" spans="1:1" ht="14.25" customHeight="1" x14ac:dyDescent="0.35">
      <c r="A341" s="11"/>
    </row>
    <row r="342" spans="1:1" ht="14.25" customHeight="1" x14ac:dyDescent="0.35">
      <c r="A342" s="11"/>
    </row>
    <row r="343" spans="1:1" ht="14.25" customHeight="1" x14ac:dyDescent="0.35">
      <c r="A343" s="11"/>
    </row>
    <row r="344" spans="1:1" ht="14.25" customHeight="1" x14ac:dyDescent="0.35">
      <c r="A344" s="11"/>
    </row>
    <row r="345" spans="1:1" ht="14.25" customHeight="1" x14ac:dyDescent="0.35">
      <c r="A345" s="11"/>
    </row>
    <row r="346" spans="1:1" ht="14.25" customHeight="1" x14ac:dyDescent="0.35">
      <c r="A346" s="11"/>
    </row>
    <row r="347" spans="1:1" ht="14.25" customHeight="1" x14ac:dyDescent="0.35">
      <c r="A347" s="11"/>
    </row>
    <row r="348" spans="1:1" ht="14.25" customHeight="1" x14ac:dyDescent="0.35">
      <c r="A348" s="11"/>
    </row>
    <row r="349" spans="1:1" ht="14.25" customHeight="1" x14ac:dyDescent="0.35">
      <c r="A349" s="11"/>
    </row>
    <row r="350" spans="1:1" ht="14.25" customHeight="1" x14ac:dyDescent="0.35">
      <c r="A350" s="11"/>
    </row>
    <row r="351" spans="1:1" ht="14.25" customHeight="1" x14ac:dyDescent="0.35">
      <c r="A351" s="11"/>
    </row>
    <row r="352" spans="1:1" ht="14.25" customHeight="1" x14ac:dyDescent="0.35">
      <c r="A352" s="11"/>
    </row>
    <row r="353" spans="1:1" ht="14.25" customHeight="1" x14ac:dyDescent="0.35">
      <c r="A353" s="11"/>
    </row>
    <row r="354" spans="1:1" ht="14.25" customHeight="1" x14ac:dyDescent="0.35">
      <c r="A354" s="11"/>
    </row>
    <row r="355" spans="1:1" ht="14.25" customHeight="1" x14ac:dyDescent="0.35">
      <c r="A355" s="11"/>
    </row>
    <row r="356" spans="1:1" ht="14.25" customHeight="1" x14ac:dyDescent="0.35">
      <c r="A356" s="11"/>
    </row>
    <row r="357" spans="1:1" ht="14.25" customHeight="1" x14ac:dyDescent="0.35">
      <c r="A357" s="11"/>
    </row>
    <row r="358" spans="1:1" ht="14.25" customHeight="1" x14ac:dyDescent="0.35">
      <c r="A358" s="11"/>
    </row>
    <row r="359" spans="1:1" ht="14.25" customHeight="1" x14ac:dyDescent="0.35">
      <c r="A359" s="11"/>
    </row>
    <row r="360" spans="1:1" ht="14.25" customHeight="1" x14ac:dyDescent="0.35">
      <c r="A360" s="11"/>
    </row>
    <row r="361" spans="1:1" ht="14.25" customHeight="1" x14ac:dyDescent="0.35">
      <c r="A361" s="11"/>
    </row>
    <row r="362" spans="1:1" ht="14.25" customHeight="1" x14ac:dyDescent="0.35">
      <c r="A362" s="11"/>
    </row>
    <row r="363" spans="1:1" ht="14.25" customHeight="1" x14ac:dyDescent="0.35">
      <c r="A363" s="11"/>
    </row>
    <row r="364" spans="1:1" ht="14.25" customHeight="1" x14ac:dyDescent="0.35">
      <c r="A364" s="11"/>
    </row>
    <row r="365" spans="1:1" ht="14.25" customHeight="1" x14ac:dyDescent="0.35">
      <c r="A365" s="11"/>
    </row>
    <row r="366" spans="1:1" ht="14.25" customHeight="1" x14ac:dyDescent="0.35">
      <c r="A366" s="11"/>
    </row>
    <row r="367" spans="1:1" ht="14.25" customHeight="1" x14ac:dyDescent="0.35">
      <c r="A367" s="11"/>
    </row>
    <row r="368" spans="1:1" ht="14.25" customHeight="1" x14ac:dyDescent="0.35">
      <c r="A368" s="11"/>
    </row>
    <row r="369" spans="1:1" ht="14.25" customHeight="1" x14ac:dyDescent="0.35">
      <c r="A369" s="11"/>
    </row>
    <row r="370" spans="1:1" ht="14.25" customHeight="1" x14ac:dyDescent="0.35">
      <c r="A370" s="11"/>
    </row>
    <row r="371" spans="1:1" ht="14.25" customHeight="1" x14ac:dyDescent="0.35">
      <c r="A371" s="11"/>
    </row>
    <row r="372" spans="1:1" ht="14.25" customHeight="1" x14ac:dyDescent="0.35">
      <c r="A372" s="11"/>
    </row>
    <row r="373" spans="1:1" ht="14.25" customHeight="1" x14ac:dyDescent="0.35">
      <c r="A373" s="11"/>
    </row>
    <row r="374" spans="1:1" ht="14.25" customHeight="1" x14ac:dyDescent="0.35">
      <c r="A374" s="11"/>
    </row>
    <row r="375" spans="1:1" ht="14.25" customHeight="1" x14ac:dyDescent="0.35">
      <c r="A375" s="11"/>
    </row>
    <row r="376" spans="1:1" ht="14.25" customHeight="1" x14ac:dyDescent="0.35">
      <c r="A376" s="11"/>
    </row>
    <row r="377" spans="1:1" ht="14.25" customHeight="1" x14ac:dyDescent="0.35">
      <c r="A377" s="11"/>
    </row>
    <row r="378" spans="1:1" ht="14.25" customHeight="1" x14ac:dyDescent="0.35">
      <c r="A378" s="11"/>
    </row>
    <row r="379" spans="1:1" ht="14.25" customHeight="1" x14ac:dyDescent="0.35">
      <c r="A379" s="11"/>
    </row>
    <row r="380" spans="1:1" ht="14.25" customHeight="1" x14ac:dyDescent="0.35">
      <c r="A380" s="11"/>
    </row>
    <row r="381" spans="1:1" ht="14.25" customHeight="1" x14ac:dyDescent="0.35">
      <c r="A381" s="11"/>
    </row>
    <row r="382" spans="1:1" ht="14.25" customHeight="1" x14ac:dyDescent="0.35">
      <c r="A382" s="11"/>
    </row>
    <row r="383" spans="1:1" ht="14.25" customHeight="1" x14ac:dyDescent="0.35">
      <c r="A383" s="11"/>
    </row>
    <row r="384" spans="1:1" ht="14.25" customHeight="1" x14ac:dyDescent="0.35">
      <c r="A384" s="11"/>
    </row>
    <row r="385" spans="1:1" ht="14.25" customHeight="1" x14ac:dyDescent="0.35">
      <c r="A385" s="11"/>
    </row>
    <row r="386" spans="1:1" ht="14.25" customHeight="1" x14ac:dyDescent="0.35">
      <c r="A386" s="11"/>
    </row>
    <row r="387" spans="1:1" ht="14.25" customHeight="1" x14ac:dyDescent="0.35">
      <c r="A387" s="11"/>
    </row>
    <row r="388" spans="1:1" ht="14.25" customHeight="1" x14ac:dyDescent="0.35">
      <c r="A388" s="11"/>
    </row>
    <row r="389" spans="1:1" ht="14.25" customHeight="1" x14ac:dyDescent="0.35">
      <c r="A389" s="11"/>
    </row>
    <row r="390" spans="1:1" ht="14.25" customHeight="1" x14ac:dyDescent="0.35">
      <c r="A390" s="11"/>
    </row>
    <row r="391" spans="1:1" ht="14.25" customHeight="1" x14ac:dyDescent="0.35">
      <c r="A391" s="11"/>
    </row>
    <row r="392" spans="1:1" ht="14.25" customHeight="1" x14ac:dyDescent="0.35">
      <c r="A392" s="11"/>
    </row>
    <row r="393" spans="1:1" ht="14.25" customHeight="1" x14ac:dyDescent="0.35">
      <c r="A393" s="11"/>
    </row>
    <row r="394" spans="1:1" ht="14.25" customHeight="1" x14ac:dyDescent="0.35">
      <c r="A394" s="11"/>
    </row>
    <row r="395" spans="1:1" ht="14.25" customHeight="1" x14ac:dyDescent="0.35">
      <c r="A395" s="11"/>
    </row>
    <row r="396" spans="1:1" ht="14.25" customHeight="1" x14ac:dyDescent="0.35">
      <c r="A396" s="11"/>
    </row>
    <row r="397" spans="1:1" ht="14.25" customHeight="1" x14ac:dyDescent="0.35">
      <c r="A397" s="11"/>
    </row>
    <row r="398" spans="1:1" ht="14.25" customHeight="1" x14ac:dyDescent="0.35">
      <c r="A398" s="11"/>
    </row>
    <row r="399" spans="1:1" ht="14.25" customHeight="1" x14ac:dyDescent="0.35">
      <c r="A399" s="11"/>
    </row>
    <row r="400" spans="1:1" ht="14.25" customHeight="1" x14ac:dyDescent="0.35">
      <c r="A400" s="11"/>
    </row>
    <row r="401" spans="1:1" ht="14.25" customHeight="1" x14ac:dyDescent="0.35">
      <c r="A401" s="11"/>
    </row>
    <row r="402" spans="1:1" ht="14.25" customHeight="1" x14ac:dyDescent="0.35">
      <c r="A402" s="11"/>
    </row>
    <row r="403" spans="1:1" ht="14.25" customHeight="1" x14ac:dyDescent="0.35">
      <c r="A403" s="11"/>
    </row>
    <row r="404" spans="1:1" ht="14.25" customHeight="1" x14ac:dyDescent="0.35">
      <c r="A404" s="11"/>
    </row>
    <row r="405" spans="1:1" ht="14.25" customHeight="1" x14ac:dyDescent="0.35">
      <c r="A405" s="11"/>
    </row>
    <row r="406" spans="1:1" ht="14.25" customHeight="1" x14ac:dyDescent="0.35">
      <c r="A406" s="11"/>
    </row>
    <row r="407" spans="1:1" ht="14.25" customHeight="1" x14ac:dyDescent="0.35">
      <c r="A407" s="11"/>
    </row>
    <row r="408" spans="1:1" ht="14.25" customHeight="1" x14ac:dyDescent="0.35">
      <c r="A408" s="11"/>
    </row>
    <row r="409" spans="1:1" ht="14.25" customHeight="1" x14ac:dyDescent="0.35">
      <c r="A409" s="11"/>
    </row>
    <row r="410" spans="1:1" ht="14.25" customHeight="1" x14ac:dyDescent="0.35">
      <c r="A410" s="11"/>
    </row>
    <row r="411" spans="1:1" ht="14.25" customHeight="1" x14ac:dyDescent="0.35">
      <c r="A411" s="11"/>
    </row>
    <row r="412" spans="1:1" ht="14.25" customHeight="1" x14ac:dyDescent="0.35">
      <c r="A412" s="11"/>
    </row>
    <row r="413" spans="1:1" ht="14.25" customHeight="1" x14ac:dyDescent="0.35">
      <c r="A413" s="11"/>
    </row>
    <row r="414" spans="1:1" ht="14.25" customHeight="1" x14ac:dyDescent="0.35">
      <c r="A414" s="11"/>
    </row>
    <row r="415" spans="1:1" ht="14.25" customHeight="1" x14ac:dyDescent="0.35">
      <c r="A415" s="11"/>
    </row>
    <row r="416" spans="1:1" ht="14.25" customHeight="1" x14ac:dyDescent="0.35">
      <c r="A416" s="11"/>
    </row>
    <row r="417" spans="1:1" ht="14.25" customHeight="1" x14ac:dyDescent="0.35">
      <c r="A417" s="11"/>
    </row>
    <row r="418" spans="1:1" ht="14.25" customHeight="1" x14ac:dyDescent="0.35">
      <c r="A418" s="11"/>
    </row>
    <row r="419" spans="1:1" ht="14.25" customHeight="1" x14ac:dyDescent="0.35">
      <c r="A419" s="11"/>
    </row>
    <row r="420" spans="1:1" ht="14.25" customHeight="1" x14ac:dyDescent="0.35">
      <c r="A420" s="11"/>
    </row>
    <row r="421" spans="1:1" ht="14.25" customHeight="1" x14ac:dyDescent="0.35">
      <c r="A421" s="11"/>
    </row>
    <row r="422" spans="1:1" ht="14.25" customHeight="1" x14ac:dyDescent="0.35">
      <c r="A422" s="11"/>
    </row>
    <row r="423" spans="1:1" ht="14.25" customHeight="1" x14ac:dyDescent="0.35">
      <c r="A423" s="11"/>
    </row>
    <row r="424" spans="1:1" ht="14.25" customHeight="1" x14ac:dyDescent="0.35">
      <c r="A424" s="11"/>
    </row>
    <row r="425" spans="1:1" ht="14.25" customHeight="1" x14ac:dyDescent="0.35">
      <c r="A425" s="11"/>
    </row>
    <row r="426" spans="1:1" ht="14.25" customHeight="1" x14ac:dyDescent="0.35">
      <c r="A426" s="11"/>
    </row>
    <row r="427" spans="1:1" ht="14.25" customHeight="1" x14ac:dyDescent="0.35">
      <c r="A427" s="11"/>
    </row>
    <row r="428" spans="1:1" ht="14.25" customHeight="1" x14ac:dyDescent="0.35">
      <c r="A428" s="11"/>
    </row>
    <row r="429" spans="1:1" ht="14.25" customHeight="1" x14ac:dyDescent="0.35">
      <c r="A429" s="11"/>
    </row>
    <row r="430" spans="1:1" ht="14.25" customHeight="1" x14ac:dyDescent="0.35">
      <c r="A430" s="11"/>
    </row>
    <row r="431" spans="1:1" ht="14.25" customHeight="1" x14ac:dyDescent="0.35">
      <c r="A431" s="11"/>
    </row>
    <row r="432" spans="1:1" ht="14.25" customHeight="1" x14ac:dyDescent="0.35">
      <c r="A432" s="11"/>
    </row>
    <row r="433" spans="1:1" ht="14.25" customHeight="1" x14ac:dyDescent="0.35">
      <c r="A433" s="11"/>
    </row>
    <row r="434" spans="1:1" ht="14.25" customHeight="1" x14ac:dyDescent="0.35">
      <c r="A434" s="11"/>
    </row>
    <row r="435" spans="1:1" ht="14.25" customHeight="1" x14ac:dyDescent="0.35">
      <c r="A435" s="11"/>
    </row>
    <row r="436" spans="1:1" ht="14.25" customHeight="1" x14ac:dyDescent="0.35">
      <c r="A436" s="11"/>
    </row>
    <row r="437" spans="1:1" ht="14.25" customHeight="1" x14ac:dyDescent="0.35">
      <c r="A437" s="11"/>
    </row>
    <row r="438" spans="1:1" ht="14.25" customHeight="1" x14ac:dyDescent="0.35">
      <c r="A438" s="11"/>
    </row>
    <row r="439" spans="1:1" ht="14.25" customHeight="1" x14ac:dyDescent="0.35">
      <c r="A439" s="11"/>
    </row>
    <row r="440" spans="1:1" ht="14.25" customHeight="1" x14ac:dyDescent="0.35">
      <c r="A440" s="11"/>
    </row>
    <row r="441" spans="1:1" ht="14.25" customHeight="1" x14ac:dyDescent="0.35">
      <c r="A441" s="11"/>
    </row>
    <row r="442" spans="1:1" ht="14.25" customHeight="1" x14ac:dyDescent="0.35">
      <c r="A442" s="11"/>
    </row>
    <row r="443" spans="1:1" ht="14.25" customHeight="1" x14ac:dyDescent="0.35">
      <c r="A443" s="11"/>
    </row>
    <row r="444" spans="1:1" ht="14.25" customHeight="1" x14ac:dyDescent="0.35">
      <c r="A444" s="11"/>
    </row>
    <row r="445" spans="1:1" ht="14.25" customHeight="1" x14ac:dyDescent="0.35">
      <c r="A445" s="11"/>
    </row>
    <row r="446" spans="1:1" ht="14.25" customHeight="1" x14ac:dyDescent="0.35">
      <c r="A446" s="11"/>
    </row>
    <row r="447" spans="1:1" ht="14.25" customHeight="1" x14ac:dyDescent="0.35">
      <c r="A447" s="11"/>
    </row>
    <row r="448" spans="1:1" ht="14.25" customHeight="1" x14ac:dyDescent="0.35">
      <c r="A448" s="11"/>
    </row>
    <row r="449" spans="1:1" ht="14.25" customHeight="1" x14ac:dyDescent="0.35">
      <c r="A449" s="11"/>
    </row>
    <row r="450" spans="1:1" ht="14.25" customHeight="1" x14ac:dyDescent="0.35">
      <c r="A450" s="11"/>
    </row>
    <row r="451" spans="1:1" ht="14.25" customHeight="1" x14ac:dyDescent="0.35">
      <c r="A451" s="11"/>
    </row>
    <row r="452" spans="1:1" ht="14.25" customHeight="1" x14ac:dyDescent="0.35">
      <c r="A452" s="11"/>
    </row>
    <row r="453" spans="1:1" ht="14.25" customHeight="1" x14ac:dyDescent="0.35">
      <c r="A453" s="11"/>
    </row>
    <row r="454" spans="1:1" ht="14.25" customHeight="1" x14ac:dyDescent="0.35">
      <c r="A454" s="11"/>
    </row>
    <row r="455" spans="1:1" ht="14.25" customHeight="1" x14ac:dyDescent="0.35">
      <c r="A455" s="11"/>
    </row>
    <row r="456" spans="1:1" ht="14.25" customHeight="1" x14ac:dyDescent="0.35">
      <c r="A456" s="11"/>
    </row>
    <row r="457" spans="1:1" ht="14.25" customHeight="1" x14ac:dyDescent="0.35">
      <c r="A457" s="11"/>
    </row>
    <row r="458" spans="1:1" ht="14.25" customHeight="1" x14ac:dyDescent="0.35">
      <c r="A458" s="11"/>
    </row>
    <row r="459" spans="1:1" ht="14.25" customHeight="1" x14ac:dyDescent="0.35">
      <c r="A459" s="11"/>
    </row>
    <row r="460" spans="1:1" ht="14.25" customHeight="1" x14ac:dyDescent="0.35">
      <c r="A460" s="11"/>
    </row>
    <row r="461" spans="1:1" ht="14.25" customHeight="1" x14ac:dyDescent="0.35">
      <c r="A461" s="11"/>
    </row>
    <row r="462" spans="1:1" ht="14.25" customHeight="1" x14ac:dyDescent="0.35">
      <c r="A462" s="11"/>
    </row>
    <row r="463" spans="1:1" ht="14.25" customHeight="1" x14ac:dyDescent="0.35">
      <c r="A463" s="11"/>
    </row>
    <row r="464" spans="1:1" ht="14.25" customHeight="1" x14ac:dyDescent="0.35">
      <c r="A464" s="11"/>
    </row>
    <row r="465" spans="1:1" ht="14.25" customHeight="1" x14ac:dyDescent="0.35">
      <c r="A465" s="11"/>
    </row>
    <row r="466" spans="1:1" ht="14.25" customHeight="1" x14ac:dyDescent="0.35">
      <c r="A466" s="11"/>
    </row>
    <row r="467" spans="1:1" ht="14.25" customHeight="1" x14ac:dyDescent="0.35">
      <c r="A467" s="11"/>
    </row>
    <row r="468" spans="1:1" ht="14.25" customHeight="1" x14ac:dyDescent="0.35">
      <c r="A468" s="11"/>
    </row>
    <row r="469" spans="1:1" ht="14.25" customHeight="1" x14ac:dyDescent="0.35">
      <c r="A469" s="11"/>
    </row>
    <row r="470" spans="1:1" ht="14.25" customHeight="1" x14ac:dyDescent="0.35">
      <c r="A470" s="11"/>
    </row>
    <row r="471" spans="1:1" ht="14.25" customHeight="1" x14ac:dyDescent="0.35">
      <c r="A471" s="11"/>
    </row>
    <row r="472" spans="1:1" ht="14.25" customHeight="1" x14ac:dyDescent="0.35">
      <c r="A472" s="11"/>
    </row>
    <row r="473" spans="1:1" ht="14.25" customHeight="1" x14ac:dyDescent="0.35">
      <c r="A473" s="11"/>
    </row>
    <row r="474" spans="1:1" ht="14.25" customHeight="1" x14ac:dyDescent="0.35">
      <c r="A474" s="11"/>
    </row>
    <row r="475" spans="1:1" ht="14.25" customHeight="1" x14ac:dyDescent="0.35">
      <c r="A475" s="11"/>
    </row>
    <row r="476" spans="1:1" ht="14.25" customHeight="1" x14ac:dyDescent="0.35">
      <c r="A476" s="11"/>
    </row>
    <row r="477" spans="1:1" ht="14.25" customHeight="1" x14ac:dyDescent="0.35">
      <c r="A477" s="11"/>
    </row>
    <row r="478" spans="1:1" ht="14.25" customHeight="1" x14ac:dyDescent="0.35">
      <c r="A478" s="11"/>
    </row>
    <row r="479" spans="1:1" ht="14.25" customHeight="1" x14ac:dyDescent="0.35">
      <c r="A479" s="11"/>
    </row>
    <row r="480" spans="1:1" ht="14.25" customHeight="1" x14ac:dyDescent="0.35">
      <c r="A480" s="11"/>
    </row>
    <row r="481" spans="1:1" ht="14.25" customHeight="1" x14ac:dyDescent="0.35">
      <c r="A481" s="11"/>
    </row>
    <row r="482" spans="1:1" ht="14.25" customHeight="1" x14ac:dyDescent="0.35">
      <c r="A482" s="11"/>
    </row>
    <row r="483" spans="1:1" ht="14.25" customHeight="1" x14ac:dyDescent="0.35">
      <c r="A483" s="11"/>
    </row>
    <row r="484" spans="1:1" ht="14.25" customHeight="1" x14ac:dyDescent="0.35">
      <c r="A484" s="11"/>
    </row>
    <row r="485" spans="1:1" ht="14.25" customHeight="1" x14ac:dyDescent="0.35">
      <c r="A485" s="11"/>
    </row>
    <row r="486" spans="1:1" ht="14.25" customHeight="1" x14ac:dyDescent="0.35">
      <c r="A486" s="11"/>
    </row>
    <row r="487" spans="1:1" ht="14.25" customHeight="1" x14ac:dyDescent="0.35">
      <c r="A487" s="11"/>
    </row>
    <row r="488" spans="1:1" ht="14.25" customHeight="1" x14ac:dyDescent="0.35">
      <c r="A488" s="11"/>
    </row>
    <row r="489" spans="1:1" ht="14.25" customHeight="1" x14ac:dyDescent="0.35">
      <c r="A489" s="11"/>
    </row>
    <row r="490" spans="1:1" ht="14.25" customHeight="1" x14ac:dyDescent="0.35">
      <c r="A490" s="11"/>
    </row>
    <row r="491" spans="1:1" ht="14.25" customHeight="1" x14ac:dyDescent="0.35">
      <c r="A491" s="11"/>
    </row>
    <row r="492" spans="1:1" ht="14.25" customHeight="1" x14ac:dyDescent="0.35">
      <c r="A492" s="11"/>
    </row>
    <row r="493" spans="1:1" ht="14.25" customHeight="1" x14ac:dyDescent="0.35">
      <c r="A493" s="11"/>
    </row>
    <row r="494" spans="1:1" ht="14.25" customHeight="1" x14ac:dyDescent="0.35">
      <c r="A494" s="11"/>
    </row>
    <row r="495" spans="1:1" ht="14.25" customHeight="1" x14ac:dyDescent="0.35">
      <c r="A495" s="11"/>
    </row>
    <row r="496" spans="1:1" ht="14.25" customHeight="1" x14ac:dyDescent="0.35">
      <c r="A496" s="11"/>
    </row>
    <row r="497" spans="1:1" ht="14.25" customHeight="1" x14ac:dyDescent="0.35">
      <c r="A497" s="11"/>
    </row>
    <row r="498" spans="1:1" ht="14.25" customHeight="1" x14ac:dyDescent="0.35">
      <c r="A498" s="11"/>
    </row>
    <row r="499" spans="1:1" ht="14.25" customHeight="1" x14ac:dyDescent="0.35">
      <c r="A499" s="11"/>
    </row>
    <row r="500" spans="1:1" ht="14.25" customHeight="1" x14ac:dyDescent="0.35">
      <c r="A500" s="11"/>
    </row>
    <row r="501" spans="1:1" ht="14.25" customHeight="1" x14ac:dyDescent="0.35">
      <c r="A501" s="11"/>
    </row>
    <row r="502" spans="1:1" ht="14.25" customHeight="1" x14ac:dyDescent="0.35">
      <c r="A502" s="11"/>
    </row>
    <row r="503" spans="1:1" ht="14.25" customHeight="1" x14ac:dyDescent="0.35">
      <c r="A503" s="11"/>
    </row>
    <row r="504" spans="1:1" ht="14.25" customHeight="1" x14ac:dyDescent="0.35">
      <c r="A504" s="11"/>
    </row>
    <row r="505" spans="1:1" ht="14.25" customHeight="1" x14ac:dyDescent="0.35">
      <c r="A505" s="11"/>
    </row>
    <row r="506" spans="1:1" ht="14.25" customHeight="1" x14ac:dyDescent="0.35">
      <c r="A506" s="11"/>
    </row>
    <row r="507" spans="1:1" ht="14.25" customHeight="1" x14ac:dyDescent="0.35">
      <c r="A507" s="11"/>
    </row>
    <row r="508" spans="1:1" ht="14.25" customHeight="1" x14ac:dyDescent="0.35">
      <c r="A508" s="11"/>
    </row>
    <row r="509" spans="1:1" ht="14.25" customHeight="1" x14ac:dyDescent="0.35">
      <c r="A509" s="11"/>
    </row>
    <row r="510" spans="1:1" ht="14.25" customHeight="1" x14ac:dyDescent="0.35">
      <c r="A510" s="11"/>
    </row>
    <row r="511" spans="1:1" ht="14.25" customHeight="1" x14ac:dyDescent="0.35">
      <c r="A511" s="11"/>
    </row>
    <row r="512" spans="1:1" ht="14.25" customHeight="1" x14ac:dyDescent="0.35">
      <c r="A512" s="11"/>
    </row>
    <row r="513" spans="1:1" ht="14.25" customHeight="1" x14ac:dyDescent="0.35">
      <c r="A513" s="11"/>
    </row>
    <row r="514" spans="1:1" ht="14.25" customHeight="1" x14ac:dyDescent="0.35">
      <c r="A514" s="11"/>
    </row>
    <row r="515" spans="1:1" ht="14.25" customHeight="1" x14ac:dyDescent="0.35">
      <c r="A515" s="11"/>
    </row>
    <row r="516" spans="1:1" ht="14.25" customHeight="1" x14ac:dyDescent="0.35">
      <c r="A516" s="11"/>
    </row>
    <row r="517" spans="1:1" ht="14.25" customHeight="1" x14ac:dyDescent="0.35">
      <c r="A517" s="11"/>
    </row>
    <row r="518" spans="1:1" ht="14.25" customHeight="1" x14ac:dyDescent="0.35">
      <c r="A518" s="11"/>
    </row>
    <row r="519" spans="1:1" ht="14.25" customHeight="1" x14ac:dyDescent="0.35">
      <c r="A519" s="11"/>
    </row>
    <row r="520" spans="1:1" ht="14.25" customHeight="1" x14ac:dyDescent="0.35">
      <c r="A520" s="11"/>
    </row>
    <row r="521" spans="1:1" ht="14.25" customHeight="1" x14ac:dyDescent="0.35">
      <c r="A521" s="11"/>
    </row>
    <row r="522" spans="1:1" ht="14.25" customHeight="1" x14ac:dyDescent="0.35">
      <c r="A522" s="11"/>
    </row>
    <row r="523" spans="1:1" ht="14.25" customHeight="1" x14ac:dyDescent="0.35">
      <c r="A523" s="11"/>
    </row>
    <row r="524" spans="1:1" ht="14.25" customHeight="1" x14ac:dyDescent="0.35">
      <c r="A524" s="11"/>
    </row>
    <row r="525" spans="1:1" ht="14.25" customHeight="1" x14ac:dyDescent="0.35">
      <c r="A525" s="11"/>
    </row>
    <row r="526" spans="1:1" ht="14.25" customHeight="1" x14ac:dyDescent="0.35">
      <c r="A526" s="11"/>
    </row>
    <row r="527" spans="1:1" ht="14.25" customHeight="1" x14ac:dyDescent="0.35">
      <c r="A527" s="11"/>
    </row>
    <row r="528" spans="1:1" ht="14.25" customHeight="1" x14ac:dyDescent="0.35">
      <c r="A528" s="11"/>
    </row>
    <row r="529" spans="1:1" ht="14.25" customHeight="1" x14ac:dyDescent="0.35">
      <c r="A529" s="11"/>
    </row>
    <row r="530" spans="1:1" ht="14.25" customHeight="1" x14ac:dyDescent="0.35">
      <c r="A530" s="11"/>
    </row>
    <row r="531" spans="1:1" ht="14.25" customHeight="1" x14ac:dyDescent="0.35">
      <c r="A531" s="11"/>
    </row>
    <row r="532" spans="1:1" ht="14.25" customHeight="1" x14ac:dyDescent="0.35">
      <c r="A532" s="11"/>
    </row>
    <row r="533" spans="1:1" ht="14.25" customHeight="1" x14ac:dyDescent="0.35">
      <c r="A533" s="11"/>
    </row>
    <row r="534" spans="1:1" ht="14.25" customHeight="1" x14ac:dyDescent="0.35">
      <c r="A534" s="11"/>
    </row>
    <row r="535" spans="1:1" ht="14.25" customHeight="1" x14ac:dyDescent="0.35">
      <c r="A535" s="11"/>
    </row>
    <row r="536" spans="1:1" ht="14.25" customHeight="1" x14ac:dyDescent="0.35">
      <c r="A536" s="11"/>
    </row>
    <row r="537" spans="1:1" ht="14.25" customHeight="1" x14ac:dyDescent="0.35">
      <c r="A537" s="11"/>
    </row>
    <row r="538" spans="1:1" ht="14.25" customHeight="1" x14ac:dyDescent="0.35">
      <c r="A538" s="11"/>
    </row>
    <row r="539" spans="1:1" ht="14.25" customHeight="1" x14ac:dyDescent="0.35">
      <c r="A539" s="11"/>
    </row>
    <row r="540" spans="1:1" ht="14.25" customHeight="1" x14ac:dyDescent="0.35">
      <c r="A540" s="11"/>
    </row>
    <row r="541" spans="1:1" ht="14.25" customHeight="1" x14ac:dyDescent="0.35">
      <c r="A541" s="11"/>
    </row>
    <row r="542" spans="1:1" ht="14.25" customHeight="1" x14ac:dyDescent="0.35">
      <c r="A542" s="11"/>
    </row>
    <row r="543" spans="1:1" ht="14.25" customHeight="1" x14ac:dyDescent="0.35">
      <c r="A543" s="11"/>
    </row>
    <row r="544" spans="1:1" ht="14.25" customHeight="1" x14ac:dyDescent="0.35">
      <c r="A544" s="11"/>
    </row>
    <row r="545" spans="1:1" ht="14.25" customHeight="1" x14ac:dyDescent="0.35">
      <c r="A545" s="11"/>
    </row>
    <row r="546" spans="1:1" ht="14.25" customHeight="1" x14ac:dyDescent="0.35">
      <c r="A546" s="11"/>
    </row>
    <row r="547" spans="1:1" ht="14.25" customHeight="1" x14ac:dyDescent="0.35">
      <c r="A547" s="11"/>
    </row>
    <row r="548" spans="1:1" ht="14.25" customHeight="1" x14ac:dyDescent="0.35">
      <c r="A548" s="11"/>
    </row>
    <row r="549" spans="1:1" ht="14.25" customHeight="1" x14ac:dyDescent="0.35">
      <c r="A549" s="11"/>
    </row>
    <row r="550" spans="1:1" ht="14.25" customHeight="1" x14ac:dyDescent="0.35">
      <c r="A550" s="11"/>
    </row>
    <row r="551" spans="1:1" ht="14.25" customHeight="1" x14ac:dyDescent="0.35">
      <c r="A551" s="11"/>
    </row>
    <row r="552" spans="1:1" ht="14.25" customHeight="1" x14ac:dyDescent="0.35">
      <c r="A552" s="11"/>
    </row>
    <row r="553" spans="1:1" ht="14.25" customHeight="1" x14ac:dyDescent="0.35">
      <c r="A553" s="11"/>
    </row>
    <row r="554" spans="1:1" ht="14.25" customHeight="1" x14ac:dyDescent="0.35">
      <c r="A554" s="11"/>
    </row>
    <row r="555" spans="1:1" ht="14.25" customHeight="1" x14ac:dyDescent="0.35">
      <c r="A555" s="11"/>
    </row>
    <row r="556" spans="1:1" ht="14.25" customHeight="1" x14ac:dyDescent="0.35">
      <c r="A556" s="11"/>
    </row>
    <row r="557" spans="1:1" ht="14.25" customHeight="1" x14ac:dyDescent="0.35">
      <c r="A557" s="11"/>
    </row>
    <row r="558" spans="1:1" ht="14.25" customHeight="1" x14ac:dyDescent="0.35">
      <c r="A558" s="11"/>
    </row>
    <row r="559" spans="1:1" ht="14.25" customHeight="1" x14ac:dyDescent="0.35">
      <c r="A559" s="11"/>
    </row>
    <row r="560" spans="1:1" ht="14.25" customHeight="1" x14ac:dyDescent="0.35">
      <c r="A560" s="11"/>
    </row>
    <row r="561" spans="1:1" ht="14.25" customHeight="1" x14ac:dyDescent="0.35">
      <c r="A561" s="11"/>
    </row>
    <row r="562" spans="1:1" ht="14.25" customHeight="1" x14ac:dyDescent="0.35">
      <c r="A562" s="11"/>
    </row>
    <row r="563" spans="1:1" ht="14.25" customHeight="1" x14ac:dyDescent="0.35">
      <c r="A563" s="11"/>
    </row>
    <row r="564" spans="1:1" ht="14.25" customHeight="1" x14ac:dyDescent="0.35">
      <c r="A564" s="11"/>
    </row>
    <row r="565" spans="1:1" ht="14.25" customHeight="1" x14ac:dyDescent="0.35">
      <c r="A565" s="11"/>
    </row>
    <row r="566" spans="1:1" ht="14.25" customHeight="1" x14ac:dyDescent="0.35">
      <c r="A566" s="11"/>
    </row>
    <row r="567" spans="1:1" ht="14.25" customHeight="1" x14ac:dyDescent="0.35">
      <c r="A567" s="11"/>
    </row>
    <row r="568" spans="1:1" ht="14.25" customHeight="1" x14ac:dyDescent="0.35">
      <c r="A568" s="11"/>
    </row>
    <row r="569" spans="1:1" ht="14.25" customHeight="1" x14ac:dyDescent="0.35">
      <c r="A569" s="11"/>
    </row>
    <row r="570" spans="1:1" ht="14.25" customHeight="1" x14ac:dyDescent="0.35">
      <c r="A570" s="11"/>
    </row>
    <row r="571" spans="1:1" ht="14.25" customHeight="1" x14ac:dyDescent="0.35">
      <c r="A571" s="11"/>
    </row>
    <row r="572" spans="1:1" ht="14.25" customHeight="1" x14ac:dyDescent="0.35">
      <c r="A572" s="11"/>
    </row>
    <row r="573" spans="1:1" ht="14.25" customHeight="1" x14ac:dyDescent="0.35">
      <c r="A573" s="11"/>
    </row>
    <row r="574" spans="1:1" ht="14.25" customHeight="1" x14ac:dyDescent="0.35">
      <c r="A574" s="11"/>
    </row>
    <row r="575" spans="1:1" ht="14.25" customHeight="1" x14ac:dyDescent="0.35">
      <c r="A575" s="11"/>
    </row>
    <row r="576" spans="1:1" ht="14.25" customHeight="1" x14ac:dyDescent="0.35">
      <c r="A576" s="11"/>
    </row>
    <row r="577" spans="1:1" ht="14.25" customHeight="1" x14ac:dyDescent="0.35">
      <c r="A577" s="11"/>
    </row>
    <row r="578" spans="1:1" ht="14.25" customHeight="1" x14ac:dyDescent="0.35">
      <c r="A578" s="11"/>
    </row>
    <row r="579" spans="1:1" ht="14.25" customHeight="1" x14ac:dyDescent="0.35">
      <c r="A579" s="11"/>
    </row>
    <row r="580" spans="1:1" ht="14.25" customHeight="1" x14ac:dyDescent="0.35">
      <c r="A580" s="11"/>
    </row>
    <row r="581" spans="1:1" ht="14.25" customHeight="1" x14ac:dyDescent="0.35">
      <c r="A581" s="11"/>
    </row>
    <row r="582" spans="1:1" ht="14.25" customHeight="1" x14ac:dyDescent="0.35">
      <c r="A582" s="11"/>
    </row>
    <row r="583" spans="1:1" ht="14.25" customHeight="1" x14ac:dyDescent="0.35">
      <c r="A583" s="11"/>
    </row>
    <row r="584" spans="1:1" ht="14.25" customHeight="1" x14ac:dyDescent="0.35">
      <c r="A584" s="11"/>
    </row>
    <row r="585" spans="1:1" ht="14.25" customHeight="1" x14ac:dyDescent="0.35">
      <c r="A585" s="11"/>
    </row>
    <row r="586" spans="1:1" ht="14.25" customHeight="1" x14ac:dyDescent="0.35">
      <c r="A586" s="11"/>
    </row>
    <row r="587" spans="1:1" ht="14.25" customHeight="1" x14ac:dyDescent="0.35">
      <c r="A587" s="11"/>
    </row>
    <row r="588" spans="1:1" ht="14.25" customHeight="1" x14ac:dyDescent="0.35">
      <c r="A588" s="11"/>
    </row>
    <row r="589" spans="1:1" ht="14.25" customHeight="1" x14ac:dyDescent="0.35">
      <c r="A589" s="11"/>
    </row>
    <row r="590" spans="1:1" ht="14.25" customHeight="1" x14ac:dyDescent="0.35">
      <c r="A590" s="11"/>
    </row>
    <row r="591" spans="1:1" ht="14.25" customHeight="1" x14ac:dyDescent="0.35">
      <c r="A591" s="11"/>
    </row>
    <row r="592" spans="1:1" ht="14.25" customHeight="1" x14ac:dyDescent="0.35">
      <c r="A592" s="11"/>
    </row>
    <row r="593" spans="1:1" ht="14.25" customHeight="1" x14ac:dyDescent="0.35">
      <c r="A593" s="11"/>
    </row>
    <row r="594" spans="1:1" ht="14.25" customHeight="1" x14ac:dyDescent="0.35">
      <c r="A594" s="11"/>
    </row>
    <row r="595" spans="1:1" ht="14.25" customHeight="1" x14ac:dyDescent="0.35">
      <c r="A595" s="11"/>
    </row>
    <row r="596" spans="1:1" ht="14.25" customHeight="1" x14ac:dyDescent="0.35">
      <c r="A596" s="11"/>
    </row>
    <row r="597" spans="1:1" ht="14.25" customHeight="1" x14ac:dyDescent="0.35">
      <c r="A597" s="11"/>
    </row>
    <row r="598" spans="1:1" ht="14.25" customHeight="1" x14ac:dyDescent="0.35">
      <c r="A598" s="11"/>
    </row>
    <row r="599" spans="1:1" ht="14.25" customHeight="1" x14ac:dyDescent="0.35">
      <c r="A599" s="11"/>
    </row>
    <row r="600" spans="1:1" ht="14.25" customHeight="1" x14ac:dyDescent="0.35">
      <c r="A600" s="11"/>
    </row>
    <row r="601" spans="1:1" ht="14.25" customHeight="1" x14ac:dyDescent="0.35">
      <c r="A601" s="11"/>
    </row>
    <row r="602" spans="1:1" ht="14.25" customHeight="1" x14ac:dyDescent="0.35">
      <c r="A602" s="11"/>
    </row>
    <row r="603" spans="1:1" ht="14.25" customHeight="1" x14ac:dyDescent="0.35">
      <c r="A603" s="11"/>
    </row>
    <row r="604" spans="1:1" ht="14.25" customHeight="1" x14ac:dyDescent="0.35">
      <c r="A604" s="11"/>
    </row>
    <row r="605" spans="1:1" ht="14.25" customHeight="1" x14ac:dyDescent="0.35">
      <c r="A605" s="11"/>
    </row>
    <row r="606" spans="1:1" ht="14.25" customHeight="1" x14ac:dyDescent="0.35">
      <c r="A606" s="11"/>
    </row>
    <row r="607" spans="1:1" ht="14.25" customHeight="1" x14ac:dyDescent="0.35">
      <c r="A607" s="11"/>
    </row>
    <row r="608" spans="1:1" ht="14.25" customHeight="1" x14ac:dyDescent="0.35">
      <c r="A608" s="11"/>
    </row>
    <row r="609" spans="1:1" ht="14.25" customHeight="1" x14ac:dyDescent="0.35">
      <c r="A609" s="11"/>
    </row>
    <row r="610" spans="1:1" ht="14.25" customHeight="1" x14ac:dyDescent="0.35">
      <c r="A610" s="11"/>
    </row>
    <row r="611" spans="1:1" ht="14.25" customHeight="1" x14ac:dyDescent="0.35">
      <c r="A611" s="11"/>
    </row>
    <row r="612" spans="1:1" ht="14.25" customHeight="1" x14ac:dyDescent="0.35">
      <c r="A612" s="11"/>
    </row>
    <row r="613" spans="1:1" ht="14.25" customHeight="1" x14ac:dyDescent="0.35">
      <c r="A613" s="11"/>
    </row>
    <row r="614" spans="1:1" ht="14.25" customHeight="1" x14ac:dyDescent="0.35">
      <c r="A614" s="11"/>
    </row>
    <row r="615" spans="1:1" ht="14.25" customHeight="1" x14ac:dyDescent="0.35">
      <c r="A615" s="11"/>
    </row>
    <row r="616" spans="1:1" ht="14.25" customHeight="1" x14ac:dyDescent="0.35">
      <c r="A616" s="11"/>
    </row>
    <row r="617" spans="1:1" ht="14.25" customHeight="1" x14ac:dyDescent="0.35">
      <c r="A617" s="11"/>
    </row>
    <row r="618" spans="1:1" ht="14.25" customHeight="1" x14ac:dyDescent="0.35">
      <c r="A618" s="11"/>
    </row>
    <row r="619" spans="1:1" ht="14.25" customHeight="1" x14ac:dyDescent="0.35">
      <c r="A619" s="11"/>
    </row>
    <row r="620" spans="1:1" ht="14.25" customHeight="1" x14ac:dyDescent="0.35">
      <c r="A620" s="11"/>
    </row>
    <row r="621" spans="1:1" ht="14.25" customHeight="1" x14ac:dyDescent="0.35">
      <c r="A621" s="11"/>
    </row>
    <row r="622" spans="1:1" ht="14.25" customHeight="1" x14ac:dyDescent="0.35">
      <c r="A622" s="11"/>
    </row>
    <row r="623" spans="1:1" ht="14.25" customHeight="1" x14ac:dyDescent="0.35">
      <c r="A623" s="11"/>
    </row>
    <row r="624" spans="1:1" ht="14.25" customHeight="1" x14ac:dyDescent="0.35">
      <c r="A624" s="11"/>
    </row>
    <row r="625" spans="1:1" ht="14.25" customHeight="1" x14ac:dyDescent="0.35">
      <c r="A625" s="11"/>
    </row>
    <row r="626" spans="1:1" ht="14.25" customHeight="1" x14ac:dyDescent="0.35">
      <c r="A626" s="11"/>
    </row>
    <row r="627" spans="1:1" ht="14.25" customHeight="1" x14ac:dyDescent="0.35">
      <c r="A627" s="11"/>
    </row>
    <row r="628" spans="1:1" ht="14.25" customHeight="1" x14ac:dyDescent="0.35">
      <c r="A628" s="11"/>
    </row>
    <row r="629" spans="1:1" ht="14.25" customHeight="1" x14ac:dyDescent="0.35">
      <c r="A629" s="11"/>
    </row>
    <row r="630" spans="1:1" ht="14.25" customHeight="1" x14ac:dyDescent="0.35">
      <c r="A630" s="11"/>
    </row>
    <row r="631" spans="1:1" ht="14.25" customHeight="1" x14ac:dyDescent="0.35">
      <c r="A631" s="11"/>
    </row>
    <row r="632" spans="1:1" ht="14.25" customHeight="1" x14ac:dyDescent="0.35">
      <c r="A632" s="11"/>
    </row>
    <row r="633" spans="1:1" ht="14.25" customHeight="1" x14ac:dyDescent="0.35">
      <c r="A633" s="11"/>
    </row>
    <row r="634" spans="1:1" ht="14.25" customHeight="1" x14ac:dyDescent="0.35">
      <c r="A634" s="11"/>
    </row>
    <row r="635" spans="1:1" ht="14.25" customHeight="1" x14ac:dyDescent="0.35">
      <c r="A635" s="11"/>
    </row>
    <row r="636" spans="1:1" ht="14.25" customHeight="1" x14ac:dyDescent="0.35">
      <c r="A636" s="11"/>
    </row>
    <row r="637" spans="1:1" ht="14.25" customHeight="1" x14ac:dyDescent="0.35">
      <c r="A637" s="11"/>
    </row>
    <row r="638" spans="1:1" ht="14.25" customHeight="1" x14ac:dyDescent="0.35">
      <c r="A638" s="11"/>
    </row>
    <row r="639" spans="1:1" ht="14.25" customHeight="1" x14ac:dyDescent="0.35">
      <c r="A639" s="11"/>
    </row>
    <row r="640" spans="1:1" ht="14.25" customHeight="1" x14ac:dyDescent="0.35">
      <c r="A640" s="11"/>
    </row>
    <row r="641" spans="1:1" ht="14.25" customHeight="1" x14ac:dyDescent="0.35">
      <c r="A641" s="11"/>
    </row>
    <row r="642" spans="1:1" ht="14.25" customHeight="1" x14ac:dyDescent="0.35">
      <c r="A642" s="11"/>
    </row>
    <row r="643" spans="1:1" ht="14.25" customHeight="1" x14ac:dyDescent="0.35">
      <c r="A643" s="11"/>
    </row>
    <row r="644" spans="1:1" ht="14.25" customHeight="1" x14ac:dyDescent="0.35">
      <c r="A644" s="11"/>
    </row>
    <row r="645" spans="1:1" ht="14.25" customHeight="1" x14ac:dyDescent="0.35">
      <c r="A645" s="11"/>
    </row>
    <row r="646" spans="1:1" ht="14.25" customHeight="1" x14ac:dyDescent="0.35">
      <c r="A646" s="11"/>
    </row>
    <row r="647" spans="1:1" ht="14.25" customHeight="1" x14ac:dyDescent="0.35">
      <c r="A647" s="11"/>
    </row>
    <row r="648" spans="1:1" ht="14.25" customHeight="1" x14ac:dyDescent="0.35">
      <c r="A648" s="11"/>
    </row>
    <row r="649" spans="1:1" ht="14.25" customHeight="1" x14ac:dyDescent="0.35">
      <c r="A649" s="11"/>
    </row>
    <row r="650" spans="1:1" ht="14.25" customHeight="1" x14ac:dyDescent="0.35">
      <c r="A650" s="11"/>
    </row>
    <row r="651" spans="1:1" ht="14.25" customHeight="1" x14ac:dyDescent="0.35">
      <c r="A651" s="11"/>
    </row>
    <row r="652" spans="1:1" ht="14.25" customHeight="1" x14ac:dyDescent="0.35">
      <c r="A652" s="11"/>
    </row>
    <row r="653" spans="1:1" ht="14.25" customHeight="1" x14ac:dyDescent="0.35">
      <c r="A653" s="11"/>
    </row>
    <row r="654" spans="1:1" ht="14.25" customHeight="1" x14ac:dyDescent="0.35">
      <c r="A654" s="11"/>
    </row>
    <row r="655" spans="1:1" ht="14.25" customHeight="1" x14ac:dyDescent="0.35">
      <c r="A655" s="11"/>
    </row>
    <row r="656" spans="1:1" ht="14.25" customHeight="1" x14ac:dyDescent="0.35">
      <c r="A656" s="11"/>
    </row>
    <row r="657" spans="1:1" ht="14.25" customHeight="1" x14ac:dyDescent="0.35">
      <c r="A657" s="11"/>
    </row>
    <row r="658" spans="1:1" ht="14.25" customHeight="1" x14ac:dyDescent="0.35">
      <c r="A658" s="11"/>
    </row>
    <row r="659" spans="1:1" ht="14.25" customHeight="1" x14ac:dyDescent="0.35">
      <c r="A659" s="11"/>
    </row>
    <row r="660" spans="1:1" ht="14.25" customHeight="1" x14ac:dyDescent="0.35">
      <c r="A660" s="11"/>
    </row>
    <row r="661" spans="1:1" ht="14.25" customHeight="1" x14ac:dyDescent="0.35">
      <c r="A661" s="11"/>
    </row>
    <row r="662" spans="1:1" ht="14.25" customHeight="1" x14ac:dyDescent="0.35">
      <c r="A662" s="11"/>
    </row>
    <row r="663" spans="1:1" ht="14.25" customHeight="1" x14ac:dyDescent="0.35">
      <c r="A663" s="11"/>
    </row>
    <row r="664" spans="1:1" ht="14.25" customHeight="1" x14ac:dyDescent="0.35">
      <c r="A664" s="11"/>
    </row>
    <row r="665" spans="1:1" ht="14.25" customHeight="1" x14ac:dyDescent="0.35">
      <c r="A665" s="11"/>
    </row>
    <row r="666" spans="1:1" ht="14.25" customHeight="1" x14ac:dyDescent="0.35">
      <c r="A666" s="11"/>
    </row>
    <row r="667" spans="1:1" ht="14.25" customHeight="1" x14ac:dyDescent="0.35">
      <c r="A667" s="11"/>
    </row>
    <row r="668" spans="1:1" ht="14.25" customHeight="1" x14ac:dyDescent="0.35">
      <c r="A668" s="11"/>
    </row>
    <row r="669" spans="1:1" ht="14.25" customHeight="1" x14ac:dyDescent="0.35">
      <c r="A669" s="11"/>
    </row>
    <row r="670" spans="1:1" ht="14.25" customHeight="1" x14ac:dyDescent="0.35">
      <c r="A670" s="11"/>
    </row>
    <row r="671" spans="1:1" ht="14.25" customHeight="1" x14ac:dyDescent="0.35">
      <c r="A671" s="11"/>
    </row>
    <row r="672" spans="1:1" ht="14.25" customHeight="1" x14ac:dyDescent="0.35">
      <c r="A672" s="11"/>
    </row>
    <row r="673" spans="1:1" ht="14.25" customHeight="1" x14ac:dyDescent="0.35">
      <c r="A673" s="11"/>
    </row>
    <row r="674" spans="1:1" ht="14.25" customHeight="1" x14ac:dyDescent="0.35">
      <c r="A674" s="11"/>
    </row>
    <row r="675" spans="1:1" ht="14.25" customHeight="1" x14ac:dyDescent="0.35">
      <c r="A675" s="11"/>
    </row>
    <row r="676" spans="1:1" ht="14.25" customHeight="1" x14ac:dyDescent="0.35">
      <c r="A676" s="11"/>
    </row>
    <row r="677" spans="1:1" ht="14.25" customHeight="1" x14ac:dyDescent="0.35">
      <c r="A677" s="11"/>
    </row>
    <row r="678" spans="1:1" ht="14.25" customHeight="1" x14ac:dyDescent="0.35">
      <c r="A678" s="11"/>
    </row>
    <row r="679" spans="1:1" ht="14.25" customHeight="1" x14ac:dyDescent="0.35">
      <c r="A679" s="11"/>
    </row>
    <row r="680" spans="1:1" ht="14.25" customHeight="1" x14ac:dyDescent="0.35">
      <c r="A680" s="11"/>
    </row>
    <row r="681" spans="1:1" ht="14.25" customHeight="1" x14ac:dyDescent="0.35">
      <c r="A681" s="11"/>
    </row>
    <row r="682" spans="1:1" ht="14.25" customHeight="1" x14ac:dyDescent="0.35">
      <c r="A682" s="11"/>
    </row>
    <row r="683" spans="1:1" ht="14.25" customHeight="1" x14ac:dyDescent="0.35">
      <c r="A683" s="11"/>
    </row>
    <row r="684" spans="1:1" ht="14.25" customHeight="1" x14ac:dyDescent="0.35">
      <c r="A684" s="11"/>
    </row>
    <row r="685" spans="1:1" ht="14.25" customHeight="1" x14ac:dyDescent="0.35">
      <c r="A685" s="11"/>
    </row>
    <row r="686" spans="1:1" ht="14.25" customHeight="1" x14ac:dyDescent="0.35">
      <c r="A686" s="11"/>
    </row>
    <row r="687" spans="1:1" ht="14.25" customHeight="1" x14ac:dyDescent="0.35">
      <c r="A687" s="11"/>
    </row>
    <row r="688" spans="1:1" ht="14.25" customHeight="1" x14ac:dyDescent="0.35">
      <c r="A688" s="11"/>
    </row>
    <row r="689" spans="1:1" ht="14.25" customHeight="1" x14ac:dyDescent="0.35">
      <c r="A689" s="11"/>
    </row>
    <row r="690" spans="1:1" ht="14.25" customHeight="1" x14ac:dyDescent="0.35">
      <c r="A690" s="11"/>
    </row>
    <row r="691" spans="1:1" ht="14.25" customHeight="1" x14ac:dyDescent="0.35">
      <c r="A691" s="11"/>
    </row>
    <row r="692" spans="1:1" ht="14.25" customHeight="1" x14ac:dyDescent="0.35">
      <c r="A692" s="11"/>
    </row>
    <row r="693" spans="1:1" ht="14.25" customHeight="1" x14ac:dyDescent="0.35">
      <c r="A693" s="11"/>
    </row>
    <row r="694" spans="1:1" ht="14.25" customHeight="1" x14ac:dyDescent="0.35">
      <c r="A694" s="11"/>
    </row>
    <row r="695" spans="1:1" ht="14.25" customHeight="1" x14ac:dyDescent="0.35">
      <c r="A695" s="11"/>
    </row>
    <row r="696" spans="1:1" ht="14.25" customHeight="1" x14ac:dyDescent="0.35">
      <c r="A696" s="11"/>
    </row>
    <row r="697" spans="1:1" ht="14.25" customHeight="1" x14ac:dyDescent="0.35">
      <c r="A697" s="11"/>
    </row>
    <row r="698" spans="1:1" ht="14.25" customHeight="1" x14ac:dyDescent="0.35">
      <c r="A698" s="11"/>
    </row>
    <row r="699" spans="1:1" ht="14.25" customHeight="1" x14ac:dyDescent="0.35">
      <c r="A699" s="11"/>
    </row>
    <row r="700" spans="1:1" ht="14.25" customHeight="1" x14ac:dyDescent="0.35">
      <c r="A700" s="11"/>
    </row>
    <row r="701" spans="1:1" ht="14.25" customHeight="1" x14ac:dyDescent="0.35">
      <c r="A701" s="11"/>
    </row>
    <row r="702" spans="1:1" ht="14.25" customHeight="1" x14ac:dyDescent="0.35">
      <c r="A702" s="11"/>
    </row>
    <row r="703" spans="1:1" ht="14.25" customHeight="1" x14ac:dyDescent="0.35">
      <c r="A703" s="11"/>
    </row>
    <row r="704" spans="1:1" ht="14.25" customHeight="1" x14ac:dyDescent="0.35">
      <c r="A704" s="11"/>
    </row>
    <row r="705" spans="1:1" ht="14.25" customHeight="1" x14ac:dyDescent="0.35">
      <c r="A705" s="11"/>
    </row>
    <row r="706" spans="1:1" ht="14.25" customHeight="1" x14ac:dyDescent="0.35">
      <c r="A706" s="11"/>
    </row>
    <row r="707" spans="1:1" ht="14.25" customHeight="1" x14ac:dyDescent="0.35">
      <c r="A707" s="11"/>
    </row>
    <row r="708" spans="1:1" ht="14.25" customHeight="1" x14ac:dyDescent="0.35">
      <c r="A708" s="11"/>
    </row>
    <row r="709" spans="1:1" ht="14.25" customHeight="1" x14ac:dyDescent="0.35">
      <c r="A709" s="11"/>
    </row>
    <row r="710" spans="1:1" ht="14.25" customHeight="1" x14ac:dyDescent="0.35">
      <c r="A710" s="11"/>
    </row>
    <row r="711" spans="1:1" ht="14.25" customHeight="1" x14ac:dyDescent="0.35">
      <c r="A711" s="11"/>
    </row>
    <row r="712" spans="1:1" ht="14.25" customHeight="1" x14ac:dyDescent="0.35">
      <c r="A712" s="11"/>
    </row>
    <row r="713" spans="1:1" ht="14.25" customHeight="1" x14ac:dyDescent="0.35">
      <c r="A713" s="11"/>
    </row>
    <row r="714" spans="1:1" ht="14.25" customHeight="1" x14ac:dyDescent="0.35">
      <c r="A714" s="11"/>
    </row>
    <row r="715" spans="1:1" ht="14.25" customHeight="1" x14ac:dyDescent="0.35">
      <c r="A715" s="11"/>
    </row>
    <row r="716" spans="1:1" ht="14.25" customHeight="1" x14ac:dyDescent="0.35">
      <c r="A716" s="11"/>
    </row>
    <row r="717" spans="1:1" ht="14.25" customHeight="1" x14ac:dyDescent="0.35">
      <c r="A717" s="11"/>
    </row>
    <row r="718" spans="1:1" ht="14.25" customHeight="1" x14ac:dyDescent="0.35">
      <c r="A718" s="11"/>
    </row>
    <row r="719" spans="1:1" ht="14.25" customHeight="1" x14ac:dyDescent="0.35">
      <c r="A719" s="11"/>
    </row>
    <row r="720" spans="1:1" ht="14.25" customHeight="1" x14ac:dyDescent="0.35">
      <c r="A720" s="11"/>
    </row>
    <row r="721" spans="1:1" ht="14.25" customHeight="1" x14ac:dyDescent="0.35">
      <c r="A721" s="11"/>
    </row>
    <row r="722" spans="1:1" ht="14.25" customHeight="1" x14ac:dyDescent="0.35">
      <c r="A722" s="11"/>
    </row>
    <row r="723" spans="1:1" ht="14.25" customHeight="1" x14ac:dyDescent="0.35">
      <c r="A723" s="11"/>
    </row>
    <row r="724" spans="1:1" ht="14.25" customHeight="1" x14ac:dyDescent="0.35">
      <c r="A724" s="11"/>
    </row>
    <row r="725" spans="1:1" ht="14.25" customHeight="1" x14ac:dyDescent="0.35">
      <c r="A725" s="11"/>
    </row>
    <row r="726" spans="1:1" ht="14.25" customHeight="1" x14ac:dyDescent="0.35">
      <c r="A726" s="11"/>
    </row>
    <row r="727" spans="1:1" ht="14.25" customHeight="1" x14ac:dyDescent="0.35">
      <c r="A727" s="11"/>
    </row>
    <row r="728" spans="1:1" ht="14.25" customHeight="1" x14ac:dyDescent="0.35">
      <c r="A728" s="11"/>
    </row>
    <row r="729" spans="1:1" ht="14.25" customHeight="1" x14ac:dyDescent="0.35">
      <c r="A729" s="11"/>
    </row>
    <row r="730" spans="1:1" ht="14.25" customHeight="1" x14ac:dyDescent="0.35">
      <c r="A730" s="11"/>
    </row>
    <row r="731" spans="1:1" ht="14.25" customHeight="1" x14ac:dyDescent="0.35">
      <c r="A731" s="11"/>
    </row>
    <row r="732" spans="1:1" ht="14.25" customHeight="1" x14ac:dyDescent="0.35">
      <c r="A732" s="11"/>
    </row>
    <row r="733" spans="1:1" ht="14.25" customHeight="1" x14ac:dyDescent="0.35">
      <c r="A733" s="11"/>
    </row>
    <row r="734" spans="1:1" ht="14.25" customHeight="1" x14ac:dyDescent="0.35">
      <c r="A734" s="11"/>
    </row>
    <row r="735" spans="1:1" ht="14.25" customHeight="1" x14ac:dyDescent="0.35">
      <c r="A735" s="11"/>
    </row>
    <row r="736" spans="1:1" ht="14.25" customHeight="1" x14ac:dyDescent="0.35">
      <c r="A736" s="11"/>
    </row>
    <row r="737" spans="1:1" ht="14.25" customHeight="1" x14ac:dyDescent="0.35">
      <c r="A737" s="11"/>
    </row>
    <row r="738" spans="1:1" ht="14.25" customHeight="1" x14ac:dyDescent="0.35">
      <c r="A738" s="11"/>
    </row>
    <row r="739" spans="1:1" ht="14.25" customHeight="1" x14ac:dyDescent="0.35">
      <c r="A739" s="11"/>
    </row>
    <row r="740" spans="1:1" ht="14.25" customHeight="1" x14ac:dyDescent="0.35">
      <c r="A740" s="11"/>
    </row>
    <row r="741" spans="1:1" ht="14.25" customHeight="1" x14ac:dyDescent="0.35">
      <c r="A741" s="11"/>
    </row>
    <row r="742" spans="1:1" ht="14.25" customHeight="1" x14ac:dyDescent="0.35">
      <c r="A742" s="11"/>
    </row>
    <row r="743" spans="1:1" ht="14.25" customHeight="1" x14ac:dyDescent="0.35">
      <c r="A743" s="11"/>
    </row>
    <row r="744" spans="1:1" ht="14.25" customHeight="1" x14ac:dyDescent="0.35">
      <c r="A744" s="11"/>
    </row>
    <row r="745" spans="1:1" ht="14.25" customHeight="1" x14ac:dyDescent="0.35">
      <c r="A745" s="11"/>
    </row>
    <row r="746" spans="1:1" ht="14.25" customHeight="1" x14ac:dyDescent="0.35">
      <c r="A746" s="11"/>
    </row>
    <row r="747" spans="1:1" ht="14.25" customHeight="1" x14ac:dyDescent="0.35">
      <c r="A747" s="11"/>
    </row>
    <row r="748" spans="1:1" ht="14.25" customHeight="1" x14ac:dyDescent="0.35">
      <c r="A748" s="11"/>
    </row>
    <row r="749" spans="1:1" ht="14.25" customHeight="1" x14ac:dyDescent="0.35">
      <c r="A749" s="11"/>
    </row>
    <row r="750" spans="1:1" ht="14.25" customHeight="1" x14ac:dyDescent="0.35">
      <c r="A750" s="11"/>
    </row>
    <row r="751" spans="1:1" ht="14.25" customHeight="1" x14ac:dyDescent="0.35">
      <c r="A751" s="11"/>
    </row>
    <row r="752" spans="1:1" ht="14.25" customHeight="1" x14ac:dyDescent="0.35">
      <c r="A752" s="11"/>
    </row>
    <row r="753" spans="1:1" ht="14.25" customHeight="1" x14ac:dyDescent="0.35">
      <c r="A753" s="11"/>
    </row>
    <row r="754" spans="1:1" ht="14.25" customHeight="1" x14ac:dyDescent="0.35">
      <c r="A754" s="11"/>
    </row>
    <row r="755" spans="1:1" ht="14.25" customHeight="1" x14ac:dyDescent="0.35">
      <c r="A755" s="11"/>
    </row>
    <row r="756" spans="1:1" ht="14.25" customHeight="1" x14ac:dyDescent="0.35">
      <c r="A756" s="11"/>
    </row>
    <row r="757" spans="1:1" ht="14.25" customHeight="1" x14ac:dyDescent="0.35">
      <c r="A757" s="11"/>
    </row>
    <row r="758" spans="1:1" ht="14.25" customHeight="1" x14ac:dyDescent="0.35">
      <c r="A758" s="11"/>
    </row>
    <row r="759" spans="1:1" ht="14.25" customHeight="1" x14ac:dyDescent="0.35">
      <c r="A759" s="11"/>
    </row>
    <row r="760" spans="1:1" ht="14.25" customHeight="1" x14ac:dyDescent="0.35">
      <c r="A760" s="11"/>
    </row>
    <row r="761" spans="1:1" ht="14.25" customHeight="1" x14ac:dyDescent="0.35">
      <c r="A761" s="11"/>
    </row>
    <row r="762" spans="1:1" ht="14.25" customHeight="1" x14ac:dyDescent="0.35">
      <c r="A762" s="11"/>
    </row>
    <row r="763" spans="1:1" ht="14.25" customHeight="1" x14ac:dyDescent="0.35">
      <c r="A763" s="11"/>
    </row>
    <row r="764" spans="1:1" ht="14.25" customHeight="1" x14ac:dyDescent="0.35">
      <c r="A764" s="11"/>
    </row>
    <row r="765" spans="1:1" ht="14.25" customHeight="1" x14ac:dyDescent="0.35">
      <c r="A765" s="11"/>
    </row>
    <row r="766" spans="1:1" ht="14.25" customHeight="1" x14ac:dyDescent="0.35">
      <c r="A766" s="11"/>
    </row>
    <row r="767" spans="1:1" ht="14.25" customHeight="1" x14ac:dyDescent="0.35">
      <c r="A767" s="11"/>
    </row>
    <row r="768" spans="1:1" ht="14.25" customHeight="1" x14ac:dyDescent="0.35">
      <c r="A768" s="11"/>
    </row>
    <row r="769" spans="1:1" ht="14.25" customHeight="1" x14ac:dyDescent="0.35">
      <c r="A769" s="11"/>
    </row>
    <row r="770" spans="1:1" ht="14.25" customHeight="1" x14ac:dyDescent="0.35">
      <c r="A770" s="11"/>
    </row>
    <row r="771" spans="1:1" ht="14.25" customHeight="1" x14ac:dyDescent="0.35">
      <c r="A771" s="11"/>
    </row>
    <row r="772" spans="1:1" ht="14.25" customHeight="1" x14ac:dyDescent="0.35">
      <c r="A772" s="11"/>
    </row>
    <row r="773" spans="1:1" ht="14.25" customHeight="1" x14ac:dyDescent="0.35">
      <c r="A773" s="11"/>
    </row>
    <row r="774" spans="1:1" ht="14.25" customHeight="1" x14ac:dyDescent="0.35">
      <c r="A774" s="11"/>
    </row>
    <row r="775" spans="1:1" ht="14.25" customHeight="1" x14ac:dyDescent="0.35">
      <c r="A775" s="11"/>
    </row>
    <row r="776" spans="1:1" ht="14.25" customHeight="1" x14ac:dyDescent="0.35">
      <c r="A776" s="11"/>
    </row>
    <row r="777" spans="1:1" ht="14.25" customHeight="1" x14ac:dyDescent="0.35">
      <c r="A777" s="11"/>
    </row>
    <row r="778" spans="1:1" ht="14.25" customHeight="1" x14ac:dyDescent="0.35">
      <c r="A778" s="11"/>
    </row>
    <row r="779" spans="1:1" ht="14.25" customHeight="1" x14ac:dyDescent="0.35">
      <c r="A779" s="11"/>
    </row>
    <row r="780" spans="1:1" ht="14.25" customHeight="1" x14ac:dyDescent="0.35">
      <c r="A780" s="11"/>
    </row>
    <row r="781" spans="1:1" ht="14.25" customHeight="1" x14ac:dyDescent="0.35">
      <c r="A781" s="11"/>
    </row>
    <row r="782" spans="1:1" ht="14.25" customHeight="1" x14ac:dyDescent="0.35">
      <c r="A782" s="11"/>
    </row>
    <row r="783" spans="1:1" ht="14.25" customHeight="1" x14ac:dyDescent="0.35">
      <c r="A783" s="11"/>
    </row>
    <row r="784" spans="1:1" ht="14.25" customHeight="1" x14ac:dyDescent="0.35">
      <c r="A784" s="11"/>
    </row>
    <row r="785" spans="1:1" ht="14.25" customHeight="1" x14ac:dyDescent="0.35">
      <c r="A785" s="11"/>
    </row>
    <row r="786" spans="1:1" ht="14.25" customHeight="1" x14ac:dyDescent="0.35">
      <c r="A786" s="11"/>
    </row>
    <row r="787" spans="1:1" ht="14.25" customHeight="1" x14ac:dyDescent="0.35">
      <c r="A787" s="11"/>
    </row>
    <row r="788" spans="1:1" ht="14.25" customHeight="1" x14ac:dyDescent="0.35">
      <c r="A788" s="11"/>
    </row>
    <row r="789" spans="1:1" ht="14.25" customHeight="1" x14ac:dyDescent="0.35">
      <c r="A789" s="11"/>
    </row>
    <row r="790" spans="1:1" ht="14.25" customHeight="1" x14ac:dyDescent="0.35">
      <c r="A790" s="11"/>
    </row>
    <row r="791" spans="1:1" ht="14.25" customHeight="1" x14ac:dyDescent="0.35">
      <c r="A791" s="11"/>
    </row>
    <row r="792" spans="1:1" ht="14.25" customHeight="1" x14ac:dyDescent="0.35">
      <c r="A792" s="11"/>
    </row>
    <row r="793" spans="1:1" ht="14.25" customHeight="1" x14ac:dyDescent="0.35">
      <c r="A793" s="11"/>
    </row>
    <row r="794" spans="1:1" ht="14.25" customHeight="1" x14ac:dyDescent="0.35">
      <c r="A794" s="11"/>
    </row>
    <row r="795" spans="1:1" ht="14.25" customHeight="1" x14ac:dyDescent="0.35">
      <c r="A795" s="11"/>
    </row>
    <row r="796" spans="1:1" ht="14.25" customHeight="1" x14ac:dyDescent="0.35">
      <c r="A796" s="11"/>
    </row>
    <row r="797" spans="1:1" ht="14.25" customHeight="1" x14ac:dyDescent="0.35">
      <c r="A797" s="11"/>
    </row>
    <row r="798" spans="1:1" ht="14.25" customHeight="1" x14ac:dyDescent="0.35">
      <c r="A798" s="11"/>
    </row>
    <row r="799" spans="1:1" ht="14.25" customHeight="1" x14ac:dyDescent="0.35">
      <c r="A799" s="11"/>
    </row>
    <row r="800" spans="1:1" ht="14.25" customHeight="1" x14ac:dyDescent="0.35">
      <c r="A800" s="11"/>
    </row>
    <row r="801" spans="1:1" ht="14.25" customHeight="1" x14ac:dyDescent="0.35">
      <c r="A801" s="11"/>
    </row>
    <row r="802" spans="1:1" ht="14.25" customHeight="1" x14ac:dyDescent="0.35">
      <c r="A802" s="11"/>
    </row>
    <row r="803" spans="1:1" ht="14.25" customHeight="1" x14ac:dyDescent="0.35">
      <c r="A803" s="11"/>
    </row>
    <row r="804" spans="1:1" ht="14.25" customHeight="1" x14ac:dyDescent="0.35">
      <c r="A804" s="11"/>
    </row>
    <row r="805" spans="1:1" ht="14.25" customHeight="1" x14ac:dyDescent="0.35">
      <c r="A805" s="11"/>
    </row>
    <row r="806" spans="1:1" ht="14.25" customHeight="1" x14ac:dyDescent="0.35">
      <c r="A806" s="11"/>
    </row>
    <row r="807" spans="1:1" ht="14.25" customHeight="1" x14ac:dyDescent="0.35">
      <c r="A807" s="11"/>
    </row>
    <row r="808" spans="1:1" ht="14.25" customHeight="1" x14ac:dyDescent="0.35">
      <c r="A808" s="11"/>
    </row>
    <row r="809" spans="1:1" ht="14.25" customHeight="1" x14ac:dyDescent="0.35">
      <c r="A809" s="11"/>
    </row>
    <row r="810" spans="1:1" ht="14.25" customHeight="1" x14ac:dyDescent="0.35">
      <c r="A810" s="11"/>
    </row>
    <row r="811" spans="1:1" ht="14.25" customHeight="1" x14ac:dyDescent="0.35">
      <c r="A811" s="11"/>
    </row>
    <row r="812" spans="1:1" ht="14.25" customHeight="1" x14ac:dyDescent="0.35">
      <c r="A812" s="11"/>
    </row>
    <row r="813" spans="1:1" ht="14.25" customHeight="1" x14ac:dyDescent="0.35">
      <c r="A813" s="11"/>
    </row>
    <row r="814" spans="1:1" ht="14.25" customHeight="1" x14ac:dyDescent="0.35">
      <c r="A814" s="11"/>
    </row>
    <row r="815" spans="1:1" ht="14.25" customHeight="1" x14ac:dyDescent="0.35">
      <c r="A815" s="11"/>
    </row>
    <row r="816" spans="1:1" ht="14.25" customHeight="1" x14ac:dyDescent="0.35">
      <c r="A816" s="11"/>
    </row>
    <row r="817" spans="1:1" ht="14.25" customHeight="1" x14ac:dyDescent="0.35">
      <c r="A817" s="11"/>
    </row>
    <row r="818" spans="1:1" ht="14.25" customHeight="1" x14ac:dyDescent="0.35">
      <c r="A818" s="11"/>
    </row>
    <row r="819" spans="1:1" ht="14.25" customHeight="1" x14ac:dyDescent="0.35">
      <c r="A819" s="11"/>
    </row>
    <row r="820" spans="1:1" ht="14.25" customHeight="1" x14ac:dyDescent="0.35">
      <c r="A820" s="11"/>
    </row>
    <row r="821" spans="1:1" ht="14.25" customHeight="1" x14ac:dyDescent="0.35">
      <c r="A821" s="11"/>
    </row>
    <row r="822" spans="1:1" ht="14.25" customHeight="1" x14ac:dyDescent="0.35">
      <c r="A822" s="11"/>
    </row>
    <row r="823" spans="1:1" ht="14.25" customHeight="1" x14ac:dyDescent="0.35">
      <c r="A823" s="11"/>
    </row>
    <row r="824" spans="1:1" ht="14.25" customHeight="1" x14ac:dyDescent="0.35">
      <c r="A824" s="11"/>
    </row>
    <row r="825" spans="1:1" ht="14.25" customHeight="1" x14ac:dyDescent="0.35">
      <c r="A825" s="11"/>
    </row>
    <row r="826" spans="1:1" ht="14.25" customHeight="1" x14ac:dyDescent="0.35">
      <c r="A826" s="11"/>
    </row>
    <row r="827" spans="1:1" ht="14.25" customHeight="1" x14ac:dyDescent="0.35">
      <c r="A827" s="11"/>
    </row>
    <row r="828" spans="1:1" ht="14.25" customHeight="1" x14ac:dyDescent="0.35">
      <c r="A828" s="11"/>
    </row>
    <row r="829" spans="1:1" ht="14.25" customHeight="1" x14ac:dyDescent="0.35">
      <c r="A829" s="11"/>
    </row>
    <row r="830" spans="1:1" ht="14.25" customHeight="1" x14ac:dyDescent="0.35">
      <c r="A830" s="11"/>
    </row>
    <row r="831" spans="1:1" ht="14.25" customHeight="1" x14ac:dyDescent="0.35">
      <c r="A831" s="11"/>
    </row>
    <row r="832" spans="1:1" ht="14.25" customHeight="1" x14ac:dyDescent="0.35">
      <c r="A832" s="11"/>
    </row>
    <row r="833" spans="1:1" ht="14.25" customHeight="1" x14ac:dyDescent="0.35">
      <c r="A833" s="11"/>
    </row>
    <row r="834" spans="1:1" ht="14.25" customHeight="1" x14ac:dyDescent="0.35">
      <c r="A834" s="11"/>
    </row>
    <row r="835" spans="1:1" ht="14.25" customHeight="1" x14ac:dyDescent="0.35">
      <c r="A835" s="11"/>
    </row>
    <row r="836" spans="1:1" ht="14.25" customHeight="1" x14ac:dyDescent="0.35">
      <c r="A836" s="11"/>
    </row>
    <row r="837" spans="1:1" ht="14.25" customHeight="1" x14ac:dyDescent="0.35">
      <c r="A837" s="11"/>
    </row>
    <row r="838" spans="1:1" ht="14.25" customHeight="1" x14ac:dyDescent="0.35">
      <c r="A838" s="11"/>
    </row>
    <row r="839" spans="1:1" ht="14.25" customHeight="1" x14ac:dyDescent="0.35">
      <c r="A839" s="11"/>
    </row>
    <row r="840" spans="1:1" ht="14.25" customHeight="1" x14ac:dyDescent="0.35">
      <c r="A840" s="11"/>
    </row>
    <row r="841" spans="1:1" ht="14.25" customHeight="1" x14ac:dyDescent="0.35">
      <c r="A841" s="11"/>
    </row>
    <row r="842" spans="1:1" ht="14.25" customHeight="1" x14ac:dyDescent="0.35">
      <c r="A842" s="11"/>
    </row>
    <row r="843" spans="1:1" ht="14.25" customHeight="1" x14ac:dyDescent="0.35">
      <c r="A843" s="11"/>
    </row>
    <row r="844" spans="1:1" ht="14.25" customHeight="1" x14ac:dyDescent="0.35">
      <c r="A844" s="11"/>
    </row>
    <row r="845" spans="1:1" ht="14.25" customHeight="1" x14ac:dyDescent="0.35">
      <c r="A845" s="11"/>
    </row>
    <row r="846" spans="1:1" ht="14.25" customHeight="1" x14ac:dyDescent="0.35">
      <c r="A846" s="11"/>
    </row>
    <row r="847" spans="1:1" ht="14.25" customHeight="1" x14ac:dyDescent="0.35">
      <c r="A847" s="11"/>
    </row>
    <row r="848" spans="1:1" ht="14.25" customHeight="1" x14ac:dyDescent="0.35">
      <c r="A848" s="11"/>
    </row>
    <row r="849" spans="1:1" ht="14.25" customHeight="1" x14ac:dyDescent="0.35">
      <c r="A849" s="11"/>
    </row>
    <row r="850" spans="1:1" ht="14.25" customHeight="1" x14ac:dyDescent="0.35">
      <c r="A850" s="11"/>
    </row>
    <row r="851" spans="1:1" ht="14.25" customHeight="1" x14ac:dyDescent="0.35">
      <c r="A851" s="11"/>
    </row>
    <row r="852" spans="1:1" ht="14.25" customHeight="1" x14ac:dyDescent="0.35">
      <c r="A852" s="11"/>
    </row>
    <row r="853" spans="1:1" ht="14.25" customHeight="1" x14ac:dyDescent="0.35">
      <c r="A853" s="11"/>
    </row>
    <row r="854" spans="1:1" ht="14.25" customHeight="1" x14ac:dyDescent="0.35">
      <c r="A854" s="11"/>
    </row>
    <row r="855" spans="1:1" ht="14.25" customHeight="1" x14ac:dyDescent="0.35">
      <c r="A855" s="11"/>
    </row>
    <row r="856" spans="1:1" ht="14.25" customHeight="1" x14ac:dyDescent="0.35">
      <c r="A856" s="11"/>
    </row>
    <row r="857" spans="1:1" ht="14.25" customHeight="1" x14ac:dyDescent="0.35">
      <c r="A857" s="11"/>
    </row>
    <row r="858" spans="1:1" ht="14.25" customHeight="1" x14ac:dyDescent="0.35">
      <c r="A858" s="11"/>
    </row>
    <row r="859" spans="1:1" ht="14.25" customHeight="1" x14ac:dyDescent="0.35">
      <c r="A859" s="11"/>
    </row>
    <row r="860" spans="1:1" ht="14.25" customHeight="1" x14ac:dyDescent="0.35">
      <c r="A860" s="11"/>
    </row>
    <row r="861" spans="1:1" ht="14.25" customHeight="1" x14ac:dyDescent="0.35">
      <c r="A861" s="11"/>
    </row>
    <row r="862" spans="1:1" ht="14.25" customHeight="1" x14ac:dyDescent="0.35">
      <c r="A862" s="11"/>
    </row>
    <row r="863" spans="1:1" ht="14.25" customHeight="1" x14ac:dyDescent="0.35">
      <c r="A863" s="11"/>
    </row>
    <row r="864" spans="1:1" ht="14.25" customHeight="1" x14ac:dyDescent="0.35">
      <c r="A864" s="11"/>
    </row>
    <row r="865" spans="1:1" ht="14.25" customHeight="1" x14ac:dyDescent="0.35">
      <c r="A865" s="11"/>
    </row>
    <row r="866" spans="1:1" ht="14.25" customHeight="1" x14ac:dyDescent="0.35">
      <c r="A866" s="11"/>
    </row>
    <row r="867" spans="1:1" ht="14.25" customHeight="1" x14ac:dyDescent="0.35">
      <c r="A867" s="11"/>
    </row>
    <row r="868" spans="1:1" ht="14.25" customHeight="1" x14ac:dyDescent="0.35">
      <c r="A868" s="11"/>
    </row>
    <row r="869" spans="1:1" ht="14.25" customHeight="1" x14ac:dyDescent="0.35">
      <c r="A869" s="11"/>
    </row>
    <row r="870" spans="1:1" ht="14.25" customHeight="1" x14ac:dyDescent="0.35">
      <c r="A870" s="11"/>
    </row>
    <row r="871" spans="1:1" ht="14.25" customHeight="1" x14ac:dyDescent="0.35">
      <c r="A871" s="11"/>
    </row>
    <row r="872" spans="1:1" ht="14.25" customHeight="1" x14ac:dyDescent="0.35">
      <c r="A872" s="11"/>
    </row>
    <row r="873" spans="1:1" ht="14.25" customHeight="1" x14ac:dyDescent="0.35">
      <c r="A873" s="11"/>
    </row>
    <row r="874" spans="1:1" ht="14.25" customHeight="1" x14ac:dyDescent="0.35">
      <c r="A874" s="11"/>
    </row>
    <row r="875" spans="1:1" ht="14.25" customHeight="1" x14ac:dyDescent="0.35">
      <c r="A875" s="11"/>
    </row>
    <row r="876" spans="1:1" ht="14.25" customHeight="1" x14ac:dyDescent="0.35">
      <c r="A876" s="11"/>
    </row>
    <row r="877" spans="1:1" ht="14.25" customHeight="1" x14ac:dyDescent="0.35">
      <c r="A877" s="11"/>
    </row>
    <row r="878" spans="1:1" ht="14.25" customHeight="1" x14ac:dyDescent="0.35">
      <c r="A878" s="11"/>
    </row>
    <row r="879" spans="1:1" ht="14.25" customHeight="1" x14ac:dyDescent="0.35">
      <c r="A879" s="11"/>
    </row>
    <row r="880" spans="1:1" ht="14.25" customHeight="1" x14ac:dyDescent="0.35">
      <c r="A880" s="11"/>
    </row>
    <row r="881" spans="1:1" ht="14.25" customHeight="1" x14ac:dyDescent="0.35">
      <c r="A881" s="11"/>
    </row>
    <row r="882" spans="1:1" ht="14.25" customHeight="1" x14ac:dyDescent="0.35">
      <c r="A882" s="11"/>
    </row>
    <row r="883" spans="1:1" ht="14.25" customHeight="1" x14ac:dyDescent="0.35">
      <c r="A883" s="11"/>
    </row>
    <row r="884" spans="1:1" ht="14.25" customHeight="1" x14ac:dyDescent="0.35">
      <c r="A884" s="11"/>
    </row>
    <row r="885" spans="1:1" ht="14.25" customHeight="1" x14ac:dyDescent="0.35">
      <c r="A885" s="11"/>
    </row>
    <row r="886" spans="1:1" ht="14.25" customHeight="1" x14ac:dyDescent="0.35">
      <c r="A886" s="11"/>
    </row>
    <row r="887" spans="1:1" ht="14.25" customHeight="1" x14ac:dyDescent="0.35">
      <c r="A887" s="11"/>
    </row>
    <row r="888" spans="1:1" ht="14.25" customHeight="1" x14ac:dyDescent="0.35">
      <c r="A888" s="11"/>
    </row>
    <row r="889" spans="1:1" ht="14.25" customHeight="1" x14ac:dyDescent="0.35">
      <c r="A889" s="11"/>
    </row>
    <row r="890" spans="1:1" ht="14.25" customHeight="1" x14ac:dyDescent="0.35">
      <c r="A890" s="11"/>
    </row>
    <row r="891" spans="1:1" ht="14.25" customHeight="1" x14ac:dyDescent="0.35">
      <c r="A891" s="11"/>
    </row>
    <row r="892" spans="1:1" ht="14.25" customHeight="1" x14ac:dyDescent="0.35">
      <c r="A892" s="11"/>
    </row>
    <row r="893" spans="1:1" ht="14.25" customHeight="1" x14ac:dyDescent="0.35">
      <c r="A893" s="11"/>
    </row>
    <row r="894" spans="1:1" ht="14.25" customHeight="1" x14ac:dyDescent="0.35">
      <c r="A894" s="11"/>
    </row>
    <row r="895" spans="1:1" ht="14.25" customHeight="1" x14ac:dyDescent="0.35">
      <c r="A895" s="11"/>
    </row>
    <row r="896" spans="1:1" ht="14.25" customHeight="1" x14ac:dyDescent="0.35">
      <c r="A896" s="11"/>
    </row>
    <row r="897" spans="1:1" ht="14.25" customHeight="1" x14ac:dyDescent="0.35">
      <c r="A897" s="11"/>
    </row>
    <row r="898" spans="1:1" ht="14.25" customHeight="1" x14ac:dyDescent="0.35">
      <c r="A898" s="11"/>
    </row>
    <row r="899" spans="1:1" ht="14.25" customHeight="1" x14ac:dyDescent="0.35">
      <c r="A899" s="11"/>
    </row>
    <row r="900" spans="1:1" ht="14.25" customHeight="1" x14ac:dyDescent="0.35">
      <c r="A900" s="11"/>
    </row>
    <row r="901" spans="1:1" ht="14.25" customHeight="1" x14ac:dyDescent="0.35">
      <c r="A901" s="11"/>
    </row>
    <row r="902" spans="1:1" ht="14.25" customHeight="1" x14ac:dyDescent="0.35">
      <c r="A902" s="11"/>
    </row>
    <row r="903" spans="1:1" ht="14.25" customHeight="1" x14ac:dyDescent="0.35">
      <c r="A903" s="11"/>
    </row>
    <row r="904" spans="1:1" ht="14.25" customHeight="1" x14ac:dyDescent="0.35">
      <c r="A904" s="11"/>
    </row>
    <row r="905" spans="1:1" ht="14.25" customHeight="1" x14ac:dyDescent="0.35">
      <c r="A905" s="11"/>
    </row>
    <row r="906" spans="1:1" ht="14.25" customHeight="1" x14ac:dyDescent="0.35">
      <c r="A906" s="11"/>
    </row>
    <row r="907" spans="1:1" ht="14.25" customHeight="1" x14ac:dyDescent="0.35">
      <c r="A907" s="11"/>
    </row>
    <row r="908" spans="1:1" ht="14.25" customHeight="1" x14ac:dyDescent="0.35">
      <c r="A908" s="11"/>
    </row>
    <row r="909" spans="1:1" ht="14.25" customHeight="1" x14ac:dyDescent="0.35">
      <c r="A909" s="11"/>
    </row>
    <row r="910" spans="1:1" ht="14.25" customHeight="1" x14ac:dyDescent="0.35">
      <c r="A910" s="11"/>
    </row>
    <row r="911" spans="1:1" ht="14.25" customHeight="1" x14ac:dyDescent="0.35">
      <c r="A911" s="11"/>
    </row>
    <row r="912" spans="1:1" ht="14.25" customHeight="1" x14ac:dyDescent="0.35">
      <c r="A912" s="11"/>
    </row>
    <row r="913" spans="1:1" ht="14.25" customHeight="1" x14ac:dyDescent="0.35">
      <c r="A913" s="11"/>
    </row>
    <row r="914" spans="1:1" ht="14.25" customHeight="1" x14ac:dyDescent="0.35">
      <c r="A914" s="11"/>
    </row>
    <row r="915" spans="1:1" ht="14.25" customHeight="1" x14ac:dyDescent="0.35">
      <c r="A915" s="11"/>
    </row>
    <row r="916" spans="1:1" ht="14.25" customHeight="1" x14ac:dyDescent="0.35">
      <c r="A916" s="11"/>
    </row>
    <row r="917" spans="1:1" ht="14.25" customHeight="1" x14ac:dyDescent="0.35">
      <c r="A917" s="11"/>
    </row>
    <row r="918" spans="1:1" ht="14.25" customHeight="1" x14ac:dyDescent="0.35">
      <c r="A918" s="11"/>
    </row>
    <row r="919" spans="1:1" ht="14.25" customHeight="1" x14ac:dyDescent="0.35">
      <c r="A919" s="11"/>
    </row>
    <row r="920" spans="1:1" ht="14.25" customHeight="1" x14ac:dyDescent="0.35">
      <c r="A920" s="11"/>
    </row>
    <row r="921" spans="1:1" ht="14.25" customHeight="1" x14ac:dyDescent="0.35">
      <c r="A921" s="11"/>
    </row>
    <row r="922" spans="1:1" ht="14.25" customHeight="1" x14ac:dyDescent="0.35">
      <c r="A922" s="11"/>
    </row>
    <row r="923" spans="1:1" ht="14.25" customHeight="1" x14ac:dyDescent="0.35">
      <c r="A923" s="11"/>
    </row>
    <row r="924" spans="1:1" ht="14.25" customHeight="1" x14ac:dyDescent="0.35">
      <c r="A924" s="11"/>
    </row>
    <row r="925" spans="1:1" ht="14.25" customHeight="1" x14ac:dyDescent="0.35">
      <c r="A925" s="11"/>
    </row>
    <row r="926" spans="1:1" ht="14.25" customHeight="1" x14ac:dyDescent="0.35">
      <c r="A926" s="11"/>
    </row>
    <row r="927" spans="1:1" ht="14.25" customHeight="1" x14ac:dyDescent="0.35">
      <c r="A927" s="11"/>
    </row>
    <row r="928" spans="1:1" ht="14.25" customHeight="1" x14ac:dyDescent="0.35">
      <c r="A928" s="11"/>
    </row>
    <row r="929" spans="1:1" ht="14.25" customHeight="1" x14ac:dyDescent="0.35">
      <c r="A929" s="11"/>
    </row>
    <row r="930" spans="1:1" ht="14.25" customHeight="1" x14ac:dyDescent="0.35">
      <c r="A930" s="11"/>
    </row>
    <row r="931" spans="1:1" ht="14.25" customHeight="1" x14ac:dyDescent="0.35">
      <c r="A931" s="11"/>
    </row>
    <row r="932" spans="1:1" ht="14.25" customHeight="1" x14ac:dyDescent="0.35">
      <c r="A932" s="11"/>
    </row>
    <row r="933" spans="1:1" ht="14.25" customHeight="1" x14ac:dyDescent="0.35">
      <c r="A933" s="11"/>
    </row>
    <row r="934" spans="1:1" ht="14.25" customHeight="1" x14ac:dyDescent="0.35">
      <c r="A934" s="11"/>
    </row>
    <row r="935" spans="1:1" ht="14.25" customHeight="1" x14ac:dyDescent="0.35">
      <c r="A935" s="11"/>
    </row>
    <row r="936" spans="1:1" ht="14.25" customHeight="1" x14ac:dyDescent="0.35">
      <c r="A936" s="11"/>
    </row>
    <row r="937" spans="1:1" ht="14.25" customHeight="1" x14ac:dyDescent="0.35">
      <c r="A937" s="11"/>
    </row>
    <row r="938" spans="1:1" ht="14.25" customHeight="1" x14ac:dyDescent="0.35">
      <c r="A938" s="11"/>
    </row>
    <row r="939" spans="1:1" ht="14.25" customHeight="1" x14ac:dyDescent="0.35">
      <c r="A939" s="11"/>
    </row>
    <row r="940" spans="1:1" ht="14.25" customHeight="1" x14ac:dyDescent="0.35">
      <c r="A940" s="11"/>
    </row>
    <row r="941" spans="1:1" ht="14.25" customHeight="1" x14ac:dyDescent="0.35">
      <c r="A941" s="11"/>
    </row>
    <row r="942" spans="1:1" ht="14.25" customHeight="1" x14ac:dyDescent="0.35">
      <c r="A942" s="11"/>
    </row>
    <row r="943" spans="1:1" ht="14.25" customHeight="1" x14ac:dyDescent="0.35">
      <c r="A943" s="11"/>
    </row>
    <row r="944" spans="1:1" ht="14.25" customHeight="1" x14ac:dyDescent="0.35">
      <c r="A944" s="11"/>
    </row>
    <row r="945" spans="1:1" ht="14.25" customHeight="1" x14ac:dyDescent="0.35">
      <c r="A945" s="11"/>
    </row>
    <row r="946" spans="1:1" ht="14.25" customHeight="1" x14ac:dyDescent="0.35">
      <c r="A946" s="11"/>
    </row>
    <row r="947" spans="1:1" ht="14.25" customHeight="1" x14ac:dyDescent="0.35">
      <c r="A947" s="11"/>
    </row>
    <row r="948" spans="1:1" ht="14.25" customHeight="1" x14ac:dyDescent="0.35">
      <c r="A948" s="11"/>
    </row>
    <row r="949" spans="1:1" ht="14.25" customHeight="1" x14ac:dyDescent="0.35">
      <c r="A949" s="11"/>
    </row>
    <row r="950" spans="1:1" ht="14.25" customHeight="1" x14ac:dyDescent="0.35">
      <c r="A950" s="11"/>
    </row>
    <row r="951" spans="1:1" ht="14.25" customHeight="1" x14ac:dyDescent="0.35">
      <c r="A951" s="11"/>
    </row>
    <row r="952" spans="1:1" ht="14.25" customHeight="1" x14ac:dyDescent="0.35">
      <c r="A952" s="11"/>
    </row>
    <row r="953" spans="1:1" ht="14.25" customHeight="1" x14ac:dyDescent="0.35">
      <c r="A953" s="11"/>
    </row>
    <row r="954" spans="1:1" ht="14.25" customHeight="1" x14ac:dyDescent="0.35">
      <c r="A954" s="11"/>
    </row>
    <row r="955" spans="1:1" ht="14.25" customHeight="1" x14ac:dyDescent="0.35">
      <c r="A955" s="11"/>
    </row>
    <row r="956" spans="1:1" ht="14.25" customHeight="1" x14ac:dyDescent="0.35">
      <c r="A956" s="11"/>
    </row>
    <row r="957" spans="1:1" ht="14.25" customHeight="1" x14ac:dyDescent="0.35">
      <c r="A957" s="11"/>
    </row>
    <row r="958" spans="1:1" ht="14.25" customHeight="1" x14ac:dyDescent="0.35">
      <c r="A958" s="11"/>
    </row>
    <row r="959" spans="1:1" ht="14.25" customHeight="1" x14ac:dyDescent="0.35">
      <c r="A959" s="11"/>
    </row>
    <row r="960" spans="1:1" ht="14.25" customHeight="1" x14ac:dyDescent="0.35">
      <c r="A960" s="11"/>
    </row>
    <row r="961" spans="1:1" ht="14.25" customHeight="1" x14ac:dyDescent="0.35">
      <c r="A961" s="11"/>
    </row>
    <row r="962" spans="1:1" ht="14.25" customHeight="1" x14ac:dyDescent="0.35">
      <c r="A962" s="11"/>
    </row>
    <row r="963" spans="1:1" ht="14.25" customHeight="1" x14ac:dyDescent="0.35">
      <c r="A963" s="11"/>
    </row>
    <row r="964" spans="1:1" ht="14.25" customHeight="1" x14ac:dyDescent="0.35">
      <c r="A964" s="11"/>
    </row>
    <row r="965" spans="1:1" ht="14.25" customHeight="1" x14ac:dyDescent="0.35">
      <c r="A965" s="11"/>
    </row>
    <row r="966" spans="1:1" ht="14.25" customHeight="1" x14ac:dyDescent="0.35">
      <c r="A966" s="11"/>
    </row>
    <row r="967" spans="1:1" ht="14.25" customHeight="1" x14ac:dyDescent="0.35">
      <c r="A967" s="11"/>
    </row>
    <row r="968" spans="1:1" ht="14.25" customHeight="1" x14ac:dyDescent="0.35">
      <c r="A968" s="11"/>
    </row>
    <row r="969" spans="1:1" ht="14.25" customHeight="1" x14ac:dyDescent="0.35">
      <c r="A969" s="11"/>
    </row>
    <row r="970" spans="1:1" ht="14.25" customHeight="1" x14ac:dyDescent="0.35">
      <c r="A970" s="11"/>
    </row>
    <row r="971" spans="1:1" ht="14.25" customHeight="1" x14ac:dyDescent="0.35">
      <c r="A971" s="11"/>
    </row>
    <row r="972" spans="1:1" ht="14.25" customHeight="1" x14ac:dyDescent="0.35">
      <c r="A972" s="11"/>
    </row>
    <row r="973" spans="1:1" ht="14.25" customHeight="1" x14ac:dyDescent="0.35">
      <c r="A973" s="11"/>
    </row>
    <row r="974" spans="1:1" ht="14.25" customHeight="1" x14ac:dyDescent="0.35">
      <c r="A974" s="11"/>
    </row>
    <row r="975" spans="1:1" ht="14.25" customHeight="1" x14ac:dyDescent="0.35">
      <c r="A975" s="11"/>
    </row>
    <row r="976" spans="1:1" ht="14.25" customHeight="1" x14ac:dyDescent="0.35">
      <c r="A976" s="11"/>
    </row>
    <row r="977" spans="1:1" ht="14.25" customHeight="1" x14ac:dyDescent="0.35">
      <c r="A977" s="11"/>
    </row>
    <row r="978" spans="1:1" ht="14.25" customHeight="1" x14ac:dyDescent="0.35">
      <c r="A978" s="11"/>
    </row>
    <row r="979" spans="1:1" ht="14.25" customHeight="1" x14ac:dyDescent="0.35">
      <c r="A979" s="11"/>
    </row>
    <row r="980" spans="1:1" ht="14.25" customHeight="1" x14ac:dyDescent="0.35">
      <c r="A980" s="11"/>
    </row>
    <row r="981" spans="1:1" ht="14.25" customHeight="1" x14ac:dyDescent="0.35">
      <c r="A981" s="11"/>
    </row>
    <row r="982" spans="1:1" ht="14.25" customHeight="1" x14ac:dyDescent="0.35">
      <c r="A982" s="11"/>
    </row>
    <row r="983" spans="1:1" ht="14.25" customHeight="1" x14ac:dyDescent="0.35">
      <c r="A983" s="11"/>
    </row>
    <row r="984" spans="1:1" ht="14.25" customHeight="1" x14ac:dyDescent="0.35">
      <c r="A984" s="11"/>
    </row>
    <row r="985" spans="1:1" ht="14.25" customHeight="1" x14ac:dyDescent="0.35">
      <c r="A985" s="11"/>
    </row>
    <row r="986" spans="1:1" ht="14.25" customHeight="1" x14ac:dyDescent="0.35">
      <c r="A986" s="11"/>
    </row>
    <row r="987" spans="1:1" ht="14.25" customHeight="1" x14ac:dyDescent="0.35">
      <c r="A987" s="11"/>
    </row>
    <row r="988" spans="1:1" ht="14.25" customHeight="1" x14ac:dyDescent="0.35">
      <c r="A988" s="11"/>
    </row>
    <row r="989" spans="1:1" ht="14.25" customHeight="1" x14ac:dyDescent="0.35">
      <c r="A989" s="11"/>
    </row>
    <row r="990" spans="1:1" ht="14.25" customHeight="1" x14ac:dyDescent="0.35">
      <c r="A990" s="11"/>
    </row>
    <row r="991" spans="1:1" ht="14.25" customHeight="1" x14ac:dyDescent="0.35">
      <c r="A991" s="11"/>
    </row>
    <row r="992" spans="1:1" ht="14.25" customHeight="1" x14ac:dyDescent="0.35">
      <c r="A992" s="11"/>
    </row>
    <row r="993" spans="1:1" ht="14.25" customHeight="1" x14ac:dyDescent="0.35">
      <c r="A993" s="11"/>
    </row>
    <row r="994" spans="1:1" ht="14.25" customHeight="1" x14ac:dyDescent="0.35">
      <c r="A994" s="11"/>
    </row>
    <row r="995" spans="1:1" ht="14.25" customHeight="1" x14ac:dyDescent="0.35">
      <c r="A995" s="11"/>
    </row>
    <row r="996" spans="1:1" ht="14.25" customHeight="1" x14ac:dyDescent="0.35">
      <c r="A996" s="11"/>
    </row>
    <row r="997" spans="1:1" ht="14.25" customHeight="1" x14ac:dyDescent="0.35">
      <c r="A997" s="11"/>
    </row>
    <row r="998" spans="1:1" ht="14.25" customHeight="1" x14ac:dyDescent="0.35">
      <c r="A998" s="11"/>
    </row>
    <row r="999" spans="1:1" ht="14.25" customHeight="1" x14ac:dyDescent="0.35">
      <c r="A999" s="11"/>
    </row>
    <row r="1000" spans="1:1" ht="14.25" customHeight="1" x14ac:dyDescent="0.35">
      <c r="A1000" s="11"/>
    </row>
    <row r="1001" spans="1:1" ht="14.25" customHeight="1" x14ac:dyDescent="0.35">
      <c r="A1001" s="11"/>
    </row>
  </sheetData>
  <mergeCells count="5">
    <mergeCell ref="A2:C2"/>
    <mergeCell ref="A6:C6"/>
    <mergeCell ref="A13:C13"/>
    <mergeCell ref="A15:C15"/>
    <mergeCell ref="A17:B17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74"/>
  <sheetViews>
    <sheetView zoomScale="85" zoomScaleNormal="85" workbookViewId="0"/>
  </sheetViews>
  <sheetFormatPr defaultColWidth="14.453125" defaultRowHeight="15" customHeight="1" x14ac:dyDescent="0.35"/>
  <cols>
    <col min="1" max="1" width="55.7265625" style="154" customWidth="1"/>
    <col min="2" max="2" width="31.26953125" style="154" customWidth="1"/>
    <col min="3" max="3" width="23.7265625" style="154" customWidth="1"/>
    <col min="4" max="4" width="20.1796875" style="154" customWidth="1"/>
    <col min="5" max="5" width="17.7265625" style="154" customWidth="1"/>
    <col min="6" max="6" width="18.453125" style="154" customWidth="1"/>
    <col min="7" max="16384" width="14.453125" style="154"/>
  </cols>
  <sheetData>
    <row r="1" spans="1:26" ht="15" customHeight="1" x14ac:dyDescent="0.35">
      <c r="A1" s="47" t="s">
        <v>141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" customHeight="1" x14ac:dyDescent="0.35">
      <c r="A2" s="48" t="s">
        <v>143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" customHeight="1" x14ac:dyDescent="0.35">
      <c r="A3" s="49" t="s">
        <v>142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5" customHeight="1" thickBot="1" x14ac:dyDescent="0.4">
      <c r="A4" s="4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29" x14ac:dyDescent="0.35">
      <c r="A5" s="50" t="s">
        <v>132</v>
      </c>
      <c r="B5" s="52" t="s">
        <v>129</v>
      </c>
      <c r="C5" s="51" t="s">
        <v>130</v>
      </c>
      <c r="D5" s="51" t="s">
        <v>333</v>
      </c>
      <c r="E5" s="52" t="s">
        <v>139</v>
      </c>
      <c r="F5" s="53" t="s">
        <v>138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5" customHeight="1" thickBot="1" x14ac:dyDescent="0.4">
      <c r="A6" s="54" t="s">
        <v>131</v>
      </c>
      <c r="B6" s="55">
        <f>37752210283-1549593642</f>
        <v>36202616641</v>
      </c>
      <c r="C6" s="155">
        <f>B6/'Standard bus O&amp;M'!$B$11</f>
        <v>564325611.68786633</v>
      </c>
      <c r="D6" s="155">
        <f>C6*Variables!$C$9</f>
        <v>603828404.50601697</v>
      </c>
      <c r="E6" s="156">
        <f>D6/$B$10</f>
        <v>178647.4569544429</v>
      </c>
      <c r="F6" s="157">
        <f>E6/B12</f>
        <v>684473.01515112224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5" customHeight="1" x14ac:dyDescent="0.35">
      <c r="A7" s="44"/>
      <c r="B7" s="45"/>
      <c r="C7" s="158"/>
      <c r="D7" s="158"/>
      <c r="E7" s="159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5" customHeight="1" x14ac:dyDescent="0.35">
      <c r="A8" s="44"/>
      <c r="B8" s="45"/>
      <c r="C8" s="158"/>
      <c r="D8" s="158"/>
      <c r="E8" s="159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5" customHeight="1" x14ac:dyDescent="0.35">
      <c r="A9" s="160" t="s">
        <v>137</v>
      </c>
      <c r="B9" s="160" t="s">
        <v>136</v>
      </c>
      <c r="C9" s="160" t="s">
        <v>134</v>
      </c>
      <c r="D9" s="161"/>
      <c r="E9" s="160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5" customHeight="1" x14ac:dyDescent="0.35">
      <c r="A10" s="160" t="s">
        <v>133</v>
      </c>
      <c r="B10" s="162">
        <v>3380</v>
      </c>
      <c r="C10" s="163" t="s">
        <v>135</v>
      </c>
      <c r="D10" s="161"/>
      <c r="E10" s="160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5" customHeight="1" x14ac:dyDescent="0.35">
      <c r="A11" s="161" t="s">
        <v>334</v>
      </c>
      <c r="B11" s="164">
        <v>64.152000000000001</v>
      </c>
      <c r="C11" s="163" t="s">
        <v>26</v>
      </c>
      <c r="D11" s="161"/>
      <c r="E11" s="165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4.25" customHeight="1" x14ac:dyDescent="0.35">
      <c r="A12" s="161" t="s">
        <v>24</v>
      </c>
      <c r="B12" s="166">
        <v>0.26100000000000001</v>
      </c>
      <c r="C12" s="161" t="s">
        <v>25</v>
      </c>
      <c r="D12" s="161"/>
      <c r="E12" s="165"/>
    </row>
    <row r="13" spans="1:26" ht="15.75" customHeight="1" x14ac:dyDescent="0.3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5.75" customHeight="1" x14ac:dyDescent="0.3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5.75" customHeight="1" x14ac:dyDescent="0.3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5.75" customHeight="1" x14ac:dyDescent="0.3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5.75" customHeight="1" x14ac:dyDescent="0.3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5.75" customHeight="1" x14ac:dyDescent="0.3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5.75" customHeight="1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3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3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3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3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3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 x14ac:dyDescent="0.3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 x14ac:dyDescent="0.3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 x14ac:dyDescent="0.3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 x14ac:dyDescent="0.3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 x14ac:dyDescent="0.3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.75" customHeight="1" x14ac:dyDescent="0.3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.75" customHeight="1" x14ac:dyDescent="0.3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.75" customHeight="1" x14ac:dyDescent="0.3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.75" customHeight="1" x14ac:dyDescent="0.3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 x14ac:dyDescent="0.3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.75" customHeight="1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.75" customHeight="1" x14ac:dyDescent="0.3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.75" customHeight="1" x14ac:dyDescent="0.3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.75" customHeight="1" x14ac:dyDescent="0.3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.75" customHeight="1" x14ac:dyDescent="0.3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.75" customHeight="1" x14ac:dyDescent="0.3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 x14ac:dyDescent="0.3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 x14ac:dyDescent="0.3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.75" customHeight="1" x14ac:dyDescent="0.3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.75" customHeight="1" x14ac:dyDescent="0.3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.75" customHeight="1" x14ac:dyDescent="0.3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.75" customHeight="1" x14ac:dyDescent="0.3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.75" customHeight="1" x14ac:dyDescent="0.3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.75" customHeight="1" x14ac:dyDescent="0.3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.75" customHeight="1" x14ac:dyDescent="0.3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.75" customHeight="1" x14ac:dyDescent="0.3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5.75" customHeight="1" x14ac:dyDescent="0.3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5.75" customHeight="1" x14ac:dyDescent="0.3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5.75" customHeight="1" x14ac:dyDescent="0.3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5.75" customHeight="1" x14ac:dyDescent="0.3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.75" customHeight="1" x14ac:dyDescent="0.3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.75" customHeight="1" x14ac:dyDescent="0.3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.75" customHeight="1" x14ac:dyDescent="0.3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.75" customHeight="1" x14ac:dyDescent="0.3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.75" customHeight="1" x14ac:dyDescent="0.3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.75" customHeight="1" x14ac:dyDescent="0.3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.75" customHeight="1" x14ac:dyDescent="0.3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.75" customHeight="1" x14ac:dyDescent="0.3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.75" customHeight="1" x14ac:dyDescent="0.3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.75" customHeight="1" x14ac:dyDescent="0.3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 x14ac:dyDescent="0.3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.75" customHeight="1" x14ac:dyDescent="0.3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.75" customHeight="1" x14ac:dyDescent="0.3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.75" customHeight="1" x14ac:dyDescent="0.3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.75" customHeight="1" x14ac:dyDescent="0.3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.75" customHeight="1" x14ac:dyDescent="0.3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 x14ac:dyDescent="0.3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.75" customHeight="1" x14ac:dyDescent="0.3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.75" customHeight="1" x14ac:dyDescent="0.3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.75" customHeight="1" x14ac:dyDescent="0.3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.75" customHeight="1" x14ac:dyDescent="0.3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.75" customHeight="1" x14ac:dyDescent="0.3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.75" customHeight="1" x14ac:dyDescent="0.3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.75" customHeight="1" x14ac:dyDescent="0.3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.75" customHeight="1" x14ac:dyDescent="0.3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.75" customHeight="1" x14ac:dyDescent="0.3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.75" customHeight="1" x14ac:dyDescent="0.3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.75" customHeight="1" x14ac:dyDescent="0.3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.75" customHeight="1" x14ac:dyDescent="0.3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.75" customHeight="1" x14ac:dyDescent="0.3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.75" customHeight="1" x14ac:dyDescent="0.3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.75" customHeight="1" x14ac:dyDescent="0.3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.75" customHeight="1" x14ac:dyDescent="0.3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.75" customHeight="1" x14ac:dyDescent="0.3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.75" customHeight="1" x14ac:dyDescent="0.3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.75" customHeight="1" x14ac:dyDescent="0.3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 x14ac:dyDescent="0.3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 x14ac:dyDescent="0.3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.75" customHeight="1" x14ac:dyDescent="0.3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.75" customHeight="1" x14ac:dyDescent="0.3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.75" customHeight="1" x14ac:dyDescent="0.3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 x14ac:dyDescent="0.3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 x14ac:dyDescent="0.3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.75" customHeight="1" x14ac:dyDescent="0.3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.75" customHeight="1" x14ac:dyDescent="0.3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.75" customHeight="1" x14ac:dyDescent="0.3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5.75" customHeight="1" x14ac:dyDescent="0.3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5.75" customHeight="1" x14ac:dyDescent="0.3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5.75" customHeight="1" x14ac:dyDescent="0.3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5.75" customHeight="1" x14ac:dyDescent="0.3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5.75" customHeight="1" x14ac:dyDescent="0.3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5.75" customHeight="1" x14ac:dyDescent="0.3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5.75" customHeight="1" x14ac:dyDescent="0.3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5.75" customHeight="1" x14ac:dyDescent="0.3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5.75" customHeight="1" x14ac:dyDescent="0.3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5.75" customHeight="1" x14ac:dyDescent="0.3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5.75" customHeight="1" x14ac:dyDescent="0.3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5.75" customHeight="1" x14ac:dyDescent="0.3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5.75" customHeight="1" x14ac:dyDescent="0.3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5.75" customHeight="1" x14ac:dyDescent="0.3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5.75" customHeight="1" x14ac:dyDescent="0.3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5.75" customHeight="1" x14ac:dyDescent="0.3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5.75" customHeight="1" x14ac:dyDescent="0.3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5.75" customHeight="1" x14ac:dyDescent="0.3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5.75" customHeight="1" x14ac:dyDescent="0.3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5.75" customHeight="1" x14ac:dyDescent="0.3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5.75" customHeight="1" x14ac:dyDescent="0.3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5.75" customHeight="1" x14ac:dyDescent="0.3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5.75" customHeight="1" x14ac:dyDescent="0.3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 customHeight="1" x14ac:dyDescent="0.3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 customHeight="1" x14ac:dyDescent="0.3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 customHeight="1" x14ac:dyDescent="0.3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 customHeight="1" x14ac:dyDescent="0.3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 customHeight="1" x14ac:dyDescent="0.3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 customHeight="1" x14ac:dyDescent="0.3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 customHeight="1" x14ac:dyDescent="0.3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 customHeight="1" x14ac:dyDescent="0.3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 customHeight="1" x14ac:dyDescent="0.3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 x14ac:dyDescent="0.3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 x14ac:dyDescent="0.3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 x14ac:dyDescent="0.3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 x14ac:dyDescent="0.3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 x14ac:dyDescent="0.3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 customHeight="1" x14ac:dyDescent="0.3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 customHeight="1" x14ac:dyDescent="0.3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 customHeight="1" x14ac:dyDescent="0.3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 customHeight="1" x14ac:dyDescent="0.3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5.75" customHeight="1" x14ac:dyDescent="0.3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 customHeight="1" x14ac:dyDescent="0.3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5.75" customHeight="1" x14ac:dyDescent="0.3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5.75" customHeight="1" x14ac:dyDescent="0.3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5.75" customHeight="1" x14ac:dyDescent="0.3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5.75" customHeight="1" x14ac:dyDescent="0.3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5.75" customHeight="1" x14ac:dyDescent="0.3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5.75" customHeight="1" x14ac:dyDescent="0.3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5.75" customHeight="1" x14ac:dyDescent="0.3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5.75" customHeight="1" x14ac:dyDescent="0.3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5.75" customHeight="1" x14ac:dyDescent="0.3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5.75" customHeight="1" x14ac:dyDescent="0.3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5.75" customHeight="1" x14ac:dyDescent="0.3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5.75" customHeight="1" x14ac:dyDescent="0.3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5.75" customHeight="1" x14ac:dyDescent="0.3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5.75" customHeight="1" x14ac:dyDescent="0.3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5.75" customHeight="1" x14ac:dyDescent="0.3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5.75" customHeight="1" x14ac:dyDescent="0.3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5.75" customHeight="1" x14ac:dyDescent="0.3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5.75" customHeight="1" x14ac:dyDescent="0.3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5.75" customHeight="1" x14ac:dyDescent="0.3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5.75" customHeight="1" x14ac:dyDescent="0.3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5.75" customHeight="1" x14ac:dyDescent="0.3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5.75" customHeight="1" x14ac:dyDescent="0.3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5.75" customHeight="1" x14ac:dyDescent="0.3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5.75" customHeight="1" x14ac:dyDescent="0.3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5.75" customHeight="1" x14ac:dyDescent="0.3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5.75" customHeight="1" x14ac:dyDescent="0.3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5.75" customHeight="1" x14ac:dyDescent="0.3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5.75" customHeight="1" x14ac:dyDescent="0.3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5.75" customHeight="1" x14ac:dyDescent="0.3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5.75" customHeight="1" x14ac:dyDescent="0.3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5.75" customHeight="1" x14ac:dyDescent="0.3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5.75" customHeight="1" x14ac:dyDescent="0.3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5.75" customHeight="1" x14ac:dyDescent="0.3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 customHeight="1" x14ac:dyDescent="0.3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 customHeight="1" x14ac:dyDescent="0.3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 customHeight="1" x14ac:dyDescent="0.3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 customHeight="1" x14ac:dyDescent="0.3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 customHeight="1" x14ac:dyDescent="0.3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 customHeight="1" x14ac:dyDescent="0.3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 customHeight="1" x14ac:dyDescent="0.3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 customHeight="1" x14ac:dyDescent="0.3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 customHeight="1" x14ac:dyDescent="0.3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 customHeight="1" x14ac:dyDescent="0.3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5.75" customHeight="1" x14ac:dyDescent="0.3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5.75" customHeight="1" x14ac:dyDescent="0.3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5.75" customHeight="1" x14ac:dyDescent="0.3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5.75" customHeight="1" x14ac:dyDescent="0.3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5.75" customHeight="1" x14ac:dyDescent="0.3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5.75" customHeight="1" x14ac:dyDescent="0.3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5.75" customHeight="1" x14ac:dyDescent="0.3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5.75" customHeight="1" x14ac:dyDescent="0.3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5.75" customHeight="1" x14ac:dyDescent="0.3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5.75" customHeight="1" x14ac:dyDescent="0.3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5.75" customHeight="1" x14ac:dyDescent="0.3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5.75" customHeight="1" x14ac:dyDescent="0.3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5.75" customHeight="1" x14ac:dyDescent="0.3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5.75" customHeight="1" x14ac:dyDescent="0.3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5.75" customHeight="1" x14ac:dyDescent="0.3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5.75" customHeight="1" x14ac:dyDescent="0.3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5.75" customHeight="1" x14ac:dyDescent="0.3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5.75" customHeight="1" x14ac:dyDescent="0.3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5.75" customHeight="1" x14ac:dyDescent="0.3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5.75" customHeight="1" x14ac:dyDescent="0.3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5.75" customHeight="1" x14ac:dyDescent="0.3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5.75" customHeight="1" x14ac:dyDescent="0.3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5.75" customHeight="1" x14ac:dyDescent="0.3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4.25" customHeight="1" x14ac:dyDescent="0.3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4.25" customHeight="1" x14ac:dyDescent="0.3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4.25" customHeight="1" x14ac:dyDescent="0.3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4.25" customHeight="1" x14ac:dyDescent="0.3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4.25" customHeight="1" x14ac:dyDescent="0.3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4.25" customHeight="1" x14ac:dyDescent="0.3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4.25" customHeight="1" x14ac:dyDescent="0.3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4.25" customHeight="1" x14ac:dyDescent="0.3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4.25" customHeight="1" x14ac:dyDescent="0.3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4.25" customHeight="1" x14ac:dyDescent="0.3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4.25" customHeight="1" x14ac:dyDescent="0.3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4.25" customHeight="1" x14ac:dyDescent="0.3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4.25" customHeight="1" x14ac:dyDescent="0.3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4.25" customHeight="1" x14ac:dyDescent="0.3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4.25" customHeight="1" x14ac:dyDescent="0.3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4.25" customHeight="1" x14ac:dyDescent="0.3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4.25" customHeight="1" x14ac:dyDescent="0.3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4.25" customHeight="1" x14ac:dyDescent="0.3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4.25" customHeight="1" x14ac:dyDescent="0.3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4.25" customHeight="1" x14ac:dyDescent="0.3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4.25" customHeight="1" x14ac:dyDescent="0.3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4.25" customHeight="1" x14ac:dyDescent="0.3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4.25" customHeight="1" x14ac:dyDescent="0.3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4.25" customHeight="1" x14ac:dyDescent="0.3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4.25" customHeight="1" x14ac:dyDescent="0.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4.25" customHeight="1" x14ac:dyDescent="0.3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4.25" customHeight="1" x14ac:dyDescent="0.3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4.25" customHeight="1" x14ac:dyDescent="0.3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4.25" customHeight="1" x14ac:dyDescent="0.3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4.25" customHeight="1" x14ac:dyDescent="0.3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4.25" customHeight="1" x14ac:dyDescent="0.3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4.25" customHeight="1" x14ac:dyDescent="0.3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4.25" customHeight="1" x14ac:dyDescent="0.3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4.25" customHeight="1" x14ac:dyDescent="0.3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4.25" customHeight="1" x14ac:dyDescent="0.3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4.25" customHeight="1" x14ac:dyDescent="0.3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4.25" customHeight="1" x14ac:dyDescent="0.3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4.25" customHeight="1" x14ac:dyDescent="0.3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4.25" customHeight="1" x14ac:dyDescent="0.3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4.25" customHeight="1" x14ac:dyDescent="0.3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4.25" customHeight="1" x14ac:dyDescent="0.3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4.25" customHeight="1" x14ac:dyDescent="0.3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4.25" customHeight="1" x14ac:dyDescent="0.3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4.25" customHeight="1" x14ac:dyDescent="0.3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4.25" customHeight="1" x14ac:dyDescent="0.3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4.25" customHeight="1" x14ac:dyDescent="0.3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4.25" customHeight="1" x14ac:dyDescent="0.3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4.25" customHeight="1" x14ac:dyDescent="0.3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4.25" customHeight="1" x14ac:dyDescent="0.3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4.25" customHeight="1" x14ac:dyDescent="0.3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4.25" customHeight="1" x14ac:dyDescent="0.3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4.25" customHeight="1" x14ac:dyDescent="0.3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4.25" customHeight="1" x14ac:dyDescent="0.3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4.25" customHeight="1" x14ac:dyDescent="0.3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4.25" customHeight="1" x14ac:dyDescent="0.3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4.25" customHeight="1" x14ac:dyDescent="0.3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4.25" customHeight="1" x14ac:dyDescent="0.3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4.25" customHeight="1" x14ac:dyDescent="0.3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4.25" customHeight="1" x14ac:dyDescent="0.3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4.25" customHeight="1" x14ac:dyDescent="0.3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4.25" customHeight="1" x14ac:dyDescent="0.3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4.25" customHeight="1" x14ac:dyDescent="0.3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4.25" customHeight="1" x14ac:dyDescent="0.3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4.25" customHeight="1" x14ac:dyDescent="0.3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4.25" customHeight="1" x14ac:dyDescent="0.3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4.25" customHeight="1" x14ac:dyDescent="0.3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4.25" customHeight="1" x14ac:dyDescent="0.3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4.25" customHeight="1" x14ac:dyDescent="0.3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4.25" customHeight="1" x14ac:dyDescent="0.3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4.25" customHeight="1" x14ac:dyDescent="0.3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4.25" customHeight="1" x14ac:dyDescent="0.3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4.25" customHeight="1" x14ac:dyDescent="0.3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4.25" customHeight="1" x14ac:dyDescent="0.3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4.25" customHeight="1" x14ac:dyDescent="0.3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4.25" customHeight="1" x14ac:dyDescent="0.3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4.25" customHeight="1" x14ac:dyDescent="0.3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4.25" customHeight="1" x14ac:dyDescent="0.3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4.25" customHeight="1" x14ac:dyDescent="0.3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4.25" customHeight="1" x14ac:dyDescent="0.3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4.25" customHeight="1" x14ac:dyDescent="0.3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4.25" customHeight="1" x14ac:dyDescent="0.3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4.25" customHeight="1" x14ac:dyDescent="0.3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4.25" customHeight="1" x14ac:dyDescent="0.3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4.25" customHeight="1" x14ac:dyDescent="0.3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4.25" customHeight="1" x14ac:dyDescent="0.3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4.25" customHeight="1" x14ac:dyDescent="0.3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4.25" customHeight="1" x14ac:dyDescent="0.3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4.25" customHeight="1" x14ac:dyDescent="0.3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4.25" customHeight="1" x14ac:dyDescent="0.3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4.25" customHeight="1" x14ac:dyDescent="0.3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4.25" customHeight="1" x14ac:dyDescent="0.3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4.25" customHeight="1" x14ac:dyDescent="0.3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4.25" customHeight="1" x14ac:dyDescent="0.3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4.25" customHeight="1" x14ac:dyDescent="0.3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4.25" customHeight="1" x14ac:dyDescent="0.3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4.25" customHeight="1" x14ac:dyDescent="0.3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4.25" customHeight="1" x14ac:dyDescent="0.3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4.25" customHeight="1" x14ac:dyDescent="0.3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4.25" customHeight="1" x14ac:dyDescent="0.3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4.25" customHeight="1" x14ac:dyDescent="0.3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4.25" customHeight="1" x14ac:dyDescent="0.3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4.25" customHeight="1" x14ac:dyDescent="0.3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4.25" customHeight="1" x14ac:dyDescent="0.3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4.25" customHeight="1" x14ac:dyDescent="0.3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4.25" customHeight="1" x14ac:dyDescent="0.3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4.25" customHeight="1" x14ac:dyDescent="0.3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4.25" customHeight="1" x14ac:dyDescent="0.3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4.25" customHeight="1" x14ac:dyDescent="0.3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4.25" customHeight="1" x14ac:dyDescent="0.3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4.25" customHeight="1" x14ac:dyDescent="0.3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4.25" customHeight="1" x14ac:dyDescent="0.3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4.25" customHeight="1" x14ac:dyDescent="0.3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4.25" customHeight="1" x14ac:dyDescent="0.3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4.25" customHeight="1" x14ac:dyDescent="0.3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4.25" customHeight="1" x14ac:dyDescent="0.3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4.25" customHeight="1" x14ac:dyDescent="0.3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4.25" customHeight="1" x14ac:dyDescent="0.3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4.25" customHeight="1" x14ac:dyDescent="0.3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4.25" customHeight="1" x14ac:dyDescent="0.3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4.25" customHeight="1" x14ac:dyDescent="0.3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4.25" customHeight="1" x14ac:dyDescent="0.3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4.25" customHeight="1" x14ac:dyDescent="0.3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4.25" customHeight="1" x14ac:dyDescent="0.3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4.25" customHeight="1" x14ac:dyDescent="0.3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4.25" customHeight="1" x14ac:dyDescent="0.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4.25" customHeight="1" x14ac:dyDescent="0.3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4.25" customHeight="1" x14ac:dyDescent="0.3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4.25" customHeight="1" x14ac:dyDescent="0.3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4.25" customHeight="1" x14ac:dyDescent="0.3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4.25" customHeight="1" x14ac:dyDescent="0.3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4.25" customHeight="1" x14ac:dyDescent="0.3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4.25" customHeight="1" x14ac:dyDescent="0.3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4.25" customHeight="1" x14ac:dyDescent="0.3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4.25" customHeight="1" x14ac:dyDescent="0.3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4.25" customHeight="1" x14ac:dyDescent="0.3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4.25" customHeight="1" x14ac:dyDescent="0.3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4.25" customHeight="1" x14ac:dyDescent="0.3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4.25" customHeight="1" x14ac:dyDescent="0.3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4.25" customHeight="1" x14ac:dyDescent="0.3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4.25" customHeight="1" x14ac:dyDescent="0.3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4.25" customHeight="1" x14ac:dyDescent="0.3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4.25" customHeight="1" x14ac:dyDescent="0.3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4.25" customHeight="1" x14ac:dyDescent="0.3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4.25" customHeight="1" x14ac:dyDescent="0.3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4.25" customHeight="1" x14ac:dyDescent="0.3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4.25" customHeight="1" x14ac:dyDescent="0.3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4.25" customHeight="1" x14ac:dyDescent="0.3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4.25" customHeight="1" x14ac:dyDescent="0.3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4.25" customHeight="1" x14ac:dyDescent="0.3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4.25" customHeight="1" x14ac:dyDescent="0.3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4.25" customHeight="1" x14ac:dyDescent="0.3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4.25" customHeight="1" x14ac:dyDescent="0.3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4.25" customHeight="1" x14ac:dyDescent="0.3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4.25" customHeight="1" x14ac:dyDescent="0.3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4.25" customHeight="1" x14ac:dyDescent="0.3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4.25" customHeight="1" x14ac:dyDescent="0.3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4.25" customHeight="1" x14ac:dyDescent="0.3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4.25" customHeight="1" x14ac:dyDescent="0.3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4.25" customHeight="1" x14ac:dyDescent="0.3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4.25" customHeight="1" x14ac:dyDescent="0.3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4.25" customHeight="1" x14ac:dyDescent="0.3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4.25" customHeight="1" x14ac:dyDescent="0.3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4.25" customHeight="1" x14ac:dyDescent="0.3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4.25" customHeight="1" x14ac:dyDescent="0.3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4.25" customHeight="1" x14ac:dyDescent="0.3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4.25" customHeight="1" x14ac:dyDescent="0.3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4.25" customHeight="1" x14ac:dyDescent="0.3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4.25" customHeight="1" x14ac:dyDescent="0.3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4.25" customHeight="1" x14ac:dyDescent="0.3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4.25" customHeight="1" x14ac:dyDescent="0.3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4.25" customHeight="1" x14ac:dyDescent="0.3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4.25" customHeight="1" x14ac:dyDescent="0.3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4.25" customHeight="1" x14ac:dyDescent="0.3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4.25" customHeight="1" x14ac:dyDescent="0.3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4.25" customHeight="1" x14ac:dyDescent="0.3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4.25" customHeight="1" x14ac:dyDescent="0.3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4.25" customHeight="1" x14ac:dyDescent="0.3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4.25" customHeight="1" x14ac:dyDescent="0.3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4.25" customHeight="1" x14ac:dyDescent="0.3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4.25" customHeight="1" x14ac:dyDescent="0.3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4.25" customHeight="1" x14ac:dyDescent="0.3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4.25" customHeight="1" x14ac:dyDescent="0.3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4.25" customHeight="1" x14ac:dyDescent="0.3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4.25" customHeight="1" x14ac:dyDescent="0.3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4.25" customHeight="1" x14ac:dyDescent="0.3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4.25" customHeight="1" x14ac:dyDescent="0.3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4.25" customHeight="1" x14ac:dyDescent="0.3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4.25" customHeight="1" x14ac:dyDescent="0.3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4.25" customHeight="1" x14ac:dyDescent="0.3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4.25" customHeight="1" x14ac:dyDescent="0.3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4.25" customHeight="1" x14ac:dyDescent="0.3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4.25" customHeight="1" x14ac:dyDescent="0.3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4.25" customHeight="1" x14ac:dyDescent="0.3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4.25" customHeight="1" x14ac:dyDescent="0.3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4.25" customHeight="1" x14ac:dyDescent="0.3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4.25" customHeight="1" x14ac:dyDescent="0.3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4.25" customHeight="1" x14ac:dyDescent="0.3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4.25" customHeight="1" x14ac:dyDescent="0.3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4.25" customHeight="1" x14ac:dyDescent="0.3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4.25" customHeight="1" x14ac:dyDescent="0.3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4.25" customHeight="1" x14ac:dyDescent="0.3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4.25" customHeight="1" x14ac:dyDescent="0.3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4.25" customHeight="1" x14ac:dyDescent="0.3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4.25" customHeight="1" x14ac:dyDescent="0.3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4.25" customHeight="1" x14ac:dyDescent="0.3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4.25" customHeight="1" x14ac:dyDescent="0.3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4.25" customHeight="1" x14ac:dyDescent="0.3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4.25" customHeight="1" x14ac:dyDescent="0.3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4.25" customHeight="1" x14ac:dyDescent="0.3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4.25" customHeight="1" x14ac:dyDescent="0.3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4.25" customHeight="1" x14ac:dyDescent="0.3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4.25" customHeight="1" x14ac:dyDescent="0.3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4.25" customHeight="1" x14ac:dyDescent="0.3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4.25" customHeight="1" x14ac:dyDescent="0.3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4.25" customHeight="1" x14ac:dyDescent="0.3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4.25" customHeight="1" x14ac:dyDescent="0.3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4.25" customHeight="1" x14ac:dyDescent="0.3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4.25" customHeight="1" x14ac:dyDescent="0.3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4.25" customHeight="1" x14ac:dyDescent="0.3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4.25" customHeight="1" x14ac:dyDescent="0.3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4.25" customHeight="1" x14ac:dyDescent="0.3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4.25" customHeight="1" x14ac:dyDescent="0.3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4.25" customHeight="1" x14ac:dyDescent="0.3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4.25" customHeight="1" x14ac:dyDescent="0.3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4.25" customHeight="1" x14ac:dyDescent="0.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4.25" customHeight="1" x14ac:dyDescent="0.3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4.25" customHeight="1" x14ac:dyDescent="0.3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4.25" customHeight="1" x14ac:dyDescent="0.3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4.25" customHeight="1" x14ac:dyDescent="0.3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4.25" customHeight="1" x14ac:dyDescent="0.3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4.25" customHeight="1" x14ac:dyDescent="0.3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4.25" customHeight="1" x14ac:dyDescent="0.3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4.25" customHeight="1" x14ac:dyDescent="0.3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4.25" customHeight="1" x14ac:dyDescent="0.3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4.25" customHeight="1" x14ac:dyDescent="0.3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4.25" customHeight="1" x14ac:dyDescent="0.3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4.25" customHeight="1" x14ac:dyDescent="0.3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4.25" customHeight="1" x14ac:dyDescent="0.3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4.25" customHeight="1" x14ac:dyDescent="0.3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4.25" customHeight="1" x14ac:dyDescent="0.3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4.25" customHeight="1" x14ac:dyDescent="0.3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4.25" customHeight="1" x14ac:dyDescent="0.3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4.25" customHeight="1" x14ac:dyDescent="0.3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4.25" customHeight="1" x14ac:dyDescent="0.3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4.25" customHeight="1" x14ac:dyDescent="0.3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4.25" customHeight="1" x14ac:dyDescent="0.3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4.25" customHeight="1" x14ac:dyDescent="0.3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4.25" customHeight="1" x14ac:dyDescent="0.3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4.25" customHeight="1" x14ac:dyDescent="0.3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4.25" customHeight="1" x14ac:dyDescent="0.3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4.25" customHeight="1" x14ac:dyDescent="0.3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4.25" customHeight="1" x14ac:dyDescent="0.3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4.25" customHeight="1" x14ac:dyDescent="0.3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4.25" customHeight="1" x14ac:dyDescent="0.3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4.25" customHeight="1" x14ac:dyDescent="0.3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4.25" customHeight="1" x14ac:dyDescent="0.3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4.25" customHeight="1" x14ac:dyDescent="0.3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4.25" customHeight="1" x14ac:dyDescent="0.3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4.25" customHeight="1" x14ac:dyDescent="0.3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4.25" customHeight="1" x14ac:dyDescent="0.3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4.25" customHeight="1" x14ac:dyDescent="0.3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4.25" customHeight="1" x14ac:dyDescent="0.3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4.25" customHeight="1" x14ac:dyDescent="0.3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4.25" customHeight="1" x14ac:dyDescent="0.3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4.25" customHeight="1" x14ac:dyDescent="0.3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4.25" customHeight="1" x14ac:dyDescent="0.3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4.25" customHeight="1" x14ac:dyDescent="0.3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4.25" customHeight="1" x14ac:dyDescent="0.3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4.25" customHeight="1" x14ac:dyDescent="0.3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4.25" customHeight="1" x14ac:dyDescent="0.3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4.25" customHeight="1" x14ac:dyDescent="0.3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4.25" customHeight="1" x14ac:dyDescent="0.3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4.25" customHeight="1" x14ac:dyDescent="0.3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4.25" customHeight="1" x14ac:dyDescent="0.3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4.25" customHeight="1" x14ac:dyDescent="0.3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4.25" customHeight="1" x14ac:dyDescent="0.3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4.25" customHeight="1" x14ac:dyDescent="0.3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4.25" customHeight="1" x14ac:dyDescent="0.3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4.25" customHeight="1" x14ac:dyDescent="0.3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4.25" customHeight="1" x14ac:dyDescent="0.3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4.25" customHeight="1" x14ac:dyDescent="0.3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4.25" customHeight="1" x14ac:dyDescent="0.3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4.25" customHeight="1" x14ac:dyDescent="0.3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4.25" customHeight="1" x14ac:dyDescent="0.3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4.25" customHeight="1" x14ac:dyDescent="0.3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4.25" customHeight="1" x14ac:dyDescent="0.3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4.25" customHeight="1" x14ac:dyDescent="0.3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4.25" customHeight="1" x14ac:dyDescent="0.3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4.25" customHeight="1" x14ac:dyDescent="0.3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4.25" customHeight="1" x14ac:dyDescent="0.3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4.25" customHeight="1" x14ac:dyDescent="0.3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4.25" customHeight="1" x14ac:dyDescent="0.3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4.25" customHeight="1" x14ac:dyDescent="0.3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4.25" customHeight="1" x14ac:dyDescent="0.3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4.25" customHeight="1" x14ac:dyDescent="0.3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4.25" customHeight="1" x14ac:dyDescent="0.3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4.25" customHeight="1" x14ac:dyDescent="0.3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4.25" customHeight="1" x14ac:dyDescent="0.3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4.25" customHeight="1" x14ac:dyDescent="0.3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4.25" customHeight="1" x14ac:dyDescent="0.3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4.25" customHeight="1" x14ac:dyDescent="0.3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4.25" customHeight="1" x14ac:dyDescent="0.3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4.25" customHeight="1" x14ac:dyDescent="0.3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4.25" customHeight="1" x14ac:dyDescent="0.3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4.25" customHeight="1" x14ac:dyDescent="0.3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4.25" customHeight="1" x14ac:dyDescent="0.3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4.25" customHeight="1" x14ac:dyDescent="0.3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4.25" customHeight="1" x14ac:dyDescent="0.3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4.25" customHeight="1" x14ac:dyDescent="0.3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4.25" customHeight="1" x14ac:dyDescent="0.3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4.25" customHeight="1" x14ac:dyDescent="0.3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4.25" customHeight="1" x14ac:dyDescent="0.3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4.25" customHeight="1" x14ac:dyDescent="0.3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4.25" customHeight="1" x14ac:dyDescent="0.3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4.25" customHeight="1" x14ac:dyDescent="0.3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4.25" customHeight="1" x14ac:dyDescent="0.3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4.25" customHeight="1" x14ac:dyDescent="0.3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4.25" customHeight="1" x14ac:dyDescent="0.3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4.25" customHeight="1" x14ac:dyDescent="0.3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4.25" customHeight="1" x14ac:dyDescent="0.3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4.25" customHeight="1" x14ac:dyDescent="0.3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4.25" customHeight="1" x14ac:dyDescent="0.3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4.25" customHeight="1" x14ac:dyDescent="0.3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4.25" customHeight="1" x14ac:dyDescent="0.3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4.25" customHeight="1" x14ac:dyDescent="0.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4.25" customHeight="1" x14ac:dyDescent="0.3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4.25" customHeight="1" x14ac:dyDescent="0.3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4.25" customHeight="1" x14ac:dyDescent="0.3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4.25" customHeight="1" x14ac:dyDescent="0.3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4.25" customHeight="1" x14ac:dyDescent="0.3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4.25" customHeight="1" x14ac:dyDescent="0.3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4.25" customHeight="1" x14ac:dyDescent="0.3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4.25" customHeight="1" x14ac:dyDescent="0.3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4.25" customHeight="1" x14ac:dyDescent="0.3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4.25" customHeight="1" x14ac:dyDescent="0.3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4.25" customHeight="1" x14ac:dyDescent="0.3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4.25" customHeight="1" x14ac:dyDescent="0.3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4.25" customHeight="1" x14ac:dyDescent="0.3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4.25" customHeight="1" x14ac:dyDescent="0.3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4.25" customHeight="1" x14ac:dyDescent="0.3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4.25" customHeight="1" x14ac:dyDescent="0.3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4.25" customHeight="1" x14ac:dyDescent="0.3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4.25" customHeight="1" x14ac:dyDescent="0.3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4.25" customHeight="1" x14ac:dyDescent="0.3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4.25" customHeight="1" x14ac:dyDescent="0.3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4.25" customHeight="1" x14ac:dyDescent="0.3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4.25" customHeight="1" x14ac:dyDescent="0.3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4.25" customHeight="1" x14ac:dyDescent="0.3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4.25" customHeight="1" x14ac:dyDescent="0.3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4.25" customHeight="1" x14ac:dyDescent="0.3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4.25" customHeight="1" x14ac:dyDescent="0.3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4.25" customHeight="1" x14ac:dyDescent="0.3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4.25" customHeight="1" x14ac:dyDescent="0.3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4.25" customHeight="1" x14ac:dyDescent="0.3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4.25" customHeight="1" x14ac:dyDescent="0.3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4.25" customHeight="1" x14ac:dyDescent="0.3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4.25" customHeight="1" x14ac:dyDescent="0.3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4.25" customHeight="1" x14ac:dyDescent="0.3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4.25" customHeight="1" x14ac:dyDescent="0.3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4.25" customHeight="1" x14ac:dyDescent="0.3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4.25" customHeight="1" x14ac:dyDescent="0.3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4.25" customHeight="1" x14ac:dyDescent="0.3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4.25" customHeight="1" x14ac:dyDescent="0.3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4.25" customHeight="1" x14ac:dyDescent="0.3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4.25" customHeight="1" x14ac:dyDescent="0.3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4.25" customHeight="1" x14ac:dyDescent="0.3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4.25" customHeight="1" x14ac:dyDescent="0.3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4.25" customHeight="1" x14ac:dyDescent="0.3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4.25" customHeight="1" x14ac:dyDescent="0.3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4.25" customHeight="1" x14ac:dyDescent="0.3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4.25" customHeight="1" x14ac:dyDescent="0.3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4.25" customHeight="1" x14ac:dyDescent="0.3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4.25" customHeight="1" x14ac:dyDescent="0.3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4.25" customHeight="1" x14ac:dyDescent="0.3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4.25" customHeight="1" x14ac:dyDescent="0.3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4.25" customHeight="1" x14ac:dyDescent="0.3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4.25" customHeight="1" x14ac:dyDescent="0.3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4.25" customHeight="1" x14ac:dyDescent="0.3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4.25" customHeight="1" x14ac:dyDescent="0.3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4.25" customHeight="1" x14ac:dyDescent="0.3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4.25" customHeight="1" x14ac:dyDescent="0.3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4.25" customHeight="1" x14ac:dyDescent="0.3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4.25" customHeight="1" x14ac:dyDescent="0.3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4.25" customHeight="1" x14ac:dyDescent="0.3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4.25" customHeight="1" x14ac:dyDescent="0.3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4.25" customHeight="1" x14ac:dyDescent="0.3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4.25" customHeight="1" x14ac:dyDescent="0.3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4.25" customHeight="1" x14ac:dyDescent="0.3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4.25" customHeight="1" x14ac:dyDescent="0.3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4.25" customHeight="1" x14ac:dyDescent="0.3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4.25" customHeight="1" x14ac:dyDescent="0.3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4.25" customHeight="1" x14ac:dyDescent="0.3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4.25" customHeight="1" x14ac:dyDescent="0.3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4.25" customHeight="1" x14ac:dyDescent="0.3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4.25" customHeight="1" x14ac:dyDescent="0.3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4.25" customHeight="1" x14ac:dyDescent="0.3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4.25" customHeight="1" x14ac:dyDescent="0.3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4.25" customHeight="1" x14ac:dyDescent="0.3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4.25" customHeight="1" x14ac:dyDescent="0.3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4.25" customHeight="1" x14ac:dyDescent="0.3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4.25" customHeight="1" x14ac:dyDescent="0.3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4.25" customHeight="1" x14ac:dyDescent="0.3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4.25" customHeight="1" x14ac:dyDescent="0.3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4.25" customHeight="1" x14ac:dyDescent="0.3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4.25" customHeight="1" x14ac:dyDescent="0.3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4.25" customHeight="1" x14ac:dyDescent="0.3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4.25" customHeight="1" x14ac:dyDescent="0.3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4.25" customHeight="1" x14ac:dyDescent="0.3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4.25" customHeight="1" x14ac:dyDescent="0.3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4.25" customHeight="1" x14ac:dyDescent="0.3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4.25" customHeight="1" x14ac:dyDescent="0.3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4.25" customHeight="1" x14ac:dyDescent="0.3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4.25" customHeight="1" x14ac:dyDescent="0.3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4.25" customHeight="1" x14ac:dyDescent="0.3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4.25" customHeight="1" x14ac:dyDescent="0.3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4.25" customHeight="1" x14ac:dyDescent="0.3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4.25" customHeight="1" x14ac:dyDescent="0.3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4.25" customHeight="1" x14ac:dyDescent="0.3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4.25" customHeight="1" x14ac:dyDescent="0.3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4.25" customHeight="1" x14ac:dyDescent="0.3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4.25" customHeight="1" x14ac:dyDescent="0.3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4.25" customHeight="1" x14ac:dyDescent="0.3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4.25" customHeight="1" x14ac:dyDescent="0.3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4.25" customHeight="1" x14ac:dyDescent="0.3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4.25" customHeight="1" x14ac:dyDescent="0.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4.25" customHeight="1" x14ac:dyDescent="0.3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4.25" customHeight="1" x14ac:dyDescent="0.3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4.25" customHeight="1" x14ac:dyDescent="0.3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4.25" customHeight="1" x14ac:dyDescent="0.3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4.25" customHeight="1" x14ac:dyDescent="0.3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4.25" customHeight="1" x14ac:dyDescent="0.3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4.25" customHeight="1" x14ac:dyDescent="0.3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4.25" customHeight="1" x14ac:dyDescent="0.3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4.25" customHeight="1" x14ac:dyDescent="0.3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4.25" customHeight="1" x14ac:dyDescent="0.3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4.25" customHeight="1" x14ac:dyDescent="0.3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4.25" customHeight="1" x14ac:dyDescent="0.3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4.25" customHeight="1" x14ac:dyDescent="0.3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4.25" customHeight="1" x14ac:dyDescent="0.3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4.25" customHeight="1" x14ac:dyDescent="0.3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4.25" customHeight="1" x14ac:dyDescent="0.3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4.25" customHeight="1" x14ac:dyDescent="0.3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4.25" customHeight="1" x14ac:dyDescent="0.3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4.25" customHeight="1" x14ac:dyDescent="0.3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4.25" customHeight="1" x14ac:dyDescent="0.3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4.25" customHeight="1" x14ac:dyDescent="0.3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4.25" customHeight="1" x14ac:dyDescent="0.3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4.25" customHeight="1" x14ac:dyDescent="0.3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4.25" customHeight="1" x14ac:dyDescent="0.3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4.25" customHeight="1" x14ac:dyDescent="0.3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4.25" customHeight="1" x14ac:dyDescent="0.3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4.25" customHeight="1" x14ac:dyDescent="0.3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4.25" customHeight="1" x14ac:dyDescent="0.3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4.25" customHeight="1" x14ac:dyDescent="0.3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4.25" customHeight="1" x14ac:dyDescent="0.3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4.25" customHeight="1" x14ac:dyDescent="0.3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4.25" customHeight="1" x14ac:dyDescent="0.3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4.25" customHeight="1" x14ac:dyDescent="0.3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4.25" customHeight="1" x14ac:dyDescent="0.3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4.25" customHeight="1" x14ac:dyDescent="0.3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4.25" customHeight="1" x14ac:dyDescent="0.3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4.25" customHeight="1" x14ac:dyDescent="0.3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4.25" customHeight="1" x14ac:dyDescent="0.3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4.25" customHeight="1" x14ac:dyDescent="0.3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4.25" customHeight="1" x14ac:dyDescent="0.3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4.25" customHeight="1" x14ac:dyDescent="0.3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4.25" customHeight="1" x14ac:dyDescent="0.3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4.25" customHeight="1" x14ac:dyDescent="0.3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4.25" customHeight="1" x14ac:dyDescent="0.3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4.25" customHeight="1" x14ac:dyDescent="0.3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4.25" customHeight="1" x14ac:dyDescent="0.3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4.25" customHeight="1" x14ac:dyDescent="0.3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4.25" customHeight="1" x14ac:dyDescent="0.3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4.25" customHeight="1" x14ac:dyDescent="0.3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4.25" customHeight="1" x14ac:dyDescent="0.3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4.25" customHeight="1" x14ac:dyDescent="0.3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4.25" customHeight="1" x14ac:dyDescent="0.3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4.25" customHeight="1" x14ac:dyDescent="0.3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4.25" customHeight="1" x14ac:dyDescent="0.3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4.25" customHeight="1" x14ac:dyDescent="0.3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4.25" customHeight="1" x14ac:dyDescent="0.3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4.25" customHeight="1" x14ac:dyDescent="0.3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4.25" customHeight="1" x14ac:dyDescent="0.3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4.25" customHeight="1" x14ac:dyDescent="0.3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4.25" customHeight="1" x14ac:dyDescent="0.3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4.25" customHeight="1" x14ac:dyDescent="0.3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4.25" customHeight="1" x14ac:dyDescent="0.3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4.25" customHeight="1" x14ac:dyDescent="0.3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4.25" customHeight="1" x14ac:dyDescent="0.3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4.25" customHeight="1" x14ac:dyDescent="0.3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4.25" customHeight="1" x14ac:dyDescent="0.3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4.25" customHeight="1" x14ac:dyDescent="0.3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4.25" customHeight="1" x14ac:dyDescent="0.3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4.25" customHeight="1" x14ac:dyDescent="0.3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4.25" customHeight="1" x14ac:dyDescent="0.3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4.25" customHeight="1" x14ac:dyDescent="0.3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4.25" customHeight="1" x14ac:dyDescent="0.3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4.25" customHeight="1" x14ac:dyDescent="0.3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4.25" customHeight="1" x14ac:dyDescent="0.3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4.25" customHeight="1" x14ac:dyDescent="0.3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4.25" customHeight="1" x14ac:dyDescent="0.3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4.25" customHeight="1" x14ac:dyDescent="0.3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4.25" customHeight="1" x14ac:dyDescent="0.3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4.25" customHeight="1" x14ac:dyDescent="0.3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4.25" customHeight="1" x14ac:dyDescent="0.3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4.25" customHeight="1" x14ac:dyDescent="0.3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4.25" customHeight="1" x14ac:dyDescent="0.3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4.25" customHeight="1" x14ac:dyDescent="0.3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4.25" customHeight="1" x14ac:dyDescent="0.3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4.25" customHeight="1" x14ac:dyDescent="0.3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4.25" customHeight="1" x14ac:dyDescent="0.3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4.25" customHeight="1" x14ac:dyDescent="0.3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4.25" customHeight="1" x14ac:dyDescent="0.3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4.25" customHeight="1" x14ac:dyDescent="0.3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4.25" customHeight="1" x14ac:dyDescent="0.3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4.25" customHeight="1" x14ac:dyDescent="0.3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4.25" customHeight="1" x14ac:dyDescent="0.3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4.25" customHeight="1" x14ac:dyDescent="0.3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4.25" customHeight="1" x14ac:dyDescent="0.3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4.25" customHeight="1" x14ac:dyDescent="0.3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4.25" customHeight="1" x14ac:dyDescent="0.3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4.25" customHeight="1" x14ac:dyDescent="0.3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4.25" customHeight="1" x14ac:dyDescent="0.3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4.25" customHeight="1" x14ac:dyDescent="0.3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4.25" customHeight="1" x14ac:dyDescent="0.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4.25" customHeight="1" x14ac:dyDescent="0.3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4.25" customHeight="1" x14ac:dyDescent="0.3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4.25" customHeight="1" x14ac:dyDescent="0.3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4.25" customHeight="1" x14ac:dyDescent="0.3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4.25" customHeight="1" x14ac:dyDescent="0.3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4.25" customHeight="1" x14ac:dyDescent="0.3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4.25" customHeight="1" x14ac:dyDescent="0.3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4.25" customHeight="1" x14ac:dyDescent="0.3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4.25" customHeight="1" x14ac:dyDescent="0.3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4.25" customHeight="1" x14ac:dyDescent="0.3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4.25" customHeight="1" x14ac:dyDescent="0.3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4.25" customHeight="1" x14ac:dyDescent="0.3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4.25" customHeight="1" x14ac:dyDescent="0.3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4.25" customHeight="1" x14ac:dyDescent="0.3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4.25" customHeight="1" x14ac:dyDescent="0.3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4.25" customHeight="1" x14ac:dyDescent="0.3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4.25" customHeight="1" x14ac:dyDescent="0.3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4.25" customHeight="1" x14ac:dyDescent="0.3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4.25" customHeight="1" x14ac:dyDescent="0.3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4.25" customHeight="1" x14ac:dyDescent="0.3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4.25" customHeight="1" x14ac:dyDescent="0.3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4.25" customHeight="1" x14ac:dyDescent="0.3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4.25" customHeight="1" x14ac:dyDescent="0.3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4.25" customHeight="1" x14ac:dyDescent="0.3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4.25" customHeight="1" x14ac:dyDescent="0.3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4.25" customHeight="1" x14ac:dyDescent="0.3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4.25" customHeight="1" x14ac:dyDescent="0.3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4.25" customHeight="1" x14ac:dyDescent="0.3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4.25" customHeight="1" x14ac:dyDescent="0.3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4.25" customHeight="1" x14ac:dyDescent="0.3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4.25" customHeight="1" x14ac:dyDescent="0.3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4.25" customHeight="1" x14ac:dyDescent="0.3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4.25" customHeight="1" x14ac:dyDescent="0.3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4.25" customHeight="1" x14ac:dyDescent="0.3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4.25" customHeight="1" x14ac:dyDescent="0.3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4.25" customHeight="1" x14ac:dyDescent="0.3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4.25" customHeight="1" x14ac:dyDescent="0.3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4.25" customHeight="1" x14ac:dyDescent="0.3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4.25" customHeight="1" x14ac:dyDescent="0.3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4.25" customHeight="1" x14ac:dyDescent="0.3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4.25" customHeight="1" x14ac:dyDescent="0.3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4.25" customHeight="1" x14ac:dyDescent="0.3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4.25" customHeight="1" x14ac:dyDescent="0.3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4.25" customHeight="1" x14ac:dyDescent="0.3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4.25" customHeight="1" x14ac:dyDescent="0.3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4.25" customHeight="1" x14ac:dyDescent="0.3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4.25" customHeight="1" x14ac:dyDescent="0.3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4.25" customHeight="1" x14ac:dyDescent="0.3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4.25" customHeight="1" x14ac:dyDescent="0.3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4.25" customHeight="1" x14ac:dyDescent="0.3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4.25" customHeight="1" x14ac:dyDescent="0.3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4.25" customHeight="1" x14ac:dyDescent="0.3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4.25" customHeight="1" x14ac:dyDescent="0.3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4.25" customHeight="1" x14ac:dyDescent="0.3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4.25" customHeight="1" x14ac:dyDescent="0.3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4.25" customHeight="1" x14ac:dyDescent="0.3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4.25" customHeight="1" x14ac:dyDescent="0.3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4.25" customHeight="1" x14ac:dyDescent="0.3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4.25" customHeight="1" x14ac:dyDescent="0.3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4.25" customHeight="1" x14ac:dyDescent="0.3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4.25" customHeight="1" x14ac:dyDescent="0.3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4.25" customHeight="1" x14ac:dyDescent="0.3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4.25" customHeight="1" x14ac:dyDescent="0.3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4.25" customHeight="1" x14ac:dyDescent="0.3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4.25" customHeight="1" x14ac:dyDescent="0.3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4.25" customHeight="1" x14ac:dyDescent="0.3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4.25" customHeight="1" x14ac:dyDescent="0.3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4.25" customHeight="1" x14ac:dyDescent="0.3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4.25" customHeight="1" x14ac:dyDescent="0.3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4.25" customHeight="1" x14ac:dyDescent="0.3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4.25" customHeight="1" x14ac:dyDescent="0.3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4.25" customHeight="1" x14ac:dyDescent="0.3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4.25" customHeight="1" x14ac:dyDescent="0.3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4.25" customHeight="1" x14ac:dyDescent="0.3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4.25" customHeight="1" x14ac:dyDescent="0.3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4.25" customHeight="1" x14ac:dyDescent="0.3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4.25" customHeight="1" x14ac:dyDescent="0.3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4.25" customHeight="1" x14ac:dyDescent="0.3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4.25" customHeight="1" x14ac:dyDescent="0.3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4.25" customHeight="1" x14ac:dyDescent="0.3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4.25" customHeight="1" x14ac:dyDescent="0.3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4.25" customHeight="1" x14ac:dyDescent="0.3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4.25" customHeight="1" x14ac:dyDescent="0.3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4.25" customHeight="1" x14ac:dyDescent="0.3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4.25" customHeight="1" x14ac:dyDescent="0.3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4.25" customHeight="1" x14ac:dyDescent="0.3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4.25" customHeight="1" x14ac:dyDescent="0.3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4.25" customHeight="1" x14ac:dyDescent="0.3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4.25" customHeight="1" x14ac:dyDescent="0.3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4.25" customHeight="1" x14ac:dyDescent="0.3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4.25" customHeight="1" x14ac:dyDescent="0.3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4.25" customHeight="1" x14ac:dyDescent="0.3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4.25" customHeight="1" x14ac:dyDescent="0.3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4.25" customHeight="1" x14ac:dyDescent="0.3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4.25" customHeight="1" x14ac:dyDescent="0.3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4.25" customHeight="1" x14ac:dyDescent="0.3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4.25" customHeight="1" x14ac:dyDescent="0.3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4.25" customHeight="1" x14ac:dyDescent="0.3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4.25" customHeight="1" x14ac:dyDescent="0.3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4.25" customHeight="1" x14ac:dyDescent="0.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4.25" customHeight="1" x14ac:dyDescent="0.3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4.25" customHeight="1" x14ac:dyDescent="0.3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4.25" customHeight="1" x14ac:dyDescent="0.3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4.25" customHeight="1" x14ac:dyDescent="0.3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4.25" customHeight="1" x14ac:dyDescent="0.3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4.25" customHeight="1" x14ac:dyDescent="0.3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4.25" customHeight="1" x14ac:dyDescent="0.3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4.25" customHeight="1" x14ac:dyDescent="0.3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4.25" customHeight="1" x14ac:dyDescent="0.3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4.25" customHeight="1" x14ac:dyDescent="0.3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4.25" customHeight="1" x14ac:dyDescent="0.3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4.25" customHeight="1" x14ac:dyDescent="0.3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4.25" customHeight="1" x14ac:dyDescent="0.3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4.25" customHeight="1" x14ac:dyDescent="0.3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4.25" customHeight="1" x14ac:dyDescent="0.3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4.25" customHeight="1" x14ac:dyDescent="0.3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4.25" customHeight="1" x14ac:dyDescent="0.3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4.25" customHeight="1" x14ac:dyDescent="0.3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4.25" customHeight="1" x14ac:dyDescent="0.3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4.25" customHeight="1" x14ac:dyDescent="0.3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4.25" customHeight="1" x14ac:dyDescent="0.3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4.25" customHeight="1" x14ac:dyDescent="0.3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4.25" customHeight="1" x14ac:dyDescent="0.3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4.25" customHeight="1" x14ac:dyDescent="0.3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4.25" customHeight="1" x14ac:dyDescent="0.3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4.25" customHeight="1" x14ac:dyDescent="0.3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4.25" customHeight="1" x14ac:dyDescent="0.3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4.25" customHeight="1" x14ac:dyDescent="0.3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4.25" customHeight="1" x14ac:dyDescent="0.3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4.25" customHeight="1" x14ac:dyDescent="0.3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4.25" customHeight="1" x14ac:dyDescent="0.3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4.25" customHeight="1" x14ac:dyDescent="0.3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4.25" customHeight="1" x14ac:dyDescent="0.3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4.25" customHeight="1" x14ac:dyDescent="0.3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4.25" customHeight="1" x14ac:dyDescent="0.3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4.25" customHeight="1" x14ac:dyDescent="0.3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4.25" customHeight="1" x14ac:dyDescent="0.3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4.25" customHeight="1" x14ac:dyDescent="0.3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4.25" customHeight="1" x14ac:dyDescent="0.3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4.25" customHeight="1" x14ac:dyDescent="0.3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4.25" customHeight="1" x14ac:dyDescent="0.3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4.25" customHeight="1" x14ac:dyDescent="0.3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4.25" customHeight="1" x14ac:dyDescent="0.3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4.25" customHeight="1" x14ac:dyDescent="0.3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4.25" customHeight="1" x14ac:dyDescent="0.3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4.25" customHeight="1" x14ac:dyDescent="0.3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4.25" customHeight="1" x14ac:dyDescent="0.3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4.25" customHeight="1" x14ac:dyDescent="0.3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4.25" customHeight="1" x14ac:dyDescent="0.3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4.25" customHeight="1" x14ac:dyDescent="0.3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4.25" customHeight="1" x14ac:dyDescent="0.3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4.25" customHeight="1" x14ac:dyDescent="0.3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4.25" customHeight="1" x14ac:dyDescent="0.3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4.25" customHeight="1" x14ac:dyDescent="0.3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4.25" customHeight="1" x14ac:dyDescent="0.3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4.25" customHeight="1" x14ac:dyDescent="0.3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4.25" customHeight="1" x14ac:dyDescent="0.3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4.25" customHeight="1" x14ac:dyDescent="0.3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4.25" customHeight="1" x14ac:dyDescent="0.3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4.25" customHeight="1" x14ac:dyDescent="0.3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4.25" customHeight="1" x14ac:dyDescent="0.3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4.25" customHeight="1" x14ac:dyDescent="0.3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4.25" customHeight="1" x14ac:dyDescent="0.3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4.25" customHeight="1" x14ac:dyDescent="0.3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4.25" customHeight="1" x14ac:dyDescent="0.3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4.25" customHeight="1" x14ac:dyDescent="0.3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4.25" customHeight="1" x14ac:dyDescent="0.3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4.25" customHeight="1" x14ac:dyDescent="0.3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4.25" customHeight="1" x14ac:dyDescent="0.3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4.25" customHeight="1" x14ac:dyDescent="0.3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4.25" customHeight="1" x14ac:dyDescent="0.3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4.25" customHeight="1" x14ac:dyDescent="0.3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4.25" customHeight="1" x14ac:dyDescent="0.3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4.25" customHeight="1" x14ac:dyDescent="0.3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4.25" customHeight="1" x14ac:dyDescent="0.3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4.25" customHeight="1" x14ac:dyDescent="0.3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4.25" customHeight="1" x14ac:dyDescent="0.3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4.25" customHeight="1" x14ac:dyDescent="0.3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4.25" customHeight="1" x14ac:dyDescent="0.3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4.25" customHeight="1" x14ac:dyDescent="0.3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4.25" customHeight="1" x14ac:dyDescent="0.3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4.25" customHeight="1" x14ac:dyDescent="0.3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4.25" customHeight="1" x14ac:dyDescent="0.3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4.25" customHeight="1" x14ac:dyDescent="0.3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4.25" customHeight="1" x14ac:dyDescent="0.3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4.25" customHeight="1" x14ac:dyDescent="0.3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4.25" customHeight="1" x14ac:dyDescent="0.3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4.25" customHeight="1" x14ac:dyDescent="0.3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4.25" customHeight="1" x14ac:dyDescent="0.3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4.25" customHeight="1" x14ac:dyDescent="0.3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4.25" customHeight="1" x14ac:dyDescent="0.3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4.25" customHeight="1" x14ac:dyDescent="0.3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4.25" customHeight="1" x14ac:dyDescent="0.3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4.25" customHeight="1" x14ac:dyDescent="0.3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4.25" customHeight="1" x14ac:dyDescent="0.3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4.25" customHeight="1" x14ac:dyDescent="0.3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4.25" customHeight="1" x14ac:dyDescent="0.3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4.25" customHeight="1" x14ac:dyDescent="0.3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4.25" customHeight="1" x14ac:dyDescent="0.3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4.25" customHeight="1" x14ac:dyDescent="0.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4.25" customHeight="1" x14ac:dyDescent="0.3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4.25" customHeight="1" x14ac:dyDescent="0.3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4.25" customHeight="1" x14ac:dyDescent="0.3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4.25" customHeight="1" x14ac:dyDescent="0.3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4.25" customHeight="1" x14ac:dyDescent="0.3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4.25" customHeight="1" x14ac:dyDescent="0.3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4.25" customHeight="1" x14ac:dyDescent="0.3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4.25" customHeight="1" x14ac:dyDescent="0.3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4.25" customHeight="1" x14ac:dyDescent="0.3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4.25" customHeight="1" x14ac:dyDescent="0.3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4.25" customHeight="1" x14ac:dyDescent="0.3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4.25" customHeight="1" x14ac:dyDescent="0.3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4.25" customHeight="1" x14ac:dyDescent="0.3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4.25" customHeight="1" x14ac:dyDescent="0.3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4.25" customHeight="1" x14ac:dyDescent="0.3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4.25" customHeight="1" x14ac:dyDescent="0.3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4.25" customHeight="1" x14ac:dyDescent="0.3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4.25" customHeight="1" x14ac:dyDescent="0.3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4.25" customHeight="1" x14ac:dyDescent="0.3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4.25" customHeight="1" x14ac:dyDescent="0.3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4.25" customHeight="1" x14ac:dyDescent="0.3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4.25" customHeight="1" x14ac:dyDescent="0.3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4.25" customHeight="1" x14ac:dyDescent="0.3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4.25" customHeight="1" x14ac:dyDescent="0.3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4.25" customHeight="1" x14ac:dyDescent="0.3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4.25" customHeight="1" x14ac:dyDescent="0.3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4.25" customHeight="1" x14ac:dyDescent="0.3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4.25" customHeight="1" x14ac:dyDescent="0.3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4.25" customHeight="1" x14ac:dyDescent="0.3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4.25" customHeight="1" x14ac:dyDescent="0.3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4.25" customHeight="1" x14ac:dyDescent="0.3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4.25" customHeight="1" x14ac:dyDescent="0.3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4.25" customHeight="1" x14ac:dyDescent="0.3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4.25" customHeight="1" x14ac:dyDescent="0.3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4.25" customHeight="1" x14ac:dyDescent="0.3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4.25" customHeight="1" x14ac:dyDescent="0.3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4.25" customHeight="1" x14ac:dyDescent="0.3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4.25" customHeight="1" x14ac:dyDescent="0.3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4.25" customHeight="1" x14ac:dyDescent="0.3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</sheetData>
  <hyperlinks>
    <hyperlink ref="A2" r:id="rId1" display="www.bestundertaking.com/in/pdf/2018-19/2019-statement_of_account_english_16-17.pdf" xr:uid="{00000000-0004-0000-0900-000000000000}"/>
    <hyperlink ref="C10" r:id="rId2" xr:uid="{00000000-0004-0000-0900-000001000000}"/>
    <hyperlink ref="C11" r:id="rId3" xr:uid="{00000000-0004-0000-0900-000002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2"/>
  <sheetViews>
    <sheetView workbookViewId="0">
      <selection activeCell="A7" sqref="A7"/>
    </sheetView>
  </sheetViews>
  <sheetFormatPr defaultColWidth="8.81640625" defaultRowHeight="14.5" x14ac:dyDescent="0.35"/>
  <cols>
    <col min="1" max="1" width="18.26953125" customWidth="1"/>
    <col min="2" max="2" width="8.453125" bestFit="1" customWidth="1"/>
    <col min="3" max="3" width="11.81640625" bestFit="1" customWidth="1"/>
    <col min="4" max="4" width="12.453125" bestFit="1" customWidth="1"/>
    <col min="5" max="5" width="26" customWidth="1"/>
  </cols>
  <sheetData>
    <row r="1" spans="1:26" ht="14.25" customHeight="1" x14ac:dyDescent="0.35">
      <c r="A1" s="21" t="s">
        <v>118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5">
      <c r="A2" s="23" t="s">
        <v>119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5">
      <c r="A3" s="23" t="s">
        <v>120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5">
      <c r="A4" s="23" t="s">
        <v>121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thickBot="1" x14ac:dyDescent="0.4">
      <c r="A5" s="7"/>
      <c r="B5" s="7"/>
      <c r="C5" s="7"/>
      <c r="D5" s="7"/>
      <c r="E5" s="2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thickBot="1" x14ac:dyDescent="0.4">
      <c r="A6" s="37"/>
      <c r="B6" s="38" t="s">
        <v>122</v>
      </c>
      <c r="C6" s="39" t="s">
        <v>123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40" t="s">
        <v>124</v>
      </c>
      <c r="B7" s="36">
        <v>1.2</v>
      </c>
      <c r="C7" s="42">
        <f t="shared" ref="C7:C12" si="0">100*(B7/$B$12)</f>
        <v>5.4298642533936645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5">
      <c r="A8" s="41" t="s">
        <v>125</v>
      </c>
      <c r="B8" s="36">
        <v>2.1</v>
      </c>
      <c r="C8" s="42">
        <f t="shared" si="0"/>
        <v>9.502262443438914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41" t="s">
        <v>126</v>
      </c>
      <c r="B9" s="36">
        <v>2.2000000000000002</v>
      </c>
      <c r="C9" s="42">
        <f t="shared" si="0"/>
        <v>9.9547511312217196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A10" s="41" t="s">
        <v>127</v>
      </c>
      <c r="B10" s="36">
        <v>0</v>
      </c>
      <c r="C10" s="42">
        <f t="shared" si="0"/>
        <v>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thickBot="1" x14ac:dyDescent="0.4">
      <c r="A11" s="41" t="s">
        <v>106</v>
      </c>
      <c r="B11" s="36">
        <v>16</v>
      </c>
      <c r="C11" s="42">
        <f t="shared" si="0"/>
        <v>72.398190045248867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thickBot="1" x14ac:dyDescent="0.4">
      <c r="A12" s="43" t="s">
        <v>128</v>
      </c>
      <c r="B12" s="63">
        <v>22.1</v>
      </c>
      <c r="C12" s="58">
        <f t="shared" si="0"/>
        <v>100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3"/>
  <sheetViews>
    <sheetView workbookViewId="0">
      <selection activeCell="O18" sqref="O18"/>
    </sheetView>
  </sheetViews>
  <sheetFormatPr defaultColWidth="8.81640625" defaultRowHeight="14.5" x14ac:dyDescent="0.35"/>
  <cols>
    <col min="1" max="1" width="20.81640625" style="66" customWidth="1"/>
    <col min="2" max="12" width="8.81640625" style="66"/>
    <col min="13" max="13" width="10.453125" style="66" customWidth="1"/>
    <col min="14" max="16384" width="8.81640625" style="66"/>
  </cols>
  <sheetData>
    <row r="1" spans="1:13" x14ac:dyDescent="0.35">
      <c r="A1" s="67" t="s">
        <v>205</v>
      </c>
      <c r="B1" s="67">
        <v>2011</v>
      </c>
      <c r="C1" s="67">
        <v>2012</v>
      </c>
      <c r="D1" s="67">
        <v>2013</v>
      </c>
      <c r="E1" s="67">
        <v>2014</v>
      </c>
      <c r="F1" s="67">
        <v>2015</v>
      </c>
      <c r="G1" s="67">
        <v>2016</v>
      </c>
      <c r="H1" s="67">
        <v>2017</v>
      </c>
      <c r="I1" s="67">
        <v>2018</v>
      </c>
      <c r="J1" s="67">
        <v>2019</v>
      </c>
      <c r="K1" s="68" t="s">
        <v>206</v>
      </c>
      <c r="L1" s="68" t="s">
        <v>207</v>
      </c>
      <c r="M1" s="67" t="s">
        <v>208</v>
      </c>
    </row>
    <row r="2" spans="1:13" x14ac:dyDescent="0.35">
      <c r="A2" s="66" t="s">
        <v>209</v>
      </c>
      <c r="B2" s="66">
        <v>104</v>
      </c>
      <c r="C2" s="66">
        <v>114</v>
      </c>
      <c r="D2" s="66">
        <v>124.6</v>
      </c>
      <c r="E2" s="66">
        <v>134.5</v>
      </c>
      <c r="F2" s="66">
        <v>117.9</v>
      </c>
      <c r="G2" s="66">
        <v>121.6</v>
      </c>
      <c r="H2" s="66">
        <v>125.3</v>
      </c>
      <c r="I2" s="66">
        <v>134.6</v>
      </c>
      <c r="J2" s="66">
        <v>142.5</v>
      </c>
      <c r="K2" s="69">
        <f t="shared" ref="K2:K37" si="0">AVERAGE(B2:J2)</f>
        <v>124.33333333333333</v>
      </c>
      <c r="L2" s="69">
        <f t="shared" ref="L2:L37" si="1">J2/K2</f>
        <v>1.146112600536193</v>
      </c>
      <c r="M2" s="66">
        <f>J2/B2 - 1</f>
        <v>0.37019230769230771</v>
      </c>
    </row>
    <row r="3" spans="1:13" x14ac:dyDescent="0.35">
      <c r="A3" s="66" t="s">
        <v>210</v>
      </c>
      <c r="B3" s="66">
        <v>104</v>
      </c>
      <c r="C3" s="66">
        <v>112.9</v>
      </c>
      <c r="D3" s="66">
        <v>122.6</v>
      </c>
      <c r="E3" s="66">
        <v>132.4</v>
      </c>
      <c r="F3" s="66">
        <v>115.8</v>
      </c>
      <c r="G3" s="66">
        <v>118.6</v>
      </c>
      <c r="H3" s="66">
        <v>124.2</v>
      </c>
      <c r="I3" s="66">
        <v>131.30000000000001</v>
      </c>
      <c r="J3" s="66">
        <v>136.4</v>
      </c>
      <c r="K3" s="69">
        <f t="shared" si="0"/>
        <v>122.02222222222223</v>
      </c>
      <c r="L3" s="69">
        <f t="shared" si="1"/>
        <v>1.1178291750136586</v>
      </c>
      <c r="M3" s="66">
        <f t="shared" ref="M3:M37" si="2">J3/B3 - 1</f>
        <v>0.31153846153846154</v>
      </c>
    </row>
    <row r="4" spans="1:13" x14ac:dyDescent="0.35">
      <c r="A4" s="66" t="s">
        <v>211</v>
      </c>
      <c r="B4" s="66">
        <v>104</v>
      </c>
      <c r="C4" s="66">
        <v>112.2</v>
      </c>
      <c r="D4" s="66">
        <v>122.9</v>
      </c>
      <c r="E4" s="66">
        <v>131.9</v>
      </c>
      <c r="F4" s="66">
        <v>117.7</v>
      </c>
      <c r="G4" s="66">
        <v>121.7</v>
      </c>
      <c r="H4" s="66">
        <v>125.7</v>
      </c>
      <c r="I4" s="66">
        <v>130.5</v>
      </c>
      <c r="J4" s="66">
        <v>132.69999999999999</v>
      </c>
      <c r="K4" s="69">
        <f t="shared" si="0"/>
        <v>122.14444444444446</v>
      </c>
      <c r="L4" s="69">
        <f t="shared" si="1"/>
        <v>1.0864186300372962</v>
      </c>
      <c r="M4" s="66">
        <f t="shared" si="2"/>
        <v>0.27596153846153837</v>
      </c>
    </row>
    <row r="5" spans="1:13" x14ac:dyDescent="0.35">
      <c r="A5" s="66" t="s">
        <v>159</v>
      </c>
      <c r="B5" s="66">
        <v>104</v>
      </c>
      <c r="C5" s="66">
        <v>114.3</v>
      </c>
      <c r="D5" s="66">
        <v>125.7</v>
      </c>
      <c r="E5" s="66">
        <v>135.9</v>
      </c>
      <c r="F5" s="66">
        <v>116.5</v>
      </c>
      <c r="G5" s="66">
        <v>121</v>
      </c>
      <c r="H5" s="66">
        <v>124.1</v>
      </c>
      <c r="I5" s="66">
        <v>131.4</v>
      </c>
      <c r="J5" s="66">
        <v>135</v>
      </c>
      <c r="K5" s="69">
        <f t="shared" si="0"/>
        <v>123.10000000000001</v>
      </c>
      <c r="L5" s="69">
        <f t="shared" si="1"/>
        <v>1.0966693744922826</v>
      </c>
      <c r="M5" s="66">
        <f t="shared" si="2"/>
        <v>0.29807692307692313</v>
      </c>
    </row>
    <row r="6" spans="1:13" x14ac:dyDescent="0.35">
      <c r="A6" s="66" t="s">
        <v>212</v>
      </c>
      <c r="B6" s="66">
        <v>103</v>
      </c>
      <c r="C6" s="66">
        <v>111.1</v>
      </c>
      <c r="D6" s="66">
        <v>121.9</v>
      </c>
      <c r="E6" s="66">
        <v>128.80000000000001</v>
      </c>
      <c r="F6" s="66">
        <v>113.2</v>
      </c>
      <c r="G6" s="66">
        <v>117.4</v>
      </c>
      <c r="H6" s="66">
        <v>119.7</v>
      </c>
      <c r="I6" s="66">
        <v>129.4</v>
      </c>
      <c r="J6" s="66">
        <v>132.6</v>
      </c>
      <c r="K6" s="69">
        <f t="shared" si="0"/>
        <v>119.67777777777776</v>
      </c>
      <c r="L6" s="69">
        <f t="shared" si="1"/>
        <v>1.1079751183734101</v>
      </c>
      <c r="M6" s="66">
        <f t="shared" si="2"/>
        <v>0.28737864077669895</v>
      </c>
    </row>
    <row r="7" spans="1:13" x14ac:dyDescent="0.35">
      <c r="A7" s="66" t="s">
        <v>213</v>
      </c>
      <c r="B7" s="66">
        <v>104</v>
      </c>
      <c r="C7" s="66">
        <v>111.6</v>
      </c>
      <c r="D7" s="66">
        <v>120.9</v>
      </c>
      <c r="E7" s="66">
        <v>130.4</v>
      </c>
      <c r="F7" s="66">
        <v>116.1</v>
      </c>
      <c r="G7" s="66">
        <v>120.1</v>
      </c>
      <c r="H7" s="66">
        <v>123.8</v>
      </c>
      <c r="I7" s="66">
        <v>132.1</v>
      </c>
      <c r="J7" s="66">
        <v>134</v>
      </c>
      <c r="K7" s="69">
        <f t="shared" si="0"/>
        <v>121.44444444444444</v>
      </c>
      <c r="L7" s="69">
        <f t="shared" si="1"/>
        <v>1.1033851784080513</v>
      </c>
      <c r="M7" s="66">
        <f t="shared" si="2"/>
        <v>0.28846153846153855</v>
      </c>
    </row>
    <row r="8" spans="1:13" x14ac:dyDescent="0.35">
      <c r="A8" s="66" t="s">
        <v>214</v>
      </c>
      <c r="B8" s="66">
        <v>104</v>
      </c>
      <c r="C8" s="66">
        <v>113.1</v>
      </c>
      <c r="D8" s="66">
        <v>123.3</v>
      </c>
      <c r="E8" s="66">
        <v>134.9</v>
      </c>
      <c r="F8" s="66">
        <v>118.2</v>
      </c>
      <c r="G8" s="66">
        <v>123.6</v>
      </c>
      <c r="H8" s="66">
        <v>131.4</v>
      </c>
      <c r="I8" s="66">
        <v>137.9</v>
      </c>
      <c r="J8" s="66">
        <v>140.69999999999999</v>
      </c>
      <c r="K8" s="69">
        <f t="shared" si="0"/>
        <v>125.23333333333332</v>
      </c>
      <c r="L8" s="69">
        <f t="shared" si="1"/>
        <v>1.1235027947830716</v>
      </c>
      <c r="M8" s="66">
        <f t="shared" si="2"/>
        <v>0.35288461538461524</v>
      </c>
    </row>
    <row r="9" spans="1:13" x14ac:dyDescent="0.35">
      <c r="A9" s="66" t="s">
        <v>215</v>
      </c>
      <c r="B9" s="66">
        <v>104</v>
      </c>
      <c r="C9" s="66">
        <v>112</v>
      </c>
      <c r="D9" s="66">
        <v>123.3</v>
      </c>
      <c r="E9" s="66">
        <v>132</v>
      </c>
      <c r="F9" s="66">
        <v>117.7</v>
      </c>
      <c r="G9" s="66">
        <v>124.4</v>
      </c>
      <c r="H9" s="66">
        <v>129.80000000000001</v>
      </c>
      <c r="I9" s="66">
        <v>136.1</v>
      </c>
      <c r="J9" s="66">
        <v>139.30000000000001</v>
      </c>
      <c r="K9" s="69">
        <f t="shared" si="0"/>
        <v>124.28888888888891</v>
      </c>
      <c r="L9" s="69">
        <f t="shared" si="1"/>
        <v>1.1207759699624531</v>
      </c>
      <c r="M9" s="66">
        <f t="shared" si="2"/>
        <v>0.33942307692307705</v>
      </c>
    </row>
    <row r="10" spans="1:13" x14ac:dyDescent="0.35">
      <c r="A10" s="66" t="s">
        <v>216</v>
      </c>
      <c r="B10" s="66">
        <v>104</v>
      </c>
      <c r="C10" s="66">
        <v>111.8</v>
      </c>
      <c r="D10" s="66">
        <v>124.1</v>
      </c>
      <c r="E10" s="66">
        <v>135.1</v>
      </c>
      <c r="F10" s="66">
        <v>118.4</v>
      </c>
      <c r="G10" s="66">
        <v>124.4</v>
      </c>
      <c r="H10" s="66">
        <v>127.8</v>
      </c>
      <c r="I10" s="66">
        <v>135.30000000000001</v>
      </c>
      <c r="J10" s="66">
        <v>138.4</v>
      </c>
      <c r="K10" s="69">
        <f t="shared" si="0"/>
        <v>124.36666666666666</v>
      </c>
      <c r="L10" s="69">
        <f t="shared" si="1"/>
        <v>1.1128383811310643</v>
      </c>
      <c r="M10" s="66">
        <f t="shared" si="2"/>
        <v>0.33076923076923093</v>
      </c>
    </row>
    <row r="11" spans="1:13" x14ac:dyDescent="0.35">
      <c r="A11" s="66" t="s">
        <v>217</v>
      </c>
      <c r="B11" s="66">
        <v>104</v>
      </c>
      <c r="C11" s="66">
        <v>112.7</v>
      </c>
      <c r="D11" s="66">
        <v>125</v>
      </c>
      <c r="E11" s="66">
        <v>134.80000000000001</v>
      </c>
      <c r="F11" s="66">
        <v>117.7</v>
      </c>
      <c r="G11" s="66">
        <v>123.5</v>
      </c>
      <c r="H11" s="66">
        <v>126.6</v>
      </c>
      <c r="I11" s="66">
        <v>132.6</v>
      </c>
      <c r="J11" s="66">
        <v>135.6</v>
      </c>
      <c r="K11" s="69">
        <f t="shared" si="0"/>
        <v>123.61111111111111</v>
      </c>
      <c r="L11" s="69">
        <f t="shared" si="1"/>
        <v>1.0969887640449438</v>
      </c>
      <c r="M11" s="66">
        <f t="shared" si="2"/>
        <v>0.30384615384615388</v>
      </c>
    </row>
    <row r="12" spans="1:13" x14ac:dyDescent="0.35">
      <c r="A12" s="66" t="s">
        <v>218</v>
      </c>
      <c r="B12" s="66">
        <v>103</v>
      </c>
      <c r="C12" s="66">
        <v>112.6</v>
      </c>
      <c r="D12" s="66">
        <v>128.80000000000001</v>
      </c>
      <c r="E12" s="66">
        <v>138.5</v>
      </c>
      <c r="F12" s="66">
        <v>119.4</v>
      </c>
      <c r="G12" s="66">
        <v>126.5</v>
      </c>
      <c r="H12" s="66">
        <v>132.5</v>
      </c>
      <c r="I12" s="66">
        <v>140.5</v>
      </c>
      <c r="J12" s="66">
        <v>144.80000000000001</v>
      </c>
      <c r="K12" s="69">
        <f t="shared" si="0"/>
        <v>127.39999999999999</v>
      </c>
      <c r="L12" s="69">
        <f t="shared" si="1"/>
        <v>1.1365777080062796</v>
      </c>
      <c r="M12" s="66">
        <f t="shared" si="2"/>
        <v>0.40582524271844678</v>
      </c>
    </row>
    <row r="13" spans="1:13" x14ac:dyDescent="0.35">
      <c r="A13" s="66" t="s">
        <v>219</v>
      </c>
      <c r="B13" s="66" t="s">
        <v>220</v>
      </c>
      <c r="C13" s="66" t="s">
        <v>220</v>
      </c>
      <c r="D13" s="66" t="s">
        <v>220</v>
      </c>
      <c r="E13" s="66" t="s">
        <v>220</v>
      </c>
      <c r="F13" s="66" t="s">
        <v>220</v>
      </c>
      <c r="G13" s="66" t="s">
        <v>220</v>
      </c>
      <c r="H13" s="66" t="s">
        <v>220</v>
      </c>
      <c r="I13" s="66" t="s">
        <v>220</v>
      </c>
      <c r="J13" s="66" t="s">
        <v>220</v>
      </c>
      <c r="K13" s="69" t="e">
        <f t="shared" si="0"/>
        <v>#DIV/0!</v>
      </c>
      <c r="L13" s="69" t="e">
        <f t="shared" si="1"/>
        <v>#VALUE!</v>
      </c>
      <c r="M13" s="66" t="e">
        <f t="shared" si="2"/>
        <v>#VALUE!</v>
      </c>
    </row>
    <row r="14" spans="1:13" x14ac:dyDescent="0.35">
      <c r="A14" s="66" t="s">
        <v>221</v>
      </c>
      <c r="B14" s="66">
        <v>103</v>
      </c>
      <c r="C14" s="66">
        <v>110.8</v>
      </c>
      <c r="D14" s="66">
        <v>118.9</v>
      </c>
      <c r="E14" s="66">
        <v>132.4</v>
      </c>
      <c r="F14" s="66">
        <v>119.1</v>
      </c>
      <c r="G14" s="66">
        <v>124.5</v>
      </c>
      <c r="H14" s="66">
        <v>129.1</v>
      </c>
      <c r="I14" s="66">
        <v>134.9</v>
      </c>
      <c r="J14" s="66">
        <v>140.30000000000001</v>
      </c>
      <c r="K14" s="69">
        <f t="shared" si="0"/>
        <v>123.66666666666667</v>
      </c>
      <c r="L14" s="69">
        <f t="shared" si="1"/>
        <v>1.134501347708895</v>
      </c>
      <c r="M14" s="66">
        <f t="shared" si="2"/>
        <v>0.36213592233009728</v>
      </c>
    </row>
    <row r="15" spans="1:13" x14ac:dyDescent="0.35">
      <c r="A15" s="66" t="s">
        <v>222</v>
      </c>
      <c r="B15" s="66">
        <v>104</v>
      </c>
      <c r="C15" s="66">
        <v>112.4</v>
      </c>
      <c r="D15" s="66">
        <v>120</v>
      </c>
      <c r="E15" s="66">
        <v>130.6</v>
      </c>
      <c r="F15" s="66">
        <v>117.6</v>
      </c>
      <c r="G15" s="66">
        <v>121</v>
      </c>
      <c r="H15" s="66">
        <v>127.7</v>
      </c>
      <c r="I15" s="66">
        <v>132.30000000000001</v>
      </c>
      <c r="J15" s="66">
        <v>139.80000000000001</v>
      </c>
      <c r="K15" s="69">
        <f t="shared" si="0"/>
        <v>122.82222222222224</v>
      </c>
      <c r="L15" s="69">
        <f t="shared" si="1"/>
        <v>1.1382305047946444</v>
      </c>
      <c r="M15" s="66">
        <f t="shared" si="2"/>
        <v>0.34423076923076934</v>
      </c>
    </row>
    <row r="16" spans="1:13" x14ac:dyDescent="0.35">
      <c r="A16" s="66" t="s">
        <v>223</v>
      </c>
      <c r="B16" s="66">
        <v>104</v>
      </c>
      <c r="C16" s="66">
        <v>116</v>
      </c>
      <c r="D16" s="66">
        <v>124.4</v>
      </c>
      <c r="E16" s="66">
        <v>136.80000000000001</v>
      </c>
      <c r="F16" s="66">
        <v>117.6</v>
      </c>
      <c r="G16" s="66">
        <v>122.8</v>
      </c>
      <c r="H16" s="66">
        <v>124</v>
      </c>
      <c r="I16" s="66">
        <v>127.8</v>
      </c>
      <c r="J16" s="66">
        <v>130</v>
      </c>
      <c r="K16" s="69">
        <f t="shared" si="0"/>
        <v>122.59999999999998</v>
      </c>
      <c r="L16" s="69">
        <f t="shared" si="1"/>
        <v>1.0603588907014683</v>
      </c>
      <c r="M16" s="66">
        <f t="shared" si="2"/>
        <v>0.25</v>
      </c>
    </row>
    <row r="17" spans="1:13" x14ac:dyDescent="0.35">
      <c r="A17" s="66" t="s">
        <v>224</v>
      </c>
      <c r="B17" s="66">
        <v>105</v>
      </c>
      <c r="C17" s="66">
        <v>111.7</v>
      </c>
      <c r="D17" s="66">
        <v>122.8</v>
      </c>
      <c r="E17" s="66">
        <v>140.4</v>
      </c>
      <c r="F17" s="66">
        <v>128.19999999999999</v>
      </c>
      <c r="G17" s="66">
        <v>132.19999999999999</v>
      </c>
      <c r="H17" s="66">
        <v>132.69999999999999</v>
      </c>
      <c r="I17" s="66">
        <v>139.1</v>
      </c>
      <c r="J17" s="66">
        <v>144</v>
      </c>
      <c r="K17" s="69">
        <f t="shared" si="0"/>
        <v>128.45555555555555</v>
      </c>
      <c r="L17" s="69">
        <f t="shared" si="1"/>
        <v>1.1210102932272294</v>
      </c>
      <c r="M17" s="66">
        <f t="shared" si="2"/>
        <v>0.37142857142857144</v>
      </c>
    </row>
    <row r="18" spans="1:13" x14ac:dyDescent="0.35">
      <c r="A18" s="66" t="s">
        <v>225</v>
      </c>
      <c r="B18" s="66">
        <v>104</v>
      </c>
      <c r="C18" s="66">
        <v>111.2</v>
      </c>
      <c r="D18" s="66">
        <v>119.5</v>
      </c>
      <c r="E18" s="66">
        <v>127</v>
      </c>
      <c r="F18" s="66">
        <v>116.6</v>
      </c>
      <c r="G18" s="66">
        <v>121.9</v>
      </c>
      <c r="H18" s="66">
        <v>125.4</v>
      </c>
      <c r="I18" s="66">
        <v>129.4</v>
      </c>
      <c r="J18" s="66">
        <v>133.19999999999999</v>
      </c>
      <c r="K18" s="69">
        <f t="shared" si="0"/>
        <v>120.9111111111111</v>
      </c>
      <c r="L18" s="69">
        <f t="shared" si="1"/>
        <v>1.1016357287263372</v>
      </c>
      <c r="M18" s="66">
        <f t="shared" si="2"/>
        <v>0.28076923076923066</v>
      </c>
    </row>
    <row r="19" spans="1:13" x14ac:dyDescent="0.35">
      <c r="A19" s="66" t="s">
        <v>226</v>
      </c>
      <c r="B19" s="66">
        <v>104</v>
      </c>
      <c r="C19" s="66">
        <v>112.4</v>
      </c>
      <c r="D19" s="66">
        <v>123.6</v>
      </c>
      <c r="E19" s="66">
        <v>134.80000000000001</v>
      </c>
      <c r="F19" s="66">
        <v>117.8</v>
      </c>
      <c r="G19" s="66">
        <v>123.2</v>
      </c>
      <c r="H19" s="66">
        <v>126.5</v>
      </c>
      <c r="I19" s="66">
        <v>130.69999999999999</v>
      </c>
      <c r="J19" s="66">
        <v>137.1</v>
      </c>
      <c r="K19" s="69">
        <f t="shared" si="0"/>
        <v>123.34444444444443</v>
      </c>
      <c r="L19" s="69">
        <f t="shared" si="1"/>
        <v>1.1115214845509414</v>
      </c>
      <c r="M19" s="66">
        <f t="shared" si="2"/>
        <v>0.31826923076923075</v>
      </c>
    </row>
    <row r="20" spans="1:13" x14ac:dyDescent="0.35">
      <c r="A20" s="66" t="s">
        <v>227</v>
      </c>
      <c r="B20" s="66">
        <v>104</v>
      </c>
      <c r="C20" s="66">
        <v>111</v>
      </c>
      <c r="D20" s="66">
        <v>124.8</v>
      </c>
      <c r="E20" s="66">
        <v>137.30000000000001</v>
      </c>
      <c r="F20" s="66">
        <v>119</v>
      </c>
      <c r="G20" s="66">
        <v>124.1</v>
      </c>
      <c r="H20" s="66">
        <v>127.2</v>
      </c>
      <c r="I20" s="66">
        <v>135.5</v>
      </c>
      <c r="J20" s="66">
        <v>138.30000000000001</v>
      </c>
      <c r="K20" s="69">
        <f t="shared" si="0"/>
        <v>124.57777777777778</v>
      </c>
      <c r="L20" s="69">
        <f t="shared" si="1"/>
        <v>1.1101498394577238</v>
      </c>
      <c r="M20" s="66">
        <f t="shared" si="2"/>
        <v>0.32980769230769247</v>
      </c>
    </row>
    <row r="21" spans="1:13" x14ac:dyDescent="0.35">
      <c r="A21" s="66" t="s">
        <v>228</v>
      </c>
      <c r="B21" s="66">
        <v>105</v>
      </c>
      <c r="C21" s="66">
        <v>111.9</v>
      </c>
      <c r="D21" s="66">
        <v>123.9</v>
      </c>
      <c r="E21" s="66">
        <v>135.80000000000001</v>
      </c>
      <c r="F21" s="66">
        <v>116.8</v>
      </c>
      <c r="G21" s="66">
        <v>122.1</v>
      </c>
      <c r="H21" s="66">
        <v>125.4</v>
      </c>
      <c r="I21" s="66">
        <v>132.30000000000001</v>
      </c>
      <c r="J21" s="66">
        <v>138.5</v>
      </c>
      <c r="K21" s="69">
        <f t="shared" si="0"/>
        <v>123.52222222222223</v>
      </c>
      <c r="L21" s="69">
        <f t="shared" si="1"/>
        <v>1.1212557344607357</v>
      </c>
      <c r="M21" s="66">
        <f t="shared" si="2"/>
        <v>0.31904761904761902</v>
      </c>
    </row>
    <row r="22" spans="1:13" x14ac:dyDescent="0.35">
      <c r="A22" s="66" t="s">
        <v>229</v>
      </c>
      <c r="B22" s="66">
        <v>105</v>
      </c>
      <c r="C22" s="66">
        <v>113.1</v>
      </c>
      <c r="D22" s="66">
        <v>126.7</v>
      </c>
      <c r="E22" s="66">
        <v>138</v>
      </c>
      <c r="F22" s="66">
        <v>117.9</v>
      </c>
      <c r="G22" s="66">
        <v>123.3</v>
      </c>
      <c r="H22" s="66">
        <v>125.9</v>
      </c>
      <c r="I22" s="66">
        <v>132</v>
      </c>
      <c r="J22" s="66">
        <v>136.1</v>
      </c>
      <c r="K22" s="69">
        <f t="shared" si="0"/>
        <v>124.22222222222223</v>
      </c>
      <c r="L22" s="69">
        <f t="shared" si="1"/>
        <v>1.0956171735241502</v>
      </c>
      <c r="M22" s="66">
        <f t="shared" si="2"/>
        <v>0.29619047619047612</v>
      </c>
    </row>
    <row r="23" spans="1:13" x14ac:dyDescent="0.35">
      <c r="A23" s="66" t="s">
        <v>230</v>
      </c>
      <c r="B23" s="66">
        <v>105</v>
      </c>
      <c r="C23" s="66">
        <v>112.4</v>
      </c>
      <c r="D23" s="66">
        <v>123.9</v>
      </c>
      <c r="E23" s="66">
        <v>134.5</v>
      </c>
      <c r="F23" s="66">
        <v>117.3</v>
      </c>
      <c r="G23" s="66">
        <v>123.1</v>
      </c>
      <c r="H23" s="66">
        <v>125.5</v>
      </c>
      <c r="I23" s="66">
        <v>134</v>
      </c>
      <c r="J23" s="66">
        <v>137.6</v>
      </c>
      <c r="K23" s="69">
        <f t="shared" si="0"/>
        <v>123.69999999999999</v>
      </c>
      <c r="L23" s="69">
        <f t="shared" si="1"/>
        <v>1.1123686337914309</v>
      </c>
      <c r="M23" s="66">
        <f t="shared" si="2"/>
        <v>0.31047619047619035</v>
      </c>
    </row>
    <row r="24" spans="1:13" x14ac:dyDescent="0.35">
      <c r="A24" s="66" t="s">
        <v>231</v>
      </c>
      <c r="B24" s="66">
        <v>104</v>
      </c>
      <c r="C24" s="66">
        <v>111.9</v>
      </c>
      <c r="D24" s="66">
        <v>123.6</v>
      </c>
      <c r="E24" s="66">
        <v>132.80000000000001</v>
      </c>
      <c r="F24" s="66">
        <v>118.9</v>
      </c>
      <c r="G24" s="66">
        <v>123.9</v>
      </c>
      <c r="H24" s="66">
        <v>126.9</v>
      </c>
      <c r="I24" s="66">
        <v>134</v>
      </c>
      <c r="J24" s="66">
        <v>138.69999999999999</v>
      </c>
      <c r="K24" s="69">
        <f t="shared" si="0"/>
        <v>123.85555555555555</v>
      </c>
      <c r="L24" s="69">
        <f t="shared" si="1"/>
        <v>1.1198528752130616</v>
      </c>
      <c r="M24" s="66">
        <f t="shared" si="2"/>
        <v>0.33365384615384608</v>
      </c>
    </row>
    <row r="25" spans="1:13" x14ac:dyDescent="0.35">
      <c r="A25" s="66" t="s">
        <v>232</v>
      </c>
      <c r="B25" s="66">
        <v>104</v>
      </c>
      <c r="C25" s="66">
        <v>113.4</v>
      </c>
      <c r="D25" s="66">
        <v>124.1</v>
      </c>
      <c r="E25" s="66">
        <v>132.30000000000001</v>
      </c>
      <c r="F25" s="66">
        <v>116.4</v>
      </c>
      <c r="G25" s="66">
        <v>120.7</v>
      </c>
      <c r="H25" s="66">
        <v>123.5</v>
      </c>
      <c r="I25" s="66">
        <v>127.5</v>
      </c>
      <c r="J25" s="66">
        <v>132.5</v>
      </c>
      <c r="K25" s="69">
        <f t="shared" si="0"/>
        <v>121.60000000000001</v>
      </c>
      <c r="L25" s="69">
        <f t="shared" si="1"/>
        <v>1.0896381578947367</v>
      </c>
      <c r="M25" s="66">
        <f t="shared" si="2"/>
        <v>0.27403846153846145</v>
      </c>
    </row>
    <row r="26" spans="1:13" x14ac:dyDescent="0.35">
      <c r="A26" s="66" t="s">
        <v>233</v>
      </c>
      <c r="B26" s="66">
        <v>103</v>
      </c>
      <c r="C26" s="66">
        <v>113</v>
      </c>
      <c r="D26" s="66">
        <v>121.1</v>
      </c>
      <c r="E26" s="66">
        <v>128.69999999999999</v>
      </c>
      <c r="F26" s="66">
        <v>119.9</v>
      </c>
      <c r="G26" s="66">
        <v>125.6</v>
      </c>
      <c r="H26" s="66">
        <v>127.3</v>
      </c>
      <c r="I26" s="66">
        <v>127.8</v>
      </c>
      <c r="J26" s="66">
        <v>134.19999999999999</v>
      </c>
      <c r="K26" s="69">
        <f t="shared" si="0"/>
        <v>122.28888888888888</v>
      </c>
      <c r="L26" s="69">
        <f t="shared" si="1"/>
        <v>1.0974014174086861</v>
      </c>
      <c r="M26" s="66">
        <f t="shared" si="2"/>
        <v>0.30291262135922326</v>
      </c>
    </row>
    <row r="27" spans="1:13" x14ac:dyDescent="0.35">
      <c r="A27" s="66" t="s">
        <v>234</v>
      </c>
      <c r="B27" s="66">
        <v>104</v>
      </c>
      <c r="C27" s="66">
        <v>112.9</v>
      </c>
      <c r="D27" s="66">
        <v>119.9</v>
      </c>
      <c r="E27" s="66">
        <v>127.3</v>
      </c>
      <c r="F27" s="66">
        <v>114.3</v>
      </c>
      <c r="G27" s="66">
        <v>120.1</v>
      </c>
      <c r="H27" s="66">
        <v>125</v>
      </c>
      <c r="I27" s="66">
        <v>128</v>
      </c>
      <c r="J27" s="66">
        <v>131.6</v>
      </c>
      <c r="K27" s="69">
        <f t="shared" si="0"/>
        <v>120.34444444444443</v>
      </c>
      <c r="L27" s="69">
        <f t="shared" si="1"/>
        <v>1.0935278367648418</v>
      </c>
      <c r="M27" s="66">
        <f t="shared" si="2"/>
        <v>0.26538461538461533</v>
      </c>
    </row>
    <row r="28" spans="1:13" x14ac:dyDescent="0.35">
      <c r="A28" s="66" t="s">
        <v>235</v>
      </c>
      <c r="B28" s="66">
        <v>104</v>
      </c>
      <c r="C28" s="66">
        <v>112.3</v>
      </c>
      <c r="D28" s="66">
        <v>124</v>
      </c>
      <c r="E28" s="66">
        <v>132.1</v>
      </c>
      <c r="F28" s="66">
        <v>116.5</v>
      </c>
      <c r="G28" s="66">
        <v>120.9</v>
      </c>
      <c r="H28" s="66">
        <v>124.3</v>
      </c>
      <c r="I28" s="66">
        <v>129.9</v>
      </c>
      <c r="J28" s="66">
        <v>134.30000000000001</v>
      </c>
      <c r="K28" s="69">
        <f t="shared" si="0"/>
        <v>122.03333333333333</v>
      </c>
      <c r="L28" s="69">
        <f t="shared" si="1"/>
        <v>1.1005189838841847</v>
      </c>
      <c r="M28" s="66">
        <f t="shared" si="2"/>
        <v>0.29134615384615392</v>
      </c>
    </row>
    <row r="29" spans="1:13" x14ac:dyDescent="0.35">
      <c r="A29" s="66" t="s">
        <v>236</v>
      </c>
      <c r="B29" s="66">
        <v>104</v>
      </c>
      <c r="C29" s="66">
        <v>112.6</v>
      </c>
      <c r="D29" s="66">
        <v>126.1</v>
      </c>
      <c r="E29" s="66">
        <v>136.5</v>
      </c>
      <c r="F29" s="66">
        <v>119.3</v>
      </c>
      <c r="G29" s="66">
        <v>128.4</v>
      </c>
      <c r="H29" s="66">
        <v>130.5</v>
      </c>
      <c r="I29" s="66">
        <v>136</v>
      </c>
      <c r="J29" s="66">
        <v>139.4</v>
      </c>
      <c r="K29" s="69">
        <f t="shared" si="0"/>
        <v>125.86666666666666</v>
      </c>
      <c r="L29" s="69">
        <f t="shared" si="1"/>
        <v>1.107521186440678</v>
      </c>
      <c r="M29" s="66">
        <f t="shared" si="2"/>
        <v>0.34038461538461551</v>
      </c>
    </row>
    <row r="30" spans="1:13" x14ac:dyDescent="0.35">
      <c r="A30" s="66" t="s">
        <v>237</v>
      </c>
      <c r="B30" s="66">
        <v>104</v>
      </c>
      <c r="C30" s="66">
        <v>115.7</v>
      </c>
      <c r="D30" s="66">
        <v>127.4</v>
      </c>
      <c r="E30" s="66">
        <v>141.19999999999999</v>
      </c>
      <c r="F30" s="66">
        <v>123.5</v>
      </c>
      <c r="G30" s="66">
        <v>131.19999999999999</v>
      </c>
      <c r="H30" s="66">
        <v>134.9</v>
      </c>
      <c r="I30" s="66">
        <v>139.30000000000001</v>
      </c>
      <c r="J30" s="66">
        <v>146</v>
      </c>
      <c r="K30" s="69">
        <f t="shared" si="0"/>
        <v>129.24444444444444</v>
      </c>
      <c r="L30" s="69">
        <f t="shared" si="1"/>
        <v>1.1296423658872077</v>
      </c>
      <c r="M30" s="66">
        <f t="shared" si="2"/>
        <v>0.40384615384615374</v>
      </c>
    </row>
    <row r="31" spans="1:13" x14ac:dyDescent="0.35">
      <c r="A31" s="66" t="s">
        <v>238</v>
      </c>
      <c r="B31" s="66">
        <v>103</v>
      </c>
      <c r="C31" s="66">
        <v>112.2</v>
      </c>
      <c r="D31" s="66">
        <v>119</v>
      </c>
      <c r="E31" s="66">
        <v>130</v>
      </c>
      <c r="F31" s="66">
        <v>117.5</v>
      </c>
      <c r="G31" s="66">
        <v>124.4</v>
      </c>
      <c r="H31" s="66">
        <v>126.5</v>
      </c>
      <c r="I31" s="66">
        <v>132.30000000000001</v>
      </c>
      <c r="J31" s="66">
        <v>134.5</v>
      </c>
      <c r="K31" s="69">
        <f t="shared" si="0"/>
        <v>122.15555555555557</v>
      </c>
      <c r="L31" s="69">
        <f t="shared" si="1"/>
        <v>1.1010551209750772</v>
      </c>
      <c r="M31" s="66">
        <f t="shared" si="2"/>
        <v>0.30582524271844669</v>
      </c>
    </row>
    <row r="32" spans="1:13" x14ac:dyDescent="0.35">
      <c r="A32" s="66" t="s">
        <v>239</v>
      </c>
      <c r="B32" s="66">
        <v>103</v>
      </c>
      <c r="C32" s="66">
        <v>114.7</v>
      </c>
      <c r="D32" s="66">
        <v>120.6</v>
      </c>
      <c r="E32" s="66">
        <v>127.6</v>
      </c>
      <c r="F32" s="66">
        <v>109.1</v>
      </c>
      <c r="G32" s="66">
        <v>115.4</v>
      </c>
      <c r="H32" s="66">
        <v>111.1</v>
      </c>
      <c r="I32" s="66">
        <v>130.9</v>
      </c>
      <c r="J32" s="66">
        <v>131.9</v>
      </c>
      <c r="K32" s="69">
        <f t="shared" si="0"/>
        <v>118.25555555555555</v>
      </c>
      <c r="L32" s="69">
        <f t="shared" si="1"/>
        <v>1.115381001597294</v>
      </c>
      <c r="M32" s="66">
        <f t="shared" si="2"/>
        <v>0.28058252427184471</v>
      </c>
    </row>
    <row r="33" spans="1:13" x14ac:dyDescent="0.35">
      <c r="A33" s="66" t="s">
        <v>240</v>
      </c>
      <c r="B33" s="66">
        <v>107</v>
      </c>
      <c r="C33" s="66">
        <v>116.3</v>
      </c>
      <c r="D33" s="66">
        <v>129.4</v>
      </c>
      <c r="E33" s="66">
        <v>141.30000000000001</v>
      </c>
      <c r="F33" s="66">
        <v>121.7</v>
      </c>
      <c r="G33" s="66">
        <v>128.1</v>
      </c>
      <c r="H33" s="66">
        <v>132.30000000000001</v>
      </c>
      <c r="I33" s="66">
        <v>139.1</v>
      </c>
      <c r="J33" s="66">
        <v>144.30000000000001</v>
      </c>
      <c r="K33" s="69">
        <f t="shared" si="0"/>
        <v>128.83333333333337</v>
      </c>
      <c r="L33" s="69">
        <f t="shared" si="1"/>
        <v>1.1200517464424318</v>
      </c>
      <c r="M33" s="66">
        <f t="shared" si="2"/>
        <v>0.34859813084112168</v>
      </c>
    </row>
    <row r="34" spans="1:13" x14ac:dyDescent="0.35">
      <c r="A34" s="66" t="s">
        <v>241</v>
      </c>
      <c r="B34" s="66">
        <v>105</v>
      </c>
      <c r="C34" s="66">
        <v>114.8</v>
      </c>
      <c r="D34" s="66">
        <v>129</v>
      </c>
      <c r="E34" s="66">
        <v>138.4</v>
      </c>
      <c r="F34" s="66">
        <v>121.3</v>
      </c>
      <c r="G34" s="66">
        <v>128.69999999999999</v>
      </c>
      <c r="H34" s="66">
        <v>131.6</v>
      </c>
      <c r="I34" s="66">
        <v>138.5</v>
      </c>
      <c r="J34" s="66">
        <v>142.30000000000001</v>
      </c>
      <c r="K34" s="69">
        <f t="shared" si="0"/>
        <v>127.73333333333335</v>
      </c>
      <c r="L34" s="69">
        <f t="shared" si="1"/>
        <v>1.1140396659707723</v>
      </c>
      <c r="M34" s="66">
        <f t="shared" si="2"/>
        <v>0.35523809523809535</v>
      </c>
    </row>
    <row r="35" spans="1:13" x14ac:dyDescent="0.35">
      <c r="A35" s="66" t="s">
        <v>178</v>
      </c>
      <c r="B35" s="66">
        <v>106</v>
      </c>
      <c r="C35" s="66">
        <v>114.6</v>
      </c>
      <c r="D35" s="66">
        <v>124.3</v>
      </c>
      <c r="E35" s="66">
        <v>136.1</v>
      </c>
      <c r="F35" s="66">
        <v>118.8</v>
      </c>
      <c r="G35" s="66">
        <v>127.8</v>
      </c>
      <c r="H35" s="66">
        <v>129.5</v>
      </c>
      <c r="I35" s="66">
        <v>134.80000000000001</v>
      </c>
      <c r="J35" s="66">
        <v>141.4</v>
      </c>
      <c r="K35" s="69">
        <f t="shared" si="0"/>
        <v>125.92222222222222</v>
      </c>
      <c r="L35" s="69">
        <f t="shared" si="1"/>
        <v>1.1229153798641138</v>
      </c>
      <c r="M35" s="66">
        <f t="shared" si="2"/>
        <v>0.33396226415094343</v>
      </c>
    </row>
    <row r="36" spans="1:13" x14ac:dyDescent="0.35">
      <c r="A36" s="66" t="s">
        <v>242</v>
      </c>
      <c r="B36" s="66">
        <v>105</v>
      </c>
      <c r="C36" s="66">
        <v>116.5</v>
      </c>
      <c r="D36" s="66">
        <v>125.5</v>
      </c>
      <c r="E36" s="66">
        <v>134.4</v>
      </c>
      <c r="F36" s="66">
        <v>115.5</v>
      </c>
      <c r="G36" s="66">
        <v>119.5</v>
      </c>
      <c r="H36" s="66">
        <v>127.2</v>
      </c>
      <c r="I36" s="66">
        <v>133.69999999999999</v>
      </c>
      <c r="J36" s="66">
        <v>140.30000000000001</v>
      </c>
      <c r="K36" s="69">
        <f t="shared" si="0"/>
        <v>124.17777777777776</v>
      </c>
      <c r="L36" s="69">
        <f t="shared" si="1"/>
        <v>1.1298317823908377</v>
      </c>
      <c r="M36" s="66">
        <f t="shared" si="2"/>
        <v>0.33619047619047637</v>
      </c>
    </row>
    <row r="37" spans="1:13" x14ac:dyDescent="0.35">
      <c r="A37" s="66" t="s">
        <v>243</v>
      </c>
      <c r="B37" s="66" t="s">
        <v>220</v>
      </c>
      <c r="C37" s="66" t="s">
        <v>220</v>
      </c>
      <c r="D37" s="66" t="s">
        <v>220</v>
      </c>
      <c r="E37" s="66" t="s">
        <v>220</v>
      </c>
      <c r="F37" s="66">
        <v>118.6</v>
      </c>
      <c r="G37" s="66">
        <v>126.7</v>
      </c>
      <c r="H37" s="66">
        <v>129.9</v>
      </c>
      <c r="I37" s="66">
        <v>135.30000000000001</v>
      </c>
      <c r="J37" s="66">
        <v>138</v>
      </c>
      <c r="K37" s="69">
        <f t="shared" si="0"/>
        <v>129.69999999999999</v>
      </c>
      <c r="L37" s="69">
        <f t="shared" si="1"/>
        <v>1.063993831919815</v>
      </c>
      <c r="M37" s="66" t="e">
        <f t="shared" si="2"/>
        <v>#VALUE!</v>
      </c>
    </row>
    <row r="43" spans="1:13" x14ac:dyDescent="0.35">
      <c r="L43" s="66" t="s">
        <v>244</v>
      </c>
    </row>
  </sheetData>
  <autoFilter ref="A1:L43" xr:uid="{00000000-0009-0000-0000-00000B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F958"/>
  <sheetViews>
    <sheetView tabSelected="1" zoomScale="90" zoomScaleNormal="90" workbookViewId="0">
      <pane xSplit="2" topLeftCell="AM1" activePane="topRight" state="frozen"/>
      <selection pane="topRight" activeCell="AQ3" sqref="AQ3"/>
    </sheetView>
  </sheetViews>
  <sheetFormatPr defaultColWidth="14.453125" defaultRowHeight="15" customHeight="1" x14ac:dyDescent="0.35"/>
  <cols>
    <col min="1" max="1" width="3.453125" style="28" customWidth="1"/>
    <col min="2" max="2" width="19.1796875" style="28" bestFit="1" customWidth="1"/>
    <col min="3" max="3" width="4.81640625" style="28" bestFit="1" customWidth="1"/>
    <col min="4" max="4" width="11.1796875" style="28" bestFit="1" customWidth="1"/>
    <col min="5" max="5" width="10.7265625" style="305" customWidth="1"/>
    <col min="6" max="6" width="8.1796875" style="6" customWidth="1"/>
    <col min="7" max="7" width="12.81640625" style="28" bestFit="1" customWidth="1"/>
    <col min="8" max="8" width="7.26953125" style="28" bestFit="1" customWidth="1"/>
    <col min="9" max="9" width="3" style="28" customWidth="1"/>
    <col min="10" max="10" width="16.26953125" style="28" customWidth="1"/>
    <col min="11" max="11" width="16.453125" style="208" customWidth="1"/>
    <col min="12" max="12" width="15.81640625" style="28" customWidth="1"/>
    <col min="13" max="13" width="13.453125" style="203" customWidth="1"/>
    <col min="14" max="14" width="8.1796875" style="203" bestFit="1" customWidth="1"/>
    <col min="15" max="15" width="11.7265625" style="203" customWidth="1"/>
    <col min="16" max="16" width="9" style="203" customWidth="1"/>
    <col min="17" max="17" width="8.1796875" style="203" bestFit="1" customWidth="1"/>
    <col min="18" max="18" width="21.453125" style="203" customWidth="1"/>
    <col min="19" max="19" width="7.7265625" style="28" customWidth="1"/>
    <col min="20" max="20" width="8.81640625" style="28" customWidth="1"/>
    <col min="21" max="21" width="9" style="28" customWidth="1"/>
    <col min="22" max="22" width="10" style="28" customWidth="1"/>
    <col min="23" max="23" width="25.26953125" style="28" customWidth="1"/>
    <col min="24" max="24" width="22.453125" style="28" customWidth="1"/>
    <col min="25" max="25" width="2.453125" style="28" customWidth="1"/>
    <col min="26" max="26" width="20.453125" style="28" customWidth="1"/>
    <col min="27" max="27" width="12.453125" style="187" customWidth="1"/>
    <col min="28" max="28" width="8.7265625" style="28" customWidth="1"/>
    <col min="29" max="29" width="24.81640625" style="28" customWidth="1"/>
    <col min="30" max="32" width="15" style="203" customWidth="1"/>
    <col min="33" max="33" width="19.453125" style="203" customWidth="1"/>
    <col min="34" max="34" width="10.26953125" style="28" customWidth="1"/>
    <col min="35" max="35" width="12.453125" style="28" customWidth="1"/>
    <col min="36" max="36" width="8.7265625" style="28" customWidth="1"/>
    <col min="37" max="37" width="21.453125" style="28" customWidth="1"/>
    <col min="38" max="38" width="35.453125" style="28" customWidth="1"/>
    <col min="39" max="39" width="12.7265625" style="207" customWidth="1"/>
    <col min="40" max="40" width="12.1796875" style="211" bestFit="1" customWidth="1"/>
    <col min="41" max="41" width="19.81640625" style="211" customWidth="1"/>
    <col min="42" max="42" width="21" style="322" customWidth="1"/>
    <col min="43" max="43" width="20.7265625" style="28" bestFit="1" customWidth="1"/>
    <col min="44" max="44" width="9.453125" style="28" customWidth="1"/>
    <col min="45" max="45" width="36.26953125" style="28" customWidth="1"/>
    <col min="46" max="46" width="4.1796875" style="28" customWidth="1"/>
    <col min="47" max="50" width="14.453125" style="28"/>
    <col min="51" max="57" width="16.36328125" style="28" bestFit="1" customWidth="1"/>
    <col min="58" max="58" width="17.453125" style="28" bestFit="1" customWidth="1"/>
    <col min="59" max="16384" width="14.453125" style="28"/>
  </cols>
  <sheetData>
    <row r="1" spans="1:58" ht="14.25" customHeight="1" x14ac:dyDescent="0.35">
      <c r="E1" s="301"/>
      <c r="J1" s="333" t="s">
        <v>4</v>
      </c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5"/>
      <c r="Z1" s="332" t="s">
        <v>74</v>
      </c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5"/>
      <c r="AM1" s="96"/>
      <c r="AN1" s="329" t="s">
        <v>75</v>
      </c>
      <c r="AO1" s="329"/>
      <c r="AP1" s="329"/>
      <c r="AQ1" s="329"/>
      <c r="AS1" s="9" t="s">
        <v>77</v>
      </c>
    </row>
    <row r="2" spans="1:58" ht="34.5" customHeight="1" x14ac:dyDescent="0.35">
      <c r="A2" s="188"/>
      <c r="B2" s="188"/>
      <c r="C2" s="188"/>
      <c r="D2" s="188"/>
      <c r="E2" s="301"/>
      <c r="F2" s="338"/>
      <c r="G2" s="188"/>
      <c r="H2" s="188"/>
      <c r="I2" s="188"/>
      <c r="J2" s="331" t="s">
        <v>314</v>
      </c>
      <c r="K2" s="331"/>
      <c r="L2" s="331"/>
      <c r="M2" s="330" t="s">
        <v>82</v>
      </c>
      <c r="N2" s="330"/>
      <c r="O2" s="330"/>
      <c r="P2" s="330"/>
      <c r="Q2" s="330"/>
      <c r="R2" s="330"/>
      <c r="S2" s="337" t="s">
        <v>85</v>
      </c>
      <c r="T2" s="324"/>
      <c r="U2" s="324"/>
      <c r="V2" s="324"/>
      <c r="W2" s="325"/>
      <c r="X2" s="189" t="s">
        <v>88</v>
      </c>
      <c r="Y2" s="188"/>
      <c r="Z2" s="337" t="s">
        <v>61</v>
      </c>
      <c r="AA2" s="324"/>
      <c r="AB2" s="324"/>
      <c r="AC2" s="325"/>
      <c r="AD2" s="334" t="s">
        <v>309</v>
      </c>
      <c r="AE2" s="335"/>
      <c r="AF2" s="335"/>
      <c r="AG2" s="336"/>
      <c r="AH2" s="337" t="s">
        <v>92</v>
      </c>
      <c r="AI2" s="324"/>
      <c r="AJ2" s="324"/>
      <c r="AK2" s="325"/>
      <c r="AL2" s="190" t="s">
        <v>93</v>
      </c>
      <c r="AM2" s="105"/>
      <c r="AN2" s="328" t="s">
        <v>340</v>
      </c>
      <c r="AO2" s="328"/>
      <c r="AP2" s="328"/>
      <c r="AQ2" s="328"/>
      <c r="AR2" s="188"/>
      <c r="AS2" s="14" t="s">
        <v>95</v>
      </c>
      <c r="AT2" s="188"/>
    </row>
    <row r="3" spans="1:58" ht="60" customHeight="1" x14ac:dyDescent="0.35">
      <c r="A3" s="104" t="s">
        <v>96</v>
      </c>
      <c r="B3" s="104" t="s">
        <v>97</v>
      </c>
      <c r="C3" s="104" t="s">
        <v>98</v>
      </c>
      <c r="D3" s="104" t="s">
        <v>307</v>
      </c>
      <c r="E3" s="302" t="s">
        <v>358</v>
      </c>
      <c r="F3" s="339" t="s">
        <v>99</v>
      </c>
      <c r="G3" s="104" t="s">
        <v>100</v>
      </c>
      <c r="H3" s="104" t="s">
        <v>331</v>
      </c>
      <c r="I3" s="104"/>
      <c r="J3" s="191" t="s">
        <v>101</v>
      </c>
      <c r="K3" s="105" t="s">
        <v>302</v>
      </c>
      <c r="L3" s="191" t="s">
        <v>102</v>
      </c>
      <c r="M3" s="192" t="s">
        <v>81</v>
      </c>
      <c r="N3" s="193" t="s">
        <v>103</v>
      </c>
      <c r="O3" s="193" t="s">
        <v>104</v>
      </c>
      <c r="P3" s="193" t="s">
        <v>105</v>
      </c>
      <c r="Q3" s="193" t="s">
        <v>106</v>
      </c>
      <c r="R3" s="106" t="s">
        <v>117</v>
      </c>
      <c r="S3" s="194" t="s">
        <v>103</v>
      </c>
      <c r="T3" s="194" t="s">
        <v>104</v>
      </c>
      <c r="U3" s="194" t="s">
        <v>105</v>
      </c>
      <c r="V3" s="194" t="s">
        <v>106</v>
      </c>
      <c r="W3" s="17" t="s">
        <v>117</v>
      </c>
      <c r="X3" s="18" t="s">
        <v>308</v>
      </c>
      <c r="Y3" s="104"/>
      <c r="Z3" s="194" t="s">
        <v>107</v>
      </c>
      <c r="AA3" s="114" t="s">
        <v>108</v>
      </c>
      <c r="AB3" s="194" t="s">
        <v>109</v>
      </c>
      <c r="AC3" s="19" t="s">
        <v>355</v>
      </c>
      <c r="AD3" s="193" t="s">
        <v>110</v>
      </c>
      <c r="AE3" s="193" t="s">
        <v>111</v>
      </c>
      <c r="AF3" s="193" t="s">
        <v>112</v>
      </c>
      <c r="AG3" s="106" t="s">
        <v>117</v>
      </c>
      <c r="AH3" s="194" t="s">
        <v>113</v>
      </c>
      <c r="AI3" s="284" t="s">
        <v>114</v>
      </c>
      <c r="AJ3" s="194" t="s">
        <v>115</v>
      </c>
      <c r="AK3" s="19" t="s">
        <v>117</v>
      </c>
      <c r="AL3" s="18" t="s">
        <v>117</v>
      </c>
      <c r="AM3" s="97"/>
      <c r="AN3" s="121" t="s">
        <v>310</v>
      </c>
      <c r="AO3" s="195" t="s">
        <v>356</v>
      </c>
      <c r="AP3" s="195" t="s">
        <v>400</v>
      </c>
      <c r="AQ3" s="120" t="s">
        <v>116</v>
      </c>
      <c r="AR3" s="104"/>
      <c r="AS3" s="19" t="s">
        <v>117</v>
      </c>
      <c r="AT3" s="104"/>
      <c r="AU3" s="104"/>
      <c r="AV3" s="104"/>
      <c r="AW3" s="104"/>
      <c r="AX3" s="104"/>
    </row>
    <row r="4" spans="1:58" ht="14.25" customHeight="1" x14ac:dyDescent="0.35">
      <c r="A4" s="30">
        <v>1</v>
      </c>
      <c r="B4" s="28" t="s">
        <v>154</v>
      </c>
      <c r="C4" s="28">
        <v>2019</v>
      </c>
      <c r="D4" s="196">
        <f>Population!D2</f>
        <v>482442.94573535857</v>
      </c>
      <c r="E4" s="303" t="str">
        <f>IF(D4&lt;100000,"Small",IF(D4&lt;1000000,"Medium","Large"))</f>
        <v>Medium</v>
      </c>
      <c r="F4" s="340">
        <f>VLOOKUP(A4,'Household Information'!$H$2:$M$49,6,FALSE)</f>
        <v>3.974207650273224</v>
      </c>
      <c r="G4" s="196">
        <f t="shared" ref="G4:G67" si="0">ROUND(D4/F4,0)</f>
        <v>121393</v>
      </c>
      <c r="H4" s="213">
        <f>Area!E2</f>
        <v>102.60768729895828</v>
      </c>
      <c r="I4" s="213"/>
      <c r="J4" s="32">
        <f>D4*Variables!$C$20</f>
        <v>434.19865116182268</v>
      </c>
      <c r="K4" s="202">
        <f>VLOOKUP(B4,'Urban road length (WDI)'!$B$2:$F$42,5,FALSE)</f>
        <v>140.00139999999999</v>
      </c>
      <c r="L4" s="32">
        <f t="shared" ref="L4:L67" si="1">IF(J4-K4&lt;0,0,J4-K4)</f>
        <v>294.19725116182269</v>
      </c>
      <c r="M4" s="197">
        <f>K4*(1-VLOOKUP(A4,'% Urban Roads Surfaced (WDI)'!A:G,7,FALSE))</f>
        <v>34.500344999999996</v>
      </c>
      <c r="N4" s="117">
        <f>Variables!$C$21*'Cost Calculations'!$M4/100</f>
        <v>1.8733219004524884</v>
      </c>
      <c r="O4" s="117">
        <f>Variables!$C$22*'Cost Calculations'!$M4/100</f>
        <v>3.2783133257918546</v>
      </c>
      <c r="P4" s="117">
        <f>Variables!$C$23*'Cost Calculations'!$M4/100</f>
        <v>3.4344234841628958</v>
      </c>
      <c r="Q4" s="117">
        <f>Variables!$C$24*'Cost Calculations'!$M4/100</f>
        <v>24.977625339366515</v>
      </c>
      <c r="R4" s="107">
        <f>N4*Variables!$C$15*Variables!$E$30+O4*Variables!$C$15*Variables!$E$31+('Cost Calculations'!P4+'Cost Calculations'!Q4)*Variables!$C$15*Variables!$E$32</f>
        <v>145912.78855401842</v>
      </c>
      <c r="S4" s="198">
        <f>$L4*Variables!$C$21/100</f>
        <v>15.974511375302589</v>
      </c>
      <c r="T4" s="198">
        <f>$L4*Variables!$C$22/100</f>
        <v>27.955394906779535</v>
      </c>
      <c r="U4" s="198">
        <f>$L4*Variables!$C$23/100</f>
        <v>29.286604188054749</v>
      </c>
      <c r="V4" s="198">
        <f>$L4*Variables!$C$24/100</f>
        <v>212.99348500403451</v>
      </c>
      <c r="W4" s="22">
        <f>S4*Variables!$E$25*Variables!$C$15+'Cost Calculations'!T4*Variables!$E$26*Variables!$C$15+'Cost Calculations'!U4*Variables!$E$27*Variables!$C$15+V4*Variables!$E$28*Variables!$C$15</f>
        <v>197330374.43023801</v>
      </c>
      <c r="X4" s="20">
        <f>J4*Variables!$E$29*Variables!$C$15</f>
        <v>74221.917429601977</v>
      </c>
      <c r="Z4" s="33">
        <f>D4*(IF(D4&lt;50000,0,IF(D4&gt;Variables!$C$7,Variables!$C$37,IF(D4&gt;Variables!$C$6,Variables!$C$36,IF(D4&gt;Variables!$C$5,Variables!$C$35)))))</f>
        <v>241.2214728676793</v>
      </c>
      <c r="AA4" s="187">
        <f>'Existing Fleet'!C2</f>
        <v>108</v>
      </c>
      <c r="AB4" s="35">
        <f t="shared" ref="AB4:AB67" si="2">IF(Z4-AA4&lt;0,0, ROUND(Z4-AA4,0))</f>
        <v>133</v>
      </c>
      <c r="AC4" s="22">
        <f>AB4*Variables!$E$41</f>
        <v>49156800.000000007</v>
      </c>
      <c r="AD4" s="115">
        <f>ROUND(IF(D4&lt;50000,0,(H4/(3.14*Variables!$C$34^2))),0)</f>
        <v>131</v>
      </c>
      <c r="AE4" s="341">
        <f>VLOOKUP(A4,'Existing Fleet'!$A$2:$H$43,8,FALSE)</f>
        <v>0</v>
      </c>
      <c r="AF4" s="115">
        <f t="shared" ref="AF4:AF67" si="3">IF(AD4-AE4&lt;0,0,AD4-AE4)</f>
        <v>131</v>
      </c>
      <c r="AG4" s="107">
        <f>AF4*Variables!$E$42*Variables!$C$15</f>
        <v>88758.263999999996</v>
      </c>
      <c r="AH4" s="199">
        <f>ROUND((Z4)/Variables!$C$40,0)</f>
        <v>2</v>
      </c>
      <c r="AI4" s="343">
        <f>'Existing Fleet'!M2</f>
        <v>0</v>
      </c>
      <c r="AJ4" s="199">
        <f>IF(AH4-AI4&lt;0,0,AH4-AI4)</f>
        <v>2</v>
      </c>
      <c r="AK4" s="22">
        <f>AJ4*Variables!$E$43*Variables!$C$15</f>
        <v>1105434.7920000001</v>
      </c>
      <c r="AL4" s="20">
        <f>Z4*Variables!$E$38*Variables!$C$15</f>
        <v>42763383.512910187</v>
      </c>
      <c r="AM4" s="98"/>
      <c r="AN4" s="200">
        <f>10*Variables!C18</f>
        <v>0.14000000000000001</v>
      </c>
      <c r="AO4" s="201">
        <f>AN4*2*30*F4</f>
        <v>33.383344262295083</v>
      </c>
      <c r="AP4" s="321">
        <f>VLOOKUP(A4,'Household Information'!H:Q,10,FALSE)</f>
        <v>73.860911270983223</v>
      </c>
      <c r="AQ4" s="122">
        <f>IF(12*(AO4-Variables!$C$3*AP4*F4)*(G4/5)&lt;0,0,12*(AO4-Variables!$C$3*AP4*F4)*(G4/5))</f>
        <v>0</v>
      </c>
      <c r="AS4" s="22">
        <f>IF(D4&lt;100000,100000,350000)</f>
        <v>350000</v>
      </c>
      <c r="AU4" s="30"/>
      <c r="AW4" s="101"/>
      <c r="AX4" s="101"/>
      <c r="AY4" s="101"/>
      <c r="AZ4" s="101"/>
      <c r="BA4" s="101"/>
      <c r="BB4" s="101"/>
      <c r="BC4" s="101"/>
      <c r="BD4" s="101"/>
      <c r="BE4" s="101"/>
      <c r="BF4" s="313"/>
    </row>
    <row r="5" spans="1:58" ht="14.25" customHeight="1" x14ac:dyDescent="0.35">
      <c r="A5" s="30">
        <v>2</v>
      </c>
      <c r="B5" s="28" t="s">
        <v>155</v>
      </c>
      <c r="C5" s="28">
        <v>2019</v>
      </c>
      <c r="D5" s="196">
        <f>Population!D3</f>
        <v>353887.65953811951</v>
      </c>
      <c r="E5" s="303" t="str">
        <f t="shared" ref="E5:E68" si="4">IF(D5&lt;100000,"Small",IF(D5&lt;1000000,"Medium","Large"))</f>
        <v>Medium</v>
      </c>
      <c r="F5" s="340">
        <f>VLOOKUP(A5,'Household Information'!$H$2:$M$49,6,FALSE)</f>
        <v>4.8390533520244086</v>
      </c>
      <c r="G5" s="196">
        <f t="shared" si="0"/>
        <v>73132</v>
      </c>
      <c r="H5" s="213">
        <f>Area!E3</f>
        <v>616.99622494242021</v>
      </c>
      <c r="I5" s="213"/>
      <c r="J5" s="32">
        <f>D5*Variables!$C$20</f>
        <v>318.49889358430755</v>
      </c>
      <c r="K5" s="202">
        <f>VLOOKUP(B5,'Urban road length (WDI)'!$B$2:$F$42,5,FALSE)</f>
        <v>181.91792000000001</v>
      </c>
      <c r="L5" s="32">
        <f t="shared" si="1"/>
        <v>136.58097358430754</v>
      </c>
      <c r="M5" s="197">
        <f>K5*(1-VLOOKUP(A5,'% Urban Roads Surfaced (WDI)'!A:G,7,FALSE))</f>
        <v>23.020477530864198</v>
      </c>
      <c r="N5" s="117">
        <f>Variables!$C$21*'Cost Calculations'!$M5/100</f>
        <v>1.2499806804089157</v>
      </c>
      <c r="O5" s="117">
        <f>Variables!$C$22*'Cost Calculations'!$M5/100</f>
        <v>2.1874661907156026</v>
      </c>
      <c r="P5" s="117">
        <f>Variables!$C$23*'Cost Calculations'!$M5/100</f>
        <v>2.2916312474163458</v>
      </c>
      <c r="Q5" s="117">
        <f>Variables!$C$24*'Cost Calculations'!$M5/100</f>
        <v>16.666409072118878</v>
      </c>
      <c r="R5" s="107">
        <f>N5*Variables!$C$15*Variables!$E$30+O5*Variables!$C$15*Variables!$E$31+('Cost Calculations'!P5+'Cost Calculations'!Q5)*Variables!$C$15*Variables!$E$32</f>
        <v>97360.825533006107</v>
      </c>
      <c r="S5" s="198">
        <f>$L5*Variables!$C$21/100</f>
        <v>7.4161614615913587</v>
      </c>
      <c r="T5" s="198">
        <f>$L5*Variables!$C$22/100</f>
        <v>12.97828255778488</v>
      </c>
      <c r="U5" s="198">
        <f>$L5*Variables!$C$23/100</f>
        <v>13.596296012917493</v>
      </c>
      <c r="V5" s="198">
        <f>$L5*Variables!$C$24/100</f>
        <v>98.882152821218128</v>
      </c>
      <c r="W5" s="22">
        <f>S5*Variables!$E$25*Variables!$C$15+'Cost Calculations'!T5*Variables!$E$26*Variables!$C$15+'Cost Calculations'!U5*Variables!$E$27*Variables!$C$15+V5*Variables!$E$28*Variables!$C$15</f>
        <v>91610559.075595126</v>
      </c>
      <c r="X5" s="20">
        <f>J5*Variables!$E$29*Variables!$C$15</f>
        <v>54444.200869301538</v>
      </c>
      <c r="Z5" s="33">
        <f>D5*(IF(D5&lt;50000,0,IF(D5&gt;Variables!$C$7,Variables!$C$37,IF(D5&gt;Variables!$C$6,Variables!$C$36,IF(D5&gt;Variables!$C$5,Variables!$C$35)))))</f>
        <v>176.94382976905976</v>
      </c>
      <c r="AA5" s="187">
        <f>'Existing Fleet'!C3</f>
        <v>262</v>
      </c>
      <c r="AB5" s="35">
        <f t="shared" si="2"/>
        <v>0</v>
      </c>
      <c r="AC5" s="22">
        <f>AB5*Variables!$E$41</f>
        <v>0</v>
      </c>
      <c r="AD5" s="115">
        <f>ROUND(IF(D5&lt;50000,0,(H5/(3.14*Variables!$C$34^2))),0)</f>
        <v>786</v>
      </c>
      <c r="AE5" s="341">
        <f>VLOOKUP(A5,'Existing Fleet'!$A$2:$H$43,8,FALSE)</f>
        <v>0</v>
      </c>
      <c r="AF5" s="115">
        <f t="shared" si="3"/>
        <v>786</v>
      </c>
      <c r="AG5" s="107">
        <f>AF5*Variables!$E$42*Variables!$C$15</f>
        <v>532549.58400000003</v>
      </c>
      <c r="AH5" s="199">
        <f>ROUND((Z5)/Variables!$C$40,0)</f>
        <v>1</v>
      </c>
      <c r="AI5" s="343">
        <f>'Existing Fleet'!M3</f>
        <v>0</v>
      </c>
      <c r="AJ5" s="199">
        <f t="shared" ref="AJ5:AJ68" si="5">IF(AH5-AI5&lt;0,0,AH5-AI5)</f>
        <v>1</v>
      </c>
      <c r="AK5" s="22">
        <f>AJ5*Variables!$E$43*Variables!$C$15</f>
        <v>552717.39600000007</v>
      </c>
      <c r="AL5" s="20">
        <f>Z5*Variables!$E$38*Variables!$C$15</f>
        <v>31368338.658673547</v>
      </c>
      <c r="AM5" s="98"/>
      <c r="AN5" s="200">
        <f>Variables!$C$18*35</f>
        <v>0.49</v>
      </c>
      <c r="AO5" s="201">
        <f t="shared" ref="AO5:AO67" si="6">AN5*2*30*F5</f>
        <v>142.26816854951761</v>
      </c>
      <c r="AP5" s="321">
        <f>VLOOKUP(A5,'Household Information'!H:Q,10,FALSE)</f>
        <v>166.27540073204597</v>
      </c>
      <c r="AQ5" s="122">
        <f>IF(12*(AO5-Variables!$C$3*AP5*F5)*(G5/5)&lt;0,0,12*(AO5-Variables!$C$3*AP5*F5)*(G5/5))</f>
        <v>3786922.0884979856</v>
      </c>
      <c r="AS5" s="22">
        <f t="shared" ref="AS5:AS45" si="7">IF(D5&lt;100000,100000,350000)</f>
        <v>350000</v>
      </c>
      <c r="AU5" s="30"/>
      <c r="AW5" s="101"/>
      <c r="AX5" s="101"/>
      <c r="AY5" s="101"/>
      <c r="AZ5" s="101"/>
      <c r="BA5" s="101"/>
      <c r="BB5" s="101"/>
      <c r="BC5" s="101"/>
      <c r="BD5" s="101"/>
      <c r="BE5" s="101"/>
      <c r="BF5" s="313"/>
    </row>
    <row r="6" spans="1:58" ht="14.25" customHeight="1" x14ac:dyDescent="0.35">
      <c r="A6" s="30">
        <v>3</v>
      </c>
      <c r="B6" s="28" t="s">
        <v>156</v>
      </c>
      <c r="C6" s="28">
        <v>2019</v>
      </c>
      <c r="D6" s="196">
        <f>Population!D4</f>
        <v>10183876.760812402</v>
      </c>
      <c r="E6" s="303" t="str">
        <f t="shared" si="4"/>
        <v>Large</v>
      </c>
      <c r="F6" s="340">
        <f>VLOOKUP(A6,'Household Information'!$H$2:$M$49,6,FALSE)</f>
        <v>4.0172949204764796</v>
      </c>
      <c r="G6" s="196">
        <f t="shared" si="0"/>
        <v>2535008</v>
      </c>
      <c r="H6" s="213">
        <f>Area!E4</f>
        <v>727.7045191334015</v>
      </c>
      <c r="I6" s="213"/>
      <c r="J6" s="32">
        <f>D6*Variables!$C$20</f>
        <v>9165.4890847311617</v>
      </c>
      <c r="K6" s="202">
        <f>VLOOKUP(B6,'Urban road length (WDI)'!$B$2:$F$42,5,FALSE)</f>
        <v>9710.2262499999997</v>
      </c>
      <c r="L6" s="32">
        <f t="shared" si="1"/>
        <v>0</v>
      </c>
      <c r="M6" s="197">
        <f>K6*(1-VLOOKUP(A6,'% Urban Roads Surfaced (WDI)'!A:G,7,FALSE))</f>
        <v>3487.4585933997505</v>
      </c>
      <c r="N6" s="117">
        <f>Variables!$C$21*'Cost Calculations'!$M6/100</f>
        <v>189.36426751491857</v>
      </c>
      <c r="O6" s="117">
        <f>Variables!$C$22*'Cost Calculations'!$M6/100</f>
        <v>331.38746815110756</v>
      </c>
      <c r="P6" s="117">
        <f>Variables!$C$23*'Cost Calculations'!$M6/100</f>
        <v>347.16782377735069</v>
      </c>
      <c r="Q6" s="117">
        <f>Variables!$C$24*'Cost Calculations'!$M6/100</f>
        <v>2524.8569001989144</v>
      </c>
      <c r="R6" s="107">
        <f>N6*Variables!$C$15*Variables!$E$30+O6*Variables!$C$15*Variables!$E$31+('Cost Calculations'!P6+'Cost Calculations'!Q6)*Variables!$C$15*Variables!$E$32</f>
        <v>14749557.093693767</v>
      </c>
      <c r="S6" s="198">
        <f>$L6*Variables!$C$21/100</f>
        <v>0</v>
      </c>
      <c r="T6" s="198">
        <f>$L6*Variables!$C$22/100</f>
        <v>0</v>
      </c>
      <c r="U6" s="198">
        <f>$L6*Variables!$C$23/100</f>
        <v>0</v>
      </c>
      <c r="V6" s="198">
        <f>$L6*Variables!$C$24/100</f>
        <v>0</v>
      </c>
      <c r="W6" s="22">
        <f>S6*Variables!$E$25*Variables!$C$15+'Cost Calculations'!T6*Variables!$E$26*Variables!$C$15+'Cost Calculations'!U6*Variables!$E$27*Variables!$C$15+V6*Variables!$E$28*Variables!$C$15</f>
        <v>0</v>
      </c>
      <c r="X6" s="20">
        <f>J6*Variables!$E$29*Variables!$C$15</f>
        <v>1566748.7041439449</v>
      </c>
      <c r="Z6" s="33">
        <f>D6*(IF(D6&lt;50000,0,IF(D6&gt;Variables!$C$7,Variables!$C$37,IF(D6&gt;Variables!$C$6,Variables!$C$36,IF(D6&gt;Variables!$C$5,Variables!$C$35)))))</f>
        <v>5091.9383804062008</v>
      </c>
      <c r="AA6" s="187">
        <f>'Existing Fleet'!C4</f>
        <v>3682</v>
      </c>
      <c r="AB6" s="35">
        <f t="shared" si="2"/>
        <v>1410</v>
      </c>
      <c r="AC6" s="22">
        <f>AB6*Variables!$E$41</f>
        <v>521136000.00000006</v>
      </c>
      <c r="AD6" s="115">
        <f>ROUND(IF(D6&lt;50000,0,(H6/(3.14*Variables!$C$34^2))),0)</f>
        <v>927</v>
      </c>
      <c r="AE6" s="341">
        <f>VLOOKUP(A6,'Existing Fleet'!$A$2:$H$43,8,FALSE)</f>
        <v>0</v>
      </c>
      <c r="AF6" s="115">
        <f t="shared" si="3"/>
        <v>927</v>
      </c>
      <c r="AG6" s="107">
        <f>AF6*Variables!$E$42*Variables!$C$15</f>
        <v>628083.28800000006</v>
      </c>
      <c r="AH6" s="199">
        <f>ROUND((Z6)/Variables!$C$40,0)</f>
        <v>41</v>
      </c>
      <c r="AI6" s="343">
        <f>'Existing Fleet'!M4</f>
        <v>0</v>
      </c>
      <c r="AJ6" s="199">
        <f t="shared" si="5"/>
        <v>41</v>
      </c>
      <c r="AK6" s="22">
        <f>AJ6*Variables!$E$43*Variables!$C$15</f>
        <v>22661413.236000001</v>
      </c>
      <c r="AL6" s="20">
        <f>Z6*Variables!$E$38*Variables!$C$15</f>
        <v>902691253.79589176</v>
      </c>
      <c r="AM6" s="98"/>
      <c r="AN6" s="200">
        <f>Variables!$C$18*30</f>
        <v>0.42</v>
      </c>
      <c r="AO6" s="201">
        <f t="shared" si="6"/>
        <v>101.23583199600728</v>
      </c>
      <c r="AP6" s="321">
        <f>VLOOKUP(A6,'Household Information'!H:Q,10,FALSE)</f>
        <v>132.525558500568</v>
      </c>
      <c r="AQ6" s="122">
        <f>IF(12*(AO6-Variables!$C$3*AP6*F6)*(G6/5)&lt;0,0,12*(AO6-Variables!$C$3*AP6*F6)*(G6/5))</f>
        <v>130056217.01058736</v>
      </c>
      <c r="AS6" s="22">
        <f t="shared" si="7"/>
        <v>350000</v>
      </c>
      <c r="AU6" s="30"/>
      <c r="AW6" s="101"/>
      <c r="AX6" s="101"/>
      <c r="AY6" s="101"/>
      <c r="AZ6" s="101"/>
      <c r="BA6" s="101"/>
      <c r="BB6" s="101"/>
      <c r="BC6" s="101"/>
      <c r="BD6" s="101"/>
      <c r="BE6" s="101"/>
      <c r="BF6" s="313"/>
    </row>
    <row r="7" spans="1:58" ht="14.25" customHeight="1" x14ac:dyDescent="0.35">
      <c r="A7" s="30">
        <v>4</v>
      </c>
      <c r="B7" s="28" t="s">
        <v>157</v>
      </c>
      <c r="C7" s="28">
        <v>2019</v>
      </c>
      <c r="D7" s="196">
        <f>Population!D5</f>
        <v>2168822.2842630199</v>
      </c>
      <c r="E7" s="303" t="str">
        <f t="shared" si="4"/>
        <v>Large</v>
      </c>
      <c r="F7" s="340">
        <f>VLOOKUP(A7,'Household Information'!$H$2:$M$49,6,FALSE)</f>
        <v>4.6988894405393395</v>
      </c>
      <c r="G7" s="196">
        <f t="shared" si="0"/>
        <v>461561</v>
      </c>
      <c r="H7" s="213">
        <f>Area!E5</f>
        <v>402.33014230381013</v>
      </c>
      <c r="I7" s="213"/>
      <c r="J7" s="32">
        <f>D7*Variables!$C$20</f>
        <v>1951.9400558367179</v>
      </c>
      <c r="K7" s="202">
        <f>VLOOKUP(B7,'Urban road length (WDI)'!$B$2:$F$42,5,FALSE)</f>
        <v>1402.61004</v>
      </c>
      <c r="L7" s="32">
        <f t="shared" si="1"/>
        <v>549.33001583671785</v>
      </c>
      <c r="M7" s="197">
        <f>K7*(1-VLOOKUP(A7,'% Urban Roads Surfaced (WDI)'!A:G,7,FALSE))</f>
        <v>418.90863387965771</v>
      </c>
      <c r="N7" s="117">
        <f>Variables!$C$21*'Cost Calculations'!$M7/100</f>
        <v>22.746170165411275</v>
      </c>
      <c r="O7" s="117">
        <f>Variables!$C$22*'Cost Calculations'!$M7/100</f>
        <v>39.805797789469736</v>
      </c>
      <c r="P7" s="117">
        <f>Variables!$C$23*'Cost Calculations'!$M7/100</f>
        <v>41.701311969920681</v>
      </c>
      <c r="Q7" s="117">
        <f>Variables!$C$24*'Cost Calculations'!$M7/100</f>
        <v>303.28226887215038</v>
      </c>
      <c r="R7" s="107">
        <f>N7*Variables!$C$15*Variables!$E$30+O7*Variables!$C$15*Variables!$E$31+('Cost Calculations'!P7+'Cost Calculations'!Q7)*Variables!$C$15*Variables!$E$32</f>
        <v>1771696.1067703879</v>
      </c>
      <c r="S7" s="198">
        <f>$L7*Variables!$C$21/100</f>
        <v>29.827874163079699</v>
      </c>
      <c r="T7" s="198">
        <f>$L7*Variables!$C$22/100</f>
        <v>52.198779785389476</v>
      </c>
      <c r="U7" s="198">
        <f>$L7*Variables!$C$23/100</f>
        <v>54.684435965646124</v>
      </c>
      <c r="V7" s="198">
        <f>$L7*Variables!$C$24/100</f>
        <v>397.70498884106269</v>
      </c>
      <c r="W7" s="22">
        <f>S7*Variables!$E$25*Variables!$C$15+'Cost Calculations'!T7*Variables!$E$26*Variables!$C$15+'Cost Calculations'!U7*Variables!$E$27*Variables!$C$15+V7*Variables!$E$28*Variables!$C$15</f>
        <v>368458567.45005125</v>
      </c>
      <c r="X7" s="20">
        <f>J7*Variables!$E$29*Variables!$C$15</f>
        <v>333664.63314472855</v>
      </c>
      <c r="Z7" s="33">
        <f>D7*(IF(D7&lt;50000,0,IF(D7&gt;Variables!$C$7,Variables!$C$37,IF(D7&gt;Variables!$C$6,Variables!$C$36,IF(D7&gt;Variables!$C$5,Variables!$C$35)))))</f>
        <v>1084.4111421315099</v>
      </c>
      <c r="AA7" s="187">
        <f>'Existing Fleet'!C5</f>
        <v>593</v>
      </c>
      <c r="AB7" s="35">
        <f t="shared" si="2"/>
        <v>491</v>
      </c>
      <c r="AC7" s="22">
        <f>AB7*Variables!$E$41</f>
        <v>181473600.00000003</v>
      </c>
      <c r="AD7" s="115">
        <f>ROUND(IF(D7&lt;50000,0,(H7/(3.14*Variables!$C$34^2))),0)</f>
        <v>513</v>
      </c>
      <c r="AE7" s="341">
        <f>VLOOKUP(A7,'Existing Fleet'!$A$2:$H$43,8,FALSE)</f>
        <v>0</v>
      </c>
      <c r="AF7" s="115">
        <f t="shared" si="3"/>
        <v>513</v>
      </c>
      <c r="AG7" s="107">
        <f>AF7*Variables!$E$42*Variables!$C$15</f>
        <v>347580.07199999999</v>
      </c>
      <c r="AH7" s="199">
        <f>ROUND((Z7)/Variables!$C$40,0)</f>
        <v>9</v>
      </c>
      <c r="AI7" s="343">
        <f>'Existing Fleet'!M5</f>
        <v>0</v>
      </c>
      <c r="AJ7" s="199">
        <f t="shared" si="5"/>
        <v>9</v>
      </c>
      <c r="AK7" s="22">
        <f>AJ7*Variables!$E$43*Variables!$C$15</f>
        <v>4974456.5640000002</v>
      </c>
      <c r="AL7" s="20">
        <f>Z7*Variables!$E$38*Variables!$C$15</f>
        <v>192242792.50662073</v>
      </c>
      <c r="AM7" s="98"/>
      <c r="AN7" s="200">
        <f>Variables!$C$18*20</f>
        <v>0.28000000000000003</v>
      </c>
      <c r="AO7" s="201">
        <f t="shared" si="6"/>
        <v>78.94134260106091</v>
      </c>
      <c r="AP7" s="321">
        <f>VLOOKUP(A7,'Household Information'!H:Q,10,FALSE)</f>
        <v>108.65462509082352</v>
      </c>
      <c r="AQ7" s="122">
        <f>IF(12*(AO7-Variables!$C$3*AP7*F7)*(G7/5)&lt;0,0,12*(AO7-Variables!$C$3*AP7*F7)*(G7/5))</f>
        <v>2611990.7124776496</v>
      </c>
      <c r="AS7" s="22">
        <f t="shared" si="7"/>
        <v>350000</v>
      </c>
      <c r="AU7" s="30"/>
      <c r="AW7" s="101"/>
      <c r="AX7" s="101"/>
      <c r="AY7" s="101"/>
      <c r="AZ7" s="101"/>
      <c r="BA7" s="101"/>
      <c r="BB7" s="101"/>
      <c r="BC7" s="101"/>
      <c r="BD7" s="101"/>
      <c r="BE7" s="101"/>
      <c r="BF7" s="313"/>
    </row>
    <row r="8" spans="1:58" ht="14.25" customHeight="1" x14ac:dyDescent="0.35">
      <c r="A8" s="30">
        <v>5</v>
      </c>
      <c r="B8" s="28" t="s">
        <v>158</v>
      </c>
      <c r="C8" s="28">
        <v>2019</v>
      </c>
      <c r="D8" s="196">
        <f>Population!D6</f>
        <v>1017223.1910658216</v>
      </c>
      <c r="E8" s="303" t="str">
        <f t="shared" si="4"/>
        <v>Large</v>
      </c>
      <c r="F8" s="340">
        <f>VLOOKUP(A8,'Household Information'!$H$2:$M$49,6,FALSE)</f>
        <v>4.2814892277702192</v>
      </c>
      <c r="G8" s="196">
        <f t="shared" si="0"/>
        <v>237586</v>
      </c>
      <c r="H8" s="213">
        <f>Area!E6</f>
        <v>182.26365507051798</v>
      </c>
      <c r="I8" s="213"/>
      <c r="J8" s="32">
        <f>D8*Variables!$C$20</f>
        <v>915.50087195923936</v>
      </c>
      <c r="K8" s="202">
        <f>VLOOKUP(B8,'Urban road length (WDI)'!$B$2:$F$42,5,FALSE)</f>
        <v>2378.3936399999998</v>
      </c>
      <c r="L8" s="32">
        <f t="shared" si="1"/>
        <v>0</v>
      </c>
      <c r="M8" s="197">
        <f>K8*(1-VLOOKUP(A8,'% Urban Roads Surfaced (WDI)'!A:G,7,FALSE))</f>
        <v>929.74266365452797</v>
      </c>
      <c r="N8" s="117">
        <f>Variables!$C$21*'Cost Calculations'!$M8/100</f>
        <v>50.483764542327307</v>
      </c>
      <c r="O8" s="117">
        <f>Variables!$C$22*'Cost Calculations'!$M8/100</f>
        <v>88.346587949072799</v>
      </c>
      <c r="P8" s="117">
        <f>Variables!$C$23*'Cost Calculations'!$M8/100</f>
        <v>92.553568327600075</v>
      </c>
      <c r="Q8" s="117">
        <f>Variables!$C$24*'Cost Calculations'!$M8/100</f>
        <v>673.11686056436417</v>
      </c>
      <c r="R8" s="107">
        <f>N8*Variables!$C$15*Variables!$E$30+O8*Variables!$C$15*Variables!$E$31+('Cost Calculations'!P8+'Cost Calculations'!Q8)*Variables!$C$15*Variables!$E$32</f>
        <v>3932173.5678722342</v>
      </c>
      <c r="S8" s="198">
        <f>$L8*Variables!$C$21/100</f>
        <v>0</v>
      </c>
      <c r="T8" s="198">
        <f>$L8*Variables!$C$22/100</f>
        <v>0</v>
      </c>
      <c r="U8" s="198">
        <f>$L8*Variables!$C$23/100</f>
        <v>0</v>
      </c>
      <c r="V8" s="198">
        <f>$L8*Variables!$C$24/100</f>
        <v>0</v>
      </c>
      <c r="W8" s="22">
        <f>S8*Variables!$E$25*Variables!$C$15+'Cost Calculations'!T8*Variables!$E$26*Variables!$C$15+'Cost Calculations'!U8*Variables!$E$27*Variables!$C$15+V8*Variables!$E$28*Variables!$C$15</f>
        <v>0</v>
      </c>
      <c r="X8" s="20">
        <f>J8*Variables!$E$29*Variables!$C$15</f>
        <v>156495.71905271237</v>
      </c>
      <c r="Z8" s="33">
        <f>D8*(IF(D8&lt;50000,0,IF(D8&gt;Variables!$C$7,Variables!$C$37,IF(D8&gt;Variables!$C$6,Variables!$C$36,IF(D8&gt;Variables!$C$5,Variables!$C$35)))))</f>
        <v>508.61159553291077</v>
      </c>
      <c r="AA8" s="187">
        <f>'Existing Fleet'!C6</f>
        <v>110</v>
      </c>
      <c r="AB8" s="35">
        <f t="shared" si="2"/>
        <v>399</v>
      </c>
      <c r="AC8" s="22">
        <f>AB8*Variables!$E$41</f>
        <v>147470400.00000003</v>
      </c>
      <c r="AD8" s="115">
        <f>ROUND(IF(D8&lt;50000,0,(H8/(3.14*Variables!$C$34^2))),0)</f>
        <v>232</v>
      </c>
      <c r="AE8" s="341">
        <f>VLOOKUP(A8,'Existing Fleet'!$A$2:$H$43,8,FALSE)</f>
        <v>0</v>
      </c>
      <c r="AF8" s="115">
        <f t="shared" si="3"/>
        <v>232</v>
      </c>
      <c r="AG8" s="107">
        <f>AF8*Variables!$E$42*Variables!$C$15</f>
        <v>157190.20800000001</v>
      </c>
      <c r="AH8" s="199">
        <f>ROUND((Z8)/Variables!$C$40,0)</f>
        <v>4</v>
      </c>
      <c r="AI8" s="343">
        <f>'Existing Fleet'!M6</f>
        <v>0</v>
      </c>
      <c r="AJ8" s="199">
        <f t="shared" si="5"/>
        <v>4</v>
      </c>
      <c r="AK8" s="22">
        <f>AJ8*Variables!$E$43*Variables!$C$15</f>
        <v>2210869.5840000003</v>
      </c>
      <c r="AL8" s="20">
        <f>Z8*Variables!$E$38*Variables!$C$15</f>
        <v>90165906.294825733</v>
      </c>
      <c r="AM8" s="98"/>
      <c r="AN8" s="200">
        <f>Variables!$C$18*20</f>
        <v>0.28000000000000003</v>
      </c>
      <c r="AO8" s="201">
        <f t="shared" si="6"/>
        <v>71.929019026539692</v>
      </c>
      <c r="AP8" s="321">
        <f>VLOOKUP(A8,'Household Information'!H:Q,10,FALSE)</f>
        <v>70.680297866969596</v>
      </c>
      <c r="AQ8" s="122">
        <f>IF(12*(AO8-Variables!$C$3*AP8*F8)*(G8/5)&lt;0,0,12*(AO8-Variables!$C$3*AP8*F8)*(G8/5))</f>
        <v>15131270.123106865</v>
      </c>
      <c r="AS8" s="22">
        <f t="shared" si="7"/>
        <v>350000</v>
      </c>
      <c r="AU8" s="30"/>
      <c r="AW8" s="101"/>
      <c r="AX8" s="101"/>
      <c r="AY8" s="101"/>
      <c r="AZ8" s="101"/>
      <c r="BA8" s="101"/>
      <c r="BB8" s="101"/>
      <c r="BC8" s="101"/>
      <c r="BD8" s="101"/>
      <c r="BE8" s="101"/>
      <c r="BF8" s="313"/>
    </row>
    <row r="9" spans="1:58" ht="14.25" customHeight="1" x14ac:dyDescent="0.35">
      <c r="A9" s="30">
        <v>6</v>
      </c>
      <c r="B9" s="28" t="s">
        <v>159</v>
      </c>
      <c r="C9" s="28">
        <v>2019</v>
      </c>
      <c r="D9" s="196">
        <f>Population!D7</f>
        <v>1159765.5644964206</v>
      </c>
      <c r="E9" s="303" t="str">
        <f t="shared" si="4"/>
        <v>Large</v>
      </c>
      <c r="F9" s="340">
        <f>VLOOKUP(A9,'Household Information'!$H$2:$M$49,6,FALSE)</f>
        <v>4.4091899104485828</v>
      </c>
      <c r="G9" s="196">
        <f t="shared" si="0"/>
        <v>263034</v>
      </c>
      <c r="H9" s="214">
        <f>Area!E7</f>
        <v>157</v>
      </c>
      <c r="I9" s="213"/>
      <c r="J9" s="32">
        <f>D9*Variables!$C$20</f>
        <v>1043.7890080467785</v>
      </c>
      <c r="K9" s="202">
        <f>VLOOKUP(B9,'Urban road length (WDI)'!$B$2:$F$42,5,FALSE)</f>
        <v>778.88547000000005</v>
      </c>
      <c r="L9" s="32">
        <f t="shared" si="1"/>
        <v>264.90353804677841</v>
      </c>
      <c r="M9" s="197">
        <f>K9*(1-VLOOKUP(A9,'% Urban Roads Surfaced (WDI)'!A:G,7,FALSE))</f>
        <v>151.05657600000004</v>
      </c>
      <c r="N9" s="117">
        <f>Variables!$C$21*'Cost Calculations'!$M9/100</f>
        <v>8.202167022624435</v>
      </c>
      <c r="O9" s="117">
        <f>Variables!$C$22*'Cost Calculations'!$M9/100</f>
        <v>14.353792289592764</v>
      </c>
      <c r="P9" s="117">
        <f>Variables!$C$23*'Cost Calculations'!$M9/100</f>
        <v>15.0373062081448</v>
      </c>
      <c r="Q9" s="117">
        <f>Variables!$C$24*'Cost Calculations'!$M9/100</f>
        <v>109.36222696832581</v>
      </c>
      <c r="R9" s="107">
        <f>N9*Variables!$C$15*Variables!$E$30+O9*Variables!$C$15*Variables!$E$31+('Cost Calculations'!P9+'Cost Calculations'!Q9)*Variables!$C$15*Variables!$E$32</f>
        <v>638865.67608474684</v>
      </c>
      <c r="S9" s="198">
        <f>$L9*Variables!$C$21/100</f>
        <v>14.383902518377106</v>
      </c>
      <c r="T9" s="198">
        <f>$L9*Variables!$C$22/100</f>
        <v>25.17182940715994</v>
      </c>
      <c r="U9" s="198">
        <f>$L9*Variables!$C$23/100</f>
        <v>26.370487950358033</v>
      </c>
      <c r="V9" s="198">
        <f>$L9*Variables!$C$24/100</f>
        <v>191.78536691169475</v>
      </c>
      <c r="W9" s="22">
        <f>S9*Variables!$E$25*Variables!$C$15+'Cost Calculations'!T9*Variables!$E$26*Variables!$C$15+'Cost Calculations'!U9*Variables!$E$27*Variables!$C$15+V9*Variables!$E$28*Variables!$C$15</f>
        <v>177681858.49538282</v>
      </c>
      <c r="X9" s="20">
        <f>J9*Variables!$E$29*Variables!$C$15</f>
        <v>178425.29303551634</v>
      </c>
      <c r="Z9" s="33">
        <f>D9*(IF(D9&lt;50000,0,IF(D9&gt;Variables!$C$7,Variables!$C$37,IF(D9&gt;Variables!$C$6,Variables!$C$36,IF(D9&gt;Variables!$C$5,Variables!$C$35)))))</f>
        <v>579.88278224821033</v>
      </c>
      <c r="AA9" s="187">
        <f>'Existing Fleet'!C7</f>
        <v>470</v>
      </c>
      <c r="AB9" s="35">
        <f t="shared" si="2"/>
        <v>110</v>
      </c>
      <c r="AC9" s="22">
        <f>AB9*Variables!$E$41</f>
        <v>40656000.000000007</v>
      </c>
      <c r="AD9" s="115">
        <f>ROUND(IF(D9&lt;50000,0,(H9/(3.14*Variables!$C$34^2))),0)</f>
        <v>200</v>
      </c>
      <c r="AE9" s="341">
        <f>VLOOKUP(A9,'Existing Fleet'!$A$2:$H$43,8,FALSE)</f>
        <v>0</v>
      </c>
      <c r="AF9" s="115">
        <f t="shared" si="3"/>
        <v>200</v>
      </c>
      <c r="AG9" s="107">
        <f>AF9*Variables!$E$42*Variables!$C$15</f>
        <v>135508.80000000002</v>
      </c>
      <c r="AH9" s="199">
        <f>ROUND((Z9)/Variables!$C$40,0)</f>
        <v>5</v>
      </c>
      <c r="AI9" s="343">
        <f>'Existing Fleet'!M7</f>
        <v>0</v>
      </c>
      <c r="AJ9" s="199">
        <f t="shared" si="5"/>
        <v>5</v>
      </c>
      <c r="AK9" s="22">
        <f>AJ9*Variables!$E$43*Variables!$C$15</f>
        <v>2763586.98</v>
      </c>
      <c r="AL9" s="20">
        <f>Z9*Variables!$E$38*Variables!$C$15</f>
        <v>102800756.14751044</v>
      </c>
      <c r="AM9" s="98"/>
      <c r="AN9" s="200">
        <f>Variables!$C$18*20</f>
        <v>0.28000000000000003</v>
      </c>
      <c r="AO9" s="201">
        <f t="shared" si="6"/>
        <v>74.074390495536193</v>
      </c>
      <c r="AP9" s="321">
        <f>VLOOKUP(A9,'Household Information'!H:Q,10,FALSE)</f>
        <v>228.82746434431402</v>
      </c>
      <c r="AQ9" s="122">
        <f>IF(12*(AO9-Variables!$C$3*AP9*F9)*(G9/5)&lt;0,0,12*(AO9-Variables!$C$3*AP9*F9)*(G9/5))</f>
        <v>0</v>
      </c>
      <c r="AS9" s="22">
        <f t="shared" si="7"/>
        <v>350000</v>
      </c>
      <c r="AU9" s="30"/>
      <c r="AW9" s="101"/>
      <c r="AX9" s="101"/>
      <c r="AY9" s="101"/>
      <c r="AZ9" s="101"/>
      <c r="BA9" s="101"/>
      <c r="BB9" s="101"/>
      <c r="BC9" s="101"/>
      <c r="BD9" s="101"/>
      <c r="BE9" s="101"/>
      <c r="BF9" s="313"/>
    </row>
    <row r="10" spans="1:58" ht="14.25" customHeight="1" x14ac:dyDescent="0.35">
      <c r="A10" s="30">
        <v>7</v>
      </c>
      <c r="B10" s="28" t="s">
        <v>160</v>
      </c>
      <c r="C10" s="28">
        <v>2019</v>
      </c>
      <c r="D10" s="196">
        <f>Population!D8</f>
        <v>5604401.6412904728</v>
      </c>
      <c r="E10" s="303" t="str">
        <f t="shared" si="4"/>
        <v>Large</v>
      </c>
      <c r="F10" s="340">
        <f>VLOOKUP(A10,'Household Information'!$H$2:$M$49,6,FALSE)</f>
        <v>4.0232072880789485</v>
      </c>
      <c r="G10" s="196">
        <f t="shared" si="0"/>
        <v>1393018</v>
      </c>
      <c r="H10" s="213">
        <f>Area!E8</f>
        <v>1063.879705152357</v>
      </c>
      <c r="I10" s="213"/>
      <c r="J10" s="32">
        <f>D10*Variables!$C$20</f>
        <v>5043.9614771614251</v>
      </c>
      <c r="K10" s="202">
        <f>VLOOKUP(B10,'Urban road length (WDI)'!$B$2:$F$42,5,FALSE)</f>
        <v>2416.3006399999999</v>
      </c>
      <c r="L10" s="32">
        <f t="shared" si="1"/>
        <v>2627.6608371614252</v>
      </c>
      <c r="M10" s="197">
        <f>K10*(1-VLOOKUP(A10,'% Urban Roads Surfaced (WDI)'!A:G,7,FALSE))</f>
        <v>380.95696587873954</v>
      </c>
      <c r="N10" s="117">
        <f>Variables!$C$21*'Cost Calculations'!$M10/100</f>
        <v>20.685446111062777</v>
      </c>
      <c r="O10" s="117">
        <f>Variables!$C$22*'Cost Calculations'!$M10/100</f>
        <v>36.199530694359865</v>
      </c>
      <c r="P10" s="117">
        <f>Variables!$C$23*'Cost Calculations'!$M10/100</f>
        <v>37.923317870281764</v>
      </c>
      <c r="Q10" s="117">
        <f>Variables!$C$24*'Cost Calculations'!$M10/100</f>
        <v>275.80594814750373</v>
      </c>
      <c r="R10" s="107">
        <f>N10*Variables!$C$15*Variables!$E$30+O10*Variables!$C$15*Variables!$E$31+('Cost Calculations'!P10+'Cost Calculations'!Q10)*Variables!$C$15*Variables!$E$32</f>
        <v>1611186.589886128</v>
      </c>
      <c r="S10" s="198">
        <f>$L10*Variables!$C$21/100</f>
        <v>142.67841649745293</v>
      </c>
      <c r="T10" s="198">
        <f>$L10*Variables!$C$22/100</f>
        <v>249.68722887054267</v>
      </c>
      <c r="U10" s="198">
        <f>$L10*Variables!$C$23/100</f>
        <v>261.57709691199705</v>
      </c>
      <c r="V10" s="198">
        <f>$L10*Variables!$C$24/100</f>
        <v>1902.3788866327059</v>
      </c>
      <c r="W10" s="22">
        <f>S10*Variables!$E$25*Variables!$C$15+'Cost Calculations'!T10*Variables!$E$26*Variables!$C$15+'Cost Calculations'!U10*Variables!$E$27*Variables!$C$15+V10*Variables!$E$28*Variables!$C$15</f>
        <v>1762481786.7095811</v>
      </c>
      <c r="X10" s="20">
        <f>J10*Variables!$E$29*Variables!$C$15</f>
        <v>862214.77490597405</v>
      </c>
      <c r="Z10" s="33">
        <f>D10*(IF(D10&lt;50000,0,IF(D10&gt;Variables!$C$7,Variables!$C$37,IF(D10&gt;Variables!$C$6,Variables!$C$36,IF(D10&gt;Variables!$C$5,Variables!$C$35)))))</f>
        <v>2802.2008206452365</v>
      </c>
      <c r="AA10" s="187">
        <f>'Existing Fleet'!C8</f>
        <v>4599</v>
      </c>
      <c r="AB10" s="35">
        <f t="shared" si="2"/>
        <v>0</v>
      </c>
      <c r="AC10" s="22">
        <f>AB10*Variables!$E$41</f>
        <v>0</v>
      </c>
      <c r="AD10" s="115">
        <f>ROUND(IF(D10&lt;50000,0,(H10/(3.14*Variables!$C$34^2))),0)</f>
        <v>1355</v>
      </c>
      <c r="AE10" s="341">
        <f>VLOOKUP(A10,'Existing Fleet'!$A$2:$H$43,8,FALSE)</f>
        <v>0</v>
      </c>
      <c r="AF10" s="115">
        <f t="shared" si="3"/>
        <v>1355</v>
      </c>
      <c r="AG10" s="107">
        <f>AF10*Variables!$E$42*Variables!$C$15</f>
        <v>918072.12</v>
      </c>
      <c r="AH10" s="199">
        <f>ROUND((Z10)/Variables!$C$40,0)</f>
        <v>22</v>
      </c>
      <c r="AI10" s="343">
        <f>'Existing Fleet'!M8</f>
        <v>0</v>
      </c>
      <c r="AJ10" s="199">
        <f t="shared" si="5"/>
        <v>22</v>
      </c>
      <c r="AK10" s="22">
        <f>AJ10*Variables!$E$43*Variables!$C$15</f>
        <v>12159782.712000001</v>
      </c>
      <c r="AL10" s="20">
        <f>Z10*Variables!$E$38*Variables!$C$15</f>
        <v>496769988.79439247</v>
      </c>
      <c r="AM10" s="98"/>
      <c r="AN10" s="200">
        <f>Variables!$C$18*20</f>
        <v>0.28000000000000003</v>
      </c>
      <c r="AO10" s="201">
        <f t="shared" si="6"/>
        <v>67.589882439726338</v>
      </c>
      <c r="AP10" s="321">
        <f>VLOOKUP(A10,'Household Information'!H:Q,10,FALSE)</f>
        <v>141.36059573393919</v>
      </c>
      <c r="AQ10" s="122">
        <f>IF(12*(AO10-Variables!$C$3*AP10*F10)*(G10/5)&lt;0,0,12*(AO10-Variables!$C$3*AP10*F10)*(G10/5))</f>
        <v>0</v>
      </c>
      <c r="AS10" s="22">
        <f t="shared" si="7"/>
        <v>350000</v>
      </c>
      <c r="AU10" s="30"/>
      <c r="AW10" s="101"/>
      <c r="AX10" s="101"/>
      <c r="AY10" s="101"/>
      <c r="AZ10" s="101"/>
      <c r="BA10" s="101"/>
      <c r="BB10" s="101"/>
      <c r="BC10" s="101"/>
      <c r="BD10" s="101"/>
      <c r="BE10" s="101"/>
      <c r="BF10" s="313"/>
    </row>
    <row r="11" spans="1:58" ht="14.25" customHeight="1" x14ac:dyDescent="0.35">
      <c r="A11" s="30">
        <v>8</v>
      </c>
      <c r="B11" s="28" t="s">
        <v>161</v>
      </c>
      <c r="C11" s="28">
        <v>2019</v>
      </c>
      <c r="D11" s="196">
        <f>Population!D9</f>
        <v>53408.312224510621</v>
      </c>
      <c r="E11" s="303" t="str">
        <f t="shared" si="4"/>
        <v>Small</v>
      </c>
      <c r="F11" s="340">
        <f>VLOOKUP(A11,'Household Information'!$H$2:$M$49,6,FALSE)</f>
        <v>4.332028957151242</v>
      </c>
      <c r="G11" s="196">
        <f t="shared" si="0"/>
        <v>12329</v>
      </c>
      <c r="H11" s="213">
        <f>Area!E9</f>
        <v>149.86122750242589</v>
      </c>
      <c r="I11" s="213"/>
      <c r="J11" s="32">
        <f>D11*Variables!$C$20</f>
        <v>48.067481002059559</v>
      </c>
      <c r="K11" s="202">
        <f>VLOOKUP(B11,'Urban road length (WDI)'!$B$2:$F$42,5,FALSE)</f>
        <v>19.041259999999998</v>
      </c>
      <c r="L11" s="32">
        <f t="shared" si="1"/>
        <v>29.026221002059561</v>
      </c>
      <c r="M11" s="197">
        <f>K11*(1-VLOOKUP(A11,'% Urban Roads Surfaced (WDI)'!A:G,7,FALSE))</f>
        <v>0</v>
      </c>
      <c r="N11" s="117">
        <f>Variables!$C$21*'Cost Calculations'!$M11/100</f>
        <v>0</v>
      </c>
      <c r="O11" s="117">
        <f>Variables!$C$22*'Cost Calculations'!$M11/100</f>
        <v>0</v>
      </c>
      <c r="P11" s="117">
        <f>Variables!$C$23*'Cost Calculations'!$M11/100</f>
        <v>0</v>
      </c>
      <c r="Q11" s="117">
        <f>Variables!$C$24*'Cost Calculations'!$M11/100</f>
        <v>0</v>
      </c>
      <c r="R11" s="107">
        <f>N11*Variables!$C$15*Variables!$E$30+O11*Variables!$C$15*Variables!$E$31+('Cost Calculations'!P11+'Cost Calculations'!Q11)*Variables!$C$15*Variables!$E$32</f>
        <v>0</v>
      </c>
      <c r="S11" s="198">
        <f>$L11*Variables!$C$21/100</f>
        <v>1.5760843983018764</v>
      </c>
      <c r="T11" s="198">
        <f>$L11*Variables!$C$22/100</f>
        <v>2.7581476970282841</v>
      </c>
      <c r="U11" s="198">
        <f>$L11*Variables!$C$23/100</f>
        <v>2.8894880635534408</v>
      </c>
      <c r="V11" s="198">
        <f>$L11*Variables!$C$24/100</f>
        <v>21.014458644025023</v>
      </c>
      <c r="W11" s="22">
        <f>S11*Variables!$E$25*Variables!$C$15+'Cost Calculations'!T11*Variables!$E$26*Variables!$C$15+'Cost Calculations'!U11*Variables!$E$27*Variables!$C$15+V11*Variables!$E$28*Variables!$C$15</f>
        <v>19469097.811116904</v>
      </c>
      <c r="X11" s="20">
        <f>J11*Variables!$E$29*Variables!$C$15</f>
        <v>8216.655202492062</v>
      </c>
      <c r="Z11" s="33">
        <f>D11*(IF(D11&lt;50000,0,IF(D11&gt;Variables!$C$7,Variables!$C$37,IF(D11&gt;Variables!$C$6,Variables!$C$36,IF(D11&gt;Variables!$C$5,Variables!$C$35)))))</f>
        <v>26.704156112255312</v>
      </c>
      <c r="AA11" s="187">
        <f>'Existing Fleet'!C9</f>
        <v>0</v>
      </c>
      <c r="AB11" s="35">
        <f t="shared" si="2"/>
        <v>27</v>
      </c>
      <c r="AC11" s="22">
        <f>AB11*Variables!$E$41</f>
        <v>9979200.0000000019</v>
      </c>
      <c r="AD11" s="115">
        <f>ROUND(IF(D11&lt;50000,0,(H11/(3.14*Variables!$C$34^2))),0)</f>
        <v>191</v>
      </c>
      <c r="AE11" s="341">
        <f>VLOOKUP(A11,'Existing Fleet'!$A$2:$H$43,8,FALSE)</f>
        <v>0</v>
      </c>
      <c r="AF11" s="115">
        <f t="shared" si="3"/>
        <v>191</v>
      </c>
      <c r="AG11" s="107">
        <f>AF11*Variables!$E$42*Variables!$C$15</f>
        <v>129410.90400000001</v>
      </c>
      <c r="AH11" s="199">
        <f>ROUND((Z11)/Variables!$C$40,0)</f>
        <v>0</v>
      </c>
      <c r="AI11" s="343">
        <f>'Existing Fleet'!M9</f>
        <v>0</v>
      </c>
      <c r="AJ11" s="199">
        <f t="shared" si="5"/>
        <v>0</v>
      </c>
      <c r="AK11" s="22">
        <f>AJ11*Variables!$E$43*Variables!$C$15</f>
        <v>0</v>
      </c>
      <c r="AL11" s="20">
        <f>Z11*Variables!$E$38*Variables!$C$15</f>
        <v>4734073.0310664112</v>
      </c>
      <c r="AM11" s="98"/>
      <c r="AN11" s="200">
        <f>Variables!$E$45</f>
        <v>0.25221875000000005</v>
      </c>
      <c r="AO11" s="201">
        <f t="shared" si="6"/>
        <v>65.557135712189407</v>
      </c>
      <c r="AP11" s="321">
        <f>VLOOKUP(A11,'Household Information'!H:Q,10,FALSE)</f>
        <v>39.775337624637132</v>
      </c>
      <c r="AQ11" s="122">
        <f>IF(12*(AO11-Variables!$C$3*AP11*F11)*(G11/5)&lt;0,0,12*(AO11-Variables!$C$3*AP11*F11)*(G11/5))</f>
        <v>1175031.0834112621</v>
      </c>
      <c r="AS11" s="22">
        <f t="shared" si="7"/>
        <v>100000</v>
      </c>
      <c r="AU11" s="30"/>
      <c r="AW11" s="101"/>
      <c r="AX11" s="101"/>
      <c r="AY11" s="101"/>
      <c r="AZ11" s="101"/>
      <c r="BA11" s="101"/>
      <c r="BB11" s="101"/>
      <c r="BC11" s="101"/>
      <c r="BD11" s="101"/>
      <c r="BE11" s="101"/>
      <c r="BF11" s="313"/>
    </row>
    <row r="12" spans="1:58" ht="14.25" customHeight="1" x14ac:dyDescent="0.35">
      <c r="A12" s="30">
        <v>9</v>
      </c>
      <c r="B12" s="28" t="s">
        <v>162</v>
      </c>
      <c r="C12" s="28">
        <v>2019</v>
      </c>
      <c r="D12" s="196">
        <f>Population!D10</f>
        <v>686965.35071162798</v>
      </c>
      <c r="E12" s="303" t="str">
        <f t="shared" si="4"/>
        <v>Medium</v>
      </c>
      <c r="F12" s="340">
        <f>VLOOKUP(A12,'Household Information'!$H$2:$M$49,6,FALSE)</f>
        <v>4.5911864516077028</v>
      </c>
      <c r="G12" s="196">
        <f t="shared" si="0"/>
        <v>149627</v>
      </c>
      <c r="H12" s="213">
        <f>Area!E10</f>
        <v>405.03034460115111</v>
      </c>
      <c r="I12" s="213"/>
      <c r="J12" s="32">
        <f>D12*Variables!$C$20</f>
        <v>618.26881564046516</v>
      </c>
      <c r="K12" s="202">
        <f>VLOOKUP(B12,'Urban road length (WDI)'!$B$2:$F$42,5,FALSE)</f>
        <v>694.88516000000004</v>
      </c>
      <c r="L12" s="32">
        <f t="shared" si="1"/>
        <v>0</v>
      </c>
      <c r="M12" s="197">
        <f>K12*(1-VLOOKUP(A12,'% Urban Roads Surfaced (WDI)'!A:G,7,FALSE))</f>
        <v>201.22878205599108</v>
      </c>
      <c r="N12" s="117">
        <f>Variables!$C$21*'Cost Calculations'!$M12/100</f>
        <v>10.926449704397703</v>
      </c>
      <c r="O12" s="117">
        <f>Variables!$C$22*'Cost Calculations'!$M12/100</f>
        <v>19.121286982695985</v>
      </c>
      <c r="P12" s="117">
        <f>Variables!$C$23*'Cost Calculations'!$M12/100</f>
        <v>20.031824458062459</v>
      </c>
      <c r="Q12" s="117">
        <f>Variables!$C$24*'Cost Calculations'!$M12/100</f>
        <v>145.68599605863608</v>
      </c>
      <c r="R12" s="107">
        <f>N12*Variables!$C$15*Variables!$E$30+O12*Variables!$C$15*Variables!$E$31+('Cost Calculations'!P12+'Cost Calculations'!Q12)*Variables!$C$15*Variables!$E$32</f>
        <v>851059.68439209752</v>
      </c>
      <c r="S12" s="198">
        <f>$L12*Variables!$C$21/100</f>
        <v>0</v>
      </c>
      <c r="T12" s="198">
        <f>$L12*Variables!$C$22/100</f>
        <v>0</v>
      </c>
      <c r="U12" s="198">
        <f>$L12*Variables!$C$23/100</f>
        <v>0</v>
      </c>
      <c r="V12" s="198">
        <f>$L12*Variables!$C$24/100</f>
        <v>0</v>
      </c>
      <c r="W12" s="22">
        <f>S12*Variables!$E$25*Variables!$C$15+'Cost Calculations'!T12*Variables!$E$26*Variables!$C$15+'Cost Calculations'!U12*Variables!$E$27*Variables!$C$15+V12*Variables!$E$28*Variables!$C$15</f>
        <v>0</v>
      </c>
      <c r="X12" s="20">
        <f>J12*Variables!$E$29*Variables!$C$15</f>
        <v>105686.87134558112</v>
      </c>
      <c r="Z12" s="33">
        <f>D12*(IF(D12&lt;50000,0,IF(D12&gt;Variables!$C$7,Variables!$C$37,IF(D12&gt;Variables!$C$6,Variables!$C$36,IF(D12&gt;Variables!$C$5,Variables!$C$35)))))</f>
        <v>343.48267535581402</v>
      </c>
      <c r="AA12" s="187">
        <f>'Existing Fleet'!C10</f>
        <v>430</v>
      </c>
      <c r="AB12" s="35">
        <f t="shared" si="2"/>
        <v>0</v>
      </c>
      <c r="AC12" s="22">
        <f>AB12*Variables!$E$41</f>
        <v>0</v>
      </c>
      <c r="AD12" s="115">
        <f>ROUND(IF(D12&lt;50000,0,(H12/(3.14*Variables!$C$34^2))),0)</f>
        <v>516</v>
      </c>
      <c r="AE12" s="341">
        <f>VLOOKUP(A12,'Existing Fleet'!$A$2:$H$43,8,FALSE)</f>
        <v>0</v>
      </c>
      <c r="AF12" s="115">
        <f t="shared" si="3"/>
        <v>516</v>
      </c>
      <c r="AG12" s="107">
        <f>AF12*Variables!$E$42*Variables!$C$15</f>
        <v>349612.70400000003</v>
      </c>
      <c r="AH12" s="199">
        <f>ROUND((Z12)/Variables!$C$40,0)</f>
        <v>3</v>
      </c>
      <c r="AI12" s="343">
        <f>'Existing Fleet'!M10</f>
        <v>0</v>
      </c>
      <c r="AJ12" s="199">
        <f t="shared" si="5"/>
        <v>3</v>
      </c>
      <c r="AK12" s="22">
        <f>AJ12*Variables!$E$43*Variables!$C$15</f>
        <v>1658152.1880000001</v>
      </c>
      <c r="AL12" s="20">
        <f>Z12*Variables!$E$38*Variables!$C$15</f>
        <v>60892097.215318739</v>
      </c>
      <c r="AM12" s="98"/>
      <c r="AN12" s="200">
        <f>Variables!$C$18*14</f>
        <v>0.19600000000000001</v>
      </c>
      <c r="AO12" s="201">
        <f t="shared" si="6"/>
        <v>53.992352670906584</v>
      </c>
      <c r="AP12" s="321">
        <f>VLOOKUP(A12,'Household Information'!H:Q,10,FALSE)</f>
        <v>137.82658084059071</v>
      </c>
      <c r="AQ12" s="122">
        <f>IF(12*(AO12-Variables!$C$3*AP12*F12)*(G12/5)&lt;0,0,12*(AO12-Variables!$C$3*AP12*F12)*(G12/5))</f>
        <v>0</v>
      </c>
      <c r="AS12" s="22">
        <f t="shared" si="7"/>
        <v>350000</v>
      </c>
      <c r="AU12" s="30"/>
      <c r="AW12" s="101"/>
      <c r="AX12" s="101"/>
      <c r="AY12" s="101"/>
      <c r="AZ12" s="101"/>
      <c r="BA12" s="101"/>
      <c r="BB12" s="101"/>
      <c r="BC12" s="101"/>
      <c r="BD12" s="101"/>
      <c r="BE12" s="101"/>
      <c r="BF12" s="313"/>
    </row>
    <row r="13" spans="1:58" ht="14.25" customHeight="1" x14ac:dyDescent="0.35">
      <c r="A13" s="30">
        <v>10</v>
      </c>
      <c r="B13" s="28" t="s">
        <v>163</v>
      </c>
      <c r="C13" s="28">
        <v>2019</v>
      </c>
      <c r="D13" s="196">
        <f>Population!D11</f>
        <v>637497.35184327734</v>
      </c>
      <c r="E13" s="303" t="str">
        <f t="shared" si="4"/>
        <v>Medium</v>
      </c>
      <c r="F13" s="340">
        <f>VLOOKUP(A13,'Household Information'!$H$2:$M$49,6,FALSE)</f>
        <v>4.0714439771379274</v>
      </c>
      <c r="G13" s="196">
        <f t="shared" si="0"/>
        <v>156578</v>
      </c>
      <c r="H13" s="214">
        <f>Area!E11</f>
        <v>120</v>
      </c>
      <c r="I13" s="213"/>
      <c r="J13" s="32">
        <f>D13*Variables!$C$20</f>
        <v>573.7476166589496</v>
      </c>
      <c r="K13" s="202">
        <f>VLOOKUP(B13,'Urban road length (WDI)'!$B$2:$F$42,5,FALSE)</f>
        <v>718.84568000000002</v>
      </c>
      <c r="L13" s="32">
        <f t="shared" si="1"/>
        <v>0</v>
      </c>
      <c r="M13" s="197">
        <f>K13*(1-VLOOKUP(A13,'% Urban Roads Surfaced (WDI)'!A:G,7,FALSE))</f>
        <v>212.61176999999998</v>
      </c>
      <c r="N13" s="117">
        <f>Variables!$C$21*'Cost Calculations'!$M13/100</f>
        <v>11.544530497737552</v>
      </c>
      <c r="O13" s="117">
        <f>Variables!$C$22*'Cost Calculations'!$M13/100</f>
        <v>20.202928371040723</v>
      </c>
      <c r="P13" s="117">
        <f>Variables!$C$23*'Cost Calculations'!$M13/100</f>
        <v>21.16497257918552</v>
      </c>
      <c r="Q13" s="117">
        <f>Variables!$C$24*'Cost Calculations'!$M13/100</f>
        <v>153.92707330316739</v>
      </c>
      <c r="R13" s="107">
        <f>N13*Variables!$C$15*Variables!$E$30+O13*Variables!$C$15*Variables!$E$31+('Cost Calculations'!P13+'Cost Calculations'!Q13)*Variables!$C$15*Variables!$E$32</f>
        <v>899201.91349117202</v>
      </c>
      <c r="S13" s="198">
        <f>$L13*Variables!$C$21/100</f>
        <v>0</v>
      </c>
      <c r="T13" s="198">
        <f>$L13*Variables!$C$22/100</f>
        <v>0</v>
      </c>
      <c r="U13" s="198">
        <f>$L13*Variables!$C$23/100</f>
        <v>0</v>
      </c>
      <c r="V13" s="198">
        <f>$L13*Variables!$C$24/100</f>
        <v>0</v>
      </c>
      <c r="W13" s="22">
        <f>S13*Variables!$E$25*Variables!$C$15+'Cost Calculations'!T13*Variables!$E$26*Variables!$C$15+'Cost Calculations'!U13*Variables!$E$27*Variables!$C$15+V13*Variables!$E$28*Variables!$C$15</f>
        <v>0</v>
      </c>
      <c r="X13" s="20">
        <f>J13*Variables!$E$29*Variables!$C$15</f>
        <v>98076.417591680845</v>
      </c>
      <c r="Z13" s="33">
        <f>D13*(IF(D13&lt;50000,0,IF(D13&gt;Variables!$C$7,Variables!$C$37,IF(D13&gt;Variables!$C$6,Variables!$C$36,IF(D13&gt;Variables!$C$5,Variables!$C$35)))))</f>
        <v>318.74867592163866</v>
      </c>
      <c r="AA13" s="187">
        <f>'Existing Fleet'!C11</f>
        <v>60</v>
      </c>
      <c r="AB13" s="35">
        <f t="shared" si="2"/>
        <v>259</v>
      </c>
      <c r="AC13" s="22">
        <f>AB13*Variables!$E$41</f>
        <v>95726400.000000015</v>
      </c>
      <c r="AD13" s="115">
        <f>ROUND(IF(D13&lt;50000,0,(H13/(3.14*Variables!$C$34^2))),0)</f>
        <v>153</v>
      </c>
      <c r="AE13" s="341">
        <f>VLOOKUP(A13,'Existing Fleet'!$A$2:$H$43,8,FALSE)</f>
        <v>0</v>
      </c>
      <c r="AF13" s="115">
        <f t="shared" si="3"/>
        <v>153</v>
      </c>
      <c r="AG13" s="107">
        <f>AF13*Variables!$E$42*Variables!$C$15</f>
        <v>103664.232</v>
      </c>
      <c r="AH13" s="199">
        <f>ROUND((Z13)/Variables!$C$40,0)</f>
        <v>3</v>
      </c>
      <c r="AI13" s="343">
        <f>'Existing Fleet'!M11</f>
        <v>0</v>
      </c>
      <c r="AJ13" s="199">
        <f t="shared" si="5"/>
        <v>3</v>
      </c>
      <c r="AK13" s="22">
        <f>AJ13*Variables!$E$43*Variables!$C$15</f>
        <v>1658152.1880000001</v>
      </c>
      <c r="AL13" s="20">
        <f>Z13*Variables!$E$38*Variables!$C$15</f>
        <v>56507290.626429595</v>
      </c>
      <c r="AM13" s="98"/>
      <c r="AN13" s="200">
        <f>Variables!$E$45</f>
        <v>0.25221875000000005</v>
      </c>
      <c r="AO13" s="201">
        <f t="shared" si="6"/>
        <v>61.613670636525413</v>
      </c>
      <c r="AP13" s="321">
        <f>VLOOKUP(A13,'Household Information'!H:Q,10,FALSE)</f>
        <v>39.775337624637132</v>
      </c>
      <c r="AQ13" s="122">
        <f>IF(12*(AO13-Variables!$C$3*AP13*F13)*(G13/5)&lt;0,0,12*(AO13-Variables!$C$3*AP13*F13)*(G13/5))</f>
        <v>14025209.475749588</v>
      </c>
      <c r="AS13" s="22">
        <f t="shared" si="7"/>
        <v>350000</v>
      </c>
      <c r="AU13" s="30"/>
      <c r="AW13" s="101"/>
      <c r="AX13" s="101"/>
      <c r="AY13" s="101"/>
      <c r="AZ13" s="101"/>
      <c r="BA13" s="101"/>
      <c r="BB13" s="101"/>
      <c r="BC13" s="101"/>
      <c r="BD13" s="101"/>
      <c r="BE13" s="101"/>
      <c r="BF13" s="313"/>
    </row>
    <row r="14" spans="1:58" ht="14.25" customHeight="1" x14ac:dyDescent="0.35">
      <c r="A14" s="30">
        <v>11</v>
      </c>
      <c r="B14" s="28" t="s">
        <v>164</v>
      </c>
      <c r="C14" s="28">
        <v>2019</v>
      </c>
      <c r="D14" s="196">
        <f>Population!D12</f>
        <v>248657.05041305005</v>
      </c>
      <c r="E14" s="303" t="str">
        <f t="shared" si="4"/>
        <v>Medium</v>
      </c>
      <c r="F14" s="340">
        <f>VLOOKUP(A14,'Household Information'!$H$2:$M$49,6,FALSE)</f>
        <v>4.5669760538732476</v>
      </c>
      <c r="G14" s="196">
        <f t="shared" si="0"/>
        <v>54447</v>
      </c>
      <c r="H14" s="213">
        <f>Area!E12</f>
        <v>153.91153094843742</v>
      </c>
      <c r="I14" s="213"/>
      <c r="J14" s="32">
        <f>D14*Variables!$C$20</f>
        <v>223.79134537174502</v>
      </c>
      <c r="K14" s="202">
        <f>VLOOKUP(B14,'Urban road length (WDI)'!$B$2:$F$42,5,FALSE)</f>
        <v>177.30362</v>
      </c>
      <c r="L14" s="32">
        <f t="shared" si="1"/>
        <v>46.487725371745029</v>
      </c>
      <c r="M14" s="197">
        <f>K14*(1-VLOOKUP(A14,'% Urban Roads Surfaced (WDI)'!A:G,7,FALSE))</f>
        <v>40.240163122608017</v>
      </c>
      <c r="N14" s="117">
        <f>Variables!$C$21*'Cost Calculations'!$M14/100</f>
        <v>2.1849862329017924</v>
      </c>
      <c r="O14" s="117">
        <f>Variables!$C$22*'Cost Calculations'!$M14/100</f>
        <v>3.8237259075781371</v>
      </c>
      <c r="P14" s="117">
        <f>Variables!$C$23*'Cost Calculations'!$M14/100</f>
        <v>4.0058080936532869</v>
      </c>
      <c r="Q14" s="117">
        <f>Variables!$C$24*'Cost Calculations'!$M14/100</f>
        <v>29.133149772023902</v>
      </c>
      <c r="R14" s="107">
        <f>N14*Variables!$C$15*Variables!$E$30+O14*Variables!$C$15*Variables!$E$31+('Cost Calculations'!P14+'Cost Calculations'!Q14)*Variables!$C$15*Variables!$E$32</f>
        <v>170188.28110525597</v>
      </c>
      <c r="S14" s="198">
        <f>$L14*Variables!$C$21/100</f>
        <v>2.5242203821762006</v>
      </c>
      <c r="T14" s="198">
        <f>$L14*Variables!$C$22/100</f>
        <v>4.4173856688083513</v>
      </c>
      <c r="U14" s="198">
        <f>$L14*Variables!$C$23/100</f>
        <v>4.6277373673230349</v>
      </c>
      <c r="V14" s="198">
        <f>$L14*Variables!$C$24/100</f>
        <v>33.656271762349341</v>
      </c>
      <c r="W14" s="22">
        <f>S14*Variables!$E$25*Variables!$C$15+'Cost Calculations'!T14*Variables!$E$26*Variables!$C$15+'Cost Calculations'!U14*Variables!$E$27*Variables!$C$15+V14*Variables!$E$28*Variables!$C$15</f>
        <v>31181257.533132717</v>
      </c>
      <c r="X14" s="20">
        <f>J14*Variables!$E$29*Variables!$C$15</f>
        <v>38254.892577846091</v>
      </c>
      <c r="Z14" s="33">
        <f>D14*(IF(D14&lt;50000,0,IF(D14&gt;Variables!$C$7,Variables!$C$37,IF(D14&gt;Variables!$C$6,Variables!$C$36,IF(D14&gt;Variables!$C$5,Variables!$C$35)))))</f>
        <v>124.32852520652503</v>
      </c>
      <c r="AA14" s="342">
        <f>'Existing Fleet'!C12</f>
        <v>0</v>
      </c>
      <c r="AB14" s="35">
        <f t="shared" si="2"/>
        <v>124</v>
      </c>
      <c r="AC14" s="22">
        <f>AB14*Variables!$E$41</f>
        <v>45830400.000000007</v>
      </c>
      <c r="AD14" s="115">
        <f>ROUND(IF(D14&lt;50000,0,(H14/(3.14*Variables!$C$34^2))),0)</f>
        <v>196</v>
      </c>
      <c r="AE14" s="341">
        <f>VLOOKUP(A14,'Existing Fleet'!$A$2:$H$43,8,FALSE)</f>
        <v>0</v>
      </c>
      <c r="AF14" s="115">
        <f t="shared" si="3"/>
        <v>196</v>
      </c>
      <c r="AG14" s="107">
        <f>AF14*Variables!$E$42*Variables!$C$15</f>
        <v>132798.62400000001</v>
      </c>
      <c r="AH14" s="199">
        <f>ROUND((Z14)/Variables!$C$40,0)</f>
        <v>1</v>
      </c>
      <c r="AI14" s="343">
        <f>'Existing Fleet'!M12</f>
        <v>0</v>
      </c>
      <c r="AJ14" s="199">
        <f t="shared" si="5"/>
        <v>1</v>
      </c>
      <c r="AK14" s="22">
        <f>AJ14*Variables!$E$43*Variables!$C$15</f>
        <v>552717.39600000007</v>
      </c>
      <c r="AL14" s="20">
        <f>Z14*Variables!$E$38*Variables!$C$15</f>
        <v>22040775.814007245</v>
      </c>
      <c r="AM14" s="98"/>
      <c r="AN14" s="200">
        <f>Variables!$C$18*22.5</f>
        <v>0.315</v>
      </c>
      <c r="AO14" s="201">
        <f t="shared" si="6"/>
        <v>86.31584741820437</v>
      </c>
      <c r="AP14" s="321">
        <f>VLOOKUP(A14,'Household Information'!H:Q,10,FALSE)</f>
        <v>93.297993184399843</v>
      </c>
      <c r="AQ14" s="122">
        <f>IF(12*(AO14-Variables!$C$3*AP14*F14)*(G14/5)&lt;0,0,12*(AO14-Variables!$C$3*AP14*F14)*(G14/5))</f>
        <v>2927383.3293322115</v>
      </c>
      <c r="AS14" s="22">
        <f t="shared" si="7"/>
        <v>350000</v>
      </c>
      <c r="AU14" s="30"/>
      <c r="AW14" s="101"/>
      <c r="AX14" s="101"/>
      <c r="AY14" s="101"/>
      <c r="AZ14" s="101"/>
      <c r="BA14" s="101"/>
      <c r="BB14" s="101"/>
      <c r="BC14" s="101"/>
      <c r="BD14" s="101"/>
      <c r="BE14" s="101"/>
      <c r="BF14" s="313"/>
    </row>
    <row r="15" spans="1:58" ht="14.25" customHeight="1" x14ac:dyDescent="0.35">
      <c r="A15" s="30">
        <v>12</v>
      </c>
      <c r="B15" s="28" t="s">
        <v>165</v>
      </c>
      <c r="C15" s="28">
        <v>2019</v>
      </c>
      <c r="D15" s="196">
        <f>Population!D13</f>
        <v>120954.47359530447</v>
      </c>
      <c r="E15" s="303" t="str">
        <f t="shared" si="4"/>
        <v>Medium</v>
      </c>
      <c r="F15" s="340">
        <f>VLOOKUP(A15,'Household Information'!$H$2:$M$49,6,FALSE)</f>
        <v>4.2184831531569431</v>
      </c>
      <c r="G15" s="196">
        <f t="shared" si="0"/>
        <v>28673</v>
      </c>
      <c r="H15" s="213">
        <f>Area!E13</f>
        <v>25.651921824739571</v>
      </c>
      <c r="I15" s="213"/>
      <c r="J15" s="32">
        <f>D15*Variables!$C$20</f>
        <v>108.85902623577402</v>
      </c>
      <c r="K15" s="202">
        <f>VLOOKUP(B15,'Urban road length (WDI)'!$B$2:$F$42,5,FALSE)</f>
        <v>39.111539999999998</v>
      </c>
      <c r="L15" s="32">
        <f t="shared" si="1"/>
        <v>69.747486235774034</v>
      </c>
      <c r="M15" s="197">
        <f>K15*(1-VLOOKUP(A15,'% Urban Roads Surfaced (WDI)'!A:G,7,FALSE))</f>
        <v>0</v>
      </c>
      <c r="N15" s="117">
        <f>Variables!$C$21*'Cost Calculations'!$M15/100</f>
        <v>0</v>
      </c>
      <c r="O15" s="117">
        <f>Variables!$C$22*'Cost Calculations'!$M15/100</f>
        <v>0</v>
      </c>
      <c r="P15" s="117">
        <f>Variables!$C$23*'Cost Calculations'!$M15/100</f>
        <v>0</v>
      </c>
      <c r="Q15" s="117">
        <f>Variables!$C$24*'Cost Calculations'!$M15/100</f>
        <v>0</v>
      </c>
      <c r="R15" s="107">
        <f>N15*Variables!$C$15*Variables!$E$30+O15*Variables!$C$15*Variables!$E$31+('Cost Calculations'!P15+'Cost Calculations'!Q15)*Variables!$C$15*Variables!$E$32</f>
        <v>0</v>
      </c>
      <c r="S15" s="198">
        <f>$L15*Variables!$C$21/100</f>
        <v>3.787193822756961</v>
      </c>
      <c r="T15" s="198">
        <f>$L15*Variables!$C$22/100</f>
        <v>6.6275891898246826</v>
      </c>
      <c r="U15" s="198">
        <f>$L15*Variables!$C$23/100</f>
        <v>6.9431886750544285</v>
      </c>
      <c r="V15" s="198">
        <f>$L15*Variables!$C$24/100</f>
        <v>50.495917636759479</v>
      </c>
      <c r="W15" s="22">
        <f>S15*Variables!$E$25*Variables!$C$15+'Cost Calculations'!T15*Variables!$E$26*Variables!$C$15+'Cost Calculations'!U15*Variables!$E$27*Variables!$C$15+V15*Variables!$E$28*Variables!$C$15</f>
        <v>46782549.871285796</v>
      </c>
      <c r="X15" s="20">
        <f>J15*Variables!$E$29*Variables!$C$15</f>
        <v>18608.36194474321</v>
      </c>
      <c r="Z15" s="33">
        <f>D15*(IF(D15&lt;50000,0,IF(D15&gt;Variables!$C$7,Variables!$C$37,IF(D15&gt;Variables!$C$6,Variables!$C$36,IF(D15&gt;Variables!$C$5,Variables!$C$35)))))</f>
        <v>60.477236797652239</v>
      </c>
      <c r="AA15" s="342">
        <f>'Existing Fleet'!C13</f>
        <v>0</v>
      </c>
      <c r="AB15" s="35">
        <f t="shared" si="2"/>
        <v>60</v>
      </c>
      <c r="AC15" s="22">
        <f>AB15*Variables!$E$41</f>
        <v>22176000.000000004</v>
      </c>
      <c r="AD15" s="115">
        <f>ROUND(IF(D15&lt;50000,0,(H15/(3.14*Variables!$C$34^2))),0)</f>
        <v>33</v>
      </c>
      <c r="AE15" s="341">
        <f>VLOOKUP(A15,'Existing Fleet'!$A$2:$H$43,8,FALSE)</f>
        <v>0</v>
      </c>
      <c r="AF15" s="115">
        <f t="shared" si="3"/>
        <v>33</v>
      </c>
      <c r="AG15" s="107">
        <f>AF15*Variables!$E$42*Variables!$C$15</f>
        <v>22358.952000000001</v>
      </c>
      <c r="AH15" s="199">
        <f>ROUND((Z15)/Variables!$C$40,0)</f>
        <v>0</v>
      </c>
      <c r="AI15" s="343">
        <f>'Existing Fleet'!M13</f>
        <v>0</v>
      </c>
      <c r="AJ15" s="199">
        <f t="shared" si="5"/>
        <v>0</v>
      </c>
      <c r="AK15" s="22">
        <f>AJ15*Variables!$E$43*Variables!$C$15</f>
        <v>0</v>
      </c>
      <c r="AL15" s="20">
        <f>Z15*Variables!$E$38*Variables!$C$15</f>
        <v>10721314.484294435</v>
      </c>
      <c r="AM15" s="98"/>
      <c r="AN15" s="200">
        <f>Variables!$C$18*20</f>
        <v>0.28000000000000003</v>
      </c>
      <c r="AO15" s="201">
        <f t="shared" si="6"/>
        <v>70.870516973036644</v>
      </c>
      <c r="AP15" s="321">
        <f>VLOOKUP(A15,'Household Information'!H:Q,10,FALSE)</f>
        <v>108.65462509082352</v>
      </c>
      <c r="AQ15" s="122">
        <f>IF(12*(AO15-Variables!$C$3*AP15*F15)*(G15/5)&lt;0,0,12*(AO15-Variables!$C$3*AP15*F15)*(G15/5))</f>
        <v>145672.22370560811</v>
      </c>
      <c r="AS15" s="22">
        <f t="shared" si="7"/>
        <v>350000</v>
      </c>
      <c r="AU15" s="30"/>
      <c r="AW15" s="101"/>
      <c r="AX15" s="101"/>
      <c r="AY15" s="101"/>
      <c r="AZ15" s="101"/>
      <c r="BA15" s="101"/>
      <c r="BB15" s="101"/>
      <c r="BC15" s="101"/>
      <c r="BD15" s="101"/>
      <c r="BE15" s="101"/>
      <c r="BF15" s="313"/>
    </row>
    <row r="16" spans="1:58" ht="14.25" customHeight="1" x14ac:dyDescent="0.35">
      <c r="A16" s="30">
        <v>13</v>
      </c>
      <c r="B16" s="28" t="s">
        <v>166</v>
      </c>
      <c r="C16" s="28">
        <v>2019</v>
      </c>
      <c r="D16" s="196">
        <f>Population!D14</f>
        <v>8119180.3023765497</v>
      </c>
      <c r="E16" s="303" t="str">
        <f t="shared" si="4"/>
        <v>Large</v>
      </c>
      <c r="F16" s="340">
        <f>VLOOKUP(A16,'Household Information'!$H$2:$M$49,6,FALSE)</f>
        <v>4.33</v>
      </c>
      <c r="G16" s="196">
        <f t="shared" si="0"/>
        <v>1875099</v>
      </c>
      <c r="H16" s="213">
        <f>Area!E14</f>
        <v>849.59789195702035</v>
      </c>
      <c r="I16" s="213"/>
      <c r="J16" s="32">
        <f>D16*Variables!$C$20</f>
        <v>7307.2622721388943</v>
      </c>
      <c r="K16" s="202">
        <f>VLOOKUP(B16,'Urban road length (WDI)'!$B$2:$F$42,5,FALSE)</f>
        <v>4106.3918999999996</v>
      </c>
      <c r="L16" s="32">
        <f t="shared" si="1"/>
        <v>3200.8703721388947</v>
      </c>
      <c r="M16" s="197">
        <f>K16*(1-VLOOKUP(A16,'% Urban Roads Surfaced (WDI)'!A:G,7,FALSE))</f>
        <v>845.1282614389944</v>
      </c>
      <c r="N16" s="117">
        <f>Variables!$C$21*'Cost Calculations'!$M16/100</f>
        <v>45.889317363203311</v>
      </c>
      <c r="O16" s="117">
        <f>Variables!$C$22*'Cost Calculations'!$M16/100</f>
        <v>80.306305385605796</v>
      </c>
      <c r="P16" s="117">
        <f>Variables!$C$23*'Cost Calculations'!$M16/100</f>
        <v>84.130415165872748</v>
      </c>
      <c r="Q16" s="117">
        <f>Variables!$C$24*'Cost Calculations'!$M16/100</f>
        <v>611.85756484271087</v>
      </c>
      <c r="R16" s="107">
        <f>N16*Variables!$C$15*Variables!$E$30+O16*Variables!$C$15*Variables!$E$31+('Cost Calculations'!P16+'Cost Calculations'!Q16)*Variables!$C$15*Variables!$E$32</f>
        <v>3574312.7007098962</v>
      </c>
      <c r="S16" s="198">
        <f>$L16*Variables!$C$21/100</f>
        <v>173.80291613423861</v>
      </c>
      <c r="T16" s="198">
        <f>$L16*Variables!$C$22/100</f>
        <v>304.15510323491759</v>
      </c>
      <c r="U16" s="198">
        <f>$L16*Variables!$C$23/100</f>
        <v>318.63867957943751</v>
      </c>
      <c r="V16" s="198">
        <f>$L16*Variables!$C$24/100</f>
        <v>2317.3722151231814</v>
      </c>
      <c r="W16" s="22">
        <f>S16*Variables!$E$25*Variables!$C$15+'Cost Calculations'!T16*Variables!$E$26*Variables!$C$15+'Cost Calculations'!U16*Variables!$E$27*Variables!$C$15+V16*Variables!$E$28*Variables!$C$15</f>
        <v>2146957344.2390761</v>
      </c>
      <c r="X16" s="20">
        <f>J16*Variables!$E$29*Variables!$C$15</f>
        <v>1249103.4127994229</v>
      </c>
      <c r="Z16" s="33">
        <f>D16*(IF(D16&lt;50000,0,IF(D16&gt;Variables!$C$7,Variables!$C$37,IF(D16&gt;Variables!$C$6,Variables!$C$36,IF(D16&gt;Variables!$C$5,Variables!$C$35)))))</f>
        <v>4059.5901511882748</v>
      </c>
      <c r="AA16" s="342">
        <f>'Existing Fleet'!C14</f>
        <v>3856</v>
      </c>
      <c r="AB16" s="35">
        <f t="shared" si="2"/>
        <v>204</v>
      </c>
      <c r="AC16" s="22">
        <f>AB16*Variables!$E$41</f>
        <v>75398400.000000015</v>
      </c>
      <c r="AD16" s="115">
        <f>ROUND(IF(D16&lt;50000,0,(H16/(3.14*Variables!$C$34^2))),0)</f>
        <v>1082</v>
      </c>
      <c r="AE16" s="235">
        <f>VLOOKUP(A16,'Existing Fleet'!$A$2:$H$43,8,FALSE)</f>
        <v>97</v>
      </c>
      <c r="AF16" s="115">
        <f t="shared" si="3"/>
        <v>985</v>
      </c>
      <c r="AG16" s="107">
        <f>AF16*Variables!$E$42*Variables!$C$15</f>
        <v>667380.84</v>
      </c>
      <c r="AH16" s="199">
        <f>ROUND((Z16)/Variables!$C$40,0)</f>
        <v>32</v>
      </c>
      <c r="AI16" s="343">
        <f>'Existing Fleet'!M14</f>
        <v>0</v>
      </c>
      <c r="AJ16" s="199">
        <f>IF(AH16-AI16&lt;0,0,AH16-AI16)</f>
        <v>32</v>
      </c>
      <c r="AK16" s="22">
        <f>AJ16*Variables!$E$43*Variables!$C$15</f>
        <v>17686956.672000002</v>
      </c>
      <c r="AL16" s="20">
        <f>Z16*Variables!$E$38*Variables!$C$15</f>
        <v>719678096.96496451</v>
      </c>
      <c r="AM16" s="98"/>
      <c r="AN16" s="200">
        <f>Variables!$C$18*20</f>
        <v>0.28000000000000003</v>
      </c>
      <c r="AO16" s="201">
        <f t="shared" si="6"/>
        <v>72.744</v>
      </c>
      <c r="AP16" s="321">
        <f>VLOOKUP(A16,'Household Information'!H:Q,10,FALSE)</f>
        <v>139.85863940426606</v>
      </c>
      <c r="AQ16" s="122">
        <f>IF(12*(AO16-Variables!$C$3*AP16*F16)*(G16/5)&lt;0,0,12*(AO16-Variables!$C$3*AP16*F16)*(G16/5))</f>
        <v>0</v>
      </c>
      <c r="AS16" s="22">
        <f t="shared" si="7"/>
        <v>350000</v>
      </c>
      <c r="AU16" s="30"/>
      <c r="AW16" s="101"/>
      <c r="AX16" s="101"/>
      <c r="AY16" s="101"/>
      <c r="AZ16" s="101"/>
      <c r="BA16" s="101"/>
      <c r="BB16" s="101"/>
      <c r="BC16" s="101"/>
      <c r="BD16" s="101"/>
      <c r="BE16" s="101"/>
      <c r="BF16" s="313"/>
    </row>
    <row r="17" spans="1:58" ht="14.25" customHeight="1" x14ac:dyDescent="0.35">
      <c r="A17" s="30">
        <v>14</v>
      </c>
      <c r="B17" s="28" t="s">
        <v>167</v>
      </c>
      <c r="C17" s="28">
        <v>2019</v>
      </c>
      <c r="D17" s="196">
        <f>Population!D15</f>
        <v>323526.6224659998</v>
      </c>
      <c r="E17" s="303" t="str">
        <f t="shared" si="4"/>
        <v>Medium</v>
      </c>
      <c r="F17" s="340">
        <f>VLOOKUP(A17,'Household Information'!$H$2:$M$49,6,FALSE)</f>
        <v>4.6437746693442286</v>
      </c>
      <c r="G17" s="196">
        <f t="shared" si="0"/>
        <v>69669</v>
      </c>
      <c r="H17" s="213">
        <f>Area!E15</f>
        <v>40.50303446011511</v>
      </c>
      <c r="I17" s="213"/>
      <c r="J17" s="32">
        <f>D17*Variables!$C$20</f>
        <v>291.17396021939982</v>
      </c>
      <c r="K17" s="202">
        <f>VLOOKUP(B17,'Urban road length (WDI)'!$B$2:$F$42,5,FALSE)</f>
        <v>72.425610000000006</v>
      </c>
      <c r="L17" s="32">
        <f t="shared" si="1"/>
        <v>218.74835021939981</v>
      </c>
      <c r="M17" s="197">
        <f>K17*(1-VLOOKUP(A17,'% Urban Roads Surfaced (WDI)'!A:G,7,FALSE))</f>
        <v>19.221962843601894</v>
      </c>
      <c r="N17" s="117">
        <f>Variables!$C$21*'Cost Calculations'!$M17/100</f>
        <v>1.0437264892453515</v>
      </c>
      <c r="O17" s="117">
        <f>Variables!$C$22*'Cost Calculations'!$M17/100</f>
        <v>1.8265213561793656</v>
      </c>
      <c r="P17" s="117">
        <f>Variables!$C$23*'Cost Calculations'!$M17/100</f>
        <v>1.9134985636164783</v>
      </c>
      <c r="Q17" s="117">
        <f>Variables!$C$24*'Cost Calculations'!$M17/100</f>
        <v>13.916353189938022</v>
      </c>
      <c r="R17" s="107">
        <f>N17*Variables!$C$15*Variables!$E$30+O17*Variables!$C$15*Variables!$E$31+('Cost Calculations'!P17+'Cost Calculations'!Q17)*Variables!$C$15*Variables!$E$32</f>
        <v>81295.714578844985</v>
      </c>
      <c r="S17" s="198">
        <f>$L17*Variables!$C$21/100</f>
        <v>11.877738473451572</v>
      </c>
      <c r="T17" s="198">
        <f>$L17*Variables!$C$22/100</f>
        <v>20.786042328540251</v>
      </c>
      <c r="U17" s="198">
        <f>$L17*Variables!$C$23/100</f>
        <v>21.775853867994552</v>
      </c>
      <c r="V17" s="198">
        <f>$L17*Variables!$C$24/100</f>
        <v>158.36984631268763</v>
      </c>
      <c r="W17" s="22">
        <f>S17*Variables!$E$25*Variables!$C$15+'Cost Calculations'!T17*Variables!$E$26*Variables!$C$15+'Cost Calculations'!U17*Variables!$E$27*Variables!$C$15+V17*Variables!$E$28*Variables!$C$15</f>
        <v>146723647.77143273</v>
      </c>
      <c r="X17" s="20">
        <f>J17*Variables!$E$29*Variables!$C$15</f>
        <v>49773.276759904213</v>
      </c>
      <c r="Z17" s="33">
        <f>D17*(IF(D17&lt;50000,0,IF(D17&gt;Variables!$C$7,Variables!$C$37,IF(D17&gt;Variables!$C$6,Variables!$C$36,IF(D17&gt;Variables!$C$5,Variables!$C$35)))))</f>
        <v>161.76331123299991</v>
      </c>
      <c r="AA17" s="187">
        <f>'Existing Fleet'!C15</f>
        <v>0</v>
      </c>
      <c r="AB17" s="35">
        <f t="shared" si="2"/>
        <v>162</v>
      </c>
      <c r="AC17" s="22">
        <f>AB17*Variables!$E$41</f>
        <v>59875200.000000007</v>
      </c>
      <c r="AD17" s="115">
        <f>ROUND(IF(D17&lt;50000,0,(H17/(3.14*Variables!$C$34^2))),0)</f>
        <v>52</v>
      </c>
      <c r="AE17" s="341">
        <f>VLOOKUP(A17,'Existing Fleet'!$A$2:$H$43,8,FALSE)</f>
        <v>0</v>
      </c>
      <c r="AF17" s="115">
        <f t="shared" si="3"/>
        <v>52</v>
      </c>
      <c r="AG17" s="107">
        <f>AF17*Variables!$E$42*Variables!$C$15</f>
        <v>35232.288</v>
      </c>
      <c r="AH17" s="199">
        <f>ROUND((Z17)/Variables!$C$40,0)</f>
        <v>1</v>
      </c>
      <c r="AI17" s="290">
        <f>'Existing Fleet'!M15</f>
        <v>1</v>
      </c>
      <c r="AJ17" s="199">
        <f t="shared" si="5"/>
        <v>0</v>
      </c>
      <c r="AK17" s="22">
        <f>AJ17*Variables!$E$43*Variables!$C$15</f>
        <v>0</v>
      </c>
      <c r="AL17" s="20">
        <f>Z17*Variables!$E$38*Variables!$C$15</f>
        <v>28677158.937544543</v>
      </c>
      <c r="AM17" s="98"/>
      <c r="AN17" s="200">
        <f>Variables!$C$18*15</f>
        <v>0.21</v>
      </c>
      <c r="AO17" s="201">
        <f t="shared" si="6"/>
        <v>58.511560833737278</v>
      </c>
      <c r="AP17" s="321">
        <f>VLOOKUP(A17,'Household Information'!H:Q,10,FALSE)</f>
        <v>108.65462509082352</v>
      </c>
      <c r="AQ17" s="122">
        <f>IF(12*(AO17-Variables!$C$3*AP17*F17)*(G17/5)&lt;0,0,12*(AO17-Variables!$C$3*AP17*F17)*(G17/5))</f>
        <v>0</v>
      </c>
      <c r="AS17" s="22">
        <f t="shared" si="7"/>
        <v>350000</v>
      </c>
      <c r="AU17" s="30"/>
      <c r="AW17" s="101"/>
      <c r="AX17" s="101"/>
      <c r="AY17" s="101"/>
      <c r="AZ17" s="101"/>
      <c r="BA17" s="101"/>
      <c r="BB17" s="101"/>
      <c r="BC17" s="101"/>
      <c r="BD17" s="101"/>
      <c r="BE17" s="101"/>
      <c r="BF17" s="313"/>
    </row>
    <row r="18" spans="1:58" ht="14.25" customHeight="1" x14ac:dyDescent="0.35">
      <c r="A18" s="30">
        <v>15</v>
      </c>
      <c r="B18" s="28" t="s">
        <v>168</v>
      </c>
      <c r="C18" s="28">
        <v>2019</v>
      </c>
      <c r="D18" s="196">
        <f>Population!D16</f>
        <v>71750.609598395211</v>
      </c>
      <c r="E18" s="303" t="str">
        <f t="shared" si="4"/>
        <v>Small</v>
      </c>
      <c r="F18" s="340">
        <f>VLOOKUP(A18,'Household Information'!$H$2:$M$49,6,FALSE)</f>
        <v>4.4181210545859635</v>
      </c>
      <c r="G18" s="196">
        <f t="shared" si="0"/>
        <v>16240</v>
      </c>
      <c r="H18" s="213">
        <f>Area!E16</f>
        <v>225.46689182797411</v>
      </c>
      <c r="I18" s="213"/>
      <c r="J18" s="32">
        <f>D18*Variables!$C$20</f>
        <v>64.575548638555688</v>
      </c>
      <c r="K18" s="202">
        <f>VLOOKUP(B18,'Urban road length (WDI)'!$B$2:$F$42,5,FALSE)</f>
        <v>2.3795999999999999</v>
      </c>
      <c r="L18" s="32">
        <f t="shared" si="1"/>
        <v>62.195948638555691</v>
      </c>
      <c r="M18" s="197">
        <f>K18*(1-VLOOKUP(A18,'% Urban Roads Surfaced (WDI)'!A:G,7,FALSE))</f>
        <v>0</v>
      </c>
      <c r="N18" s="117">
        <f>Variables!$C$21*'Cost Calculations'!$M18/100</f>
        <v>0</v>
      </c>
      <c r="O18" s="117">
        <f>Variables!$C$22*'Cost Calculations'!$M18/100</f>
        <v>0</v>
      </c>
      <c r="P18" s="117">
        <f>Variables!$C$23*'Cost Calculations'!$M18/100</f>
        <v>0</v>
      </c>
      <c r="Q18" s="117">
        <f>Variables!$C$24*'Cost Calculations'!$M18/100</f>
        <v>0</v>
      </c>
      <c r="R18" s="107">
        <f>N18*Variables!$C$15*Variables!$E$30+O18*Variables!$C$15*Variables!$E$31+('Cost Calculations'!P18+'Cost Calculations'!Q18)*Variables!$C$15*Variables!$E$32</f>
        <v>0</v>
      </c>
      <c r="S18" s="198">
        <f>$L18*Variables!$C$21/100</f>
        <v>3.3771555821840189</v>
      </c>
      <c r="T18" s="198">
        <f>$L18*Variables!$C$22/100</f>
        <v>5.9100222688220345</v>
      </c>
      <c r="U18" s="198">
        <f>$L18*Variables!$C$23/100</f>
        <v>6.1914519006707023</v>
      </c>
      <c r="V18" s="198">
        <f>$L18*Variables!$C$24/100</f>
        <v>45.028741095786927</v>
      </c>
      <c r="W18" s="22">
        <f>S18*Variables!$E$25*Variables!$C$15+'Cost Calculations'!T18*Variables!$E$26*Variables!$C$15+'Cost Calculations'!U18*Variables!$E$27*Variables!$C$15+V18*Variables!$E$28*Variables!$C$15</f>
        <v>41717418.447731256</v>
      </c>
      <c r="X18" s="20">
        <f>J18*Variables!$E$29*Variables!$C$15</f>
        <v>11038.544284274711</v>
      </c>
      <c r="Z18" s="33">
        <f>D18*(IF(D18&lt;50000,0,IF(D18&gt;Variables!$C$7,Variables!$C$37,IF(D18&gt;Variables!$C$6,Variables!$C$36,IF(D18&gt;Variables!$C$5,Variables!$C$35)))))</f>
        <v>35.875304799197608</v>
      </c>
      <c r="AA18" s="187">
        <f>'Existing Fleet'!C16</f>
        <v>0</v>
      </c>
      <c r="AB18" s="35">
        <f t="shared" si="2"/>
        <v>36</v>
      </c>
      <c r="AC18" s="22">
        <f>AB18*Variables!$E$41</f>
        <v>13305600.000000002</v>
      </c>
      <c r="AD18" s="115">
        <f>ROUND(IF(D18&lt;50000,0,(H18/(3.14*Variables!$C$34^2))),0)</f>
        <v>287</v>
      </c>
      <c r="AE18" s="341">
        <f>VLOOKUP(A18,'Existing Fleet'!$A$2:$H$43,8,FALSE)</f>
        <v>0</v>
      </c>
      <c r="AF18" s="115">
        <f t="shared" si="3"/>
        <v>287</v>
      </c>
      <c r="AG18" s="107">
        <f>AF18*Variables!$E$42*Variables!$C$15</f>
        <v>194455.128</v>
      </c>
      <c r="AH18" s="199">
        <f>ROUND((Z18)/Variables!$C$40,0)</f>
        <v>0</v>
      </c>
      <c r="AI18" s="343">
        <f>'Existing Fleet'!M16</f>
        <v>0</v>
      </c>
      <c r="AJ18" s="199">
        <f t="shared" si="5"/>
        <v>0</v>
      </c>
      <c r="AK18" s="22">
        <f>AJ18*Variables!$E$43*Variables!$C$15</f>
        <v>0</v>
      </c>
      <c r="AL18" s="20">
        <f>Z18*Variables!$E$38*Variables!$C$15</f>
        <v>6359920.6137514291</v>
      </c>
      <c r="AM18" s="98"/>
      <c r="AN18" s="200">
        <f>Variables!$C$18*20</f>
        <v>0.28000000000000003</v>
      </c>
      <c r="AO18" s="201">
        <f t="shared" si="6"/>
        <v>74.224433717044192</v>
      </c>
      <c r="AP18" s="321">
        <f>VLOOKUP(A18,'Household Information'!H:Q,10,FALSE)</f>
        <v>119.4497033951786</v>
      </c>
      <c r="AQ18" s="122">
        <f>IF(12*(AO18-Variables!$C$3*AP18*F18)*(G18/5)&lt;0,0,12*(AO18-Variables!$C$3*AP18*F18)*(G18/5))</f>
        <v>0</v>
      </c>
      <c r="AS18" s="22">
        <f t="shared" si="7"/>
        <v>100000</v>
      </c>
      <c r="AU18" s="30"/>
      <c r="AW18" s="101"/>
      <c r="AX18" s="101"/>
      <c r="AY18" s="101"/>
      <c r="AZ18" s="101"/>
      <c r="BA18" s="101"/>
      <c r="BB18" s="101"/>
      <c r="BC18" s="101"/>
      <c r="BD18" s="101"/>
      <c r="BE18" s="101"/>
      <c r="BF18" s="313"/>
    </row>
    <row r="19" spans="1:58" ht="14.25" customHeight="1" x14ac:dyDescent="0.35">
      <c r="A19" s="30">
        <v>16</v>
      </c>
      <c r="B19" s="28" t="s">
        <v>169</v>
      </c>
      <c r="C19" s="28">
        <v>2019</v>
      </c>
      <c r="D19" s="196">
        <f>Population!D17</f>
        <v>3673962.8876462663</v>
      </c>
      <c r="E19" s="303" t="str">
        <f t="shared" si="4"/>
        <v>Large</v>
      </c>
      <c r="F19" s="340">
        <f>VLOOKUP(A19,'Household Information'!$H$2:$M$49,6,FALSE)</f>
        <v>5.0811133147736394</v>
      </c>
      <c r="G19" s="196">
        <f t="shared" si="0"/>
        <v>723063</v>
      </c>
      <c r="H19" s="213">
        <f>Area!E17</f>
        <v>444.2225149751597</v>
      </c>
      <c r="I19" s="213"/>
      <c r="J19" s="32">
        <f>D19*Variables!$C$20</f>
        <v>3306.5665988816395</v>
      </c>
      <c r="K19" s="202">
        <f>VLOOKUP(B19,'Urban road length (WDI)'!$B$2:$F$42,5,FALSE)</f>
        <v>2497.8536599999998</v>
      </c>
      <c r="L19" s="32">
        <f t="shared" si="1"/>
        <v>808.71293888163973</v>
      </c>
      <c r="M19" s="197">
        <f>K19*(1-VLOOKUP(A19,'% Urban Roads Surfaced (WDI)'!A:G,7,FALSE))</f>
        <v>404.77794108245774</v>
      </c>
      <c r="N19" s="117">
        <f>Variables!$C$21*'Cost Calculations'!$M19/100</f>
        <v>21.97889272845924</v>
      </c>
      <c r="O19" s="117">
        <f>Variables!$C$22*'Cost Calculations'!$M19/100</f>
        <v>38.463062274803676</v>
      </c>
      <c r="P19" s="117">
        <f>Variables!$C$23*'Cost Calculations'!$M19/100</f>
        <v>40.294636668841946</v>
      </c>
      <c r="Q19" s="117">
        <f>Variables!$C$24*'Cost Calculations'!$M19/100</f>
        <v>293.05190304612324</v>
      </c>
      <c r="R19" s="107">
        <f>N19*Variables!$C$15*Variables!$E$30+O19*Variables!$C$15*Variables!$E$31+('Cost Calculations'!P19+'Cost Calculations'!Q19)*Variables!$C$15*Variables!$E$32</f>
        <v>1711932.9713513176</v>
      </c>
      <c r="S19" s="198">
        <f>$L19*Variables!$C$21/100</f>
        <v>43.912014780903512</v>
      </c>
      <c r="T19" s="198">
        <f>$L19*Variables!$C$22/100</f>
        <v>76.846025866581144</v>
      </c>
      <c r="U19" s="198">
        <f>$L19*Variables!$C$23/100</f>
        <v>80.505360431656442</v>
      </c>
      <c r="V19" s="198">
        <f>$L19*Variables!$C$24/100</f>
        <v>585.49353041204677</v>
      </c>
      <c r="W19" s="22">
        <f>S19*Variables!$E$25*Variables!$C$15+'Cost Calculations'!T19*Variables!$E$26*Variables!$C$15+'Cost Calculations'!U19*Variables!$E$27*Variables!$C$15+V19*Variables!$E$28*Variables!$C$15</f>
        <v>542437519.06544304</v>
      </c>
      <c r="X19" s="20">
        <f>J19*Variables!$E$29*Variables!$C$15</f>
        <v>565224.49441282742</v>
      </c>
      <c r="Z19" s="33">
        <f>D19*(IF(D19&lt;50000,0,IF(D19&gt;Variables!$C$7,Variables!$C$37,IF(D19&gt;Variables!$C$6,Variables!$C$36,IF(D19&gt;Variables!$C$5,Variables!$C$35)))))</f>
        <v>1836.9814438231331</v>
      </c>
      <c r="AA19" s="187">
        <f>'Existing Fleet'!C17</f>
        <v>3249</v>
      </c>
      <c r="AB19" s="35">
        <f t="shared" si="2"/>
        <v>0</v>
      </c>
      <c r="AC19" s="22">
        <f>AB19*Variables!$E$41</f>
        <v>0</v>
      </c>
      <c r="AD19" s="115">
        <f>ROUND(IF(D19&lt;50000,0,(H19/(3.14*Variables!$C$34^2))),0)</f>
        <v>566</v>
      </c>
      <c r="AE19" s="341">
        <f>VLOOKUP(A19,'Existing Fleet'!$A$2:$H$43,8,FALSE)</f>
        <v>0</v>
      </c>
      <c r="AF19" s="115">
        <f t="shared" si="3"/>
        <v>566</v>
      </c>
      <c r="AG19" s="107">
        <f>AF19*Variables!$E$42*Variables!$C$15</f>
        <v>383489.90400000004</v>
      </c>
      <c r="AH19" s="199">
        <f>ROUND((Z19)/Variables!$C$40,0)</f>
        <v>15</v>
      </c>
      <c r="AI19" s="343">
        <f>'Existing Fleet'!M17</f>
        <v>0</v>
      </c>
      <c r="AJ19" s="199">
        <f t="shared" si="5"/>
        <v>15</v>
      </c>
      <c r="AK19" s="22">
        <f>AJ19*Variables!$E$43*Variables!$C$15</f>
        <v>8290760.9400000004</v>
      </c>
      <c r="AL19" s="20">
        <f>Z19*Variables!$E$38*Variables!$C$15</f>
        <v>325657334.95624298</v>
      </c>
      <c r="AM19" s="98"/>
      <c r="AN19" s="200">
        <f>Variables!$C$18*15</f>
        <v>0.21</v>
      </c>
      <c r="AO19" s="201">
        <f t="shared" si="6"/>
        <v>64.022027766147858</v>
      </c>
      <c r="AP19" s="321">
        <f>VLOOKUP(A19,'Household Information'!H:Q,10,FALSE)</f>
        <v>125.45752871387103</v>
      </c>
      <c r="AQ19" s="122">
        <f>IF(12*(AO19-Variables!$C$3*AP19*F19)*(G19/5)&lt;0,0,12*(AO19-Variables!$C$3*AP19*F19)*(G19/5))</f>
        <v>0</v>
      </c>
      <c r="AS19" s="22">
        <f t="shared" si="7"/>
        <v>350000</v>
      </c>
      <c r="AU19" s="30"/>
      <c r="AW19" s="101"/>
      <c r="AX19" s="101"/>
      <c r="AY19" s="101"/>
      <c r="AZ19" s="101"/>
      <c r="BA19" s="101"/>
      <c r="BB19" s="101"/>
      <c r="BC19" s="101"/>
      <c r="BD19" s="101"/>
      <c r="BE19" s="101"/>
      <c r="BF19" s="313"/>
    </row>
    <row r="20" spans="1:58" ht="14.25" customHeight="1" x14ac:dyDescent="0.35">
      <c r="A20" s="30">
        <v>17</v>
      </c>
      <c r="B20" s="28" t="s">
        <v>170</v>
      </c>
      <c r="C20" s="28">
        <v>2019</v>
      </c>
      <c r="D20" s="196">
        <f>Population!D18</f>
        <v>13520.328350949914</v>
      </c>
      <c r="E20" s="303" t="str">
        <f t="shared" si="4"/>
        <v>Small</v>
      </c>
      <c r="F20" s="340">
        <f>VLOOKUP(A20,'Household Information'!$H$2:$M$49,6,FALSE)</f>
        <v>4.9910952804986639</v>
      </c>
      <c r="G20" s="196">
        <f t="shared" si="0"/>
        <v>2709</v>
      </c>
      <c r="H20" s="214">
        <f>Area!E18</f>
        <v>2.61</v>
      </c>
      <c r="I20" s="213"/>
      <c r="J20" s="32">
        <f>D20*Variables!$C$20</f>
        <v>12.168295515854922</v>
      </c>
      <c r="K20" s="202">
        <f>VLOOKUP(B20,'Urban road length (WDI)'!$B$2:$F$42,5,FALSE)</f>
        <v>0.44840000000000002</v>
      </c>
      <c r="L20" s="32">
        <f t="shared" si="1"/>
        <v>11.719895515854923</v>
      </c>
      <c r="M20" s="197">
        <f>K20*(1-VLOOKUP(A20,'% Urban Roads Surfaced (WDI)'!A:G,7,FALSE))</f>
        <v>0</v>
      </c>
      <c r="N20" s="117">
        <f>Variables!$C$21*'Cost Calculations'!$M20/100</f>
        <v>0</v>
      </c>
      <c r="O20" s="117">
        <f>Variables!$C$22*'Cost Calculations'!$M20/100</f>
        <v>0</v>
      </c>
      <c r="P20" s="117">
        <f>Variables!$C$23*'Cost Calculations'!$M20/100</f>
        <v>0</v>
      </c>
      <c r="Q20" s="117">
        <f>Variables!$C$24*'Cost Calculations'!$M20/100</f>
        <v>0</v>
      </c>
      <c r="R20" s="107">
        <f>N20*Variables!$C$15*Variables!$E$30+O20*Variables!$C$15*Variables!$E$31+('Cost Calculations'!P20+'Cost Calculations'!Q20)*Variables!$C$15*Variables!$E$32</f>
        <v>0</v>
      </c>
      <c r="S20" s="198">
        <f>$L20*Variables!$C$21/100</f>
        <v>0.63637441715049348</v>
      </c>
      <c r="T20" s="198">
        <f>$L20*Variables!$C$22/100</f>
        <v>1.1136552300133638</v>
      </c>
      <c r="U20" s="198">
        <f>$L20*Variables!$C$23/100</f>
        <v>1.1666864314425716</v>
      </c>
      <c r="V20" s="198">
        <f>$L20*Variables!$C$24/100</f>
        <v>8.4849922286732458</v>
      </c>
      <c r="W20" s="22">
        <f>S20*Variables!$E$25*Variables!$C$15+'Cost Calculations'!T20*Variables!$E$26*Variables!$C$15+'Cost Calculations'!U20*Variables!$E$27*Variables!$C$15+V20*Variables!$E$28*Variables!$C$15</f>
        <v>7861023.0425124783</v>
      </c>
      <c r="X20" s="20">
        <f>J20*Variables!$E$29*Variables!$C$15</f>
        <v>2080.0484354802406</v>
      </c>
      <c r="Z20" s="33">
        <f>D20*(IF(D20&lt;50000,0,IF(D20&gt;Variables!$C$7,Variables!$C$37,IF(D20&gt;Variables!$C$6,Variables!$C$36,IF(D20&gt;Variables!$C$5,Variables!$C$35)))))</f>
        <v>0</v>
      </c>
      <c r="AA20" s="342">
        <f>'Existing Fleet'!C18</f>
        <v>0</v>
      </c>
      <c r="AB20" s="35">
        <f t="shared" si="2"/>
        <v>0</v>
      </c>
      <c r="AC20" s="22">
        <f>AB20*Variables!$E$41</f>
        <v>0</v>
      </c>
      <c r="AD20" s="115">
        <f>ROUND(IF(D20&lt;50000,0,(H20/(3.14*Variables!$C$34^2))),0)</f>
        <v>0</v>
      </c>
      <c r="AE20" s="341">
        <f>VLOOKUP(A20,'Existing Fleet'!$A$2:$H$43,8,FALSE)</f>
        <v>0</v>
      </c>
      <c r="AF20" s="115">
        <f t="shared" si="3"/>
        <v>0</v>
      </c>
      <c r="AG20" s="107">
        <f>AF20*Variables!$E$42*Variables!$C$15</f>
        <v>0</v>
      </c>
      <c r="AH20" s="199">
        <f>ROUND((Z20)/Variables!$C$40,0)</f>
        <v>0</v>
      </c>
      <c r="AI20" s="343">
        <f>'Existing Fleet'!M18</f>
        <v>0</v>
      </c>
      <c r="AJ20" s="199">
        <f t="shared" si="5"/>
        <v>0</v>
      </c>
      <c r="AK20" s="22">
        <f>AJ20*Variables!$E$43*Variables!$C$15</f>
        <v>0</v>
      </c>
      <c r="AL20" s="20">
        <f>Z20*Variables!$E$38*Variables!$C$15</f>
        <v>0</v>
      </c>
      <c r="AM20" s="98"/>
      <c r="AN20" s="200">
        <f>Variables!$E$45</f>
        <v>0.25221875000000005</v>
      </c>
      <c r="AO20" s="201">
        <f t="shared" si="6"/>
        <v>75.530868766696358</v>
      </c>
      <c r="AP20" s="321">
        <f>VLOOKUP(A20,'Household Information'!H:Q,10,FALSE)</f>
        <v>108.65462509082352</v>
      </c>
      <c r="AQ20" s="122">
        <f>IF(12*(AO20-Variables!$C$3*AP20*F20)*(G20/5)&lt;0,0,12*(AO20-Variables!$C$3*AP20*F20)*(G20/5))</f>
        <v>0</v>
      </c>
      <c r="AS20" s="22">
        <f t="shared" si="7"/>
        <v>100000</v>
      </c>
      <c r="AU20" s="30"/>
      <c r="AW20" s="101"/>
      <c r="AX20" s="101"/>
      <c r="AY20" s="101"/>
      <c r="AZ20" s="101"/>
      <c r="BA20" s="101"/>
      <c r="BB20" s="101"/>
      <c r="BC20" s="101"/>
      <c r="BD20" s="101"/>
      <c r="BE20" s="101"/>
      <c r="BF20" s="313"/>
    </row>
    <row r="21" spans="1:58" ht="14.25" customHeight="1" x14ac:dyDescent="0.35">
      <c r="A21" s="30">
        <v>18</v>
      </c>
      <c r="B21" s="28" t="s">
        <v>171</v>
      </c>
      <c r="C21" s="28">
        <v>2019</v>
      </c>
      <c r="D21" s="196">
        <f>Population!D19</f>
        <v>119450.47275198292</v>
      </c>
      <c r="E21" s="303" t="str">
        <f t="shared" si="4"/>
        <v>Medium</v>
      </c>
      <c r="F21" s="340">
        <f>VLOOKUP(A21,'Household Information'!$H$2:$M$49,6,FALSE)</f>
        <v>4.4388221584797423</v>
      </c>
      <c r="G21" s="196">
        <f t="shared" si="0"/>
        <v>26910</v>
      </c>
      <c r="H21" s="213">
        <f>Area!E19</f>
        <v>27.002022973410075</v>
      </c>
      <c r="I21" s="213"/>
      <c r="J21" s="32">
        <f>D21*Variables!$C$20</f>
        <v>107.50542547678462</v>
      </c>
      <c r="K21" s="202">
        <f>VLOOKUP(B21,'Urban road length (WDI)'!$B$2:$F$42,5,FALSE)</f>
        <v>24.75975</v>
      </c>
      <c r="L21" s="32">
        <f t="shared" si="1"/>
        <v>82.745675476784626</v>
      </c>
      <c r="M21" s="197">
        <f>K21*(1-VLOOKUP(A21,'% Urban Roads Surfaced (WDI)'!A:G,7,FALSE))</f>
        <v>0.50530102040816383</v>
      </c>
      <c r="N21" s="117">
        <f>Variables!$C$21*'Cost Calculations'!$M21/100</f>
        <v>2.7437159479176312E-2</v>
      </c>
      <c r="O21" s="117">
        <f>Variables!$C$22*'Cost Calculations'!$M21/100</f>
        <v>4.8015029088558557E-2</v>
      </c>
      <c r="P21" s="117">
        <f>Variables!$C$23*'Cost Calculations'!$M21/100</f>
        <v>5.030145904515658E-2</v>
      </c>
      <c r="Q21" s="117">
        <f>Variables!$C$24*'Cost Calculations'!$M21/100</f>
        <v>0.36582879305568416</v>
      </c>
      <c r="R21" s="107">
        <f>N21*Variables!$C$15*Variables!$E$30+O21*Variables!$C$15*Variables!$E$31+('Cost Calculations'!P21+'Cost Calculations'!Q21)*Variables!$C$15*Variables!$E$32</f>
        <v>2137.0766276959303</v>
      </c>
      <c r="S21" s="198">
        <f>$L21*Variables!$C$21/100</f>
        <v>4.4929778539430565</v>
      </c>
      <c r="T21" s="198">
        <f>$L21*Variables!$C$22/100</f>
        <v>7.8627112444003489</v>
      </c>
      <c r="U21" s="198">
        <f>$L21*Variables!$C$23/100</f>
        <v>8.237126065562272</v>
      </c>
      <c r="V21" s="198">
        <f>$L21*Variables!$C$24/100</f>
        <v>59.90637138590742</v>
      </c>
      <c r="W21" s="22">
        <f>S21*Variables!$E$25*Variables!$C$15+'Cost Calculations'!T21*Variables!$E$26*Variables!$C$15+'Cost Calculations'!U21*Variables!$E$27*Variables!$C$15+V21*Variables!$E$28*Variables!$C$15</f>
        <v>55500977.863778733</v>
      </c>
      <c r="X21" s="20">
        <f>J21*Variables!$E$29*Variables!$C$15</f>
        <v>18376.977431001567</v>
      </c>
      <c r="Z21" s="33">
        <f>D21*(IF(D21&lt;50000,0,IF(D21&gt;Variables!$C$7,Variables!$C$37,IF(D21&gt;Variables!$C$6,Variables!$C$36,IF(D21&gt;Variables!$C$5,Variables!$C$35)))))</f>
        <v>59.725236375991457</v>
      </c>
      <c r="AA21" s="187">
        <f>'Existing Fleet'!C19</f>
        <v>94</v>
      </c>
      <c r="AB21" s="35">
        <f t="shared" si="2"/>
        <v>0</v>
      </c>
      <c r="AC21" s="22">
        <f>AB21*Variables!$E$41</f>
        <v>0</v>
      </c>
      <c r="AD21" s="115">
        <f>ROUND(IF(D21&lt;50000,0,(H21/(3.14*Variables!$C$34^2))),0)</f>
        <v>34</v>
      </c>
      <c r="AE21" s="341">
        <f>VLOOKUP(A21,'Existing Fleet'!$A$2:$H$43,8,FALSE)</f>
        <v>0</v>
      </c>
      <c r="AF21" s="115">
        <f t="shared" si="3"/>
        <v>34</v>
      </c>
      <c r="AG21" s="107">
        <f>AF21*Variables!$E$42*Variables!$C$15</f>
        <v>23036.495999999999</v>
      </c>
      <c r="AH21" s="199">
        <f>ROUND((Z21)/Variables!$C$40,0)</f>
        <v>0</v>
      </c>
      <c r="AI21" s="343">
        <f>'Existing Fleet'!M19</f>
        <v>0</v>
      </c>
      <c r="AJ21" s="199">
        <f t="shared" si="5"/>
        <v>0</v>
      </c>
      <c r="AK21" s="22">
        <f>AJ21*Variables!$E$43*Variables!$C$15</f>
        <v>0</v>
      </c>
      <c r="AL21" s="20">
        <f>Z21*Variables!$E$38*Variables!$C$15</f>
        <v>10588000.969328085</v>
      </c>
      <c r="AM21" s="98"/>
      <c r="AN21" s="200">
        <f>Variables!$E$45</f>
        <v>0.25221875000000005</v>
      </c>
      <c r="AO21" s="201">
        <f t="shared" si="6"/>
        <v>67.17325057704376</v>
      </c>
      <c r="AP21" s="321">
        <f>VLOOKUP(A21,'Household Information'!H:Q,10,FALSE)</f>
        <v>98.76688123185663</v>
      </c>
      <c r="AQ21" s="122">
        <f>IF(12*(AO21-Variables!$C$3*AP21*F21)*(G21/5)&lt;0,0,12*(AO21-Variables!$C$3*AP21*F21)*(G21/5))</f>
        <v>91189.859089148697</v>
      </c>
      <c r="AS21" s="22">
        <f t="shared" si="7"/>
        <v>350000</v>
      </c>
      <c r="AU21" s="30"/>
      <c r="AW21" s="101"/>
      <c r="AX21" s="101"/>
      <c r="AY21" s="101"/>
      <c r="AZ21" s="101"/>
      <c r="BA21" s="101"/>
      <c r="BB21" s="101"/>
      <c r="BC21" s="101"/>
      <c r="BD21" s="101"/>
      <c r="BE21" s="101"/>
      <c r="BF21" s="313"/>
    </row>
    <row r="22" spans="1:58" ht="14.25" customHeight="1" x14ac:dyDescent="0.35">
      <c r="A22" s="30">
        <v>19</v>
      </c>
      <c r="B22" s="28" t="s">
        <v>172</v>
      </c>
      <c r="C22" s="28">
        <v>2019</v>
      </c>
      <c r="D22" s="196">
        <f>Population!D20</f>
        <v>5423441.5141611397</v>
      </c>
      <c r="E22" s="303" t="str">
        <f t="shared" si="4"/>
        <v>Large</v>
      </c>
      <c r="F22" s="340">
        <f>VLOOKUP(A22,'Household Information'!$H$2:$M$49,6,FALSE)</f>
        <v>4.3873267195354213</v>
      </c>
      <c r="G22" s="196">
        <f t="shared" si="0"/>
        <v>1236161</v>
      </c>
      <c r="H22" s="213">
        <f>Area!E20</f>
        <v>1152.98256473843</v>
      </c>
      <c r="I22" s="213"/>
      <c r="J22" s="32">
        <f>D22*Variables!$C$20</f>
        <v>4881.0973627450257</v>
      </c>
      <c r="K22" s="202">
        <f>VLOOKUP(B22,'Urban road length (WDI)'!$B$2:$F$42,5,FALSE)</f>
        <v>4901.3964599999999</v>
      </c>
      <c r="L22" s="32">
        <f t="shared" si="1"/>
        <v>0</v>
      </c>
      <c r="M22" s="197">
        <f>K22*(1-VLOOKUP(A22,'% Urban Roads Surfaced (WDI)'!A:G,7,FALSE))</f>
        <v>1473.0887650144934</v>
      </c>
      <c r="N22" s="117">
        <f>Variables!$C$21*'Cost Calculations'!$M22/100</f>
        <v>79.986720272280181</v>
      </c>
      <c r="O22" s="117">
        <f>Variables!$C$22*'Cost Calculations'!$M22/100</f>
        <v>139.97676047649031</v>
      </c>
      <c r="P22" s="117">
        <f>Variables!$C$23*'Cost Calculations'!$M22/100</f>
        <v>146.64232049918036</v>
      </c>
      <c r="Q22" s="117">
        <f>Variables!$C$24*'Cost Calculations'!$M22/100</f>
        <v>1066.4896036304024</v>
      </c>
      <c r="R22" s="107">
        <f>N22*Variables!$C$15*Variables!$E$30+O22*Variables!$C$15*Variables!$E$31+('Cost Calculations'!P22+'Cost Calculations'!Q22)*Variables!$C$15*Variables!$E$32</f>
        <v>6230154.7851437395</v>
      </c>
      <c r="S22" s="198">
        <f>$L22*Variables!$C$21/100</f>
        <v>0</v>
      </c>
      <c r="T22" s="198">
        <f>$L22*Variables!$C$22/100</f>
        <v>0</v>
      </c>
      <c r="U22" s="198">
        <f>$L22*Variables!$C$23/100</f>
        <v>0</v>
      </c>
      <c r="V22" s="198">
        <f>$L22*Variables!$C$24/100</f>
        <v>0</v>
      </c>
      <c r="W22" s="22">
        <f>S22*Variables!$E$25*Variables!$C$15+'Cost Calculations'!T22*Variables!$E$26*Variables!$C$15+'Cost Calculations'!U22*Variables!$E$27*Variables!$C$15+V22*Variables!$E$28*Variables!$C$15</f>
        <v>0</v>
      </c>
      <c r="X22" s="20">
        <f>J22*Variables!$E$29*Variables!$C$15</f>
        <v>834374.78318763466</v>
      </c>
      <c r="Z22" s="33">
        <f>D22*(IF(D22&lt;50000,0,IF(D22&gt;Variables!$C$7,Variables!$C$37,IF(D22&gt;Variables!$C$6,Variables!$C$36,IF(D22&gt;Variables!$C$5,Variables!$C$35)))))</f>
        <v>2711.7207570805699</v>
      </c>
      <c r="AA22" s="187">
        <f>'Existing Fleet'!C20</f>
        <v>5267</v>
      </c>
      <c r="AB22" s="35">
        <f t="shared" si="2"/>
        <v>0</v>
      </c>
      <c r="AC22" s="22">
        <f>AB22*Variables!$E$41</f>
        <v>0</v>
      </c>
      <c r="AD22" s="115">
        <f>ROUND(IF(D22&lt;50000,0,(H22/(3.14*Variables!$C$34^2))),0)</f>
        <v>1469</v>
      </c>
      <c r="AE22" s="341">
        <f>VLOOKUP(A22,'Existing Fleet'!$A$2:$H$43,8,FALSE)</f>
        <v>0</v>
      </c>
      <c r="AF22" s="115">
        <f t="shared" si="3"/>
        <v>1469</v>
      </c>
      <c r="AG22" s="107">
        <f>AF22*Variables!$E$42*Variables!$C$15</f>
        <v>995312.13600000006</v>
      </c>
      <c r="AH22" s="199">
        <f>ROUND((Z22)/Variables!$C$40,0)</f>
        <v>22</v>
      </c>
      <c r="AI22" s="343">
        <f>'Existing Fleet'!M20</f>
        <v>0</v>
      </c>
      <c r="AJ22" s="199">
        <f t="shared" si="5"/>
        <v>22</v>
      </c>
      <c r="AK22" s="22">
        <f>AJ22*Variables!$E$43*Variables!$C$15</f>
        <v>12159782.712000001</v>
      </c>
      <c r="AL22" s="20">
        <f>Z22*Variables!$E$38*Variables!$C$15</f>
        <v>480729817.85732681</v>
      </c>
      <c r="AM22" s="98"/>
      <c r="AN22" s="200">
        <f>Variables!$C$18*10</f>
        <v>0.14000000000000001</v>
      </c>
      <c r="AO22" s="201">
        <f t="shared" si="6"/>
        <v>36.853544444097544</v>
      </c>
      <c r="AP22" s="321">
        <f>VLOOKUP(A22,'Household Information'!H:Q,10,FALSE)</f>
        <v>155.49665530733307</v>
      </c>
      <c r="AQ22" s="122">
        <f>IF(12*(AO22-Variables!$C$3*AP22*F22)*(G22/5)&lt;0,0,12*(AO22-Variables!$C$3*AP22*F22)*(G22/5))</f>
        <v>0</v>
      </c>
      <c r="AS22" s="22">
        <f t="shared" si="7"/>
        <v>350000</v>
      </c>
      <c r="AU22" s="30"/>
      <c r="AW22" s="101"/>
      <c r="AX22" s="101"/>
      <c r="AY22" s="101"/>
      <c r="AZ22" s="101"/>
      <c r="BA22" s="101"/>
      <c r="BB22" s="101"/>
      <c r="BC22" s="101"/>
      <c r="BD22" s="101"/>
      <c r="BE22" s="101"/>
      <c r="BF22" s="313"/>
    </row>
    <row r="23" spans="1:58" ht="14.25" customHeight="1" x14ac:dyDescent="0.35">
      <c r="A23" s="30">
        <v>20</v>
      </c>
      <c r="B23" s="28" t="s">
        <v>173</v>
      </c>
      <c r="C23" s="28">
        <v>2019</v>
      </c>
      <c r="D23" s="196">
        <f>Population!D21</f>
        <v>3397697.1096434216</v>
      </c>
      <c r="E23" s="303" t="str">
        <f t="shared" si="4"/>
        <v>Large</v>
      </c>
      <c r="F23" s="340">
        <f>VLOOKUP(A23,'Household Information'!$H$2:$M$49,6,FALSE)</f>
        <v>5.2348048588773741</v>
      </c>
      <c r="G23" s="196">
        <f t="shared" si="0"/>
        <v>649059</v>
      </c>
      <c r="H23" s="213">
        <f>Area!E21</f>
        <v>454.98408710195969</v>
      </c>
      <c r="I23" s="213"/>
      <c r="J23" s="32">
        <f>D23*Variables!$C$20</f>
        <v>3057.9273986790795</v>
      </c>
      <c r="K23" s="202">
        <f>VLOOKUP(B23,'Urban road length (WDI)'!$B$2:$F$42,5,FALSE)</f>
        <v>3267.8417999999997</v>
      </c>
      <c r="L23" s="32">
        <f t="shared" si="1"/>
        <v>0</v>
      </c>
      <c r="M23" s="197">
        <f>K23*(1-VLOOKUP(A23,'% Urban Roads Surfaced (WDI)'!A:G,7,FALSE))</f>
        <v>1120.8729422137951</v>
      </c>
      <c r="N23" s="117">
        <f>Variables!$C$21*'Cost Calculations'!$M23/100</f>
        <v>60.861879215228683</v>
      </c>
      <c r="O23" s="117">
        <f>Variables!$C$22*'Cost Calculations'!$M23/100</f>
        <v>106.50828862665021</v>
      </c>
      <c r="P23" s="117">
        <f>Variables!$C$23*'Cost Calculations'!$M23/100</f>
        <v>111.58011189458594</v>
      </c>
      <c r="Q23" s="117">
        <f>Variables!$C$24*'Cost Calculations'!$M23/100</f>
        <v>811.49172286971589</v>
      </c>
      <c r="R23" s="107">
        <f>N23*Variables!$C$15*Variables!$E$30+O23*Variables!$C$15*Variables!$E$31+('Cost Calculations'!P23+'Cost Calculations'!Q23)*Variables!$C$15*Variables!$E$32</f>
        <v>4740523.5110884244</v>
      </c>
      <c r="S23" s="198">
        <f>$L23*Variables!$C$21/100</f>
        <v>0</v>
      </c>
      <c r="T23" s="198">
        <f>$L23*Variables!$C$22/100</f>
        <v>0</v>
      </c>
      <c r="U23" s="198">
        <f>$L23*Variables!$C$23/100</f>
        <v>0</v>
      </c>
      <c r="V23" s="198">
        <f>$L23*Variables!$C$24/100</f>
        <v>0</v>
      </c>
      <c r="W23" s="22">
        <f>S23*Variables!$E$25*Variables!$C$15+'Cost Calculations'!T23*Variables!$E$26*Variables!$C$15+'Cost Calculations'!U23*Variables!$E$27*Variables!$C$15+V23*Variables!$E$28*Variables!$C$15</f>
        <v>0</v>
      </c>
      <c r="X23" s="20">
        <f>J23*Variables!$E$29*Variables!$C$15</f>
        <v>522722.10953020188</v>
      </c>
      <c r="Z23" s="33">
        <f>D23*(IF(D23&lt;50000,0,IF(D23&gt;Variables!$C$7,Variables!$C$37,IF(D23&gt;Variables!$C$6,Variables!$C$36,IF(D23&gt;Variables!$C$5,Variables!$C$35)))))</f>
        <v>1698.8485548217109</v>
      </c>
      <c r="AA23" s="187">
        <f>'Existing Fleet'!C21</f>
        <v>3353</v>
      </c>
      <c r="AB23" s="35">
        <f t="shared" si="2"/>
        <v>0</v>
      </c>
      <c r="AC23" s="22">
        <f>AB23*Variables!$E$41</f>
        <v>0</v>
      </c>
      <c r="AD23" s="115">
        <f>ROUND(IF(D23&lt;50000,0,(H23/(3.14*Variables!$C$34^2))),0)</f>
        <v>580</v>
      </c>
      <c r="AE23" s="341">
        <f>VLOOKUP(A23,'Existing Fleet'!$A$2:$H$43,8,FALSE)</f>
        <v>0</v>
      </c>
      <c r="AF23" s="115">
        <f t="shared" si="3"/>
        <v>580</v>
      </c>
      <c r="AG23" s="107">
        <f>AF23*Variables!$E$42*Variables!$C$15</f>
        <v>392975.52</v>
      </c>
      <c r="AH23" s="199">
        <f>ROUND((Z23)/Variables!$C$40,0)</f>
        <v>14</v>
      </c>
      <c r="AI23" s="343">
        <f>'Existing Fleet'!M21</f>
        <v>0</v>
      </c>
      <c r="AJ23" s="199">
        <f t="shared" si="5"/>
        <v>14</v>
      </c>
      <c r="AK23" s="22">
        <f>AJ23*Variables!$E$43*Variables!$C$15</f>
        <v>7738043.5440000007</v>
      </c>
      <c r="AL23" s="20">
        <f>Z23*Variables!$E$38*Variables!$C$15</f>
        <v>301169342.08442128</v>
      </c>
      <c r="AM23" s="98"/>
      <c r="AN23" s="200">
        <f>Variables!$C$18*40</f>
        <v>0.56000000000000005</v>
      </c>
      <c r="AO23" s="201">
        <f t="shared" si="6"/>
        <v>175.88944325827978</v>
      </c>
      <c r="AP23" s="321">
        <f>VLOOKUP(A23,'Household Information'!H:Q,10,FALSE)</f>
        <v>92.944591695065014</v>
      </c>
      <c r="AQ23" s="122">
        <f>IF(12*(AO23-Variables!$C$3*AP23*F23)*(G23/5)&lt;0,0,12*(AO23-Variables!$C$3*AP23*F23)*(G23/5))</f>
        <v>160303174.1087639</v>
      </c>
      <c r="AS23" s="22">
        <f t="shared" si="7"/>
        <v>350000</v>
      </c>
      <c r="AU23" s="30"/>
      <c r="AW23" s="101"/>
      <c r="AX23" s="101"/>
      <c r="AY23" s="101"/>
      <c r="AZ23" s="101"/>
      <c r="BA23" s="101"/>
      <c r="BB23" s="101"/>
      <c r="BC23" s="101"/>
      <c r="BD23" s="101"/>
      <c r="BE23" s="101"/>
      <c r="BF23" s="313"/>
    </row>
    <row r="24" spans="1:58" ht="14.25" customHeight="1" x14ac:dyDescent="0.35">
      <c r="A24" s="30">
        <v>21</v>
      </c>
      <c r="B24" s="30" t="s">
        <v>174</v>
      </c>
      <c r="C24" s="30">
        <v>2019</v>
      </c>
      <c r="D24" s="196">
        <f>Population!D22</f>
        <v>15006687.638268843</v>
      </c>
      <c r="E24" s="303" t="str">
        <f t="shared" si="4"/>
        <v>Large</v>
      </c>
      <c r="F24" s="340">
        <f>VLOOKUP(A24,'Household Information'!$H$2:$M$49,6,FALSE)</f>
        <v>4.4756737410071938</v>
      </c>
      <c r="G24" s="196">
        <f t="shared" si="0"/>
        <v>3352945</v>
      </c>
      <c r="H24" s="213">
        <f>Area!E22</f>
        <v>853.62446743758471</v>
      </c>
      <c r="I24" s="213"/>
      <c r="J24" s="32">
        <f>D24*Variables!$C$20</f>
        <v>13506.018874441959</v>
      </c>
      <c r="K24" s="202">
        <f>VLOOKUP(B24,'Urban road length (WDI)'!$B$2:$F$42,5,FALSE)</f>
        <v>5225.79666</v>
      </c>
      <c r="L24" s="32">
        <f t="shared" si="1"/>
        <v>8280.2222144419593</v>
      </c>
      <c r="M24" s="197">
        <f>K24*(1-VLOOKUP(A24,'% Urban Roads Surfaced (WDI)'!A:G,7,FALSE))</f>
        <v>1331.6088906747686</v>
      </c>
      <c r="N24" s="117">
        <f>Variables!$C$21*'Cost Calculations'!$M24/100</f>
        <v>72.304555149761185</v>
      </c>
      <c r="O24" s="117">
        <f>Variables!$C$22*'Cost Calculations'!$M24/100</f>
        <v>126.5329715120821</v>
      </c>
      <c r="P24" s="117">
        <f>Variables!$C$23*'Cost Calculations'!$M24/100</f>
        <v>132.55835110789553</v>
      </c>
      <c r="Q24" s="117">
        <f>Variables!$C$24*'Cost Calculations'!$M24/100</f>
        <v>964.06073533014921</v>
      </c>
      <c r="R24" s="107">
        <f>N24*Variables!$C$15*Variables!$E$30+O24*Variables!$C$15*Variables!$E$31+('Cost Calculations'!P24+'Cost Calculations'!Q24)*Variables!$C$15*Variables!$E$32</f>
        <v>5631791.9864766132</v>
      </c>
      <c r="S24" s="198">
        <f>$L24*Variables!$C$21/100</f>
        <v>449.60482612354531</v>
      </c>
      <c r="T24" s="198">
        <f>$L24*Variables!$C$22/100</f>
        <v>786.80844571620435</v>
      </c>
      <c r="U24" s="198">
        <f>$L24*Variables!$C$23/100</f>
        <v>824.27551455983314</v>
      </c>
      <c r="V24" s="198">
        <f>$L24*Variables!$C$24/100</f>
        <v>5994.7310149806035</v>
      </c>
      <c r="W24" s="22">
        <f>S24*Variables!$E$25*Variables!$C$15+'Cost Calculations'!T24*Variables!$E$26*Variables!$C$15+'Cost Calculations'!U24*Variables!$E$27*Variables!$C$15+V24*Variables!$E$28*Variables!$C$15</f>
        <v>5553890607.3689346</v>
      </c>
      <c r="X24" s="20">
        <f>J24*Variables!$E$29*Variables!$C$15</f>
        <v>2308718.8663971084</v>
      </c>
      <c r="Y24" s="30"/>
      <c r="Z24" s="33">
        <f>D24*(IF(D24&lt;50000,0,IF(D24&gt;Variables!$C$7,Variables!$C$37,IF(D24&gt;Variables!$C$6,Variables!$C$36,IF(D24&gt;Variables!$C$5,Variables!$C$35)))))</f>
        <v>7503.3438191344221</v>
      </c>
      <c r="AA24" s="342">
        <f>'Existing Fleet'!C22</f>
        <v>3600</v>
      </c>
      <c r="AB24" s="35">
        <f t="shared" si="2"/>
        <v>3903</v>
      </c>
      <c r="AC24" s="22">
        <f>AB24*Variables!$E$41</f>
        <v>1442548800.0000002</v>
      </c>
      <c r="AD24" s="115">
        <f>ROUND(IF(D24&lt;50000,0,(H24/(3.14*Variables!$C$34^2))),0)</f>
        <v>1087</v>
      </c>
      <c r="AE24" s="341">
        <f>VLOOKUP(A24,'Existing Fleet'!$A$2:$H$43,8,FALSE)</f>
        <v>0</v>
      </c>
      <c r="AF24" s="117">
        <f t="shared" si="3"/>
        <v>1087</v>
      </c>
      <c r="AG24" s="107">
        <f>AF24*Variables!$E$42*Variables!$C$15</f>
        <v>736490.32799999998</v>
      </c>
      <c r="AH24" s="199">
        <f>ROUND((Z24)/Variables!$C$40,0)</f>
        <v>60</v>
      </c>
      <c r="AI24" s="290">
        <f>'Existing Fleet'!M22</f>
        <v>27</v>
      </c>
      <c r="AJ24" s="199">
        <f t="shared" si="5"/>
        <v>33</v>
      </c>
      <c r="AK24" s="22">
        <f>AJ24*Variables!$E$43*Variables!$C$15</f>
        <v>18239674.068</v>
      </c>
      <c r="AL24" s="20">
        <f>Z24*Variables!$E$38*Variables!$C$15</f>
        <v>1330181619.208005</v>
      </c>
      <c r="AM24" s="98"/>
      <c r="AN24" s="200">
        <f>Variables!$C$18*20</f>
        <v>0.28000000000000003</v>
      </c>
      <c r="AO24" s="201">
        <f t="shared" si="6"/>
        <v>75.191318848920858</v>
      </c>
      <c r="AP24" s="321">
        <f>VLOOKUP(A24,'Household Information'!H:Q,10,FALSE)</f>
        <v>254.44907232109051</v>
      </c>
      <c r="AQ24" s="122">
        <f>IF(12*(AO24-Variables!$C$3*AP24*F24)*(G24/5)&lt;0,0,12*(AO24-Variables!$C$3*AP24*F24)*(G24/5))</f>
        <v>0</v>
      </c>
      <c r="AR24" s="30"/>
      <c r="AS24" s="22">
        <f t="shared" si="7"/>
        <v>350000</v>
      </c>
      <c r="AT24" s="30"/>
      <c r="AU24" s="30"/>
      <c r="AV24" s="30"/>
      <c r="AW24" s="101"/>
      <c r="AX24" s="101"/>
      <c r="AY24" s="101"/>
      <c r="AZ24" s="101"/>
      <c r="BA24" s="101"/>
      <c r="BB24" s="101"/>
      <c r="BC24" s="101"/>
      <c r="BD24" s="101"/>
      <c r="BE24" s="101"/>
      <c r="BF24" s="313"/>
    </row>
    <row r="25" spans="1:58" ht="14.25" customHeight="1" x14ac:dyDescent="0.35">
      <c r="A25" s="30">
        <v>22</v>
      </c>
      <c r="B25" s="28" t="s">
        <v>175</v>
      </c>
      <c r="C25" s="28">
        <v>2019</v>
      </c>
      <c r="D25" s="196">
        <f>Population!D23</f>
        <v>13308724.96044747</v>
      </c>
      <c r="E25" s="303" t="str">
        <f t="shared" si="4"/>
        <v>Large</v>
      </c>
      <c r="F25" s="340">
        <f>VLOOKUP(A25,'Household Information'!$H$2:$M$49,6,FALSE)</f>
        <v>4.7768636363636361</v>
      </c>
      <c r="G25" s="196">
        <f t="shared" si="0"/>
        <v>2786080</v>
      </c>
      <c r="H25" s="213">
        <f>Area!E23</f>
        <v>1055.7790982603337</v>
      </c>
      <c r="I25" s="213"/>
      <c r="J25" s="32">
        <f>D25*Variables!$C$20</f>
        <v>11977.852464402722</v>
      </c>
      <c r="K25" s="202">
        <f>VLOOKUP(B25,'Urban road length (WDI)'!$B$2:$F$42,5,FALSE)</f>
        <v>19972.544550000002</v>
      </c>
      <c r="L25" s="32">
        <f t="shared" si="1"/>
        <v>0</v>
      </c>
      <c r="M25" s="197">
        <f>K25*(1-VLOOKUP(A25,'% Urban Roads Surfaced (WDI)'!A:G,7,FALSE))</f>
        <v>5963.5421121721056</v>
      </c>
      <c r="N25" s="117">
        <f>Variables!$C$21*'Cost Calculations'!$M25/100</f>
        <v>323.81224138491069</v>
      </c>
      <c r="O25" s="117">
        <f>Variables!$C$22*'Cost Calculations'!$M25/100</f>
        <v>566.67142242359375</v>
      </c>
      <c r="P25" s="117">
        <f>Variables!$C$23*'Cost Calculations'!$M25/100</f>
        <v>593.65577587233633</v>
      </c>
      <c r="Q25" s="117">
        <f>Variables!$C$24*'Cost Calculations'!$M25/100</f>
        <v>4317.4965517988094</v>
      </c>
      <c r="R25" s="107">
        <f>N25*Variables!$C$15*Variables!$E$30+O25*Variables!$C$15*Variables!$E$31+('Cost Calculations'!P25+'Cost Calculations'!Q25)*Variables!$C$15*Variables!$E$32</f>
        <v>25221691.529355802</v>
      </c>
      <c r="S25" s="198">
        <f>$L25*Variables!$C$21/100</f>
        <v>0</v>
      </c>
      <c r="T25" s="198">
        <f>$L25*Variables!$C$22/100</f>
        <v>0</v>
      </c>
      <c r="U25" s="198">
        <f>$L25*Variables!$C$23/100</f>
        <v>0</v>
      </c>
      <c r="V25" s="198">
        <f>$L25*Variables!$C$24/100</f>
        <v>0</v>
      </c>
      <c r="W25" s="22">
        <f>S25*Variables!$E$25*Variables!$C$15+'Cost Calculations'!T25*Variables!$E$26*Variables!$C$15+'Cost Calculations'!U25*Variables!$E$27*Variables!$C$15+V25*Variables!$E$28*Variables!$C$15</f>
        <v>0</v>
      </c>
      <c r="X25" s="20">
        <f>J25*Variables!$E$29*Variables!$C$15</f>
        <v>2047494.1002650014</v>
      </c>
      <c r="Z25" s="33">
        <f>D25*(IF(D25&lt;50000,0,IF(D25&gt;Variables!$C$7,Variables!$C$37,IF(D25&gt;Variables!$C$6,Variables!$C$36,IF(D25&gt;Variables!$C$5,Variables!$C$35)))))</f>
        <v>6654.3624802237346</v>
      </c>
      <c r="AA25" s="187">
        <f>'Existing Fleet'!C23</f>
        <v>5578</v>
      </c>
      <c r="AB25" s="35">
        <f t="shared" si="2"/>
        <v>1076</v>
      </c>
      <c r="AC25" s="22">
        <f>AB25*Variables!$E$41</f>
        <v>397689600.00000006</v>
      </c>
      <c r="AD25" s="115">
        <f>ROUND(IF(D25&lt;50000,0,(H25/(3.14*Variables!$C$34^2))),0)</f>
        <v>1345</v>
      </c>
      <c r="AE25" s="341">
        <f>VLOOKUP(A25,'Existing Fleet'!$A$2:$H$43,8,FALSE)</f>
        <v>0</v>
      </c>
      <c r="AF25" s="117">
        <f t="shared" si="3"/>
        <v>1345</v>
      </c>
      <c r="AG25" s="107">
        <f>AF25*Variables!$E$42*Variables!$C$15</f>
        <v>911296.68</v>
      </c>
      <c r="AH25" s="199">
        <f>ROUND((Z25)/Variables!$C$40,0)</f>
        <v>53</v>
      </c>
      <c r="AI25" s="290">
        <f>'Existing Fleet'!M23</f>
        <v>69</v>
      </c>
      <c r="AJ25" s="199">
        <f t="shared" si="5"/>
        <v>0</v>
      </c>
      <c r="AK25" s="22">
        <f>AJ25*Variables!$E$43*Variables!$C$15</f>
        <v>0</v>
      </c>
      <c r="AL25" s="20">
        <f>Z25*Variables!$E$38*Variables!$C$15</f>
        <v>1179675471.6435351</v>
      </c>
      <c r="AM25" s="98"/>
      <c r="AN25" s="200">
        <f>Variables!$C$18*30</f>
        <v>0.42</v>
      </c>
      <c r="AO25" s="201">
        <f t="shared" si="6"/>
        <v>120.37696363636363</v>
      </c>
      <c r="AP25" s="321">
        <f>VLOOKUP(A25,'Household Information'!H:Q,10,FALSE)</f>
        <v>150.91303799066011</v>
      </c>
      <c r="AQ25" s="122">
        <f>IF(12*(AO25-Variables!$C$3*AP25*F25)*(G25/5)&lt;0,0,12*(AO25-Variables!$C$3*AP25*F25)*(G25/5))</f>
        <v>81866039.57339783</v>
      </c>
      <c r="AS25" s="22">
        <f t="shared" si="7"/>
        <v>350000</v>
      </c>
      <c r="AU25" s="30"/>
      <c r="AW25" s="101"/>
      <c r="AX25" s="101"/>
      <c r="AY25" s="101"/>
      <c r="AZ25" s="101"/>
      <c r="BA25" s="101"/>
      <c r="BB25" s="101"/>
      <c r="BC25" s="101"/>
      <c r="BD25" s="101"/>
      <c r="BE25" s="101"/>
      <c r="BF25" s="313"/>
    </row>
    <row r="26" spans="1:58" ht="14.25" customHeight="1" x14ac:dyDescent="0.35">
      <c r="A26" s="30">
        <v>23</v>
      </c>
      <c r="B26" s="28" t="s">
        <v>176</v>
      </c>
      <c r="C26" s="28">
        <v>2019</v>
      </c>
      <c r="D26" s="196">
        <f>Population!D24</f>
        <v>48264.315755572054</v>
      </c>
      <c r="E26" s="303" t="str">
        <f t="shared" si="4"/>
        <v>Small</v>
      </c>
      <c r="F26" s="340">
        <f>VLOOKUP(A26,'Household Information'!$H$2:$M$49,6,FALSE)</f>
        <v>3.9394565859421147</v>
      </c>
      <c r="G26" s="196">
        <f t="shared" si="0"/>
        <v>12252</v>
      </c>
      <c r="H26" s="214">
        <f>Area!E24</f>
        <v>100.17137226140898</v>
      </c>
      <c r="I26" s="213"/>
      <c r="J26" s="32">
        <f>D26*Variables!$C$20</f>
        <v>43.437884180014848</v>
      </c>
      <c r="K26" s="202">
        <f>VLOOKUP(B26,'Urban road length (WDI)'!$B$2:$F$42,5,FALSE)</f>
        <v>53.622780000000006</v>
      </c>
      <c r="L26" s="32">
        <f t="shared" si="1"/>
        <v>0</v>
      </c>
      <c r="M26" s="197">
        <f>K26*(1-VLOOKUP(A26,'% Urban Roads Surfaced (WDI)'!A:G,7,FALSE))</f>
        <v>7.1646303131524043</v>
      </c>
      <c r="N26" s="117">
        <f>Variables!$C$21*'Cost Calculations'!$M26/100</f>
        <v>0.389029700261669</v>
      </c>
      <c r="O26" s="117">
        <f>Variables!$C$22*'Cost Calculations'!$M26/100</f>
        <v>0.68080197545792076</v>
      </c>
      <c r="P26" s="117">
        <f>Variables!$C$23*'Cost Calculations'!$M26/100</f>
        <v>0.71322111714639325</v>
      </c>
      <c r="Q26" s="117">
        <f>Variables!$C$24*'Cost Calculations'!$M26/100</f>
        <v>5.1870626701555862</v>
      </c>
      <c r="R26" s="107">
        <f>N26*Variables!$C$15*Variables!$E$30+O26*Variables!$C$15*Variables!$E$31+('Cost Calculations'!P26+'Cost Calculations'!Q26)*Variables!$C$15*Variables!$E$32</f>
        <v>30301.470549083417</v>
      </c>
      <c r="S26" s="198">
        <f>$L26*Variables!$C$21/100</f>
        <v>0</v>
      </c>
      <c r="T26" s="198">
        <f>$L26*Variables!$C$22/100</f>
        <v>0</v>
      </c>
      <c r="U26" s="198">
        <f>$L26*Variables!$C$23/100</f>
        <v>0</v>
      </c>
      <c r="V26" s="198">
        <f>$L26*Variables!$C$24/100</f>
        <v>0</v>
      </c>
      <c r="W26" s="22">
        <f>S26*Variables!$E$25*Variables!$C$15+'Cost Calculations'!T26*Variables!$E$26*Variables!$C$15+'Cost Calculations'!U26*Variables!$E$27*Variables!$C$15+V26*Variables!$E$28*Variables!$C$15</f>
        <v>0</v>
      </c>
      <c r="X26" s="20">
        <f>J26*Variables!$E$29*Variables!$C$15</f>
        <v>7425.2719217317381</v>
      </c>
      <c r="Z26" s="33">
        <f>D26*(IF(D26&lt;50000,0,IF(D26&gt;Variables!$C$7,Variables!$C$37,IF(D26&gt;Variables!$C$6,Variables!$C$36,IF(D26&gt;Variables!$C$5,Variables!$C$35)))))</f>
        <v>0</v>
      </c>
      <c r="AA26" s="187">
        <f>'Existing Fleet'!C24</f>
        <v>374.4</v>
      </c>
      <c r="AB26" s="35">
        <f t="shared" si="2"/>
        <v>0</v>
      </c>
      <c r="AC26" s="22">
        <f>AB26*Variables!$E$41</f>
        <v>0</v>
      </c>
      <c r="AD26" s="115">
        <f>ROUND(IF(D26&lt;50000,0,(H26/(3.14*Variables!$C$34^2))),0)</f>
        <v>0</v>
      </c>
      <c r="AE26" s="341">
        <f>VLOOKUP(A26,'Existing Fleet'!$A$2:$H$43,8,FALSE)</f>
        <v>0</v>
      </c>
      <c r="AF26" s="117">
        <f t="shared" si="3"/>
        <v>0</v>
      </c>
      <c r="AG26" s="107">
        <f>AF26*Variables!$E$42*Variables!$C$15</f>
        <v>0</v>
      </c>
      <c r="AH26" s="199">
        <f>ROUND((Z26)/Variables!$C$40,0)</f>
        <v>0</v>
      </c>
      <c r="AI26" s="290">
        <f>'Existing Fleet'!M24</f>
        <v>1</v>
      </c>
      <c r="AJ26" s="199">
        <f t="shared" si="5"/>
        <v>0</v>
      </c>
      <c r="AK26" s="22">
        <f>AJ26*Variables!$E$43*Variables!$C$15</f>
        <v>0</v>
      </c>
      <c r="AL26" s="20">
        <f>Z26*Variables!$E$38*Variables!$C$15</f>
        <v>0</v>
      </c>
      <c r="AM26" s="98"/>
      <c r="AN26" s="200">
        <f>Variables!$C$18*30</f>
        <v>0.42</v>
      </c>
      <c r="AO26" s="201">
        <f t="shared" si="6"/>
        <v>99.274305965741291</v>
      </c>
      <c r="AP26" s="321">
        <f>VLOOKUP(A26,'Household Information'!H:Q,10,FALSE)</f>
        <v>127.00366022971097</v>
      </c>
      <c r="AQ26" s="122">
        <f>IF(12*(AO26-Variables!$C$3*AP26*F26)*(G26/5)&lt;0,0,12*(AO26-Variables!$C$3*AP26*F26)*(G26/5))</f>
        <v>712345.83849696291</v>
      </c>
      <c r="AS26" s="22">
        <f t="shared" si="7"/>
        <v>100000</v>
      </c>
      <c r="AU26" s="30"/>
      <c r="AW26" s="101"/>
      <c r="AX26" s="101"/>
      <c r="AY26" s="101"/>
      <c r="AZ26" s="101"/>
      <c r="BA26" s="101"/>
      <c r="BB26" s="101"/>
      <c r="BC26" s="101"/>
      <c r="BD26" s="101"/>
      <c r="BE26" s="101"/>
      <c r="BF26" s="313"/>
    </row>
    <row r="27" spans="1:58" ht="14.25" customHeight="1" x14ac:dyDescent="0.35">
      <c r="A27" s="30">
        <v>24</v>
      </c>
      <c r="B27" s="28" t="s">
        <v>177</v>
      </c>
      <c r="C27" s="28">
        <v>2019</v>
      </c>
      <c r="D27" s="196">
        <f>Population!D25</f>
        <v>2031332.2440583021</v>
      </c>
      <c r="E27" s="303" t="str">
        <f t="shared" si="4"/>
        <v>Large</v>
      </c>
      <c r="F27" s="340">
        <f>VLOOKUP(A27,'Household Information'!$H$2:$M$49,6,FALSE)</f>
        <v>5.7167460931666056</v>
      </c>
      <c r="G27" s="196">
        <f t="shared" si="0"/>
        <v>355330</v>
      </c>
      <c r="H27" s="213">
        <f>Area!E25</f>
        <v>102.60768729895828</v>
      </c>
      <c r="I27" s="213"/>
      <c r="J27" s="32">
        <f>D27*Variables!$C$20</f>
        <v>1828.1990196524719</v>
      </c>
      <c r="K27" s="202">
        <f>VLOOKUP(B27,'Urban road length (WDI)'!$B$2:$F$42,5,FALSE)</f>
        <v>1684.222</v>
      </c>
      <c r="L27" s="32">
        <f>IF(J27-K27&lt;0,0,J27-K27)</f>
        <v>143.97701965247188</v>
      </c>
      <c r="M27" s="197">
        <f>K27*(1-VLOOKUP(A27,'% Urban Roads Surfaced (WDI)'!A:G,7,FALSE))</f>
        <v>908.21354766917295</v>
      </c>
      <c r="N27" s="117">
        <f>Variables!$C$21*'Cost Calculations'!$M27/100</f>
        <v>49.314762769366851</v>
      </c>
      <c r="O27" s="117">
        <f>Variables!$C$22*'Cost Calculations'!$M27/100</f>
        <v>86.300834846392007</v>
      </c>
      <c r="P27" s="117">
        <f>Variables!$C$23*'Cost Calculations'!$M27/100</f>
        <v>90.41039841050592</v>
      </c>
      <c r="Q27" s="117">
        <f>Variables!$C$24*'Cost Calculations'!$M27/100</f>
        <v>657.53017025822464</v>
      </c>
      <c r="R27" s="107">
        <f>N27*Variables!$C$15*Variables!$E$30+O27*Variables!$C$15*Variables!$E$31+('Cost Calculations'!P27+'Cost Calculations'!Q27)*Variables!$C$15*Variables!$E$32</f>
        <v>3841120.1784488508</v>
      </c>
      <c r="S27" s="198">
        <f>$L27*Variables!$C$21/100</f>
        <v>7.8177567232111418</v>
      </c>
      <c r="T27" s="198">
        <f>$L27*Variables!$C$22/100</f>
        <v>13.6810742656195</v>
      </c>
      <c r="U27" s="198">
        <f>$L27*Variables!$C$23/100</f>
        <v>14.332553992553763</v>
      </c>
      <c r="V27" s="198">
        <f>$L27*Variables!$C$24/100</f>
        <v>104.2367563094819</v>
      </c>
      <c r="W27" s="22">
        <f>S27*Variables!$E$25*Variables!$C$15+'Cost Calculations'!T27*Variables!$E$26*Variables!$C$15+'Cost Calculations'!U27*Variables!$E$27*Variables!$C$15+V27*Variables!$E$28*Variables!$C$15</f>
        <v>96571395.841304347</v>
      </c>
      <c r="X27" s="20">
        <f>J27*Variables!$E$29*Variables!$C$15</f>
        <v>312512.3404193935</v>
      </c>
      <c r="Z27" s="33">
        <f>D27*(IF(D27&lt;50000,0,IF(D27&gt;Variables!$C$7,Variables!$C$37,IF(D27&gt;Variables!$C$6,Variables!$C$36,IF(D27&gt;Variables!$C$5,Variables!$C$35)))))</f>
        <v>1015.6661220291511</v>
      </c>
      <c r="AA27" s="187">
        <f>'Existing Fleet'!C25</f>
        <v>293.60000000000002</v>
      </c>
      <c r="AB27" s="35">
        <f t="shared" si="2"/>
        <v>722</v>
      </c>
      <c r="AC27" s="22">
        <f>AB27*Variables!$E$41</f>
        <v>266851200.00000003</v>
      </c>
      <c r="AD27" s="115">
        <f>ROUND(IF(D27&lt;50000,0,(H27/(3.14*Variables!$C$34^2))),0)</f>
        <v>131</v>
      </c>
      <c r="AE27" s="341">
        <f>VLOOKUP(A27,'Existing Fleet'!$A$2:$H$43,8,FALSE)</f>
        <v>0</v>
      </c>
      <c r="AF27" s="117">
        <f t="shared" si="3"/>
        <v>131</v>
      </c>
      <c r="AG27" s="107">
        <f>AF27*Variables!$E$42*Variables!$C$15</f>
        <v>88758.263999999996</v>
      </c>
      <c r="AH27" s="199">
        <f>ROUND((Z27)/Variables!$C$40,0)</f>
        <v>8</v>
      </c>
      <c r="AI27" s="343">
        <f>'Existing Fleet'!M25</f>
        <v>0</v>
      </c>
      <c r="AJ27" s="199">
        <f t="shared" si="5"/>
        <v>8</v>
      </c>
      <c r="AK27" s="22">
        <f>AJ27*Variables!$E$43*Variables!$C$15</f>
        <v>4421739.1680000005</v>
      </c>
      <c r="AL27" s="20">
        <f>Z27*Variables!$E$38*Variables!$C$15</f>
        <v>180055777.70942444</v>
      </c>
      <c r="AM27" s="98"/>
      <c r="AN27" s="200">
        <f>Variables!$C$18*10</f>
        <v>0.14000000000000001</v>
      </c>
      <c r="AO27" s="201">
        <f t="shared" si="6"/>
        <v>48.020667182599489</v>
      </c>
      <c r="AP27" s="321">
        <f>VLOOKUP(A27,'Household Information'!H:Q,10,FALSE)</f>
        <v>84.816357440363504</v>
      </c>
      <c r="AQ27" s="122">
        <f>IF(12*(AO27-Variables!$C$3*AP27*F27)*(G27/5)&lt;0,0,12*(AO27-Variables!$C$3*AP27*F27)*(G27/5))</f>
        <v>0</v>
      </c>
      <c r="AS27" s="22">
        <f t="shared" si="7"/>
        <v>350000</v>
      </c>
      <c r="AU27" s="30"/>
      <c r="AW27" s="101"/>
      <c r="AX27" s="101"/>
      <c r="AY27" s="101"/>
      <c r="AZ27" s="101"/>
      <c r="BA27" s="101"/>
      <c r="BB27" s="101"/>
      <c r="BC27" s="101"/>
      <c r="BD27" s="101"/>
      <c r="BE27" s="101"/>
      <c r="BF27" s="313"/>
    </row>
    <row r="28" spans="1:58" ht="14.25" customHeight="1" x14ac:dyDescent="0.35">
      <c r="A28" s="30">
        <v>25</v>
      </c>
      <c r="B28" s="28" t="s">
        <v>178</v>
      </c>
      <c r="C28" s="28">
        <v>2019</v>
      </c>
      <c r="D28" s="196">
        <f>Population!D26</f>
        <v>291601.27978538926</v>
      </c>
      <c r="E28" s="303" t="str">
        <f t="shared" si="4"/>
        <v>Medium</v>
      </c>
      <c r="F28" s="340">
        <f>VLOOKUP(A28,'Household Information'!$H$2:$M$49,6,FALSE)</f>
        <v>4.4000000000000004</v>
      </c>
      <c r="G28" s="196">
        <f t="shared" si="0"/>
        <v>66273</v>
      </c>
      <c r="H28" s="213">
        <f>Area!E26</f>
        <v>182.26365507051801</v>
      </c>
      <c r="I28" s="213"/>
      <c r="J28" s="32">
        <f>D28*Variables!$C$20</f>
        <v>262.44115180685031</v>
      </c>
      <c r="K28" s="202">
        <f>VLOOKUP(B28,'Urban road length (WDI)'!$B$2:$F$42,5,FALSE)</f>
        <v>217.59570000000002</v>
      </c>
      <c r="L28" s="32">
        <f>IF(J28-K28&lt;0,0,J28-K28)</f>
        <v>44.845451806850292</v>
      </c>
      <c r="M28" s="197">
        <f>K28*(1-VLOOKUP(A28,'% Urban Roads Surfaced (WDI)'!A:G,7,FALSE))</f>
        <v>8.7696000000000094</v>
      </c>
      <c r="N28" s="117">
        <f>Variables!$C$21*'Cost Calculations'!$M28/100</f>
        <v>0.47617737556561129</v>
      </c>
      <c r="O28" s="117">
        <f>Variables!$C$22*'Cost Calculations'!$M28/100</f>
        <v>0.83331040723981986</v>
      </c>
      <c r="P28" s="117">
        <f>Variables!$C$23*'Cost Calculations'!$M28/100</f>
        <v>0.87299185520362088</v>
      </c>
      <c r="Q28" s="117">
        <f>Variables!$C$24*'Cost Calculations'!$M28/100</f>
        <v>6.3490316742081516</v>
      </c>
      <c r="R28" s="107">
        <f>N28*Variables!$C$15*Variables!$E$30+O28*Variables!$C$15*Variables!$E$31+('Cost Calculations'!P28+'Cost Calculations'!Q28)*Variables!$C$15*Variables!$E$32</f>
        <v>37089.391149663032</v>
      </c>
      <c r="S28" s="198">
        <f>$L28*Variables!$C$21/100</f>
        <v>2.435047156933047</v>
      </c>
      <c r="T28" s="198">
        <f>$L28*Variables!$C$22/100</f>
        <v>4.2613325246328335</v>
      </c>
      <c r="U28" s="198">
        <f>$L28*Variables!$C$23/100</f>
        <v>4.4642531210439209</v>
      </c>
      <c r="V28" s="198">
        <f>$L28*Variables!$C$24/100</f>
        <v>32.467295425773969</v>
      </c>
      <c r="W28" s="22">
        <f>S28*Variables!$E$25*Variables!$C$15+'Cost Calculations'!T28*Variables!$E$26*Variables!$C$15+'Cost Calculations'!U28*Variables!$E$27*Variables!$C$15+V28*Variables!$E$28*Variables!$C$15</f>
        <v>30079716.11424534</v>
      </c>
      <c r="X28" s="20">
        <f>J28*Variables!$E$29*Variables!$C$15</f>
        <v>44861.690489862995</v>
      </c>
      <c r="Z28" s="33">
        <f>D28*(IF(D28&lt;50000,0,IF(D28&gt;Variables!$C$7,Variables!$C$37,IF(D28&gt;Variables!$C$6,Variables!$C$36,IF(D28&gt;Variables!$C$5,Variables!$C$35)))))</f>
        <v>145.80063989269462</v>
      </c>
      <c r="AA28" s="187">
        <f>'Existing Fleet'!C26</f>
        <v>111</v>
      </c>
      <c r="AB28" s="35">
        <f t="shared" si="2"/>
        <v>35</v>
      </c>
      <c r="AC28" s="22">
        <f>AB28*Variables!$E$41</f>
        <v>12936000.000000002</v>
      </c>
      <c r="AD28" s="115">
        <f>ROUND(IF(D28&lt;50000,0,(H28/(3.14*Variables!$C$34^2))),0)</f>
        <v>232</v>
      </c>
      <c r="AE28" s="341">
        <f>VLOOKUP(A28,'Existing Fleet'!$A$2:$H$43,8,FALSE)</f>
        <v>0</v>
      </c>
      <c r="AF28" s="117">
        <f t="shared" si="3"/>
        <v>232</v>
      </c>
      <c r="AG28" s="107">
        <f>AF28*Variables!$E$42*Variables!$C$15</f>
        <v>157190.20800000001</v>
      </c>
      <c r="AH28" s="199">
        <f>ROUND((Z28)/Variables!$C$40,0)</f>
        <v>1</v>
      </c>
      <c r="AI28" s="290">
        <f>'Existing Fleet'!M26</f>
        <v>1</v>
      </c>
      <c r="AJ28" s="199">
        <f t="shared" si="5"/>
        <v>0</v>
      </c>
      <c r="AK28" s="22">
        <f>AJ28*Variables!$E$43*Variables!$C$15</f>
        <v>0</v>
      </c>
      <c r="AL28" s="20">
        <f>Z28*Variables!$E$38*Variables!$C$15</f>
        <v>25847320.331963763</v>
      </c>
      <c r="AM28" s="98"/>
      <c r="AN28" s="200">
        <f>Variables!$C$18*10</f>
        <v>0.14000000000000001</v>
      </c>
      <c r="AO28" s="201">
        <f t="shared" si="6"/>
        <v>36.960000000000008</v>
      </c>
      <c r="AP28" s="321">
        <f>VLOOKUP(A28,'Household Information'!H:Q,10,FALSE)</f>
        <v>100.80777483276538</v>
      </c>
      <c r="AQ28" s="122">
        <f>IF(12*(AO28-Variables!$C$3*AP28*F28)*(G28/5)&lt;0,0,12*(AO28-Variables!$C$3*AP28*F28)*(G28/5))</f>
        <v>0</v>
      </c>
      <c r="AS28" s="22">
        <f t="shared" si="7"/>
        <v>350000</v>
      </c>
      <c r="AU28" s="30"/>
      <c r="AW28" s="101"/>
      <c r="AX28" s="101"/>
      <c r="AY28" s="101"/>
      <c r="AZ28" s="101"/>
      <c r="BA28" s="101"/>
      <c r="BB28" s="101"/>
      <c r="BC28" s="101"/>
      <c r="BD28" s="101"/>
      <c r="BE28" s="101"/>
      <c r="BF28" s="313"/>
    </row>
    <row r="29" spans="1:58" ht="14.25" customHeight="1" x14ac:dyDescent="0.35">
      <c r="A29" s="30">
        <v>26</v>
      </c>
      <c r="B29" s="28" t="s">
        <v>179</v>
      </c>
      <c r="C29" s="28">
        <v>2019</v>
      </c>
      <c r="D29" s="196">
        <f>Population!D27</f>
        <v>120833.86406496594</v>
      </c>
      <c r="E29" s="303" t="str">
        <f t="shared" si="4"/>
        <v>Medium</v>
      </c>
      <c r="F29" s="340">
        <f>VLOOKUP(A29,'Household Information'!$H$2:$M$49,6,FALSE)</f>
        <v>3.9948981478058339</v>
      </c>
      <c r="G29" s="196">
        <f t="shared" si="0"/>
        <v>30247</v>
      </c>
      <c r="H29" s="213">
        <f>Area!E27</f>
        <v>650.74875365918274</v>
      </c>
      <c r="I29" s="213"/>
      <c r="J29" s="32">
        <f>D29*Variables!$C$20</f>
        <v>108.75047765846934</v>
      </c>
      <c r="K29" s="202">
        <f>VLOOKUP(B29,'Urban road length (WDI)'!$B$2:$F$42,5,FALSE)</f>
        <v>29.053939999999997</v>
      </c>
      <c r="L29" s="32">
        <f t="shared" si="1"/>
        <v>79.696537658469339</v>
      </c>
      <c r="M29" s="197">
        <f>K29*(1-VLOOKUP(A29,'% Urban Roads Surfaced (WDI)'!A:G,7,FALSE))</f>
        <v>0</v>
      </c>
      <c r="N29" s="117">
        <f>Variables!$C$21*'Cost Calculations'!$M29/100</f>
        <v>0</v>
      </c>
      <c r="O29" s="117">
        <f>Variables!$C$22*'Cost Calculations'!$M29/100</f>
        <v>0</v>
      </c>
      <c r="P29" s="117">
        <f>Variables!$C$23*'Cost Calculations'!$M29/100</f>
        <v>0</v>
      </c>
      <c r="Q29" s="117">
        <f>Variables!$C$24*'Cost Calculations'!$M29/100</f>
        <v>0</v>
      </c>
      <c r="R29" s="107">
        <f>N29*Variables!$C$15*Variables!$E$30+O29*Variables!$C$15*Variables!$E$31+('Cost Calculations'!P29+'Cost Calculations'!Q29)*Variables!$C$15*Variables!$E$32</f>
        <v>0</v>
      </c>
      <c r="S29" s="198">
        <f>$L29*Variables!$C$21/100</f>
        <v>4.3274138095096468</v>
      </c>
      <c r="T29" s="198">
        <f>$L29*Variables!$C$22/100</f>
        <v>7.5729741666418828</v>
      </c>
      <c r="U29" s="198">
        <f>$L29*Variables!$C$23/100</f>
        <v>7.933591984101021</v>
      </c>
      <c r="V29" s="198">
        <f>$L29*Variables!$C$24/100</f>
        <v>57.698850793461958</v>
      </c>
      <c r="W29" s="22">
        <f>S29*Variables!$E$25*Variables!$C$15+'Cost Calculations'!T29*Variables!$E$26*Variables!$C$15+'Cost Calculations'!U29*Variables!$E$27*Variables!$C$15+V29*Variables!$E$28*Variables!$C$15</f>
        <v>53455793.875820264</v>
      </c>
      <c r="X29" s="20">
        <f>J29*Variables!$E$29*Variables!$C$15</f>
        <v>18589.80665093875</v>
      </c>
      <c r="Z29" s="33">
        <f>D29*(IF(D29&lt;50000,0,IF(D29&gt;Variables!$C$7,Variables!$C$37,IF(D29&gt;Variables!$C$6,Variables!$C$36,IF(D29&gt;Variables!$C$5,Variables!$C$35)))))</f>
        <v>60.416932032482968</v>
      </c>
      <c r="AA29" s="187">
        <f>'Existing Fleet'!C27</f>
        <v>139</v>
      </c>
      <c r="AB29" s="35">
        <f t="shared" si="2"/>
        <v>0</v>
      </c>
      <c r="AC29" s="22">
        <f>AB29*Variables!$E$41</f>
        <v>0</v>
      </c>
      <c r="AD29" s="115">
        <f>ROUND(IF(D29&lt;50000,0,(H29/(3.14*Variables!$C$34^2))),0)</f>
        <v>829</v>
      </c>
      <c r="AE29" s="341">
        <f>VLOOKUP(A29,'Existing Fleet'!$A$2:$H$43,8,FALSE)</f>
        <v>0</v>
      </c>
      <c r="AF29" s="117">
        <f t="shared" si="3"/>
        <v>829</v>
      </c>
      <c r="AG29" s="107">
        <f>AF29*Variables!$E$42*Variables!$C$15</f>
        <v>561683.97600000002</v>
      </c>
      <c r="AH29" s="199">
        <f>ROUND((Z29)/Variables!$C$40,0)</f>
        <v>0</v>
      </c>
      <c r="AI29" s="290">
        <f>'Existing Fleet'!M27</f>
        <v>0</v>
      </c>
      <c r="AJ29" s="199">
        <f t="shared" si="5"/>
        <v>0</v>
      </c>
      <c r="AK29" s="22">
        <f>AJ29*Variables!$E$43*Variables!$C$15</f>
        <v>0</v>
      </c>
      <c r="AL29" s="20">
        <f>Z29*Variables!$E$38*Variables!$C$15</f>
        <v>10710623.745323595</v>
      </c>
      <c r="AM29" s="98"/>
      <c r="AN29" s="200">
        <f>Variables!$E$45</f>
        <v>0.25221875000000005</v>
      </c>
      <c r="AO29" s="201">
        <f t="shared" si="6"/>
        <v>60.455293033014172</v>
      </c>
      <c r="AP29" s="321">
        <f>VLOOKUP(A29,'Household Information'!H:Q,10,FALSE)</f>
        <v>108.65462509082352</v>
      </c>
      <c r="AQ29" s="122">
        <f>IF(12*(AO29-Variables!$C$3*AP29*F29)*(G29/5)&lt;0,0,12*(AO29-Variables!$C$3*AP29*F29)*(G29/5))</f>
        <v>0</v>
      </c>
      <c r="AS29" s="22">
        <f t="shared" si="7"/>
        <v>350000</v>
      </c>
      <c r="AU29" s="30"/>
      <c r="AW29" s="101"/>
      <c r="AX29" s="101"/>
      <c r="AY29" s="101"/>
      <c r="AZ29" s="101"/>
      <c r="BA29" s="101"/>
      <c r="BB29" s="101"/>
      <c r="BC29" s="101"/>
      <c r="BD29" s="101"/>
      <c r="BE29" s="101"/>
      <c r="BF29" s="313"/>
    </row>
    <row r="30" spans="1:58" ht="14.25" customHeight="1" x14ac:dyDescent="0.35">
      <c r="A30" s="30">
        <v>27</v>
      </c>
      <c r="B30" s="28" t="s">
        <v>180</v>
      </c>
      <c r="C30" s="28">
        <v>2019</v>
      </c>
      <c r="D30" s="196">
        <f>Population!D28</f>
        <v>1218678.495685582</v>
      </c>
      <c r="E30" s="303" t="str">
        <f t="shared" si="4"/>
        <v>Large</v>
      </c>
      <c r="F30" s="340">
        <f>VLOOKUP(A30,'Household Information'!$H$2:$M$49,6,FALSE)</f>
        <v>4.6947316089524085</v>
      </c>
      <c r="G30" s="196">
        <f t="shared" si="0"/>
        <v>259584</v>
      </c>
      <c r="H30" s="213">
        <f>Area!E28</f>
        <v>121.50723651887085</v>
      </c>
      <c r="I30" s="213"/>
      <c r="J30" s="32">
        <f>D30*Variables!$C$20</f>
        <v>1096.8106461170239</v>
      </c>
      <c r="K30" s="202">
        <f>VLOOKUP(B30,'Urban road length (WDI)'!$B$2:$F$42,5,FALSE)</f>
        <v>1283.24991</v>
      </c>
      <c r="L30" s="32">
        <f>IF(J30-K28&lt;0,0,J30-K28)</f>
        <v>879.21494611702383</v>
      </c>
      <c r="M30" s="197">
        <f>K30*(1-VLOOKUP(A30,'% Urban Roads Surfaced (WDI)'!A:G,7,FALSE))</f>
        <v>312.54349694434069</v>
      </c>
      <c r="N30" s="117">
        <f>Variables!$C$21*'Cost Calculations'!$M30/100</f>
        <v>16.970687616887275</v>
      </c>
      <c r="O30" s="117">
        <f>Variables!$C$22*'Cost Calculations'!$M30/100</f>
        <v>29.698703329552735</v>
      </c>
      <c r="P30" s="117">
        <f>Variables!$C$23*'Cost Calculations'!$M30/100</f>
        <v>31.112927297626676</v>
      </c>
      <c r="Q30" s="117">
        <f>Variables!$C$24*'Cost Calculations'!$M30/100</f>
        <v>226.27583489183036</v>
      </c>
      <c r="R30" s="107">
        <f>N30*Variables!$C$15*Variables!$E$30+O30*Variables!$C$15*Variables!$E$31+('Cost Calculations'!P30+'Cost Calculations'!Q30)*Variables!$C$15*Variables!$E$32</f>
        <v>1321844.554991351</v>
      </c>
      <c r="S30" s="198">
        <f>$L30*Variables!$C$21/100</f>
        <v>47.740178069702644</v>
      </c>
      <c r="T30" s="198">
        <f>$L30*Variables!$C$22/100</f>
        <v>83.545311621979636</v>
      </c>
      <c r="U30" s="198">
        <f>$L30*Variables!$C$23/100</f>
        <v>87.523659794454872</v>
      </c>
      <c r="V30" s="198">
        <f>$L30*Variables!$C$24/100</f>
        <v>636.53570759603531</v>
      </c>
      <c r="W30" s="22">
        <f>S30*Variables!$E$25*Variables!$C$15+'Cost Calculations'!T30*Variables!$E$26*Variables!$C$15+'Cost Calculations'!U30*Variables!$E$27*Variables!$C$15+V30*Variables!$E$28*Variables!$C$15</f>
        <v>589726157.66046965</v>
      </c>
      <c r="X30" s="20">
        <f>J30*Variables!$E$29*Variables!$C$15</f>
        <v>187488.81184724407</v>
      </c>
      <c r="Z30" s="33">
        <f>D30*(IF(D30&lt;50000,0,IF(D30&gt;Variables!$C$7,Variables!$C$37,IF(D30&gt;Variables!$C$6,Variables!$C$36,IF(D30&gt;Variables!$C$5,Variables!$C$35)))))</f>
        <v>609.339247842791</v>
      </c>
      <c r="AA30" s="187">
        <f>'Existing Fleet'!C28</f>
        <v>30</v>
      </c>
      <c r="AB30" s="35">
        <f t="shared" si="2"/>
        <v>579</v>
      </c>
      <c r="AC30" s="22">
        <f>AB30*Variables!$E$41</f>
        <v>213998400.00000003</v>
      </c>
      <c r="AD30" s="115">
        <f>ROUND(IF(D30&lt;50000,0,(H30/(3.14*Variables!$C$34^2))),0)</f>
        <v>155</v>
      </c>
      <c r="AE30" s="341">
        <f>VLOOKUP(A30,'Existing Fleet'!$A$2:$H$43,8,FALSE)</f>
        <v>0</v>
      </c>
      <c r="AF30" s="117">
        <f t="shared" si="3"/>
        <v>155</v>
      </c>
      <c r="AG30" s="107">
        <f>AF30*Variables!$E$42*Variables!$C$15</f>
        <v>105019.32</v>
      </c>
      <c r="AH30" s="199">
        <f>ROUND((Z30)/Variables!$C$40,0)</f>
        <v>5</v>
      </c>
      <c r="AI30" s="290">
        <f>'Existing Fleet'!M28</f>
        <v>110</v>
      </c>
      <c r="AJ30" s="199">
        <f t="shared" si="5"/>
        <v>0</v>
      </c>
      <c r="AK30" s="22">
        <f>AJ30*Variables!$E$43*Variables!$C$15</f>
        <v>0</v>
      </c>
      <c r="AL30" s="20">
        <f>Z30*Variables!$E$38*Variables!$C$15</f>
        <v>108022754.50520588</v>
      </c>
      <c r="AM30" s="98"/>
      <c r="AN30" s="200">
        <f>Variables!$C$18*10</f>
        <v>0.14000000000000001</v>
      </c>
      <c r="AO30" s="201">
        <f t="shared" si="6"/>
        <v>39.435745515200232</v>
      </c>
      <c r="AP30" s="321">
        <f>VLOOKUP(A30,'Household Information'!H:Q,10,FALSE)</f>
        <v>58.94736842105263</v>
      </c>
      <c r="AQ30" s="122">
        <f>IF(12*(AO30-Variables!$C$3*AP30*F30)*(G30/5)&lt;0,0,12*(AO30-Variables!$C$3*AP30*F30)*(G30/5))</f>
        <v>0</v>
      </c>
      <c r="AS30" s="22">
        <f t="shared" si="7"/>
        <v>350000</v>
      </c>
      <c r="AU30" s="30"/>
      <c r="AW30" s="101"/>
      <c r="AX30" s="101"/>
      <c r="AY30" s="101"/>
      <c r="AZ30" s="101"/>
      <c r="BA30" s="101"/>
      <c r="BB30" s="101"/>
      <c r="BC30" s="101"/>
      <c r="BD30" s="101"/>
      <c r="BE30" s="101"/>
      <c r="BF30" s="313"/>
    </row>
    <row r="31" spans="1:58" ht="14.25" customHeight="1" x14ac:dyDescent="0.35">
      <c r="A31" s="30">
        <v>28</v>
      </c>
      <c r="B31" s="28" t="s">
        <v>181</v>
      </c>
      <c r="C31" s="28">
        <v>2019</v>
      </c>
      <c r="D31" s="196">
        <f>Population!D29</f>
        <v>1294655.2632270395</v>
      </c>
      <c r="E31" s="303" t="str">
        <f t="shared" si="4"/>
        <v>Large</v>
      </c>
      <c r="F31" s="340">
        <f>VLOOKUP(A31,'Household Information'!$H$2:$M$49,6,FALSE)</f>
        <v>3.2903489815623708</v>
      </c>
      <c r="G31" s="196">
        <f t="shared" si="0"/>
        <v>393471</v>
      </c>
      <c r="H31" s="213">
        <f>Area!E29</f>
        <v>156.6117332457784</v>
      </c>
      <c r="I31" s="213"/>
      <c r="J31" s="32">
        <f>D31*Variables!$C$20</f>
        <v>1165.1897369043354</v>
      </c>
      <c r="K31" s="202">
        <f>VLOOKUP(B31,'Urban road length (WDI)'!$B$2:$F$42,5,FALSE)</f>
        <v>53.671350000000004</v>
      </c>
      <c r="L31" s="32">
        <f>IF(J31-K30&lt;0,0,J31-K30)</f>
        <v>0</v>
      </c>
      <c r="M31" s="197">
        <f>K31*(1-VLOOKUP(A31,'% Urban Roads Surfaced (WDI)'!A:G,7,FALSE))</f>
        <v>4.3855966926070069</v>
      </c>
      <c r="N31" s="117">
        <f>Variables!$C$21*'Cost Calculations'!$M31/100</f>
        <v>0.2381319471098827</v>
      </c>
      <c r="O31" s="117">
        <f>Variables!$C$22*'Cost Calculations'!$M31/100</f>
        <v>0.41673090744229474</v>
      </c>
      <c r="P31" s="117">
        <f>Variables!$C$23*'Cost Calculations'!$M31/100</f>
        <v>0.43657523636811829</v>
      </c>
      <c r="Q31" s="117">
        <f>Variables!$C$24*'Cost Calculations'!$M31/100</f>
        <v>3.17509262813177</v>
      </c>
      <c r="R31" s="107">
        <f>N31*Variables!$C$15*Variables!$E$30+O31*Variables!$C$15*Variables!$E$31+('Cost Calculations'!P31+'Cost Calculations'!Q31)*Variables!$C$15*Variables!$E$32</f>
        <v>18548.065037945817</v>
      </c>
      <c r="S31" s="198">
        <f>$L31*Variables!$C$21/100</f>
        <v>0</v>
      </c>
      <c r="T31" s="198">
        <f>$L31*Variables!$C$22/100</f>
        <v>0</v>
      </c>
      <c r="U31" s="198">
        <f>$L31*Variables!$C$23/100</f>
        <v>0</v>
      </c>
      <c r="V31" s="198">
        <f>$L31*Variables!$C$24/100</f>
        <v>0</v>
      </c>
      <c r="W31" s="22">
        <f>S31*Variables!$E$25*Variables!$C$15+'Cost Calculations'!T31*Variables!$E$26*Variables!$C$15+'Cost Calculations'!U31*Variables!$E$27*Variables!$C$15+V31*Variables!$E$28*Variables!$C$15</f>
        <v>0</v>
      </c>
      <c r="X31" s="20">
        <f>J31*Variables!$E$29*Variables!$C$15</f>
        <v>199177.53362642712</v>
      </c>
      <c r="Z31" s="33">
        <f>D31*(IF(D31&lt;50000,0,IF(D31&gt;Variables!$C$7,Variables!$C$37,IF(D31&gt;Variables!$C$6,Variables!$C$36,IF(D31&gt;Variables!$C$5,Variables!$C$35)))))</f>
        <v>647.32763161351977</v>
      </c>
      <c r="AA31" s="187">
        <f>'Existing Fleet'!C29</f>
        <v>91</v>
      </c>
      <c r="AB31" s="35">
        <f t="shared" si="2"/>
        <v>556</v>
      </c>
      <c r="AC31" s="22">
        <f>AB31*Variables!$E$41</f>
        <v>205497600.00000003</v>
      </c>
      <c r="AD31" s="115">
        <f>ROUND(IF(D31&lt;50000,0,(H31/(3.14*Variables!$C$34^2))),0)</f>
        <v>200</v>
      </c>
      <c r="AE31" s="341">
        <f>VLOOKUP(A31,'Existing Fleet'!$A$2:$H$43,8,FALSE)</f>
        <v>0</v>
      </c>
      <c r="AF31" s="117">
        <f t="shared" si="3"/>
        <v>200</v>
      </c>
      <c r="AG31" s="107">
        <f>AF31*Variables!$E$42*Variables!$C$15</f>
        <v>135508.80000000002</v>
      </c>
      <c r="AH31" s="199">
        <f>ROUND((Z31)/Variables!$C$40,0)</f>
        <v>5</v>
      </c>
      <c r="AI31" s="343">
        <f>'Existing Fleet'!M29</f>
        <v>0</v>
      </c>
      <c r="AJ31" s="199">
        <f t="shared" si="5"/>
        <v>5</v>
      </c>
      <c r="AK31" s="22">
        <f>AJ31*Variables!$E$43*Variables!$C$15</f>
        <v>2763586.98</v>
      </c>
      <c r="AL31" s="20">
        <f>Z31*Variables!$E$38*Variables!$C$15</f>
        <v>114757278.61249547</v>
      </c>
      <c r="AM31" s="98"/>
      <c r="AN31" s="200">
        <f>Variables!$C$18*15</f>
        <v>0.21</v>
      </c>
      <c r="AO31" s="201">
        <f t="shared" si="6"/>
        <v>41.458397167685874</v>
      </c>
      <c r="AP31" s="321">
        <f>VLOOKUP(A31,'Household Information'!H:Q,10,FALSE)</f>
        <v>53.01022340022719</v>
      </c>
      <c r="AQ31" s="122">
        <f>IF(12*(AO31-Variables!$C$3*AP31*F31)*(G31/5)&lt;0,0,12*(AO31-Variables!$C$3*AP31*F31)*(G31/5))</f>
        <v>14443606.163579902</v>
      </c>
      <c r="AS31" s="22">
        <f t="shared" si="7"/>
        <v>350000</v>
      </c>
      <c r="AU31" s="30"/>
      <c r="AW31" s="101"/>
      <c r="AX31" s="101"/>
      <c r="AY31" s="101"/>
      <c r="AZ31" s="101"/>
      <c r="BA31" s="101"/>
      <c r="BB31" s="101"/>
      <c r="BC31" s="101"/>
      <c r="BD31" s="101"/>
      <c r="BE31" s="101"/>
      <c r="BF31" s="313"/>
    </row>
    <row r="32" spans="1:58" ht="14.25" customHeight="1" x14ac:dyDescent="0.35">
      <c r="A32" s="30">
        <v>29</v>
      </c>
      <c r="B32" s="28" t="s">
        <v>182</v>
      </c>
      <c r="C32" s="28">
        <v>2019</v>
      </c>
      <c r="D32" s="196">
        <f>Population!D30</f>
        <v>172747.82420858208</v>
      </c>
      <c r="E32" s="303" t="str">
        <f t="shared" si="4"/>
        <v>Medium</v>
      </c>
      <c r="F32" s="340">
        <f>VLOOKUP(A32,'Household Information'!$H$2:$M$49,6,FALSE)</f>
        <v>4.6165672844480259</v>
      </c>
      <c r="G32" s="196">
        <f t="shared" si="0"/>
        <v>37419</v>
      </c>
      <c r="H32" s="213">
        <f>Area!E30</f>
        <v>880.26594893316826</v>
      </c>
      <c r="I32" s="213"/>
      <c r="J32" s="32">
        <f>D32*Variables!$C$20</f>
        <v>155.47304178772387</v>
      </c>
      <c r="K32" s="202">
        <f>VLOOKUP(B32,'Urban road length (WDI)'!$B$2:$F$42,5,FALSE)</f>
        <v>11.458320000000001</v>
      </c>
      <c r="L32" s="32">
        <f t="shared" si="1"/>
        <v>144.01472178772389</v>
      </c>
      <c r="M32" s="197">
        <f>K32*(1-VLOOKUP(A32,'% Urban Roads Surfaced (WDI)'!A:G,7,FALSE))</f>
        <v>0.41666618181818199</v>
      </c>
      <c r="N32" s="117">
        <f>Variables!$C$21*'Cost Calculations'!$M32/100</f>
        <v>2.2624408062525716E-2</v>
      </c>
      <c r="O32" s="117">
        <f>Variables!$C$22*'Cost Calculations'!$M32/100</f>
        <v>3.9592714109420009E-2</v>
      </c>
      <c r="P32" s="117">
        <f>Variables!$C$23*'Cost Calculations'!$M32/100</f>
        <v>4.1478081447963812E-2</v>
      </c>
      <c r="Q32" s="117">
        <f>Variables!$C$24*'Cost Calculations'!$M32/100</f>
        <v>0.30165877416700959</v>
      </c>
      <c r="R32" s="107">
        <f>N32*Variables!$C$15*Variables!$E$30+O32*Variables!$C$15*Variables!$E$31+('Cost Calculations'!P32+'Cost Calculations'!Q32)*Variables!$C$15*Variables!$E$32</f>
        <v>1762.2120731038074</v>
      </c>
      <c r="S32" s="198">
        <f>$L32*Variables!$C$21/100</f>
        <v>7.8198038979759561</v>
      </c>
      <c r="T32" s="198">
        <f>$L32*Variables!$C$22/100</f>
        <v>13.684656821457924</v>
      </c>
      <c r="U32" s="198">
        <f>$L32*Variables!$C$23/100</f>
        <v>14.336307146289254</v>
      </c>
      <c r="V32" s="198">
        <f>$L32*Variables!$C$24/100</f>
        <v>104.26405197301277</v>
      </c>
      <c r="W32" s="22">
        <f>S32*Variables!$E$25*Variables!$C$15+'Cost Calculations'!T32*Variables!$E$26*Variables!$C$15+'Cost Calculations'!U32*Variables!$E$27*Variables!$C$15+V32*Variables!$E$28*Variables!$C$15</f>
        <v>96596684.236884922</v>
      </c>
      <c r="X32" s="20">
        <f>J32*Variables!$E$29*Variables!$C$15</f>
        <v>26576.56176319352</v>
      </c>
      <c r="Z32" s="33">
        <f>D32*(IF(D32&lt;50000,0,IF(D32&gt;Variables!$C$7,Variables!$C$37,IF(D32&gt;Variables!$C$6,Variables!$C$36,IF(D32&gt;Variables!$C$5,Variables!$C$35)))))</f>
        <v>86.373912104291037</v>
      </c>
      <c r="AA32" s="187">
        <f>'Existing Fleet'!C30</f>
        <v>206</v>
      </c>
      <c r="AB32" s="35">
        <f t="shared" si="2"/>
        <v>0</v>
      </c>
      <c r="AC32" s="22">
        <f>AB32*Variables!$E$41</f>
        <v>0</v>
      </c>
      <c r="AD32" s="115">
        <f>ROUND(IF(D32&lt;50000,0,(H32/(3.14*Variables!$C$34^2))),0)</f>
        <v>1121</v>
      </c>
      <c r="AE32" s="341">
        <f>VLOOKUP(A32,'Existing Fleet'!$A$2:$H$43,8,FALSE)</f>
        <v>0</v>
      </c>
      <c r="AF32" s="117">
        <f t="shared" si="3"/>
        <v>1121</v>
      </c>
      <c r="AG32" s="107">
        <f>AF32*Variables!$E$42*Variables!$C$15</f>
        <v>759526.82400000002</v>
      </c>
      <c r="AH32" s="199">
        <f>ROUND((Z32)/Variables!$C$40,0)</f>
        <v>1</v>
      </c>
      <c r="AI32" s="343">
        <f>'Existing Fleet'!M30</f>
        <v>0</v>
      </c>
      <c r="AJ32" s="199">
        <f t="shared" si="5"/>
        <v>1</v>
      </c>
      <c r="AK32" s="22">
        <f>AJ32*Variables!$E$43*Variables!$C$15</f>
        <v>552717.39600000007</v>
      </c>
      <c r="AL32" s="20">
        <f>Z32*Variables!$E$38*Variables!$C$15</f>
        <v>15312238.520541323</v>
      </c>
      <c r="AM32" s="98"/>
      <c r="AN32" s="200">
        <f>Variables!$C$18*10</f>
        <v>0.14000000000000001</v>
      </c>
      <c r="AO32" s="201">
        <f t="shared" si="6"/>
        <v>38.779165189363418</v>
      </c>
      <c r="AP32" s="321">
        <f>VLOOKUP(A32,'Household Information'!H:Q,10,FALSE)</f>
        <v>91.707686482393044</v>
      </c>
      <c r="AQ32" s="122">
        <f>IF(12*(AO32-Variables!$C$3*AP32*F32)*(G32/5)&lt;0,0,12*(AO32-Variables!$C$3*AP32*F32)*(G32/5))</f>
        <v>0</v>
      </c>
      <c r="AS32" s="22">
        <f t="shared" si="7"/>
        <v>350000</v>
      </c>
      <c r="AU32" s="30"/>
      <c r="AW32" s="101"/>
      <c r="AX32" s="101"/>
      <c r="AY32" s="101"/>
      <c r="AZ32" s="101"/>
      <c r="BA32" s="101"/>
      <c r="BB32" s="101"/>
      <c r="BC32" s="101"/>
      <c r="BD32" s="101"/>
      <c r="BE32" s="101"/>
      <c r="BF32" s="313"/>
    </row>
    <row r="33" spans="1:58" ht="14.25" customHeight="1" x14ac:dyDescent="0.35">
      <c r="A33" s="30">
        <v>30</v>
      </c>
      <c r="B33" s="28" t="s">
        <v>183</v>
      </c>
      <c r="C33" s="28">
        <v>2019</v>
      </c>
      <c r="D33" s="196">
        <f>Population!D31</f>
        <v>118516.95498716265</v>
      </c>
      <c r="E33" s="303" t="str">
        <f t="shared" si="4"/>
        <v>Medium</v>
      </c>
      <c r="F33" s="340">
        <f>VLOOKUP(A33,'Household Information'!$H$2:$M$49,6,FALSE)</f>
        <v>4.0765401369010581</v>
      </c>
      <c r="G33" s="196">
        <f t="shared" si="0"/>
        <v>29073</v>
      </c>
      <c r="H33" s="213">
        <f>Area!E31</f>
        <v>87.75657466358274</v>
      </c>
      <c r="I33" s="213"/>
      <c r="J33" s="32">
        <f>D33*Variables!$C$20</f>
        <v>106.66525948844638</v>
      </c>
      <c r="K33" s="202">
        <f>VLOOKUP(B33,'Urban road length (WDI)'!$B$2:$F$42,5,FALSE)</f>
        <v>0</v>
      </c>
      <c r="L33" s="32">
        <f t="shared" si="1"/>
        <v>106.66525948844638</v>
      </c>
      <c r="M33" s="197">
        <v>0</v>
      </c>
      <c r="N33" s="117">
        <f>Variables!$C$21*'Cost Calculations'!$M33/100</f>
        <v>0</v>
      </c>
      <c r="O33" s="117">
        <f>Variables!$C$22*'Cost Calculations'!$M33/100</f>
        <v>0</v>
      </c>
      <c r="P33" s="117">
        <f>Variables!$C$23*'Cost Calculations'!$M33/100</f>
        <v>0</v>
      </c>
      <c r="Q33" s="117">
        <f>Variables!$C$24*'Cost Calculations'!$M33/100</f>
        <v>0</v>
      </c>
      <c r="R33" s="107">
        <f>N33*Variables!$C$15*Variables!$E$30+O33*Variables!$C$15*Variables!$E$31+('Cost Calculations'!P33+'Cost Calculations'!Q33)*Variables!$C$15*Variables!$E$32</f>
        <v>0</v>
      </c>
      <c r="S33" s="198">
        <f>$L33*Variables!$C$21/100</f>
        <v>5.7917787957527436</v>
      </c>
      <c r="T33" s="198">
        <f>$L33*Variables!$C$22/100</f>
        <v>10.135612892567304</v>
      </c>
      <c r="U33" s="198">
        <f>$L33*Variables!$C$23/100</f>
        <v>10.618261125546699</v>
      </c>
      <c r="V33" s="198">
        <f>$L33*Variables!$C$24/100</f>
        <v>77.223717276703269</v>
      </c>
      <c r="W33" s="22">
        <f>S33*Variables!$E$25*Variables!$C$15+'Cost Calculations'!T33*Variables!$E$26*Variables!$C$15+'Cost Calculations'!U33*Variables!$E$27*Variables!$C$15+V33*Variables!$E$28*Variables!$C$15</f>
        <v>71544841.124215826</v>
      </c>
      <c r="X33" s="20">
        <f>J33*Variables!$E$29*Variables!$C$15</f>
        <v>18233.359456955022</v>
      </c>
      <c r="Z33" s="33">
        <f>D33*(IF(D33&lt;50000,0,IF(D33&gt;Variables!$C$7,Variables!$C$37,IF(D33&gt;Variables!$C$6,Variables!$C$36,IF(D33&gt;Variables!$C$5,Variables!$C$35)))))</f>
        <v>59.258477493581324</v>
      </c>
      <c r="AA33" s="187">
        <f>'Existing Fleet'!C31</f>
        <v>21</v>
      </c>
      <c r="AB33" s="35">
        <f t="shared" si="2"/>
        <v>38</v>
      </c>
      <c r="AC33" s="22">
        <f>AB33*Variables!$E$41</f>
        <v>14044800.000000002</v>
      </c>
      <c r="AD33" s="115">
        <f>ROUND(IF(D33&lt;50000,0,(H33/(3.14*Variables!$C$34^2))),0)</f>
        <v>112</v>
      </c>
      <c r="AE33" s="341">
        <f>VLOOKUP(A33,'Existing Fleet'!$A$2:$H$43,8,FALSE)</f>
        <v>0</v>
      </c>
      <c r="AF33" s="117">
        <f t="shared" si="3"/>
        <v>112</v>
      </c>
      <c r="AG33" s="107">
        <f>AF33*Variables!$E$42*Variables!$C$15</f>
        <v>75884.928</v>
      </c>
      <c r="AH33" s="199">
        <f>ROUND((Z33)/Variables!$C$40,0)</f>
        <v>0</v>
      </c>
      <c r="AI33" s="290">
        <f>'Existing Fleet'!C31</f>
        <v>21</v>
      </c>
      <c r="AJ33" s="199">
        <f t="shared" si="5"/>
        <v>0</v>
      </c>
      <c r="AK33" s="22">
        <f>AJ33*Variables!$E$43*Variables!$C$15</f>
        <v>0</v>
      </c>
      <c r="AL33" s="20">
        <f>Z33*Variables!$E$38*Variables!$C$15</f>
        <v>10505254.6496938</v>
      </c>
      <c r="AM33" s="98"/>
      <c r="AN33" s="200">
        <f>Variables!$E$45</f>
        <v>0.25221875000000005</v>
      </c>
      <c r="AO33" s="201">
        <f t="shared" si="6"/>
        <v>61.690791459240835</v>
      </c>
      <c r="AP33" s="321">
        <f>VLOOKUP(A33,'Household Information'!H:Q,10,FALSE)</f>
        <v>60.413984601792251</v>
      </c>
      <c r="AQ33" s="122">
        <f>IF(12*(AO33-Variables!$C$3*AP33*F33)*(G33/5)&lt;0,0,12*(AO33-Variables!$C$3*AP33*F33)*(G33/5))</f>
        <v>1726851.5278186316</v>
      </c>
      <c r="AS33" s="22">
        <f t="shared" si="7"/>
        <v>350000</v>
      </c>
      <c r="AU33" s="30"/>
      <c r="AW33" s="101"/>
      <c r="AX33" s="101"/>
      <c r="AY33" s="101"/>
      <c r="AZ33" s="101"/>
      <c r="BA33" s="101"/>
      <c r="BB33" s="101"/>
      <c r="BC33" s="101"/>
      <c r="BD33" s="101"/>
      <c r="BE33" s="101"/>
      <c r="BF33" s="313"/>
    </row>
    <row r="34" spans="1:58" ht="14.25" customHeight="1" x14ac:dyDescent="0.35">
      <c r="A34" s="30">
        <v>31</v>
      </c>
      <c r="B34" s="28" t="s">
        <v>184</v>
      </c>
      <c r="C34" s="28">
        <v>2019</v>
      </c>
      <c r="D34" s="196">
        <f>Population!D32</f>
        <v>204527.22935748301</v>
      </c>
      <c r="E34" s="303" t="str">
        <f t="shared" si="4"/>
        <v>Medium</v>
      </c>
      <c r="F34" s="340">
        <f>VLOOKUP(A34,'Household Information'!$H$2:$M$49,6,FALSE)</f>
        <v>3.6621172202306398</v>
      </c>
      <c r="G34" s="196">
        <f t="shared" si="0"/>
        <v>55849</v>
      </c>
      <c r="H34" s="213">
        <f>Area!E32</f>
        <v>662.8996639972172</v>
      </c>
      <c r="I34" s="213"/>
      <c r="J34" s="32">
        <f>D34*Variables!$C$20</f>
        <v>184.0745064217347</v>
      </c>
      <c r="K34" s="202">
        <f>VLOOKUP(B34,'Urban road length (WDI)'!$B$2:$F$42,5,FALSE)</f>
        <v>522.30024000000003</v>
      </c>
      <c r="L34" s="32">
        <f t="shared" si="1"/>
        <v>0</v>
      </c>
      <c r="M34" s="197">
        <f>K34*(1-VLOOKUP(A34,'% Urban Roads Surfaced (WDI)'!A:G,7,FALSE))</f>
        <v>105.26249753276097</v>
      </c>
      <c r="N34" s="117">
        <f>Variables!$C$21*'Cost Calculations'!$M34/100</f>
        <v>5.7156107257607767</v>
      </c>
      <c r="O34" s="117">
        <f>Variables!$C$22*'Cost Calculations'!$M34/100</f>
        <v>10.002318770081359</v>
      </c>
      <c r="P34" s="117">
        <f>Variables!$C$23*'Cost Calculations'!$M34/100</f>
        <v>10.478619663894758</v>
      </c>
      <c r="Q34" s="117">
        <f>Variables!$C$24*'Cost Calculations'!$M34/100</f>
        <v>76.208143010143701</v>
      </c>
      <c r="R34" s="107">
        <f>N34*Variables!$C$15*Variables!$E$30+O34*Variables!$C$15*Variables!$E$31+('Cost Calculations'!P34+'Cost Calculations'!Q34)*Variables!$C$15*Variables!$E$32</f>
        <v>445188.14363061113</v>
      </c>
      <c r="S34" s="198">
        <f>$L34*Variables!$C$21/100</f>
        <v>0</v>
      </c>
      <c r="T34" s="198">
        <f>$L34*Variables!$C$22/100</f>
        <v>0</v>
      </c>
      <c r="U34" s="198">
        <f>$L34*Variables!$C$23/100</f>
        <v>0</v>
      </c>
      <c r="V34" s="198">
        <f>$L34*Variables!$C$24/100</f>
        <v>0</v>
      </c>
      <c r="W34" s="22">
        <f>S34*Variables!$E$25*Variables!$C$15+'Cost Calculations'!T34*Variables!$E$26*Variables!$C$15+'Cost Calculations'!U34*Variables!$E$27*Variables!$C$15+V34*Variables!$E$28*Variables!$C$15</f>
        <v>0</v>
      </c>
      <c r="X34" s="20">
        <f>J34*Variables!$E$29*Variables!$C$15</f>
        <v>31465.696127731331</v>
      </c>
      <c r="Z34" s="33">
        <f>D34*(IF(D34&lt;50000,0,IF(D34&gt;Variables!$C$7,Variables!$C$37,IF(D34&gt;Variables!$C$6,Variables!$C$36,IF(D34&gt;Variables!$C$5,Variables!$C$35)))))</f>
        <v>102.2636146787415</v>
      </c>
      <c r="AA34" s="187">
        <f>'Existing Fleet'!C32</f>
        <v>3158</v>
      </c>
      <c r="AB34" s="35">
        <f t="shared" si="2"/>
        <v>0</v>
      </c>
      <c r="AC34" s="22">
        <f>AB34*Variables!$E$41</f>
        <v>0</v>
      </c>
      <c r="AD34" s="115">
        <f>ROUND(IF(D34&lt;50000,0,(H34/(3.14*Variables!$C$34^2))),0)</f>
        <v>844</v>
      </c>
      <c r="AE34" s="341">
        <f>VLOOKUP(A34,'Existing Fleet'!$A$2:$H$43,8,FALSE)</f>
        <v>0</v>
      </c>
      <c r="AF34" s="117">
        <f t="shared" si="3"/>
        <v>844</v>
      </c>
      <c r="AG34" s="107">
        <f>AF34*Variables!$E$42*Variables!$C$15</f>
        <v>571847.13600000006</v>
      </c>
      <c r="AH34" s="199">
        <f>ROUND((Z34)/Variables!$C$40,0)</f>
        <v>1</v>
      </c>
      <c r="AI34" s="290">
        <f>'Existing Fleet'!M32</f>
        <v>27</v>
      </c>
      <c r="AJ34" s="199">
        <f t="shared" si="5"/>
        <v>0</v>
      </c>
      <c r="AK34" s="22">
        <f>AJ34*Variables!$E$43*Variables!$C$15</f>
        <v>0</v>
      </c>
      <c r="AL34" s="20">
        <f>Z34*Variables!$E$38*Variables!$C$15</f>
        <v>18129141.331967387</v>
      </c>
      <c r="AM34" s="98"/>
      <c r="AN34" s="200">
        <f>Variables!$C$18*10</f>
        <v>0.14000000000000001</v>
      </c>
      <c r="AO34" s="201">
        <f t="shared" si="6"/>
        <v>30.761784649937375</v>
      </c>
      <c r="AP34" s="321">
        <f>VLOOKUP(A34,'Household Information'!H:Q,10,FALSE)</f>
        <v>118.33648870377382</v>
      </c>
      <c r="AQ34" s="122">
        <f>IF(12*(AO34-Variables!$C$3*AP34*F34)*(G34/5)&lt;0,0,12*(AO34-Variables!$C$3*AP34*F34)*(G34/5))</f>
        <v>0</v>
      </c>
      <c r="AS34" s="22">
        <f t="shared" si="7"/>
        <v>350000</v>
      </c>
      <c r="AU34" s="30"/>
      <c r="AW34" s="101"/>
      <c r="AX34" s="101"/>
      <c r="AY34" s="101"/>
      <c r="AZ34" s="101"/>
      <c r="BA34" s="101"/>
      <c r="BB34" s="101"/>
      <c r="BC34" s="101"/>
      <c r="BD34" s="101"/>
      <c r="BE34" s="101"/>
      <c r="BF34" s="313"/>
    </row>
    <row r="35" spans="1:58" ht="14.25" customHeight="1" x14ac:dyDescent="0.35">
      <c r="A35" s="30">
        <v>32</v>
      </c>
      <c r="B35" s="28" t="s">
        <v>185</v>
      </c>
      <c r="C35" s="28">
        <v>2019</v>
      </c>
      <c r="D35" s="196">
        <f>Population!D33</f>
        <v>1423879.9323176574</v>
      </c>
      <c r="E35" s="303" t="str">
        <f t="shared" si="4"/>
        <v>Large</v>
      </c>
      <c r="F35" s="340">
        <f>VLOOKUP(A35,'Household Information'!$H$2:$M$49,6,FALSE)</f>
        <v>6.457235996477583</v>
      </c>
      <c r="G35" s="196">
        <f t="shared" si="0"/>
        <v>220509</v>
      </c>
      <c r="H35" s="213">
        <f>Area!E33</f>
        <v>39.152933311444599</v>
      </c>
      <c r="I35" s="213"/>
      <c r="J35" s="32">
        <f>D35*Variables!$C$20</f>
        <v>1281.4919390858915</v>
      </c>
      <c r="K35" s="202">
        <f>VLOOKUP(B35,'Urban road length (WDI)'!$B$2:$F$42,5,FALSE)</f>
        <v>708.34199999999998</v>
      </c>
      <c r="L35" s="32">
        <f t="shared" si="1"/>
        <v>573.14993908589156</v>
      </c>
      <c r="M35" s="197">
        <f>K35*(1-VLOOKUP(A35,'% Urban Roads Surfaced (WDI)'!A:G,7,FALSE))</f>
        <v>4.0201021566402009</v>
      </c>
      <c r="N35" s="117">
        <f>Variables!$C$21*'Cost Calculations'!$M35/100</f>
        <v>0.21828608995331403</v>
      </c>
      <c r="O35" s="117">
        <f>Variables!$C$22*'Cost Calculations'!$M35/100</f>
        <v>0.38200065741829958</v>
      </c>
      <c r="P35" s="117">
        <f>Variables!$C$23*'Cost Calculations'!$M35/100</f>
        <v>0.40019116491440909</v>
      </c>
      <c r="Q35" s="117">
        <f>Variables!$C$24*'Cost Calculations'!$M35/100</f>
        <v>2.910481199377521</v>
      </c>
      <c r="R35" s="107">
        <f>N35*Variables!$C$15*Variables!$E$30+O35*Variables!$C$15*Variables!$E$31+('Cost Calculations'!P35+'Cost Calculations'!Q35)*Variables!$C$15*Variables!$E$32</f>
        <v>17002.273917765026</v>
      </c>
      <c r="S35" s="198">
        <f>$L35*Variables!$C$21/100</f>
        <v>31.121263660772389</v>
      </c>
      <c r="T35" s="198">
        <f>$L35*Variables!$C$22/100</f>
        <v>54.462211406351692</v>
      </c>
      <c r="U35" s="198">
        <f>$L35*Variables!$C$23/100</f>
        <v>57.055650044749392</v>
      </c>
      <c r="V35" s="198">
        <f>$L35*Variables!$C$24/100</f>
        <v>414.95018214363188</v>
      </c>
      <c r="W35" s="22">
        <f>S35*Variables!$E$25*Variables!$C$15+'Cost Calculations'!T35*Variables!$E$26*Variables!$C$15+'Cost Calculations'!U35*Variables!$E$27*Variables!$C$15+V35*Variables!$E$28*Variables!$C$15</f>
        <v>384435584.07782906</v>
      </c>
      <c r="X35" s="20">
        <f>J35*Variables!$E$29*Variables!$C$15</f>
        <v>219058.23206734229</v>
      </c>
      <c r="Z35" s="33">
        <f>D35*(IF(D35&lt;50000,0,IF(D35&gt;Variables!$C$7,Variables!$C$37,IF(D35&gt;Variables!$C$6,Variables!$C$36,IF(D35&gt;Variables!$C$5,Variables!$C$35)))))</f>
        <v>711.93996615882872</v>
      </c>
      <c r="AA35" s="187">
        <f>'Existing Fleet'!C33</f>
        <v>20</v>
      </c>
      <c r="AB35" s="35">
        <f t="shared" si="2"/>
        <v>692</v>
      </c>
      <c r="AC35" s="22">
        <f>AB35*Variables!$E$41</f>
        <v>255763200.00000003</v>
      </c>
      <c r="AD35" s="115">
        <f>ROUND(IF(D35&lt;50000,0,(H35/(3.14*Variables!$C$34^2))),0)</f>
        <v>50</v>
      </c>
      <c r="AE35" s="341">
        <f>VLOOKUP(A35,'Existing Fleet'!$A$2:$H$43,8,FALSE)</f>
        <v>0</v>
      </c>
      <c r="AF35" s="117">
        <f t="shared" si="3"/>
        <v>50</v>
      </c>
      <c r="AG35" s="107">
        <f>AF35*Variables!$E$42*Variables!$C$15</f>
        <v>33877.200000000004</v>
      </c>
      <c r="AH35" s="199">
        <f>ROUND((Z35)/Variables!$C$40,0)</f>
        <v>6</v>
      </c>
      <c r="AI35" s="343">
        <f>'Existing Fleet'!M33</f>
        <v>0</v>
      </c>
      <c r="AJ35" s="199">
        <f t="shared" si="5"/>
        <v>6</v>
      </c>
      <c r="AK35" s="22">
        <f>AJ35*Variables!$E$43*Variables!$C$15</f>
        <v>3316304.3760000002</v>
      </c>
      <c r="AL35" s="20">
        <f>Z35*Variables!$E$38*Variables!$C$15</f>
        <v>126211657.06802025</v>
      </c>
      <c r="AM35" s="98"/>
      <c r="AN35" s="200">
        <f>Variables!$C$18*10</f>
        <v>0.14000000000000001</v>
      </c>
      <c r="AO35" s="201">
        <f t="shared" si="6"/>
        <v>54.240782370411701</v>
      </c>
      <c r="AP35" s="321">
        <f>VLOOKUP(A35,'Household Information'!H:Q,10,FALSE)</f>
        <v>105.97627161428754</v>
      </c>
      <c r="AQ35" s="122">
        <f>IF(12*(AO35-Variables!$C$3*AP35*F35)*(G35/5)&lt;0,0,12*(AO35-Variables!$C$3*AP35*F35)*(G35/5))</f>
        <v>0</v>
      </c>
      <c r="AS35" s="22">
        <f t="shared" si="7"/>
        <v>350000</v>
      </c>
      <c r="AU35" s="30"/>
      <c r="AW35" s="101"/>
      <c r="AX35" s="101"/>
      <c r="AY35" s="101"/>
      <c r="AZ35" s="101"/>
      <c r="BA35" s="101"/>
      <c r="BB35" s="101"/>
      <c r="BC35" s="101"/>
      <c r="BD35" s="101"/>
      <c r="BE35" s="101"/>
      <c r="BF35" s="313"/>
    </row>
    <row r="36" spans="1:58" ht="14.25" customHeight="1" x14ac:dyDescent="0.35">
      <c r="A36" s="30">
        <v>33</v>
      </c>
      <c r="B36" s="28" t="s">
        <v>186</v>
      </c>
      <c r="C36" s="28">
        <v>2019</v>
      </c>
      <c r="D36" s="196">
        <f>Population!D34</f>
        <v>896962.22226996359</v>
      </c>
      <c r="E36" s="303" t="str">
        <f t="shared" si="4"/>
        <v>Medium</v>
      </c>
      <c r="F36" s="340">
        <f>VLOOKUP(A36,'Household Information'!$H$2:$M$49,6,FALSE)</f>
        <v>3.9813857124502121</v>
      </c>
      <c r="G36" s="196">
        <f t="shared" si="0"/>
        <v>225289</v>
      </c>
      <c r="H36" s="213">
        <f>Area!E34</f>
        <v>326.7244779782618</v>
      </c>
      <c r="I36" s="213"/>
      <c r="J36" s="32">
        <f>D36*Variables!$C$20</f>
        <v>807.26600004296722</v>
      </c>
      <c r="K36" s="202">
        <f>VLOOKUP(B36,'Urban road length (WDI)'!$B$2:$F$42,5,FALSE)</f>
        <v>1137.8472300000001</v>
      </c>
      <c r="L36" s="32">
        <f t="shared" si="1"/>
        <v>0</v>
      </c>
      <c r="M36" s="197">
        <f>K36*(1-VLOOKUP(A36,'% Urban Roads Surfaced (WDI)'!A:G,7,FALSE))</f>
        <v>207.13010079368661</v>
      </c>
      <c r="N36" s="117">
        <f>Variables!$C$21*'Cost Calculations'!$M36/100</f>
        <v>11.246883301014657</v>
      </c>
      <c r="O36" s="117">
        <f>Variables!$C$22*'Cost Calculations'!$M36/100</f>
        <v>19.682045776775652</v>
      </c>
      <c r="P36" s="117">
        <f>Variables!$C$23*'Cost Calculations'!$M36/100</f>
        <v>20.619286051860204</v>
      </c>
      <c r="Q36" s="117">
        <f>Variables!$C$24*'Cost Calculations'!$M36/100</f>
        <v>149.95844401352878</v>
      </c>
      <c r="R36" s="107">
        <f>N36*Variables!$C$15*Variables!$E$30+O36*Variables!$C$15*Variables!$E$31+('Cost Calculations'!P36+'Cost Calculations'!Q36)*Variables!$C$15*Variables!$E$32</f>
        <v>876018.21373907174</v>
      </c>
      <c r="S36" s="198">
        <f>$L36*Variables!$C$21/100</f>
        <v>0</v>
      </c>
      <c r="T36" s="198">
        <f>$L36*Variables!$C$22/100</f>
        <v>0</v>
      </c>
      <c r="U36" s="198">
        <f>$L36*Variables!$C$23/100</f>
        <v>0</v>
      </c>
      <c r="V36" s="198">
        <f>$L36*Variables!$C$24/100</f>
        <v>0</v>
      </c>
      <c r="W36" s="22">
        <f>S36*Variables!$E$25*Variables!$C$15+'Cost Calculations'!T36*Variables!$E$26*Variables!$C$15+'Cost Calculations'!U36*Variables!$E$27*Variables!$C$15+V36*Variables!$E$28*Variables!$C$15</f>
        <v>0</v>
      </c>
      <c r="X36" s="20">
        <f>J36*Variables!$E$29*Variables!$C$15</f>
        <v>137994.05004734482</v>
      </c>
      <c r="Z36" s="33">
        <f>D36*(IF(D36&lt;50000,0,IF(D36&gt;Variables!$C$7,Variables!$C$37,IF(D36&gt;Variables!$C$6,Variables!$C$36,IF(D36&gt;Variables!$C$5,Variables!$C$35)))))</f>
        <v>448.4811111349818</v>
      </c>
      <c r="AA36" s="187">
        <f>'Existing Fleet'!C34</f>
        <v>201</v>
      </c>
      <c r="AB36" s="35">
        <f t="shared" si="2"/>
        <v>247</v>
      </c>
      <c r="AC36" s="22">
        <f>AB36*Variables!$E$41</f>
        <v>91291200.000000015</v>
      </c>
      <c r="AD36" s="115">
        <f>ROUND(IF(D36&lt;50000,0,(H36/(3.14*Variables!$C$34^2))),0)</f>
        <v>416</v>
      </c>
      <c r="AE36" s="341">
        <f>VLOOKUP(A36,'Existing Fleet'!$A$2:$H$43,8,FALSE)</f>
        <v>0</v>
      </c>
      <c r="AF36" s="117">
        <f t="shared" si="3"/>
        <v>416</v>
      </c>
      <c r="AG36" s="107">
        <f>AF36*Variables!$E$42*Variables!$C$15</f>
        <v>281858.304</v>
      </c>
      <c r="AH36" s="199">
        <f>ROUND((Z36)/Variables!$C$40,0)</f>
        <v>4</v>
      </c>
      <c r="AI36" s="290">
        <f>'Existing Fleet'!M34</f>
        <v>2</v>
      </c>
      <c r="AJ36" s="199">
        <f t="shared" si="5"/>
        <v>2</v>
      </c>
      <c r="AK36" s="22">
        <f>AJ36*Variables!$E$43*Variables!$C$15</f>
        <v>1105434.7920000001</v>
      </c>
      <c r="AL36" s="20">
        <f>Z36*Variables!$E$38*Variables!$C$15</f>
        <v>79506063.559613615</v>
      </c>
      <c r="AM36" s="98"/>
      <c r="AN36" s="200">
        <f>Variables!$C$18*10</f>
        <v>0.14000000000000001</v>
      </c>
      <c r="AO36" s="201">
        <f t="shared" si="6"/>
        <v>33.443639984581786</v>
      </c>
      <c r="AP36" s="321">
        <f>VLOOKUP(A36,'Household Information'!H:Q,10,FALSE)</f>
        <v>212.04089360090876</v>
      </c>
      <c r="AQ36" s="122">
        <f>IF(12*(AO36-Variables!$C$3*AP36*F36)*(G36/5)&lt;0,0,12*(AO36-Variables!$C$3*AP36*F36)*(G36/5))</f>
        <v>0</v>
      </c>
      <c r="AS36" s="22">
        <f t="shared" si="7"/>
        <v>350000</v>
      </c>
      <c r="AU36" s="30"/>
      <c r="AW36" s="101"/>
      <c r="AX36" s="101"/>
      <c r="AY36" s="101"/>
      <c r="AZ36" s="101"/>
      <c r="BA36" s="101"/>
      <c r="BB36" s="101"/>
      <c r="BC36" s="101"/>
      <c r="BD36" s="101"/>
      <c r="BE36" s="101"/>
      <c r="BF36" s="313"/>
    </row>
    <row r="37" spans="1:58" ht="14.25" customHeight="1" x14ac:dyDescent="0.35">
      <c r="A37" s="30">
        <v>34</v>
      </c>
      <c r="B37" s="28" t="s">
        <v>187</v>
      </c>
      <c r="C37" s="28">
        <v>2019</v>
      </c>
      <c r="D37" s="196">
        <f>Population!D35</f>
        <v>518879.08485063037</v>
      </c>
      <c r="E37" s="303" t="str">
        <f t="shared" si="4"/>
        <v>Medium</v>
      </c>
      <c r="F37" s="340">
        <f>VLOOKUP(A37,'Household Information'!$H$2:$M$49,6,FALSE)</f>
        <v>4.3021399999999996</v>
      </c>
      <c r="G37" s="196">
        <f t="shared" si="0"/>
        <v>120610</v>
      </c>
      <c r="H37" s="213">
        <f>Area!E35</f>
        <v>99.391480730223122</v>
      </c>
      <c r="I37" s="213"/>
      <c r="J37" s="32">
        <f>D37*Variables!$C$20</f>
        <v>466.9911763655673</v>
      </c>
      <c r="K37" s="202">
        <f>VLOOKUP(B37,'Urban road length (WDI)'!$B$2:$F$42,5,FALSE)</f>
        <v>262.43053999999995</v>
      </c>
      <c r="L37" s="32">
        <f t="shared" si="1"/>
        <v>204.56063636556735</v>
      </c>
      <c r="M37" s="197">
        <f>K37*(1-VLOOKUP(A37,'% Urban Roads Surfaced (WDI)'!A:G,7,FALSE))</f>
        <v>54.010301846420568</v>
      </c>
      <c r="N37" s="117">
        <f>Variables!$C$21*'Cost Calculations'!$M37/100</f>
        <v>2.9326860731088091</v>
      </c>
      <c r="O37" s="117">
        <f>Variables!$C$22*'Cost Calculations'!$M37/100</f>
        <v>5.1322006279404162</v>
      </c>
      <c r="P37" s="117">
        <f>Variables!$C$23*'Cost Calculations'!$M37/100</f>
        <v>5.3765911340328172</v>
      </c>
      <c r="Q37" s="117">
        <f>Variables!$C$24*'Cost Calculations'!$M37/100</f>
        <v>39.102480974784122</v>
      </c>
      <c r="R37" s="107">
        <f>N37*Variables!$C$15*Variables!$E$30+O37*Variables!$C$15*Variables!$E$31+('Cost Calculations'!P37+'Cost Calculations'!Q37)*Variables!$C$15*Variables!$E$32</f>
        <v>228426.52017118884</v>
      </c>
      <c r="S37" s="198">
        <f>$L37*Variables!$C$21/100</f>
        <v>11.107364870528542</v>
      </c>
      <c r="T37" s="198">
        <f>$L37*Variables!$C$22/100</f>
        <v>19.437888523424952</v>
      </c>
      <c r="U37" s="198">
        <f>$L37*Variables!$C$23/100</f>
        <v>20.363502262635663</v>
      </c>
      <c r="V37" s="198">
        <f>$L37*Variables!$C$24/100</f>
        <v>148.0981982737139</v>
      </c>
      <c r="W37" s="22">
        <f>S37*Variables!$E$25*Variables!$C$15+'Cost Calculations'!T37*Variables!$E$26*Variables!$C$15+'Cost Calculations'!U37*Variables!$E$27*Variables!$C$15+V37*Variables!$E$28*Variables!$C$15</f>
        <v>137207355.97730619</v>
      </c>
      <c r="X37" s="20">
        <f>J37*Variables!$E$29*Variables!$C$15</f>
        <v>79827.471687930069</v>
      </c>
      <c r="Z37" s="33">
        <f>D37*(IF(D37&lt;50000,0,IF(D37&gt;Variables!$C$7,Variables!$C$37,IF(D37&gt;Variables!$C$6,Variables!$C$36,IF(D37&gt;Variables!$C$5,Variables!$C$35)))))</f>
        <v>259.43954242531521</v>
      </c>
      <c r="AA37" s="187">
        <f>'Existing Fleet'!C35</f>
        <v>1061</v>
      </c>
      <c r="AB37" s="35">
        <f t="shared" si="2"/>
        <v>0</v>
      </c>
      <c r="AC37" s="22">
        <f>AB37*Variables!$E$41</f>
        <v>0</v>
      </c>
      <c r="AD37" s="115">
        <f>ROUND(IF(D37&lt;50000,0,(H37/(3.14*Variables!$C$34^2))),0)</f>
        <v>127</v>
      </c>
      <c r="AE37" s="341">
        <f>VLOOKUP(A37,'Existing Fleet'!$A$2:$H$43,8,FALSE)</f>
        <v>0</v>
      </c>
      <c r="AF37" s="117">
        <f t="shared" si="3"/>
        <v>127</v>
      </c>
      <c r="AG37" s="107">
        <f>AF37*Variables!$E$42*Variables!$C$15</f>
        <v>86048.088000000003</v>
      </c>
      <c r="AH37" s="199">
        <f>ROUND((Z37)/Variables!$C$40,0)</f>
        <v>2</v>
      </c>
      <c r="AI37" s="290">
        <f>'Existing Fleet'!M35</f>
        <v>2</v>
      </c>
      <c r="AJ37" s="199">
        <f t="shared" si="5"/>
        <v>0</v>
      </c>
      <c r="AK37" s="22">
        <f>AJ37*Variables!$E$43*Variables!$C$15</f>
        <v>0</v>
      </c>
      <c r="AL37" s="20">
        <f>Z37*Variables!$E$38*Variables!$C$15</f>
        <v>45993055.756000295</v>
      </c>
      <c r="AM37" s="98"/>
      <c r="AN37" s="200">
        <f>Variables!$C$18*15</f>
        <v>0.21</v>
      </c>
      <c r="AO37" s="201">
        <f t="shared" si="6"/>
        <v>54.206963999999992</v>
      </c>
      <c r="AP37" s="321">
        <f>VLOOKUP(A37,'Household Information'!H:Q,10,FALSE)</f>
        <v>71.56380159030671</v>
      </c>
      <c r="AQ37" s="122">
        <f>IF(12*(AO37-Variables!$C$3*AP37*F37)*(G37/5)&lt;0,0,12*(AO37-Variables!$C$3*AP37*F37)*(G37/5))</f>
        <v>2323047.0160063361</v>
      </c>
      <c r="AS37" s="22">
        <f t="shared" si="7"/>
        <v>350000</v>
      </c>
      <c r="AU37" s="30"/>
      <c r="AW37" s="101"/>
      <c r="AX37" s="101"/>
      <c r="AY37" s="101"/>
      <c r="AZ37" s="101"/>
      <c r="BA37" s="101"/>
      <c r="BB37" s="101"/>
      <c r="BC37" s="101"/>
      <c r="BD37" s="101"/>
      <c r="BE37" s="101"/>
      <c r="BF37" s="313"/>
    </row>
    <row r="38" spans="1:58" ht="14.25" customHeight="1" x14ac:dyDescent="0.35">
      <c r="A38" s="30">
        <v>35</v>
      </c>
      <c r="B38" s="28" t="s">
        <v>188</v>
      </c>
      <c r="C38" s="28">
        <v>2019</v>
      </c>
      <c r="D38" s="196">
        <f>Population!D36</f>
        <v>221055.55939507601</v>
      </c>
      <c r="E38" s="303" t="str">
        <f t="shared" si="4"/>
        <v>Medium</v>
      </c>
      <c r="F38" s="340">
        <f>VLOOKUP(A38,'Household Information'!$H$2:$M$49,6,FALSE)</f>
        <v>5.0911666666666671</v>
      </c>
      <c r="G38" s="196">
        <f t="shared" si="0"/>
        <v>43419</v>
      </c>
      <c r="H38" s="214">
        <f>Area!E36</f>
        <v>33.799999999999997</v>
      </c>
      <c r="I38" s="213"/>
      <c r="J38" s="32">
        <f>D38*Variables!$C$20</f>
        <v>198.95000345556841</v>
      </c>
      <c r="K38" s="202">
        <f>VLOOKUP(B38,'Urban road length (WDI)'!$B$2:$F$42,5,FALSE)</f>
        <v>119.13330000000001</v>
      </c>
      <c r="L38" s="32">
        <f t="shared" si="1"/>
        <v>79.816703455568401</v>
      </c>
      <c r="M38" s="197">
        <f>K38*(1-VLOOKUP(A38,'% Urban Roads Surfaced (WDI)'!A:G,7,FALSE))</f>
        <v>41.186769274924472</v>
      </c>
      <c r="N38" s="117">
        <f>Variables!$C$21*'Cost Calculations'!$M38/100</f>
        <v>2.2363856619868487</v>
      </c>
      <c r="O38" s="117">
        <f>Variables!$C$22*'Cost Calculations'!$M38/100</f>
        <v>3.913674908476986</v>
      </c>
      <c r="P38" s="117">
        <f>Variables!$C$23*'Cost Calculations'!$M38/100</f>
        <v>4.1000403803092231</v>
      </c>
      <c r="Q38" s="117">
        <f>Variables!$C$24*'Cost Calculations'!$M38/100</f>
        <v>29.81847549315799</v>
      </c>
      <c r="R38" s="107">
        <f>N38*Variables!$C$15*Variables!$E$30+O38*Variables!$C$15*Variables!$E$31+('Cost Calculations'!P38+'Cost Calculations'!Q38)*Variables!$C$15*Variables!$E$32</f>
        <v>174191.77566007519</v>
      </c>
      <c r="S38" s="198">
        <f>$L38*Variables!$C$21/100</f>
        <v>4.3339386491711345</v>
      </c>
      <c r="T38" s="198">
        <f>$L38*Variables!$C$22/100</f>
        <v>7.5843926360494853</v>
      </c>
      <c r="U38" s="198">
        <f>$L38*Variables!$C$23/100</f>
        <v>7.9455541901470808</v>
      </c>
      <c r="V38" s="198">
        <f>$L38*Variables!$C$24/100</f>
        <v>57.785848655615126</v>
      </c>
      <c r="W38" s="22">
        <f>S38*Variables!$E$25*Variables!$C$15+'Cost Calculations'!T38*Variables!$E$26*Variables!$C$15+'Cost Calculations'!U38*Variables!$E$27*Variables!$C$15+V38*Variables!$E$28*Variables!$C$15</f>
        <v>53536394.090953551</v>
      </c>
      <c r="X38" s="20">
        <f>J38*Variables!$E$29*Variables!$C$15</f>
        <v>34008.513590694864</v>
      </c>
      <c r="Z38" s="33">
        <f>D38*(IF(D38&lt;50000,0,IF(D38&gt;Variables!$C$7,Variables!$C$37,IF(D38&gt;Variables!$C$6,Variables!$C$36,IF(D38&gt;Variables!$C$5,Variables!$C$35)))))</f>
        <v>110.52777969753801</v>
      </c>
      <c r="AA38" s="342">
        <f>'Existing Fleet'!C36</f>
        <v>0</v>
      </c>
      <c r="AB38" s="35">
        <f t="shared" si="2"/>
        <v>111</v>
      </c>
      <c r="AC38" s="22">
        <f>AB38*Variables!$E$41</f>
        <v>41025600.000000007</v>
      </c>
      <c r="AD38" s="115">
        <f>ROUND(IF(D38&lt;50000,0,(H38/(3.14*Variables!$C$34^2))),0)</f>
        <v>43</v>
      </c>
      <c r="AE38" s="341">
        <f>VLOOKUP(A38,'Existing Fleet'!$A$2:$H$43,8,FALSE)</f>
        <v>0</v>
      </c>
      <c r="AF38" s="117">
        <f t="shared" si="3"/>
        <v>43</v>
      </c>
      <c r="AG38" s="107">
        <f>AF38*Variables!$E$42*Variables!$C$15</f>
        <v>29134.392</v>
      </c>
      <c r="AH38" s="199">
        <f>ROUND((Z38)/Variables!$C$40,0)</f>
        <v>1</v>
      </c>
      <c r="AI38" s="343">
        <f>'Existing Fleet'!M36</f>
        <v>0</v>
      </c>
      <c r="AJ38" s="199">
        <f t="shared" si="5"/>
        <v>1</v>
      </c>
      <c r="AK38" s="22">
        <f>AJ38*Variables!$E$43*Variables!$C$15</f>
        <v>552717.39600000007</v>
      </c>
      <c r="AL38" s="20">
        <f>Z38*Variables!$E$38*Variables!$C$15</f>
        <v>19594200.200531006</v>
      </c>
      <c r="AM38" s="98"/>
      <c r="AN38" s="200">
        <f>Variables!$E$45</f>
        <v>0.25221875000000005</v>
      </c>
      <c r="AO38" s="201">
        <f t="shared" si="6"/>
        <v>77.045261562500016</v>
      </c>
      <c r="AP38" s="321">
        <f>VLOOKUP(A38,'Household Information'!H:Q,10,FALSE)</f>
        <v>112.55837435314906</v>
      </c>
      <c r="AQ38" s="122">
        <f>IF(12*(AO38-Variables!$C$3*AP38*F38)*(G38/5)&lt;0,0,12*(AO38-Variables!$C$3*AP38*F38)*(G38/5))</f>
        <v>0</v>
      </c>
      <c r="AS38" s="22">
        <f t="shared" si="7"/>
        <v>350000</v>
      </c>
      <c r="AU38" s="30"/>
      <c r="AW38" s="101"/>
      <c r="AX38" s="101"/>
      <c r="AY38" s="101"/>
      <c r="AZ38" s="101"/>
      <c r="BA38" s="101"/>
      <c r="BB38" s="101"/>
      <c r="BC38" s="101"/>
      <c r="BD38" s="101"/>
      <c r="BE38" s="101"/>
      <c r="BF38" s="313"/>
    </row>
    <row r="39" spans="1:58" ht="14.25" customHeight="1" x14ac:dyDescent="0.35">
      <c r="A39" s="30">
        <v>36</v>
      </c>
      <c r="B39" s="28" t="s">
        <v>189</v>
      </c>
      <c r="C39" s="28">
        <v>2019</v>
      </c>
      <c r="D39" s="196">
        <f>Population!D37</f>
        <v>1417301.8885329936</v>
      </c>
      <c r="E39" s="303" t="str">
        <f t="shared" si="4"/>
        <v>Large</v>
      </c>
      <c r="F39" s="340">
        <f>VLOOKUP(A39,'Household Information'!$H$2:$M$49,6,FALSE)</f>
        <v>4.8963166666666664</v>
      </c>
      <c r="G39" s="196">
        <f t="shared" si="0"/>
        <v>289463</v>
      </c>
      <c r="H39" s="214">
        <f>Area!E37</f>
        <v>63.3</v>
      </c>
      <c r="I39" s="213"/>
      <c r="J39" s="32">
        <f>D39*Variables!$C$20</f>
        <v>1275.5716996796941</v>
      </c>
      <c r="K39" s="202">
        <f>VLOOKUP(B39,'Urban road length (WDI)'!$B$2:$F$42,5,FALSE)</f>
        <v>493.54871999999995</v>
      </c>
      <c r="L39" s="32">
        <f t="shared" si="1"/>
        <v>782.02297967969412</v>
      </c>
      <c r="M39" s="197">
        <f>K39*(1-VLOOKUP(A39,'% Urban Roads Surfaced (WDI)'!A:G,7,FALSE))</f>
        <v>125.76338236879502</v>
      </c>
      <c r="N39" s="117">
        <f>Variables!$C$21*'Cost Calculations'!$M39/100</f>
        <v>6.8287809431019912</v>
      </c>
      <c r="O39" s="117">
        <f>Variables!$C$22*'Cost Calculations'!$M39/100</f>
        <v>11.950366650428487</v>
      </c>
      <c r="P39" s="117">
        <f>Variables!$C$23*'Cost Calculations'!$M39/100</f>
        <v>12.519431729020319</v>
      </c>
      <c r="Q39" s="117">
        <f>Variables!$C$24*'Cost Calculations'!$M39/100</f>
        <v>91.050412574693212</v>
      </c>
      <c r="R39" s="107">
        <f>N39*Variables!$C$15*Variables!$E$30+O39*Variables!$C$15*Variables!$E$31+('Cost Calculations'!P39+'Cost Calculations'!Q39)*Variables!$C$15*Variables!$E$32</f>
        <v>531892.82076501416</v>
      </c>
      <c r="S39" s="198">
        <f>$L39*Variables!$C$21/100</f>
        <v>42.462786226951714</v>
      </c>
      <c r="T39" s="198">
        <f>$L39*Variables!$C$22/100</f>
        <v>74.309875897165497</v>
      </c>
      <c r="U39" s="198">
        <f>$L39*Variables!$C$23/100</f>
        <v>77.848441416078145</v>
      </c>
      <c r="V39" s="198">
        <f>$L39*Variables!$C$24/100</f>
        <v>566.17048302602279</v>
      </c>
      <c r="W39" s="22">
        <f>S39*Variables!$E$25*Variables!$C$15+'Cost Calculations'!T39*Variables!$E$26*Variables!$C$15+'Cost Calculations'!U39*Variables!$E$27*Variables!$C$15+V39*Variables!$E$28*Variables!$C$15</f>
        <v>524535449.54559314</v>
      </c>
      <c r="X39" s="20">
        <f>J39*Variables!$E$29*Variables!$C$15</f>
        <v>218046.2263432469</v>
      </c>
      <c r="Z39" s="33">
        <f>D39*(IF(D39&lt;50000,0,IF(D39&gt;Variables!$C$7,Variables!$C$37,IF(D39&gt;Variables!$C$6,Variables!$C$36,IF(D39&gt;Variables!$C$5,Variables!$C$35)))))</f>
        <v>708.65094426649682</v>
      </c>
      <c r="AA39" s="187">
        <f>'Existing Fleet'!C37</f>
        <v>49</v>
      </c>
      <c r="AB39" s="35">
        <f t="shared" si="2"/>
        <v>660</v>
      </c>
      <c r="AC39" s="22">
        <f>AB39*Variables!$E$41</f>
        <v>243936000.00000003</v>
      </c>
      <c r="AD39" s="115">
        <f>ROUND(IF(D39&lt;50000,0,(H39/(3.14*Variables!$C$34^2))),0)</f>
        <v>81</v>
      </c>
      <c r="AE39" s="341">
        <f>VLOOKUP(A39,'Existing Fleet'!$A$2:$H$43,8,FALSE)</f>
        <v>0</v>
      </c>
      <c r="AF39" s="117">
        <f t="shared" si="3"/>
        <v>81</v>
      </c>
      <c r="AG39" s="107">
        <f>AF39*Variables!$E$42*Variables!$C$15</f>
        <v>54881.063999999998</v>
      </c>
      <c r="AH39" s="199">
        <f>ROUND((Z39)/Variables!$C$40,0)</f>
        <v>6</v>
      </c>
      <c r="AI39" s="290">
        <f>'Existing Fleet'!M37</f>
        <v>1</v>
      </c>
      <c r="AJ39" s="199">
        <f t="shared" si="5"/>
        <v>5</v>
      </c>
      <c r="AK39" s="22">
        <f>AJ39*Variables!$E$43*Variables!$C$15</f>
        <v>2763586.98</v>
      </c>
      <c r="AL39" s="20">
        <f>Z39*Variables!$E$38*Variables!$C$15</f>
        <v>125628584.16455075</v>
      </c>
      <c r="AM39" s="98"/>
      <c r="AN39" s="200">
        <f>Variables!$C$18*20</f>
        <v>0.28000000000000003</v>
      </c>
      <c r="AO39" s="201">
        <f t="shared" si="6"/>
        <v>82.258120000000005</v>
      </c>
      <c r="AP39" s="321">
        <f>VLOOKUP(A39,'Household Information'!H:Q,10,FALSE)</f>
        <v>50.200681560015155</v>
      </c>
      <c r="AQ39" s="122">
        <f>IF(12*(AO39-Variables!$C$3*AP39*F39)*(G39/5)&lt;0,0,12*(AO39-Variables!$C$3*AP39*F39)*(G39/5))</f>
        <v>31531798.519412026</v>
      </c>
      <c r="AS39" s="22">
        <f t="shared" si="7"/>
        <v>350000</v>
      </c>
      <c r="AU39" s="30"/>
      <c r="AW39" s="101"/>
      <c r="AX39" s="101"/>
      <c r="AY39" s="101"/>
      <c r="AZ39" s="101"/>
      <c r="BA39" s="101"/>
      <c r="BB39" s="101"/>
      <c r="BC39" s="101"/>
      <c r="BD39" s="101"/>
      <c r="BE39" s="101"/>
      <c r="BF39" s="313"/>
    </row>
    <row r="40" spans="1:58" ht="14.25" customHeight="1" x14ac:dyDescent="0.35">
      <c r="A40" s="30">
        <v>37</v>
      </c>
      <c r="B40" s="28" t="s">
        <v>190</v>
      </c>
      <c r="C40" s="28">
        <v>2019</v>
      </c>
      <c r="D40" s="196">
        <f>Population!D38</f>
        <v>236463.42689582403</v>
      </c>
      <c r="E40" s="303" t="str">
        <f t="shared" si="4"/>
        <v>Medium</v>
      </c>
      <c r="F40" s="340">
        <f>VLOOKUP(A40,'Household Information'!$H$2:$M$49,6,FALSE)</f>
        <v>5.027102564102564</v>
      </c>
      <c r="G40" s="196">
        <f t="shared" si="0"/>
        <v>47038</v>
      </c>
      <c r="H40" s="214">
        <f>Area!E38</f>
        <v>26.6</v>
      </c>
      <c r="I40" s="213"/>
      <c r="J40" s="32">
        <f>D40*Variables!$C$20</f>
        <v>212.81708420624162</v>
      </c>
      <c r="K40" s="202">
        <f>VLOOKUP(B40,'Urban road length (WDI)'!$B$2:$F$42,5,FALSE)</f>
        <v>127.43705</v>
      </c>
      <c r="L40" s="32">
        <f t="shared" si="1"/>
        <v>85.380034206241618</v>
      </c>
      <c r="M40" s="197">
        <f>K40*(1-VLOOKUP(A40,'% Urban Roads Surfaced (WDI)'!A:G,7,FALSE))</f>
        <v>44.057542059415908</v>
      </c>
      <c r="N40" s="117">
        <f>Variables!$C$21*'Cost Calculations'!$M40/100</f>
        <v>2.3922647272081035</v>
      </c>
      <c r="O40" s="117">
        <f>Variables!$C$22*'Cost Calculations'!$M40/100</f>
        <v>4.1864632726141817</v>
      </c>
      <c r="P40" s="117">
        <f>Variables!$C$23*'Cost Calculations'!$M40/100</f>
        <v>4.3858186665481904</v>
      </c>
      <c r="Q40" s="117">
        <f>Variables!$C$24*'Cost Calculations'!$M40/100</f>
        <v>31.896863029441377</v>
      </c>
      <c r="R40" s="107">
        <f>N40*Variables!$C$15*Variables!$E$30+O40*Variables!$C$15*Variables!$E$31+('Cost Calculations'!P40+'Cost Calculations'!Q40)*Variables!$C$15*Variables!$E$32</f>
        <v>186333.17489217356</v>
      </c>
      <c r="S40" s="198">
        <f>$L40*Variables!$C$21/100</f>
        <v>4.6360199568999967</v>
      </c>
      <c r="T40" s="198">
        <f>$L40*Variables!$C$22/100</f>
        <v>8.1130349245749951</v>
      </c>
      <c r="U40" s="198">
        <f>$L40*Variables!$C$23/100</f>
        <v>8.4993699209833284</v>
      </c>
      <c r="V40" s="198">
        <f>$L40*Variables!$C$24/100</f>
        <v>61.813599425333294</v>
      </c>
      <c r="W40" s="22">
        <f>S40*Variables!$E$25*Variables!$C$15+'Cost Calculations'!T40*Variables!$E$26*Variables!$C$15+'Cost Calculations'!U40*Variables!$E$27*Variables!$C$15+V40*Variables!$E$28*Variables!$C$15</f>
        <v>57267952.20638188</v>
      </c>
      <c r="X40" s="20">
        <f>J40*Variables!$E$29*Variables!$C$15</f>
        <v>36378.952374214939</v>
      </c>
      <c r="Z40" s="33">
        <f>D40*(IF(D40&lt;50000,0,IF(D40&gt;Variables!$C$7,Variables!$C$37,IF(D40&gt;Variables!$C$6,Variables!$C$36,IF(D40&gt;Variables!$C$5,Variables!$C$35)))))</f>
        <v>118.23171344791201</v>
      </c>
      <c r="AA40" s="187">
        <f>'Existing Fleet'!C38</f>
        <v>0</v>
      </c>
      <c r="AB40" s="35">
        <f t="shared" si="2"/>
        <v>118</v>
      </c>
      <c r="AC40" s="22">
        <f>AB40*Variables!$E$41</f>
        <v>43612800.000000007</v>
      </c>
      <c r="AD40" s="115">
        <f>ROUND(IF(D40&lt;50000,0,(H40/(3.14*Variables!$C$34^2))),0)</f>
        <v>34</v>
      </c>
      <c r="AE40" s="235">
        <f>VLOOKUP(A40,'Existing Fleet'!$A$2:$H$43,8,FALSE)</f>
        <v>2</v>
      </c>
      <c r="AF40" s="117">
        <f t="shared" si="3"/>
        <v>32</v>
      </c>
      <c r="AG40" s="107">
        <f>AF40*Variables!$E$42*Variables!$C$15</f>
        <v>21681.407999999999</v>
      </c>
      <c r="AH40" s="199">
        <f>ROUND((Z40)/Variables!$C$40,0)</f>
        <v>1</v>
      </c>
      <c r="AI40" s="290">
        <f>'Existing Fleet'!M38</f>
        <v>1</v>
      </c>
      <c r="AJ40" s="199">
        <f t="shared" si="5"/>
        <v>0</v>
      </c>
      <c r="AK40" s="22">
        <f>AJ40*Variables!$E$43*Variables!$C$15</f>
        <v>0</v>
      </c>
      <c r="AL40" s="20">
        <f>Z40*Variables!$E$38*Variables!$C$15</f>
        <v>20959942.104055539</v>
      </c>
      <c r="AM40" s="98"/>
      <c r="AN40" s="200">
        <f>Variables!$C$18*10</f>
        <v>0.14000000000000001</v>
      </c>
      <c r="AO40" s="201">
        <f t="shared" si="6"/>
        <v>42.22766153846154</v>
      </c>
      <c r="AP40" s="321">
        <f>VLOOKUP(A40,'Household Information'!H:Q,10,FALSE)</f>
        <v>74.965290925154619</v>
      </c>
      <c r="AQ40" s="122">
        <f>IF(12*(AO40-Variables!$C$3*AP40*F40)*(G40/5)&lt;0,0,12*(AO40-Variables!$C$3*AP40*F40)*(G40/5))</f>
        <v>0</v>
      </c>
      <c r="AS40" s="22">
        <f t="shared" si="7"/>
        <v>350000</v>
      </c>
      <c r="AU40" s="30"/>
      <c r="AW40" s="101"/>
      <c r="AX40" s="101"/>
      <c r="AY40" s="101"/>
      <c r="AZ40" s="101"/>
      <c r="BA40" s="101"/>
      <c r="BB40" s="101"/>
      <c r="BC40" s="101"/>
      <c r="BD40" s="101"/>
      <c r="BE40" s="101"/>
      <c r="BF40" s="313"/>
    </row>
    <row r="41" spans="1:58" ht="14.25" customHeight="1" x14ac:dyDescent="0.35">
      <c r="A41" s="30">
        <v>38</v>
      </c>
      <c r="B41" s="28" t="s">
        <v>191</v>
      </c>
      <c r="C41" s="28">
        <v>2019</v>
      </c>
      <c r="D41" s="196">
        <f>Population!D39</f>
        <v>1039890.5461976461</v>
      </c>
      <c r="E41" s="303" t="str">
        <f t="shared" si="4"/>
        <v>Large</v>
      </c>
      <c r="F41" s="340">
        <f>VLOOKUP(A41,'Household Information'!$H$2:$M$49,6,FALSE)</f>
        <v>4.5378736842105267</v>
      </c>
      <c r="G41" s="196">
        <f t="shared" si="0"/>
        <v>229158</v>
      </c>
      <c r="H41" s="214">
        <f>Area!E39</f>
        <v>107</v>
      </c>
      <c r="I41" s="213"/>
      <c r="J41" s="32">
        <f>D41*Variables!$C$20</f>
        <v>935.90149157788142</v>
      </c>
      <c r="K41" s="202">
        <f>VLOOKUP(B41,'Urban road length (WDI)'!$B$2:$F$42,5,FALSE)</f>
        <v>698.37876000000006</v>
      </c>
      <c r="L41" s="32">
        <f t="shared" si="1"/>
        <v>237.52273157788136</v>
      </c>
      <c r="M41" s="197">
        <f>K41*(1-VLOOKUP(A41,'% Urban Roads Surfaced (WDI)'!A:G,7,FALSE))</f>
        <v>135.4431534545455</v>
      </c>
      <c r="N41" s="117">
        <f>Variables!$C$21*'Cost Calculations'!$M41/100</f>
        <v>7.3543793730974922</v>
      </c>
      <c r="O41" s="117">
        <f>Variables!$C$22*'Cost Calculations'!$M41/100</f>
        <v>12.870163902920613</v>
      </c>
      <c r="P41" s="117">
        <f>Variables!$C$23*'Cost Calculations'!$M41/100</f>
        <v>13.483028850678739</v>
      </c>
      <c r="Q41" s="117">
        <f>Variables!$C$24*'Cost Calculations'!$M41/100</f>
        <v>98.058391641299892</v>
      </c>
      <c r="R41" s="107">
        <f>N41*Variables!$C$15*Variables!$E$30+O41*Variables!$C$15*Variables!$E$31+('Cost Calculations'!P41+'Cost Calculations'!Q41)*Variables!$C$15*Variables!$E$32</f>
        <v>572831.61113613681</v>
      </c>
      <c r="S41" s="198">
        <f>$L41*Variables!$C$21/100</f>
        <v>12.897161895631566</v>
      </c>
      <c r="T41" s="198">
        <f>$L41*Variables!$C$22/100</f>
        <v>22.570033317355243</v>
      </c>
      <c r="U41" s="198">
        <f>$L41*Variables!$C$23/100</f>
        <v>23.644796808657876</v>
      </c>
      <c r="V41" s="198">
        <f>$L41*Variables!$C$24/100</f>
        <v>171.96215860842091</v>
      </c>
      <c r="W41" s="22">
        <f>S41*Variables!$E$25*Variables!$C$15+'Cost Calculations'!T41*Variables!$E$26*Variables!$C$15+'Cost Calculations'!U41*Variables!$E$27*Variables!$C$15+V41*Variables!$E$28*Variables!$C$15</f>
        <v>159316408.8816562</v>
      </c>
      <c r="X41" s="20">
        <f>J41*Variables!$E$29*Variables!$C$15</f>
        <v>159983.00097032308</v>
      </c>
      <c r="Z41" s="33">
        <f>D41*(IF(D41&lt;50000,0,IF(D41&gt;Variables!$C$7,Variables!$C$37,IF(D41&gt;Variables!$C$6,Variables!$C$36,IF(D41&gt;Variables!$C$5,Variables!$C$35)))))</f>
        <v>519.94527309882301</v>
      </c>
      <c r="AA41" s="187">
        <f>'Existing Fleet'!C39</f>
        <v>0</v>
      </c>
      <c r="AB41" s="35">
        <f t="shared" si="2"/>
        <v>520</v>
      </c>
      <c r="AC41" s="22">
        <f>AB41*Variables!$E$41</f>
        <v>192192000.00000003</v>
      </c>
      <c r="AD41" s="115">
        <f>ROUND(IF(D41&lt;50000,0,(H41/(3.14*Variables!$C$34^2))),0)</f>
        <v>136</v>
      </c>
      <c r="AE41" s="341">
        <f>VLOOKUP(A41,'Existing Fleet'!$A$2:$H$43,8,FALSE)</f>
        <v>0</v>
      </c>
      <c r="AF41" s="117">
        <f t="shared" si="3"/>
        <v>136</v>
      </c>
      <c r="AG41" s="107">
        <f>AF41*Variables!$E$42*Variables!$C$15</f>
        <v>92145.983999999997</v>
      </c>
      <c r="AH41" s="199">
        <f>ROUND((Z41)/Variables!$C$40,0)</f>
        <v>4</v>
      </c>
      <c r="AI41" s="290">
        <f>'Existing Fleet'!M39</f>
        <v>1</v>
      </c>
      <c r="AJ41" s="199">
        <f t="shared" si="5"/>
        <v>3</v>
      </c>
      <c r="AK41" s="22">
        <f>AJ41*Variables!$E$43*Variables!$C$15</f>
        <v>1658152.1880000001</v>
      </c>
      <c r="AL41" s="20">
        <f>Z41*Variables!$E$38*Variables!$C$15</f>
        <v>92175123.777005002</v>
      </c>
      <c r="AM41" s="98"/>
      <c r="AN41" s="200">
        <f>Variables!$C$18*15</f>
        <v>0.21</v>
      </c>
      <c r="AO41" s="201">
        <f t="shared" si="6"/>
        <v>57.177208421052633</v>
      </c>
      <c r="AP41" s="321">
        <f>VLOOKUP(A41,'Household Information'!H:Q,10,FALSE)</f>
        <v>100.71942446043167</v>
      </c>
      <c r="AQ41" s="122">
        <f>IF(12*(AO41-Variables!$C$3*AP41*F41)*(G41/5)&lt;0,0,12*(AO41-Variables!$C$3*AP41*F41)*(G41/5))</f>
        <v>0</v>
      </c>
      <c r="AS41" s="22">
        <f t="shared" si="7"/>
        <v>350000</v>
      </c>
      <c r="AU41" s="30"/>
      <c r="AW41" s="101"/>
      <c r="AX41" s="101"/>
      <c r="AY41" s="101"/>
      <c r="AZ41" s="101"/>
      <c r="BA41" s="101"/>
      <c r="BB41" s="101"/>
      <c r="BC41" s="101"/>
      <c r="BD41" s="101"/>
      <c r="BE41" s="101"/>
      <c r="BF41" s="313"/>
    </row>
    <row r="42" spans="1:58" ht="14.25" customHeight="1" x14ac:dyDescent="0.35">
      <c r="A42" s="30">
        <v>39</v>
      </c>
      <c r="B42" s="28" t="s">
        <v>192</v>
      </c>
      <c r="C42" s="28">
        <v>2019</v>
      </c>
      <c r="D42" s="196">
        <f>Population!D40</f>
        <v>85608.644634293029</v>
      </c>
      <c r="E42" s="303" t="str">
        <f t="shared" si="4"/>
        <v>Small</v>
      </c>
      <c r="F42" s="340">
        <f>VLOOKUP(A42,'Household Information'!$H$2:$M$49,6,FALSE)</f>
        <v>3.6693548387096775</v>
      </c>
      <c r="G42" s="196">
        <f t="shared" si="0"/>
        <v>23331</v>
      </c>
      <c r="H42" s="214">
        <f>Area!E40</f>
        <v>25.5</v>
      </c>
      <c r="I42" s="213"/>
      <c r="J42" s="32">
        <f>D42*Variables!$C$20</f>
        <v>77.047780170863717</v>
      </c>
      <c r="K42" s="202">
        <f>VLOOKUP(B42,'Urban road length (WDI)'!$B$2:$F$42,5,FALSE)</f>
        <v>36.909599999999998</v>
      </c>
      <c r="L42" s="32">
        <f t="shared" si="1"/>
        <v>40.13818017086372</v>
      </c>
      <c r="M42" s="197">
        <f>K42*(1-VLOOKUP(A42,'% Urban Roads Surfaced (WDI)'!A:G,7,FALSE))</f>
        <v>5.8192134683198713</v>
      </c>
      <c r="N42" s="117">
        <f>Variables!$C$21*'Cost Calculations'!$M42/100</f>
        <v>0.31597539194497037</v>
      </c>
      <c r="O42" s="117">
        <f>Variables!$C$22*'Cost Calculations'!$M42/100</f>
        <v>0.5529569359036981</v>
      </c>
      <c r="P42" s="117">
        <f>Variables!$C$23*'Cost Calculations'!$M42/100</f>
        <v>0.57928821856577906</v>
      </c>
      <c r="Q42" s="117">
        <f>Variables!$C$24*'Cost Calculations'!$M42/100</f>
        <v>4.2130052259329389</v>
      </c>
      <c r="R42" s="107">
        <f>N42*Variables!$C$15*Variables!$E$30+O42*Variables!$C$15*Variables!$E$31+('Cost Calculations'!P42+'Cost Calculations'!Q42)*Variables!$C$15*Variables!$E$32</f>
        <v>24611.280390200547</v>
      </c>
      <c r="S42" s="198">
        <f>$L42*Variables!$C$21/100</f>
        <v>2.1794486970604732</v>
      </c>
      <c r="T42" s="198">
        <f>$L42*Variables!$C$22/100</f>
        <v>3.8140352198558287</v>
      </c>
      <c r="U42" s="198">
        <f>$L42*Variables!$C$23/100</f>
        <v>3.9956559446108679</v>
      </c>
      <c r="V42" s="198">
        <f>$L42*Variables!$C$24/100</f>
        <v>29.059315960806313</v>
      </c>
      <c r="W42" s="22">
        <f>S42*Variables!$E$25*Variables!$C$15+'Cost Calculations'!T42*Variables!$E$26*Variables!$C$15+'Cost Calculations'!U42*Variables!$E$27*Variables!$C$15+V42*Variables!$E$28*Variables!$C$15</f>
        <v>26922352.573947895</v>
      </c>
      <c r="X42" s="20">
        <f>J42*Variables!$E$29*Variables!$C$15</f>
        <v>13170.547542407445</v>
      </c>
      <c r="Z42" s="33">
        <f>D42*(IF(D42&lt;50000,0,IF(D42&gt;Variables!$C$7,Variables!$C$37,IF(D42&gt;Variables!$C$6,Variables!$C$36,IF(D42&gt;Variables!$C$5,Variables!$C$35)))))</f>
        <v>42.804322317146514</v>
      </c>
      <c r="AA42" s="342">
        <f>'Existing Fleet'!C40</f>
        <v>0</v>
      </c>
      <c r="AB42" s="35">
        <f t="shared" si="2"/>
        <v>43</v>
      </c>
      <c r="AC42" s="22">
        <f>AB42*Variables!$E$41</f>
        <v>15892800.000000002</v>
      </c>
      <c r="AD42" s="115">
        <f>ROUND(IF(D42&lt;50000,0,(H42/(3.14*Variables!$C$34^2))),0)</f>
        <v>32</v>
      </c>
      <c r="AE42" s="341">
        <f>VLOOKUP(A42,'Existing Fleet'!$A$2:$H$43,8,FALSE)</f>
        <v>0</v>
      </c>
      <c r="AF42" s="117">
        <f t="shared" si="3"/>
        <v>32</v>
      </c>
      <c r="AG42" s="107">
        <f>AF42*Variables!$E$42*Variables!$C$15</f>
        <v>21681.407999999999</v>
      </c>
      <c r="AH42" s="199">
        <f>ROUND((Z42)/Variables!$C$40,0)</f>
        <v>0</v>
      </c>
      <c r="AI42" s="343">
        <f>'Existing Fleet'!M40</f>
        <v>0</v>
      </c>
      <c r="AJ42" s="199">
        <f t="shared" si="5"/>
        <v>0</v>
      </c>
      <c r="AK42" s="22">
        <f>AJ42*Variables!$E$43*Variables!$C$15</f>
        <v>0</v>
      </c>
      <c r="AL42" s="20">
        <f>Z42*Variables!$E$38*Variables!$C$15</f>
        <v>7588286.5215006955</v>
      </c>
      <c r="AM42" s="98"/>
      <c r="AN42" s="200">
        <f>Variables!$E$45</f>
        <v>0.25221875000000005</v>
      </c>
      <c r="AO42" s="201">
        <f t="shared" si="6"/>
        <v>55.5288054435484</v>
      </c>
      <c r="AP42" s="321">
        <f>VLOOKUP(A42,'Household Information'!H:Q,10,FALSE)</f>
        <v>69.973494888299896</v>
      </c>
      <c r="AQ42" s="122">
        <f>IF(12*(AO42-Variables!$C$3*AP42*F42)*(G42/5)&lt;0,0,12*(AO42-Variables!$C$3*AP42*F42)*(G42/5))</f>
        <v>952754.13067874324</v>
      </c>
      <c r="AS42" s="22">
        <f t="shared" si="7"/>
        <v>100000</v>
      </c>
      <c r="AU42" s="30"/>
      <c r="AW42" s="101"/>
      <c r="AX42" s="101"/>
      <c r="AY42" s="101"/>
      <c r="AZ42" s="101"/>
      <c r="BA42" s="101"/>
      <c r="BB42" s="101"/>
      <c r="BC42" s="101"/>
      <c r="BD42" s="101"/>
      <c r="BE42" s="101"/>
      <c r="BF42" s="313"/>
    </row>
    <row r="43" spans="1:58" ht="14.25" customHeight="1" x14ac:dyDescent="0.35">
      <c r="A43" s="30">
        <v>40</v>
      </c>
      <c r="B43" s="28" t="s">
        <v>193</v>
      </c>
      <c r="C43" s="28">
        <v>2019</v>
      </c>
      <c r="D43" s="196">
        <f>Population!D41</f>
        <v>152855.6943698473</v>
      </c>
      <c r="E43" s="303" t="str">
        <f t="shared" si="4"/>
        <v>Medium</v>
      </c>
      <c r="F43" s="340">
        <f>VLOOKUP(A43,'Household Information'!$H$2:$M$49,6,FALSE)</f>
        <v>4.2245333333333335</v>
      </c>
      <c r="G43" s="196">
        <f t="shared" si="0"/>
        <v>36183</v>
      </c>
      <c r="H43" s="214">
        <f>Area!E41</f>
        <v>35.6</v>
      </c>
      <c r="I43" s="213"/>
      <c r="J43" s="32">
        <f>D43*Variables!$C$20</f>
        <v>137.57012493286257</v>
      </c>
      <c r="K43" s="202">
        <f>VLOOKUP(B43,'Urban road length (WDI)'!$B$2:$F$42,5,FALSE)</f>
        <v>172.36096000000003</v>
      </c>
      <c r="L43" s="32">
        <f t="shared" si="1"/>
        <v>0</v>
      </c>
      <c r="M43" s="197">
        <f>K43*(1-VLOOKUP(A43,'% Urban Roads Surfaced (WDI)'!A:G,7,FALSE))</f>
        <v>50.978909387755103</v>
      </c>
      <c r="N43" s="117">
        <f>Variables!$C$21*'Cost Calculations'!$M43/100</f>
        <v>2.7680855776156612</v>
      </c>
      <c r="O43" s="117">
        <f>Variables!$C$22*'Cost Calculations'!$M43/100</f>
        <v>4.844149760827408</v>
      </c>
      <c r="P43" s="117">
        <f>Variables!$C$23*'Cost Calculations'!$M43/100</f>
        <v>5.0748235589620467</v>
      </c>
      <c r="Q43" s="117">
        <f>Variables!$C$24*'Cost Calculations'!$M43/100</f>
        <v>36.907807701542154</v>
      </c>
      <c r="R43" s="107">
        <f>N43*Variables!$C$15*Variables!$E$30+O43*Variables!$C$15*Variables!$E$31+('Cost Calculations'!P43+'Cost Calculations'!Q43)*Variables!$C$15*Variables!$E$32</f>
        <v>215605.80991900151</v>
      </c>
      <c r="S43" s="198">
        <f>$L43*Variables!$C$21/100</f>
        <v>0</v>
      </c>
      <c r="T43" s="198">
        <f>$L43*Variables!$C$22/100</f>
        <v>0</v>
      </c>
      <c r="U43" s="198">
        <f>$L43*Variables!$C$23/100</f>
        <v>0</v>
      </c>
      <c r="V43" s="198">
        <f>$L43*Variables!$C$24/100</f>
        <v>0</v>
      </c>
      <c r="W43" s="22">
        <f>S43*Variables!$E$25*Variables!$C$15+'Cost Calculations'!T43*Variables!$E$26*Variables!$C$15+'Cost Calculations'!U43*Variables!$E$27*Variables!$C$15+V43*Variables!$E$28*Variables!$C$15</f>
        <v>0</v>
      </c>
      <c r="X43" s="20">
        <f>J43*Variables!$E$29*Variables!$C$15</f>
        <v>23516.23715602353</v>
      </c>
      <c r="Z43" s="33">
        <f>D43*(IF(D43&lt;50000,0,IF(D43&gt;Variables!$C$7,Variables!$C$37,IF(D43&gt;Variables!$C$6,Variables!$C$36,IF(D43&gt;Variables!$C$5,Variables!$C$35)))))</f>
        <v>76.42784718492365</v>
      </c>
      <c r="AA43" s="187">
        <f>'Existing Fleet'!C41</f>
        <v>0</v>
      </c>
      <c r="AB43" s="35">
        <f t="shared" si="2"/>
        <v>76</v>
      </c>
      <c r="AC43" s="22">
        <f>AB43*Variables!$E$41</f>
        <v>28089600.000000004</v>
      </c>
      <c r="AD43" s="115">
        <f>ROUND(IF(D43&lt;50000,0,(H43/(3.14*Variables!$C$34^2))),0)</f>
        <v>45</v>
      </c>
      <c r="AE43" s="235">
        <f>VLOOKUP(A43,'Existing Fleet'!$A$2:$H$43,8,FALSE)</f>
        <v>0</v>
      </c>
      <c r="AF43" s="117">
        <f t="shared" si="3"/>
        <v>45</v>
      </c>
      <c r="AG43" s="107">
        <f>AF43*Variables!$E$42*Variables!$C$15</f>
        <v>30489.48</v>
      </c>
      <c r="AH43" s="199">
        <f>ROUND((Z43)/Variables!$C$40,0)</f>
        <v>1</v>
      </c>
      <c r="AI43" s="290">
        <f>'Existing Fleet'!M41</f>
        <v>1</v>
      </c>
      <c r="AJ43" s="199">
        <f t="shared" si="5"/>
        <v>0</v>
      </c>
      <c r="AK43" s="22">
        <f>AJ43*Variables!$E$43*Variables!$C$15</f>
        <v>0</v>
      </c>
      <c r="AL43" s="20">
        <f>Z43*Variables!$E$38*Variables!$C$15</f>
        <v>13549014.94208104</v>
      </c>
      <c r="AM43" s="98"/>
      <c r="AN43" s="200">
        <f>Variables!$C$18*20</f>
        <v>0.28000000000000003</v>
      </c>
      <c r="AO43" s="201">
        <f t="shared" si="6"/>
        <v>70.972160000000002</v>
      </c>
      <c r="AP43" s="321">
        <f>VLOOKUP(A43,'Household Information'!H:Q,10,FALSE)</f>
        <v>73.754890824182766</v>
      </c>
      <c r="AQ43" s="122">
        <f>IF(12*(AO43-Variables!$C$3*AP43*F43)*(G43/5)&lt;0,0,12*(AO43-Variables!$C$3*AP43*F43)*(G43/5))</f>
        <v>2104561.9742264412</v>
      </c>
      <c r="AS43" s="22">
        <f t="shared" si="7"/>
        <v>350000</v>
      </c>
      <c r="AU43" s="30"/>
      <c r="AW43" s="101"/>
      <c r="AX43" s="101"/>
      <c r="AY43" s="101"/>
      <c r="AZ43" s="101"/>
      <c r="BA43" s="101"/>
      <c r="BB43" s="101"/>
      <c r="BC43" s="101"/>
      <c r="BD43" s="101"/>
      <c r="BE43" s="101"/>
      <c r="BF43" s="313"/>
    </row>
    <row r="44" spans="1:58" ht="14.25" customHeight="1" x14ac:dyDescent="0.35">
      <c r="A44" s="30">
        <v>41</v>
      </c>
      <c r="B44" s="28" t="s">
        <v>194</v>
      </c>
      <c r="C44" s="28">
        <v>2019</v>
      </c>
      <c r="D44" s="196">
        <f>Population!D42</f>
        <v>73571.813506507111</v>
      </c>
      <c r="E44" s="303" t="str">
        <f t="shared" si="4"/>
        <v>Small</v>
      </c>
      <c r="F44" s="340">
        <f>VLOOKUP(A44,'Household Information'!$H$2:$M$49,6,FALSE)</f>
        <v>6.1423824388279122</v>
      </c>
      <c r="G44" s="196">
        <f t="shared" si="0"/>
        <v>11978</v>
      </c>
      <c r="H44" s="214">
        <f>Area!E42</f>
        <v>14.2</v>
      </c>
      <c r="I44" s="213"/>
      <c r="J44" s="32">
        <f>D44*Variables!$C$20</f>
        <v>66.214632155856393</v>
      </c>
      <c r="K44" s="202">
        <f>VLOOKUP(B44,'Urban road length (WDI)'!$B$2:$F$42,5,FALSE)</f>
        <v>36.6</v>
      </c>
      <c r="L44" s="32">
        <f t="shared" si="1"/>
        <v>29.614632155856391</v>
      </c>
      <c r="M44" s="197">
        <f>K44*(1-VLOOKUP(A44,'% Urban Roads Surfaced (WDI)'!A:G,7,FALSE))</f>
        <v>0.20771850170261169</v>
      </c>
      <c r="N44" s="117">
        <f>Variables!$C$21*'Cost Calculations'!$M44/100</f>
        <v>1.1278832671635021E-2</v>
      </c>
      <c r="O44" s="117">
        <f>Variables!$C$22*'Cost Calculations'!$M44/100</f>
        <v>1.9737957175361292E-2</v>
      </c>
      <c r="P44" s="117">
        <f>Variables!$C$23*'Cost Calculations'!$M44/100</f>
        <v>2.0677859897997544E-2</v>
      </c>
      <c r="Q44" s="117">
        <f>Variables!$C$24*'Cost Calculations'!$M44/100</f>
        <v>0.15038443562180032</v>
      </c>
      <c r="R44" s="107">
        <f>N44*Variables!$C$15*Variables!$E$30+O44*Variables!$C$15*Variables!$E$31+('Cost Calculations'!P44+'Cost Calculations'!Q44)*Variables!$C$15*Variables!$E$32</f>
        <v>878.50674588009747</v>
      </c>
      <c r="S44" s="198">
        <f>$L44*Variables!$C$21/100</f>
        <v>1.6080343252048719</v>
      </c>
      <c r="T44" s="198">
        <f>$L44*Variables!$C$22/100</f>
        <v>2.8140600691085256</v>
      </c>
      <c r="U44" s="198">
        <f>$L44*Variables!$C$23/100</f>
        <v>2.9480629295422656</v>
      </c>
      <c r="V44" s="198">
        <f>$L44*Variables!$C$24/100</f>
        <v>21.440457669398292</v>
      </c>
      <c r="W44" s="22">
        <f>S44*Variables!$E$25*Variables!$C$15+'Cost Calculations'!T44*Variables!$E$26*Variables!$C$15+'Cost Calculations'!U44*Variables!$E$27*Variables!$C$15+V44*Variables!$E$28*Variables!$C$15</f>
        <v>19863769.728815377</v>
      </c>
      <c r="X44" s="20">
        <f>J44*Variables!$E$29*Variables!$C$15</f>
        <v>11318.729220722093</v>
      </c>
      <c r="Z44" s="33">
        <f>D44*(IF(D44&lt;50000,0,IF(D44&gt;Variables!$C$7,Variables!$C$37,IF(D44&gt;Variables!$C$6,Variables!$C$36,IF(D44&gt;Variables!$C$5,Variables!$C$35)))))</f>
        <v>36.785906753253556</v>
      </c>
      <c r="AA44" s="342">
        <f>'Existing Fleet'!C42</f>
        <v>0</v>
      </c>
      <c r="AB44" s="35">
        <f t="shared" si="2"/>
        <v>37</v>
      </c>
      <c r="AC44" s="22">
        <f>AB44*Variables!$E$41</f>
        <v>13675200.000000002</v>
      </c>
      <c r="AD44" s="115">
        <f>ROUND(IF(D44&lt;50000,0,(H44/(3.14*Variables!$C$34^2))),0)</f>
        <v>18</v>
      </c>
      <c r="AE44" s="341">
        <f>VLOOKUP(A44,'Existing Fleet'!$A$2:$H$43,8,FALSE)</f>
        <v>0</v>
      </c>
      <c r="AF44" s="117">
        <f t="shared" si="3"/>
        <v>18</v>
      </c>
      <c r="AG44" s="107">
        <f>AF44*Variables!$E$42*Variables!$C$15</f>
        <v>12195.792000000001</v>
      </c>
      <c r="AH44" s="199">
        <f>ROUND((Z44)/Variables!$C$40,0)</f>
        <v>0</v>
      </c>
      <c r="AI44" s="343">
        <f>'Existing Fleet'!M42</f>
        <v>0</v>
      </c>
      <c r="AJ44" s="199">
        <f t="shared" si="5"/>
        <v>0</v>
      </c>
      <c r="AK44" s="22">
        <f>AJ44*Variables!$E$43*Variables!$C$15</f>
        <v>0</v>
      </c>
      <c r="AL44" s="20">
        <f>Z44*Variables!$E$38*Variables!$C$15</f>
        <v>6521350.7722110804</v>
      </c>
      <c r="AM44" s="98"/>
      <c r="AN44" s="200">
        <f>Variables!$E$45</f>
        <v>0.25221875000000005</v>
      </c>
      <c r="AO44" s="201">
        <f t="shared" si="6"/>
        <v>92.953441244587665</v>
      </c>
      <c r="AP44" s="321">
        <f>VLOOKUP(A44,'Household Information'!H:Q,10,FALSE)</f>
        <v>110.04922377887165</v>
      </c>
      <c r="AQ44" s="122">
        <f>IF(12*(AO44-Variables!$C$3*AP44*F44)*(G44/5)&lt;0,0,12*(AO44-Variables!$C$3*AP44*F44)*(G44/5))</f>
        <v>0</v>
      </c>
      <c r="AS44" s="22">
        <f t="shared" si="7"/>
        <v>100000</v>
      </c>
      <c r="AU44" s="30"/>
      <c r="AW44" s="101"/>
      <c r="AX44" s="101"/>
      <c r="AY44" s="101"/>
      <c r="AZ44" s="101"/>
      <c r="BA44" s="101"/>
      <c r="BB44" s="101"/>
      <c r="BC44" s="101"/>
      <c r="BD44" s="101"/>
      <c r="BE44" s="101"/>
      <c r="BF44" s="313"/>
    </row>
    <row r="45" spans="1:58" ht="14.25" customHeight="1" x14ac:dyDescent="0.35">
      <c r="A45" s="30">
        <v>42</v>
      </c>
      <c r="B45" s="28" t="s">
        <v>195</v>
      </c>
      <c r="C45" s="28">
        <v>2019</v>
      </c>
      <c r="D45" s="196">
        <f>Population!D43</f>
        <v>91108.43921773028</v>
      </c>
      <c r="E45" s="303" t="str">
        <f t="shared" si="4"/>
        <v>Small</v>
      </c>
      <c r="F45" s="340">
        <f>VLOOKUP(A45,'Household Information'!$H$2:$M$49,6,FALSE)</f>
        <v>4.2419137466307282</v>
      </c>
      <c r="G45" s="196">
        <f t="shared" si="0"/>
        <v>21478</v>
      </c>
      <c r="H45" s="214">
        <f>Area!E43</f>
        <v>15</v>
      </c>
      <c r="I45" s="213"/>
      <c r="J45" s="32">
        <f>D45*Variables!$C$20</f>
        <v>81.997595295957254</v>
      </c>
      <c r="K45" s="202">
        <f>'Urban road length (WDI)'!F43</f>
        <v>110.2884</v>
      </c>
      <c r="L45" s="32">
        <f t="shared" si="1"/>
        <v>0</v>
      </c>
      <c r="M45" s="197">
        <f>K45*(1-VLOOKUP(A45,'% Urban Roads Surfaced (WDI)'!A:G,7,FALSE))</f>
        <v>32.619813385354135</v>
      </c>
      <c r="N45" s="117">
        <f>Variables!$C$21*'Cost Calculations'!$M45/100</f>
        <v>1.7712115865350659</v>
      </c>
      <c r="O45" s="117">
        <f>Variables!$C$22*'Cost Calculations'!$M45/100</f>
        <v>3.0996202764363661</v>
      </c>
      <c r="P45" s="117">
        <f>Variables!$C$23*'Cost Calculations'!$M45/100</f>
        <v>3.2472212419809545</v>
      </c>
      <c r="Q45" s="117">
        <f>Variables!$C$24*'Cost Calculations'!$M45/100</f>
        <v>23.616154487134214</v>
      </c>
      <c r="R45" s="107">
        <f>N45*Variables!$C$15*Variables!$E$30+O45*Variables!$C$15*Variables!$E$31+('Cost Calculations'!P45+'Cost Calculations'!Q45)*Variables!$C$15*Variables!$E$32</f>
        <v>137959.43006276363</v>
      </c>
      <c r="S45" s="198">
        <f>$L45*Variables!$C$21/100</f>
        <v>0</v>
      </c>
      <c r="T45" s="198">
        <f>$L45*Variables!$C$22/100</f>
        <v>0</v>
      </c>
      <c r="U45" s="198">
        <f>$L45*Variables!$C$23/100</f>
        <v>0</v>
      </c>
      <c r="V45" s="198">
        <f>$L45*Variables!$C$24/100</f>
        <v>0</v>
      </c>
      <c r="W45" s="22">
        <f>S45*Variables!$E$25*Variables!$C$15+'Cost Calculations'!T45*Variables!$E$26*Variables!$C$15+'Cost Calculations'!U45*Variables!$E$27*Variables!$C$15+V45*Variables!$E$28*Variables!$C$15</f>
        <v>0</v>
      </c>
      <c r="X45" s="20">
        <f>J45*Variables!$E$29*Variables!$C$15</f>
        <v>14016.668939890933</v>
      </c>
      <c r="Z45" s="33">
        <f>D45*(IF(D45&lt;50000,0,IF(D45&gt;Variables!$C$7,Variables!$C$37,IF(D45&gt;Variables!$C$6,Variables!$C$36,IF(D45&gt;Variables!$C$5,Variables!$C$35)))))</f>
        <v>45.554219608865139</v>
      </c>
      <c r="AA45" s="342">
        <f>'Existing Fleet'!C43</f>
        <v>0</v>
      </c>
      <c r="AB45" s="35">
        <f t="shared" si="2"/>
        <v>46</v>
      </c>
      <c r="AC45" s="22">
        <f>AB45*Variables!$E$41</f>
        <v>17001600.000000004</v>
      </c>
      <c r="AD45" s="115">
        <f>ROUND(IF(D45&lt;50000,0,(H45/(3.14*Variables!$C$34^2))),0)</f>
        <v>19</v>
      </c>
      <c r="AE45" s="341">
        <f>VLOOKUP(A45,'Existing Fleet'!$A$2:$H$43,8,FALSE)</f>
        <v>0</v>
      </c>
      <c r="AF45" s="117">
        <f t="shared" si="3"/>
        <v>19</v>
      </c>
      <c r="AG45" s="107">
        <f>AF45*Variables!$E$42*Variables!$C$15</f>
        <v>12873.336000000001</v>
      </c>
      <c r="AH45" s="199">
        <f>ROUND((Z45)/Variables!$C$40,0)</f>
        <v>0</v>
      </c>
      <c r="AI45" s="343">
        <f>'Existing Fleet'!M43</f>
        <v>0</v>
      </c>
      <c r="AJ45" s="199">
        <f t="shared" si="5"/>
        <v>0</v>
      </c>
      <c r="AK45" s="22">
        <f>AJ45*Variables!$E$43*Variables!$C$15</f>
        <v>0</v>
      </c>
      <c r="AL45" s="20">
        <f>Z45*Variables!$E$38*Variables!$C$15</f>
        <v>8075784.2185709011</v>
      </c>
      <c r="AM45" s="98"/>
      <c r="AN45" s="200">
        <f>Variables!$E$45</f>
        <v>0.25221875000000005</v>
      </c>
      <c r="AO45" s="201">
        <f t="shared" si="6"/>
        <v>64.193410966981148</v>
      </c>
      <c r="AP45" s="321">
        <f>VLOOKUP(A45,'Household Information'!H:Q,10,FALSE)</f>
        <v>81.833648870377388</v>
      </c>
      <c r="AQ45" s="122">
        <f>IF(12*(AO45-Variables!$C$3*AP45*F45)*(G45/5)&lt;0,0,12*(AO45-Variables!$C$3*AP45*F45)*(G45/5))</f>
        <v>624943.76571461151</v>
      </c>
      <c r="AS45" s="22">
        <f t="shared" si="7"/>
        <v>100000</v>
      </c>
      <c r="AU45" s="30"/>
      <c r="AW45" s="101"/>
      <c r="AX45" s="101"/>
      <c r="AY45" s="101"/>
      <c r="AZ45" s="101"/>
      <c r="BA45" s="101"/>
      <c r="BB45" s="101"/>
      <c r="BC45" s="101"/>
      <c r="BD45" s="101"/>
      <c r="BE45" s="101"/>
      <c r="BF45" s="313"/>
    </row>
    <row r="46" spans="1:58" ht="14.25" customHeight="1" x14ac:dyDescent="0.5">
      <c r="A46" s="30">
        <v>1</v>
      </c>
      <c r="B46" s="28" t="s">
        <v>154</v>
      </c>
      <c r="C46" s="28">
        <v>2020</v>
      </c>
      <c r="D46" s="196">
        <f>Population!E2</f>
        <v>493876.84354928654</v>
      </c>
      <c r="E46" s="303" t="str">
        <f t="shared" si="4"/>
        <v>Medium</v>
      </c>
      <c r="F46" s="340">
        <f>VLOOKUP(A46,'Household Information'!$H$2:$M$49,6,FALSE)</f>
        <v>3.974207650273224</v>
      </c>
      <c r="G46" s="196">
        <f t="shared" si="0"/>
        <v>124271</v>
      </c>
      <c r="H46" s="213">
        <f>Area!G2</f>
        <v>104.06459158109358</v>
      </c>
      <c r="I46" s="213"/>
      <c r="J46" s="32">
        <f>D46*Variables!$C$20</f>
        <v>444.48915919435785</v>
      </c>
      <c r="K46" s="202">
        <f>K4+L4</f>
        <v>434.19865116182268</v>
      </c>
      <c r="L46" s="32">
        <f t="shared" si="1"/>
        <v>10.290508032535172</v>
      </c>
      <c r="M46" s="197"/>
      <c r="N46" s="117"/>
      <c r="O46" s="117"/>
      <c r="P46" s="117"/>
      <c r="Q46" s="117"/>
      <c r="R46" s="108"/>
      <c r="S46" s="198">
        <f>$L46*Variables!$C$21/100</f>
        <v>0.55876061715123104</v>
      </c>
      <c r="T46" s="198">
        <f>$L46*Variables!$C$22/100</f>
        <v>0.97783108001465435</v>
      </c>
      <c r="U46" s="198">
        <f>$L46*Variables!$C$23/100</f>
        <v>1.0243944647772569</v>
      </c>
      <c r="V46" s="198">
        <f>$L46*Variables!$C$24/100</f>
        <v>7.4501415620164142</v>
      </c>
      <c r="W46" s="22">
        <f>S46*Variables!$E$25*Variables!$C$15+'Cost Calculations'!T46*Variables!$E$26*Variables!$C$15+'Cost Calculations'!U46*Variables!$E$27*Variables!$C$15+V46*Variables!$E$28*Variables!$C$15</f>
        <v>6902273.203159852</v>
      </c>
      <c r="X46" s="20">
        <f>J46*Variables!$E$29*Variables!$C$15</f>
        <v>75980.976872683532</v>
      </c>
      <c r="Z46" s="33">
        <f>D46*(IF(D46&lt;50000,0,IF(D46&gt;Variables!$C$7,Variables!$C$37,IF(D46&gt;Variables!$C$6,Variables!$C$36,IF(D46&gt;Variables!$C$5,Variables!$C$35)))))</f>
        <v>246.93842177464327</v>
      </c>
      <c r="AA46" s="34">
        <f t="shared" ref="AA46:AA109" si="8">AA4+AB4</f>
        <v>241</v>
      </c>
      <c r="AB46" s="35">
        <f t="shared" si="2"/>
        <v>6</v>
      </c>
      <c r="AC46" s="22">
        <f>AB46*Variables!$E$41</f>
        <v>2217600.0000000005</v>
      </c>
      <c r="AD46" s="115">
        <f>ROUND(IF(D46&lt;50000,0,(H46/(3.14*Variables!$C$34^2))),0)</f>
        <v>133</v>
      </c>
      <c r="AE46" s="116">
        <f>AE4+AF4</f>
        <v>131</v>
      </c>
      <c r="AF46" s="117">
        <f t="shared" si="3"/>
        <v>2</v>
      </c>
      <c r="AG46" s="107">
        <f>AF46*Variables!$E$42*Variables!$C$15</f>
        <v>1355.088</v>
      </c>
      <c r="AH46" s="199">
        <f>ROUND((Z46)/Variables!$C$40,0)</f>
        <v>2</v>
      </c>
      <c r="AI46" s="33">
        <f>AI4+AJ4</f>
        <v>2</v>
      </c>
      <c r="AJ46" s="199">
        <f t="shared" si="5"/>
        <v>0</v>
      </c>
      <c r="AK46" s="22">
        <f>AJ46*Variables!$E$43*Variables!$C$15</f>
        <v>0</v>
      </c>
      <c r="AL46" s="20">
        <f>Z46*Variables!$E$38*Variables!$C$15</f>
        <v>43776875.702166155</v>
      </c>
      <c r="AM46" s="98"/>
      <c r="AN46" s="200">
        <f>AN4</f>
        <v>0.14000000000000001</v>
      </c>
      <c r="AO46" s="201">
        <f t="shared" si="6"/>
        <v>33.383344262295083</v>
      </c>
      <c r="AP46" s="321">
        <f>VLOOKUP(A46,'Household Information'!H:Q,10,FALSE)</f>
        <v>73.860911270983223</v>
      </c>
      <c r="AQ46" s="122">
        <f>IF(12*(AO46-Variables!$C$3*AP46*F46)*(G46/5)&lt;0,0,12*(AO46-Variables!$C$3*AP46*F46)*(G46/5))</f>
        <v>0</v>
      </c>
      <c r="AS46" s="186">
        <f>SUM(AS4:AS45)</f>
        <v>12950000</v>
      </c>
    </row>
    <row r="47" spans="1:58" ht="14.25" customHeight="1" x14ac:dyDescent="0.35">
      <c r="A47" s="30">
        <v>2</v>
      </c>
      <c r="B47" s="28" t="s">
        <v>155</v>
      </c>
      <c r="C47" s="28">
        <v>2020</v>
      </c>
      <c r="D47" s="196">
        <f>Population!E3</f>
        <v>362274.79706917296</v>
      </c>
      <c r="E47" s="303" t="str">
        <f t="shared" si="4"/>
        <v>Medium</v>
      </c>
      <c r="F47" s="340">
        <f>VLOOKUP(A47,'Household Information'!$H$2:$M$49,6,FALSE)</f>
        <v>4.8390533520244086</v>
      </c>
      <c r="G47" s="196">
        <f t="shared" si="0"/>
        <v>74865</v>
      </c>
      <c r="H47" s="213">
        <f>Area!G3</f>
        <v>625.756820428418</v>
      </c>
      <c r="I47" s="213"/>
      <c r="J47" s="32">
        <f>D47*Variables!$C$20</f>
        <v>326.04731736225563</v>
      </c>
      <c r="K47" s="202">
        <f t="shared" ref="K47:K110" si="9">K5+L5</f>
        <v>318.49889358430755</v>
      </c>
      <c r="L47" s="32">
        <f t="shared" si="1"/>
        <v>7.5484237779480736</v>
      </c>
      <c r="N47" s="117"/>
      <c r="O47" s="117"/>
      <c r="P47" s="117"/>
      <c r="Q47" s="117"/>
      <c r="R47" s="108"/>
      <c r="S47" s="198">
        <f>$L47*Variables!$C$21/100</f>
        <v>0.40986916441346999</v>
      </c>
      <c r="T47" s="198">
        <f>$L47*Variables!$C$22/100</f>
        <v>0.7172710377235727</v>
      </c>
      <c r="U47" s="198">
        <f>$L47*Variables!$C$23/100</f>
        <v>0.7514268014246952</v>
      </c>
      <c r="V47" s="198">
        <f>$L47*Variables!$C$24/100</f>
        <v>5.4649221921796007</v>
      </c>
      <c r="W47" s="22">
        <f>S47*Variables!$E$25*Variables!$C$15+'Cost Calculations'!T47*Variables!$E$26*Variables!$C$15+'Cost Calculations'!U47*Variables!$E$27*Variables!$C$15+V47*Variables!$E$28*Variables!$C$15</f>
        <v>5063042.8550173296</v>
      </c>
      <c r="X47" s="20">
        <f>J47*Variables!$E$29*Variables!$C$15</f>
        <v>55734.528429903978</v>
      </c>
      <c r="Z47" s="33">
        <f>D47*(IF(D47&lt;50000,0,IF(D47&gt;Variables!$C$7,Variables!$C$37,IF(D47&gt;Variables!$C$6,Variables!$C$36,IF(D47&gt;Variables!$C$5,Variables!$C$35)))))</f>
        <v>181.13739853458648</v>
      </c>
      <c r="AA47" s="34">
        <f t="shared" si="8"/>
        <v>262</v>
      </c>
      <c r="AB47" s="35">
        <f t="shared" si="2"/>
        <v>0</v>
      </c>
      <c r="AC47" s="22">
        <f>AB47*Variables!$E$41</f>
        <v>0</v>
      </c>
      <c r="AD47" s="115">
        <f>ROUND(IF(D47&lt;50000,0,(H47/(3.14*Variables!$C$34^2))),0)</f>
        <v>797</v>
      </c>
      <c r="AE47" s="116">
        <f t="shared" ref="AE47:AE110" si="10">AE5+AF5</f>
        <v>786</v>
      </c>
      <c r="AF47" s="117">
        <f t="shared" si="3"/>
        <v>11</v>
      </c>
      <c r="AG47" s="107">
        <f>AF47*Variables!$E$42*Variables!$C$15</f>
        <v>7452.9840000000004</v>
      </c>
      <c r="AH47" s="199">
        <f>ROUND((Z47)/Variables!$C$40,0)</f>
        <v>1</v>
      </c>
      <c r="AI47" s="33">
        <f t="shared" ref="AI47:AI110" si="11">AI5+AJ5</f>
        <v>1</v>
      </c>
      <c r="AJ47" s="199">
        <f t="shared" si="5"/>
        <v>0</v>
      </c>
      <c r="AK47" s="22">
        <f>AJ47*Variables!$E$43*Variables!$C$15</f>
        <v>0</v>
      </c>
      <c r="AL47" s="20">
        <f>Z47*Variables!$E$38*Variables!$C$15</f>
        <v>32111768.28488411</v>
      </c>
      <c r="AM47" s="98"/>
      <c r="AN47" s="200">
        <f t="shared" ref="AN47:AN110" si="12">AN5</f>
        <v>0.49</v>
      </c>
      <c r="AO47" s="201">
        <f t="shared" si="6"/>
        <v>142.26816854951761</v>
      </c>
      <c r="AP47" s="321">
        <f>VLOOKUP(A47,'Household Information'!H:Q,10,FALSE)</f>
        <v>166.27540073204597</v>
      </c>
      <c r="AQ47" s="122">
        <f>IF(12*(AO47-Variables!$C$3*AP47*F47)*(G47/5)&lt;0,0,12*(AO47-Variables!$C$3*AP47*F47)*(G47/5))</f>
        <v>3876660.3149838881</v>
      </c>
      <c r="AS47" s="22"/>
    </row>
    <row r="48" spans="1:58" ht="14.25" customHeight="1" x14ac:dyDescent="0.35">
      <c r="A48" s="30">
        <v>3</v>
      </c>
      <c r="B48" s="28" t="s">
        <v>156</v>
      </c>
      <c r="C48" s="28">
        <v>2020</v>
      </c>
      <c r="D48" s="196">
        <f>Population!E4</f>
        <v>10425234.640043655</v>
      </c>
      <c r="E48" s="303" t="str">
        <f t="shared" si="4"/>
        <v>Large</v>
      </c>
      <c r="F48" s="340">
        <f>VLOOKUP(A48,'Household Information'!$H$2:$M$49,6,FALSE)</f>
        <v>4.0172949204764796</v>
      </c>
      <c r="G48" s="196">
        <f t="shared" si="0"/>
        <v>2595088</v>
      </c>
      <c r="H48" s="213">
        <f>Area!G4</f>
        <v>738.03703766065064</v>
      </c>
      <c r="I48" s="213"/>
      <c r="J48" s="32">
        <f>D48*Variables!$C$20</f>
        <v>9382.7111760392891</v>
      </c>
      <c r="K48" s="202">
        <f t="shared" si="9"/>
        <v>9710.2262499999997</v>
      </c>
      <c r="L48" s="32">
        <f t="shared" si="1"/>
        <v>0</v>
      </c>
      <c r="N48" s="117"/>
      <c r="O48" s="117"/>
      <c r="P48" s="117"/>
      <c r="Q48" s="117"/>
      <c r="R48" s="108"/>
      <c r="S48" s="198">
        <f>$L48*Variables!$C$21/100</f>
        <v>0</v>
      </c>
      <c r="T48" s="198">
        <f>$L48*Variables!$C$22/100</f>
        <v>0</v>
      </c>
      <c r="U48" s="198">
        <f>$L48*Variables!$C$23/100</f>
        <v>0</v>
      </c>
      <c r="V48" s="198">
        <f>$L48*Variables!$C$24/100</f>
        <v>0</v>
      </c>
      <c r="W48" s="22">
        <f>S48*Variables!$E$25*Variables!$C$15+'Cost Calculations'!T48*Variables!$E$26*Variables!$C$15+'Cost Calculations'!U48*Variables!$E$27*Variables!$C$15+V48*Variables!$E$28*Variables!$C$15</f>
        <v>0</v>
      </c>
      <c r="X48" s="20">
        <f>J48*Variables!$E$29*Variables!$C$15</f>
        <v>1603880.6484321561</v>
      </c>
      <c r="Z48" s="33">
        <f>D48*(IF(D48&lt;50000,0,IF(D48&gt;Variables!$C$7,Variables!$C$37,IF(D48&gt;Variables!$C$6,Variables!$C$36,IF(D48&gt;Variables!$C$5,Variables!$C$35)))))</f>
        <v>5212.6173200218282</v>
      </c>
      <c r="AA48" s="34">
        <f t="shared" si="8"/>
        <v>5092</v>
      </c>
      <c r="AB48" s="35">
        <f t="shared" si="2"/>
        <v>121</v>
      </c>
      <c r="AC48" s="22">
        <f>AB48*Variables!$E$41</f>
        <v>44721600.000000007</v>
      </c>
      <c r="AD48" s="115">
        <f>ROUND(IF(D48&lt;50000,0,(H48/(3.14*Variables!$C$34^2))),0)</f>
        <v>940</v>
      </c>
      <c r="AE48" s="116">
        <f t="shared" si="10"/>
        <v>927</v>
      </c>
      <c r="AF48" s="117">
        <f t="shared" si="3"/>
        <v>13</v>
      </c>
      <c r="AG48" s="107">
        <f>AF48*Variables!$E$42*Variables!$C$15</f>
        <v>8808.0720000000001</v>
      </c>
      <c r="AH48" s="199">
        <f>ROUND((Z48)/Variables!$C$40,0)</f>
        <v>42</v>
      </c>
      <c r="AI48" s="33">
        <f t="shared" si="11"/>
        <v>41</v>
      </c>
      <c r="AJ48" s="199">
        <f t="shared" si="5"/>
        <v>1</v>
      </c>
      <c r="AK48" s="22">
        <f>AJ48*Variables!$E$43*Variables!$C$15</f>
        <v>552717.39600000007</v>
      </c>
      <c r="AL48" s="20">
        <f>Z48*Variables!$E$38*Variables!$C$15</f>
        <v>924085036.51085448</v>
      </c>
      <c r="AM48" s="98"/>
      <c r="AN48" s="200">
        <f t="shared" si="12"/>
        <v>0.42</v>
      </c>
      <c r="AO48" s="201">
        <f t="shared" si="6"/>
        <v>101.23583199600728</v>
      </c>
      <c r="AP48" s="321">
        <f>VLOOKUP(A48,'Household Information'!H:Q,10,FALSE)</f>
        <v>132.525558500568</v>
      </c>
      <c r="AQ48" s="122">
        <f>IF(12*(AO48-Variables!$C$3*AP48*F48)*(G48/5)&lt;0,0,12*(AO48-Variables!$C$3*AP48*F48)*(G48/5))</f>
        <v>133138565.27852029</v>
      </c>
      <c r="AS48" s="22"/>
    </row>
    <row r="49" spans="1:45" ht="14.25" customHeight="1" x14ac:dyDescent="0.35">
      <c r="A49" s="30">
        <v>4</v>
      </c>
      <c r="B49" s="28" t="s">
        <v>157</v>
      </c>
      <c r="C49" s="28">
        <v>2020</v>
      </c>
      <c r="D49" s="196">
        <f>Population!E5</f>
        <v>2220223.3724000533</v>
      </c>
      <c r="E49" s="303" t="str">
        <f t="shared" si="4"/>
        <v>Large</v>
      </c>
      <c r="F49" s="340">
        <f>VLOOKUP(A49,'Household Information'!$H$2:$M$49,6,FALSE)</f>
        <v>4.6988894405393395</v>
      </c>
      <c r="G49" s="196">
        <f t="shared" si="0"/>
        <v>472500</v>
      </c>
      <c r="H49" s="213">
        <f>Area!G5</f>
        <v>408.04274067323541</v>
      </c>
      <c r="I49" s="213"/>
      <c r="J49" s="32">
        <f>D49*Variables!$C$20</f>
        <v>1998.2010351600479</v>
      </c>
      <c r="K49" s="202">
        <f t="shared" si="9"/>
        <v>1951.9400558367179</v>
      </c>
      <c r="L49" s="32">
        <f t="shared" si="1"/>
        <v>46.260979323330048</v>
      </c>
      <c r="N49" s="117"/>
      <c r="O49" s="117"/>
      <c r="P49" s="117"/>
      <c r="Q49" s="117"/>
      <c r="R49" s="108"/>
      <c r="S49" s="198">
        <f>$L49*Variables!$C$21/100</f>
        <v>2.5119083795473327</v>
      </c>
      <c r="T49" s="198">
        <f>$L49*Variables!$C$22/100</f>
        <v>4.3958396642078323</v>
      </c>
      <c r="U49" s="198">
        <f>$L49*Variables!$C$23/100</f>
        <v>4.6051653625034437</v>
      </c>
      <c r="V49" s="198">
        <f>$L49*Variables!$C$24/100</f>
        <v>33.492111727297768</v>
      </c>
      <c r="W49" s="22">
        <f>S49*Variables!$E$25*Variables!$C$15+'Cost Calculations'!T49*Variables!$E$26*Variables!$C$15+'Cost Calculations'!U49*Variables!$E$27*Variables!$C$15+V49*Variables!$E$28*Variables!$C$15</f>
        <v>31029169.49540427</v>
      </c>
      <c r="X49" s="20">
        <f>J49*Variables!$E$29*Variables!$C$15</f>
        <v>341572.48495025857</v>
      </c>
      <c r="Z49" s="33">
        <f>D49*(IF(D49&lt;50000,0,IF(D49&gt;Variables!$C$7,Variables!$C$37,IF(D49&gt;Variables!$C$6,Variables!$C$36,IF(D49&gt;Variables!$C$5,Variables!$C$35)))))</f>
        <v>1110.1116862000267</v>
      </c>
      <c r="AA49" s="34">
        <f t="shared" si="8"/>
        <v>1084</v>
      </c>
      <c r="AB49" s="35">
        <f t="shared" si="2"/>
        <v>26</v>
      </c>
      <c r="AC49" s="22">
        <f>AB49*Variables!$E$41</f>
        <v>9609600.0000000019</v>
      </c>
      <c r="AD49" s="115">
        <f>ROUND(IF(D49&lt;50000,0,(H49/(3.14*Variables!$C$34^2))),0)</f>
        <v>520</v>
      </c>
      <c r="AE49" s="116">
        <f t="shared" si="10"/>
        <v>513</v>
      </c>
      <c r="AF49" s="117">
        <f t="shared" si="3"/>
        <v>7</v>
      </c>
      <c r="AG49" s="107">
        <f>AF49*Variables!$E$42*Variables!$C$15</f>
        <v>4742.808</v>
      </c>
      <c r="AH49" s="199">
        <f>ROUND((Z49)/Variables!$C$40,0)</f>
        <v>9</v>
      </c>
      <c r="AI49" s="33">
        <f t="shared" si="11"/>
        <v>9</v>
      </c>
      <c r="AJ49" s="199">
        <f t="shared" si="5"/>
        <v>0</v>
      </c>
      <c r="AK49" s="22">
        <f>AJ49*Variables!$E$43*Variables!$C$15</f>
        <v>0</v>
      </c>
      <c r="AL49" s="20">
        <f>Z49*Variables!$E$38*Variables!$C$15</f>
        <v>196798946.68902764</v>
      </c>
      <c r="AM49" s="98"/>
      <c r="AN49" s="200">
        <f t="shared" si="12"/>
        <v>0.28000000000000003</v>
      </c>
      <c r="AO49" s="201">
        <f t="shared" si="6"/>
        <v>78.94134260106091</v>
      </c>
      <c r="AP49" s="321">
        <f>VLOOKUP(A49,'Household Information'!H:Q,10,FALSE)</f>
        <v>108.65462509082352</v>
      </c>
      <c r="AQ49" s="122">
        <f>IF(12*(AO49-Variables!$C$3*AP49*F49)*(G49/5)&lt;0,0,12*(AO49-Variables!$C$3*AP49*F49)*(G49/5))</f>
        <v>2673894.9166972283</v>
      </c>
      <c r="AS49" s="22"/>
    </row>
    <row r="50" spans="1:45" ht="14.25" customHeight="1" x14ac:dyDescent="0.35">
      <c r="A50" s="30">
        <v>5</v>
      </c>
      <c r="B50" s="28" t="s">
        <v>158</v>
      </c>
      <c r="C50" s="28">
        <v>2020</v>
      </c>
      <c r="D50" s="196">
        <f>Population!E6</f>
        <v>1041331.3806940814</v>
      </c>
      <c r="E50" s="303" t="str">
        <f t="shared" si="4"/>
        <v>Large</v>
      </c>
      <c r="F50" s="340">
        <f>VLOOKUP(A50,'Household Information'!$H$2:$M$49,6,FALSE)</f>
        <v>4.2814892277702192</v>
      </c>
      <c r="G50" s="196">
        <f t="shared" si="0"/>
        <v>243217</v>
      </c>
      <c r="H50" s="213">
        <f>Area!G6</f>
        <v>184.85157715062675</v>
      </c>
      <c r="I50" s="213"/>
      <c r="J50" s="32">
        <f>D50*Variables!$C$20</f>
        <v>937.1982426246733</v>
      </c>
      <c r="K50" s="202">
        <f t="shared" si="9"/>
        <v>2378.3936399999998</v>
      </c>
      <c r="L50" s="32">
        <f t="shared" si="1"/>
        <v>0</v>
      </c>
      <c r="N50" s="117"/>
      <c r="O50" s="117"/>
      <c r="P50" s="117"/>
      <c r="Q50" s="117"/>
      <c r="R50" s="108"/>
      <c r="S50" s="198">
        <f>$L50*Variables!$C$21/100</f>
        <v>0</v>
      </c>
      <c r="T50" s="198">
        <f>$L50*Variables!$C$22/100</f>
        <v>0</v>
      </c>
      <c r="U50" s="198">
        <f>$L50*Variables!$C$23/100</f>
        <v>0</v>
      </c>
      <c r="V50" s="198">
        <f>$L50*Variables!$C$24/100</f>
        <v>0</v>
      </c>
      <c r="W50" s="22">
        <f>S50*Variables!$E$25*Variables!$C$15+'Cost Calculations'!T50*Variables!$E$26*Variables!$C$15+'Cost Calculations'!U50*Variables!$E$27*Variables!$C$15+V50*Variables!$E$28*Variables!$C$15</f>
        <v>0</v>
      </c>
      <c r="X50" s="20">
        <f>J50*Variables!$E$29*Variables!$C$15</f>
        <v>160204.66759426164</v>
      </c>
      <c r="Z50" s="33">
        <f>D50*(IF(D50&lt;50000,0,IF(D50&gt;Variables!$C$7,Variables!$C$37,IF(D50&gt;Variables!$C$6,Variables!$C$36,IF(D50&gt;Variables!$C$5,Variables!$C$35)))))</f>
        <v>520.66569034704071</v>
      </c>
      <c r="AA50" s="34">
        <f t="shared" si="8"/>
        <v>509</v>
      </c>
      <c r="AB50" s="35">
        <f t="shared" si="2"/>
        <v>12</v>
      </c>
      <c r="AC50" s="22">
        <f>AB50*Variables!$E$41</f>
        <v>4435200.0000000009</v>
      </c>
      <c r="AD50" s="115">
        <f>ROUND(IF(D50&lt;50000,0,(H50/(3.14*Variables!$C$34^2))),0)</f>
        <v>235</v>
      </c>
      <c r="AE50" s="116">
        <f t="shared" si="10"/>
        <v>232</v>
      </c>
      <c r="AF50" s="117">
        <f t="shared" si="3"/>
        <v>3</v>
      </c>
      <c r="AG50" s="107">
        <f>AF50*Variables!$E$42*Variables!$C$15</f>
        <v>2032.6320000000001</v>
      </c>
      <c r="AH50" s="199">
        <f>ROUND((Z50)/Variables!$C$40,0)</f>
        <v>4</v>
      </c>
      <c r="AI50" s="33">
        <f t="shared" si="11"/>
        <v>4</v>
      </c>
      <c r="AJ50" s="199">
        <f t="shared" si="5"/>
        <v>0</v>
      </c>
      <c r="AK50" s="22">
        <f>AJ50*Variables!$E$43*Variables!$C$15</f>
        <v>0</v>
      </c>
      <c r="AL50" s="20">
        <f>Z50*Variables!$E$38*Variables!$C$15</f>
        <v>92302838.274013087</v>
      </c>
      <c r="AM50" s="98"/>
      <c r="AN50" s="200">
        <f t="shared" si="12"/>
        <v>0.28000000000000003</v>
      </c>
      <c r="AO50" s="201">
        <f t="shared" si="6"/>
        <v>71.929019026539692</v>
      </c>
      <c r="AP50" s="321">
        <f>VLOOKUP(A50,'Household Information'!H:Q,10,FALSE)</f>
        <v>70.680297866969596</v>
      </c>
      <c r="AQ50" s="122">
        <f>IF(12*(AO50-Variables!$C$3*AP50*F50)*(G50/5)&lt;0,0,12*(AO50-Variables!$C$3*AP50*F50)*(G50/5))</f>
        <v>15489894.714047471</v>
      </c>
      <c r="AS50" s="22"/>
    </row>
    <row r="51" spans="1:45" ht="14.25" customHeight="1" x14ac:dyDescent="0.35">
      <c r="A51" s="30">
        <v>6</v>
      </c>
      <c r="B51" s="28" t="s">
        <v>159</v>
      </c>
      <c r="C51" s="28">
        <v>2020</v>
      </c>
      <c r="D51" s="196">
        <f>Population!E7</f>
        <v>1187252.0083749858</v>
      </c>
      <c r="E51" s="303" t="str">
        <f t="shared" si="4"/>
        <v>Large</v>
      </c>
      <c r="F51" s="340">
        <f>VLOOKUP(A51,'Household Information'!$H$2:$M$49,6,FALSE)</f>
        <v>4.4091899104485828</v>
      </c>
      <c r="G51" s="196">
        <f t="shared" si="0"/>
        <v>269268</v>
      </c>
      <c r="H51" s="213">
        <f>Area!G7</f>
        <v>159.22920892494929</v>
      </c>
      <c r="I51" s="213"/>
      <c r="J51" s="32">
        <f>D51*Variables!$C$20</f>
        <v>1068.5268075374872</v>
      </c>
      <c r="K51" s="202">
        <f t="shared" si="9"/>
        <v>1043.7890080467785</v>
      </c>
      <c r="L51" s="32">
        <f t="shared" si="1"/>
        <v>24.737799490708767</v>
      </c>
      <c r="N51" s="117"/>
      <c r="O51" s="117"/>
      <c r="P51" s="117"/>
      <c r="Q51" s="117"/>
      <c r="R51" s="108"/>
      <c r="S51" s="198">
        <f>$L51*Variables!$C$21/100</f>
        <v>1.3432289316221955</v>
      </c>
      <c r="T51" s="198">
        <f>$L51*Variables!$C$22/100</f>
        <v>2.3506506303388419</v>
      </c>
      <c r="U51" s="198">
        <f>$L51*Variables!$C$23/100</f>
        <v>2.4625863746406917</v>
      </c>
      <c r="V51" s="198">
        <f>$L51*Variables!$C$24/100</f>
        <v>17.90971908829594</v>
      </c>
      <c r="W51" s="22">
        <f>S51*Variables!$E$25*Variables!$C$15+'Cost Calculations'!T51*Variables!$E$26*Variables!$C$15+'Cost Calculations'!U51*Variables!$E$27*Variables!$C$15+V51*Variables!$E$28*Variables!$C$15</f>
        <v>16592674.529772002</v>
      </c>
      <c r="X51" s="20">
        <f>J51*Variables!$E$29*Variables!$C$15</f>
        <v>182653.97248045806</v>
      </c>
      <c r="Z51" s="33">
        <f>D51*(IF(D51&lt;50000,0,IF(D51&gt;Variables!$C$7,Variables!$C$37,IF(D51&gt;Variables!$C$6,Variables!$C$36,IF(D51&gt;Variables!$C$5,Variables!$C$35)))))</f>
        <v>593.62600418749287</v>
      </c>
      <c r="AA51" s="34">
        <f t="shared" si="8"/>
        <v>580</v>
      </c>
      <c r="AB51" s="35">
        <f t="shared" si="2"/>
        <v>14</v>
      </c>
      <c r="AC51" s="22">
        <f>AB51*Variables!$E$41</f>
        <v>5174400.0000000009</v>
      </c>
      <c r="AD51" s="115">
        <f>ROUND(IF(D51&lt;50000,0,(H51/(3.14*Variables!$C$34^2))),0)</f>
        <v>203</v>
      </c>
      <c r="AE51" s="116">
        <f t="shared" si="10"/>
        <v>200</v>
      </c>
      <c r="AF51" s="117">
        <f t="shared" si="3"/>
        <v>3</v>
      </c>
      <c r="AG51" s="107">
        <f>AF51*Variables!$E$42*Variables!$C$15</f>
        <v>2032.6320000000001</v>
      </c>
      <c r="AH51" s="199">
        <f>ROUND((Z51)/Variables!$C$40,0)</f>
        <v>5</v>
      </c>
      <c r="AI51" s="33">
        <f t="shared" si="11"/>
        <v>5</v>
      </c>
      <c r="AJ51" s="199">
        <f t="shared" si="5"/>
        <v>0</v>
      </c>
      <c r="AK51" s="22">
        <f>AJ51*Variables!$E$43*Variables!$C$15</f>
        <v>0</v>
      </c>
      <c r="AL51" s="20">
        <f>Z51*Variables!$E$38*Variables!$C$15</f>
        <v>105237134.06820643</v>
      </c>
      <c r="AM51" s="98"/>
      <c r="AN51" s="200">
        <f t="shared" si="12"/>
        <v>0.28000000000000003</v>
      </c>
      <c r="AO51" s="201">
        <f t="shared" si="6"/>
        <v>74.074390495536193</v>
      </c>
      <c r="AP51" s="321">
        <f>VLOOKUP(A51,'Household Information'!H:Q,10,FALSE)</f>
        <v>228.82746434431402</v>
      </c>
      <c r="AQ51" s="122">
        <f>IF(12*(AO51-Variables!$C$3*AP51*F51)*(G51/5)&lt;0,0,12*(AO51-Variables!$C$3*AP51*F51)*(G51/5))</f>
        <v>0</v>
      </c>
      <c r="AS51" s="22"/>
    </row>
    <row r="52" spans="1:45" ht="14.25" customHeight="1" x14ac:dyDescent="0.35">
      <c r="A52" s="30">
        <v>7</v>
      </c>
      <c r="B52" s="28" t="s">
        <v>160</v>
      </c>
      <c r="C52" s="28">
        <v>2020</v>
      </c>
      <c r="D52" s="196">
        <f>Population!E8</f>
        <v>5737225.9601890566</v>
      </c>
      <c r="E52" s="303" t="str">
        <f t="shared" si="4"/>
        <v>Large</v>
      </c>
      <c r="F52" s="340">
        <f>VLOOKUP(A52,'Household Information'!$H$2:$M$49,6,FALSE)</f>
        <v>4.0232072880789485</v>
      </c>
      <c r="G52" s="196">
        <f t="shared" si="0"/>
        <v>1426033</v>
      </c>
      <c r="H52" s="213">
        <f>Area!G8</f>
        <v>1078.9855021829178</v>
      </c>
      <c r="I52" s="213"/>
      <c r="J52" s="32">
        <f>D52*Variables!$C$20</f>
        <v>5163.5033641701511</v>
      </c>
      <c r="K52" s="202">
        <f t="shared" si="9"/>
        <v>5043.9614771614251</v>
      </c>
      <c r="L52" s="32">
        <f t="shared" si="1"/>
        <v>119.54188700872601</v>
      </c>
      <c r="N52" s="117"/>
      <c r="O52" s="117"/>
      <c r="P52" s="117"/>
      <c r="Q52" s="117"/>
      <c r="R52" s="108"/>
      <c r="S52" s="198">
        <f>$L52*Variables!$C$21/100</f>
        <v>6.490962190519058</v>
      </c>
      <c r="T52" s="198">
        <f>$L52*Variables!$C$22/100</f>
        <v>11.359183833408354</v>
      </c>
      <c r="U52" s="198">
        <f>$L52*Variables!$C$23/100</f>
        <v>11.900097349284943</v>
      </c>
      <c r="V52" s="198">
        <f>$L52*Variables!$C$24/100</f>
        <v>86.546162540254116</v>
      </c>
      <c r="W52" s="22">
        <f>S52*Variables!$E$25*Variables!$C$15+'Cost Calculations'!T52*Variables!$E$26*Variables!$C$15+'Cost Calculations'!U52*Variables!$E$27*Variables!$C$15+V52*Variables!$E$28*Variables!$C$15</f>
        <v>80181732.597337842</v>
      </c>
      <c r="X52" s="20">
        <f>J52*Variables!$E$29*Variables!$C$15</f>
        <v>882649.26507124573</v>
      </c>
      <c r="Z52" s="33">
        <f>D52*(IF(D52&lt;50000,0,IF(D52&gt;Variables!$C$7,Variables!$C$37,IF(D52&gt;Variables!$C$6,Variables!$C$36,IF(D52&gt;Variables!$C$5,Variables!$C$35)))))</f>
        <v>2868.6129800945282</v>
      </c>
      <c r="AA52" s="34">
        <f t="shared" si="8"/>
        <v>4599</v>
      </c>
      <c r="AB52" s="35">
        <f t="shared" si="2"/>
        <v>0</v>
      </c>
      <c r="AC52" s="22">
        <f>AB52*Variables!$E$41</f>
        <v>0</v>
      </c>
      <c r="AD52" s="115">
        <f>ROUND(IF(D52&lt;50000,0,(H52/(3.14*Variables!$C$34^2))),0)</f>
        <v>1375</v>
      </c>
      <c r="AE52" s="116">
        <f t="shared" si="10"/>
        <v>1355</v>
      </c>
      <c r="AF52" s="117">
        <f t="shared" si="3"/>
        <v>20</v>
      </c>
      <c r="AG52" s="107">
        <f>AF52*Variables!$E$42*Variables!$C$15</f>
        <v>13550.880000000001</v>
      </c>
      <c r="AH52" s="199">
        <f>ROUND((Z52)/Variables!$C$40,0)</f>
        <v>23</v>
      </c>
      <c r="AI52" s="33">
        <f t="shared" si="11"/>
        <v>22</v>
      </c>
      <c r="AJ52" s="199">
        <f t="shared" si="5"/>
        <v>1</v>
      </c>
      <c r="AK52" s="22">
        <f>AJ52*Variables!$E$43*Variables!$C$15</f>
        <v>552717.39600000007</v>
      </c>
      <c r="AL52" s="20">
        <f>Z52*Variables!$E$38*Variables!$C$15</f>
        <v>508543437.52881956</v>
      </c>
      <c r="AM52" s="98"/>
      <c r="AN52" s="200">
        <f t="shared" si="12"/>
        <v>0.28000000000000003</v>
      </c>
      <c r="AO52" s="201">
        <f t="shared" si="6"/>
        <v>67.589882439726338</v>
      </c>
      <c r="AP52" s="321">
        <f>VLOOKUP(A52,'Household Information'!H:Q,10,FALSE)</f>
        <v>141.36059573393919</v>
      </c>
      <c r="AQ52" s="122">
        <f>IF(12*(AO52-Variables!$C$3*AP52*F52)*(G52/5)&lt;0,0,12*(AO52-Variables!$C$3*AP52*F52)*(G52/5))</f>
        <v>0</v>
      </c>
      <c r="AS52" s="22"/>
    </row>
    <row r="53" spans="1:45" ht="14.25" customHeight="1" x14ac:dyDescent="0.35">
      <c r="A53" s="30">
        <v>8</v>
      </c>
      <c r="B53" s="28" t="s">
        <v>161</v>
      </c>
      <c r="C53" s="28">
        <v>2020</v>
      </c>
      <c r="D53" s="196">
        <f>Population!E9</f>
        <v>54674.089224231524</v>
      </c>
      <c r="E53" s="303" t="str">
        <f t="shared" si="4"/>
        <v>Small</v>
      </c>
      <c r="F53" s="340">
        <f>VLOOKUP(A53,'Household Information'!$H$2:$M$49,6,FALSE)</f>
        <v>4.332028957151242</v>
      </c>
      <c r="G53" s="196">
        <f t="shared" si="0"/>
        <v>12621</v>
      </c>
      <c r="H53" s="213">
        <f>Area!G9</f>
        <v>151.9890745460709</v>
      </c>
      <c r="I53" s="213"/>
      <c r="J53" s="32">
        <f>D53*Variables!$C$20</f>
        <v>49.206680301808369</v>
      </c>
      <c r="K53" s="202">
        <f t="shared" si="9"/>
        <v>48.067481002059559</v>
      </c>
      <c r="L53" s="32">
        <f t="shared" si="1"/>
        <v>1.1391992997488103</v>
      </c>
      <c r="N53" s="117"/>
      <c r="O53" s="117"/>
      <c r="P53" s="117"/>
      <c r="Q53" s="117"/>
      <c r="R53" s="108"/>
      <c r="S53" s="198">
        <f>$L53*Variables!$C$21/100</f>
        <v>6.1856975551971595E-2</v>
      </c>
      <c r="T53" s="198">
        <f>$L53*Variables!$C$22/100</f>
        <v>0.1082497072159503</v>
      </c>
      <c r="U53" s="198">
        <f>$L53*Variables!$C$23/100</f>
        <v>0.1134044551786146</v>
      </c>
      <c r="V53" s="198">
        <f>$L53*Variables!$C$24/100</f>
        <v>0.82475967402628791</v>
      </c>
      <c r="W53" s="22">
        <f>S53*Variables!$E$25*Variables!$C$15+'Cost Calculations'!T53*Variables!$E$26*Variables!$C$15+'Cost Calculations'!U53*Variables!$E$27*Variables!$C$15+V53*Variables!$E$28*Variables!$C$15</f>
        <v>764108.51387067372</v>
      </c>
      <c r="X53" s="20">
        <f>J53*Variables!$E$29*Variables!$C$15</f>
        <v>8411.3899307911233</v>
      </c>
      <c r="Z53" s="33">
        <f>D53*(IF(D53&lt;50000,0,IF(D53&gt;Variables!$C$7,Variables!$C$37,IF(D53&gt;Variables!$C$6,Variables!$C$36,IF(D53&gt;Variables!$C$5,Variables!$C$35)))))</f>
        <v>27.337044612115761</v>
      </c>
      <c r="AA53" s="34">
        <f t="shared" si="8"/>
        <v>27</v>
      </c>
      <c r="AB53" s="35">
        <f t="shared" si="2"/>
        <v>0</v>
      </c>
      <c r="AC53" s="22">
        <f>AB53*Variables!$E$41</f>
        <v>0</v>
      </c>
      <c r="AD53" s="115">
        <f>ROUND(IF(D53&lt;50000,0,(H53/(3.14*Variables!$C$34^2))),0)</f>
        <v>194</v>
      </c>
      <c r="AE53" s="116">
        <f t="shared" si="10"/>
        <v>191</v>
      </c>
      <c r="AF53" s="117">
        <f t="shared" si="3"/>
        <v>3</v>
      </c>
      <c r="AG53" s="107">
        <f>AF53*Variables!$E$42*Variables!$C$15</f>
        <v>2032.6320000000001</v>
      </c>
      <c r="AH53" s="199">
        <f>ROUND((Z53)/Variables!$C$40,0)</f>
        <v>0</v>
      </c>
      <c r="AI53" s="33">
        <f t="shared" si="11"/>
        <v>0</v>
      </c>
      <c r="AJ53" s="199">
        <f t="shared" si="5"/>
        <v>0</v>
      </c>
      <c r="AK53" s="22">
        <f>AJ53*Variables!$E$43*Variables!$C$15</f>
        <v>0</v>
      </c>
      <c r="AL53" s="20">
        <f>Z53*Variables!$E$38*Variables!$C$15</f>
        <v>4846270.5619026851</v>
      </c>
      <c r="AM53" s="98"/>
      <c r="AN53" s="200">
        <f t="shared" si="12"/>
        <v>0.25221875000000005</v>
      </c>
      <c r="AO53" s="201">
        <f t="shared" si="6"/>
        <v>65.557135712189407</v>
      </c>
      <c r="AP53" s="321">
        <f>VLOOKUP(A53,'Household Information'!H:Q,10,FALSE)</f>
        <v>39.775337624637132</v>
      </c>
      <c r="AQ53" s="122">
        <f>IF(12*(AO53-Variables!$C$3*AP53*F53)*(G53/5)&lt;0,0,12*(AO53-Variables!$C$3*AP53*F53)*(G53/5))</f>
        <v>1202860.5161597484</v>
      </c>
      <c r="AS53" s="22"/>
    </row>
    <row r="54" spans="1:45" ht="14.25" customHeight="1" x14ac:dyDescent="0.35">
      <c r="A54" s="30">
        <v>9</v>
      </c>
      <c r="B54" s="28" t="s">
        <v>162</v>
      </c>
      <c r="C54" s="28">
        <v>2020</v>
      </c>
      <c r="D54" s="196">
        <f>Population!E10</f>
        <v>703246.42952349363</v>
      </c>
      <c r="E54" s="303" t="str">
        <f t="shared" si="4"/>
        <v>Medium</v>
      </c>
      <c r="F54" s="340">
        <f>VLOOKUP(A54,'Household Information'!$H$2:$M$49,6,FALSE)</f>
        <v>4.5911864516077028</v>
      </c>
      <c r="G54" s="196">
        <f t="shared" si="0"/>
        <v>153173</v>
      </c>
      <c r="H54" s="213">
        <f>Area!G10</f>
        <v>410.78128255694838</v>
      </c>
      <c r="I54" s="213"/>
      <c r="J54" s="32">
        <f>D54*Variables!$C$20</f>
        <v>632.92178657114425</v>
      </c>
      <c r="K54" s="202">
        <f t="shared" si="9"/>
        <v>694.88516000000004</v>
      </c>
      <c r="L54" s="32">
        <f t="shared" si="1"/>
        <v>0</v>
      </c>
      <c r="N54" s="117"/>
      <c r="O54" s="117"/>
      <c r="P54" s="117"/>
      <c r="Q54" s="117"/>
      <c r="R54" s="108"/>
      <c r="S54" s="198">
        <f>$L54*Variables!$C$21/100</f>
        <v>0</v>
      </c>
      <c r="T54" s="198">
        <f>$L54*Variables!$C$22/100</f>
        <v>0</v>
      </c>
      <c r="U54" s="198">
        <f>$L54*Variables!$C$23/100</f>
        <v>0</v>
      </c>
      <c r="V54" s="198">
        <f>$L54*Variables!$C$24/100</f>
        <v>0</v>
      </c>
      <c r="W54" s="22">
        <f>S54*Variables!$E$25*Variables!$C$15+'Cost Calculations'!T54*Variables!$E$26*Variables!$C$15+'Cost Calculations'!U54*Variables!$E$27*Variables!$C$15+V54*Variables!$E$28*Variables!$C$15</f>
        <v>0</v>
      </c>
      <c r="X54" s="20">
        <f>J54*Variables!$E$29*Variables!$C$15</f>
        <v>108191.6501964714</v>
      </c>
      <c r="Z54" s="33">
        <f>D54*(IF(D54&lt;50000,0,IF(D54&gt;Variables!$C$7,Variables!$C$37,IF(D54&gt;Variables!$C$6,Variables!$C$36,IF(D54&gt;Variables!$C$5,Variables!$C$35)))))</f>
        <v>351.62321476174679</v>
      </c>
      <c r="AA54" s="34">
        <f t="shared" si="8"/>
        <v>430</v>
      </c>
      <c r="AB54" s="35">
        <f t="shared" si="2"/>
        <v>0</v>
      </c>
      <c r="AC54" s="22">
        <f>AB54*Variables!$E$41</f>
        <v>0</v>
      </c>
      <c r="AD54" s="115">
        <f>ROUND(IF(D54&lt;50000,0,(H54/(3.14*Variables!$C$34^2))),0)</f>
        <v>523</v>
      </c>
      <c r="AE54" s="116">
        <f t="shared" si="10"/>
        <v>516</v>
      </c>
      <c r="AF54" s="117">
        <f t="shared" si="3"/>
        <v>7</v>
      </c>
      <c r="AG54" s="107">
        <f>AF54*Variables!$E$42*Variables!$C$15</f>
        <v>4742.808</v>
      </c>
      <c r="AH54" s="199">
        <f>ROUND((Z54)/Variables!$C$40,0)</f>
        <v>3</v>
      </c>
      <c r="AI54" s="33">
        <f t="shared" si="11"/>
        <v>3</v>
      </c>
      <c r="AJ54" s="199">
        <f t="shared" si="5"/>
        <v>0</v>
      </c>
      <c r="AK54" s="22">
        <f>AJ54*Variables!$E$43*Variables!$C$15</f>
        <v>0</v>
      </c>
      <c r="AL54" s="20">
        <f>Z54*Variables!$E$38*Variables!$C$15</f>
        <v>62335239.919321783</v>
      </c>
      <c r="AM54" s="98"/>
      <c r="AN54" s="200">
        <f t="shared" si="12"/>
        <v>0.19600000000000001</v>
      </c>
      <c r="AO54" s="201">
        <f t="shared" si="6"/>
        <v>53.992352670906584</v>
      </c>
      <c r="AP54" s="321">
        <f>VLOOKUP(A54,'Household Information'!H:Q,10,FALSE)</f>
        <v>137.82658084059071</v>
      </c>
      <c r="AQ54" s="122">
        <f>IF(12*(AO54-Variables!$C$3*AP54*F54)*(G54/5)&lt;0,0,12*(AO54-Variables!$C$3*AP54*F54)*(G54/5))</f>
        <v>0</v>
      </c>
      <c r="AS54" s="22"/>
    </row>
    <row r="55" spans="1:45" ht="14.25" customHeight="1" x14ac:dyDescent="0.35">
      <c r="A55" s="30">
        <v>10</v>
      </c>
      <c r="B55" s="28" t="s">
        <v>163</v>
      </c>
      <c r="C55" s="28">
        <v>2020</v>
      </c>
      <c r="D55" s="196">
        <f>Population!E11</f>
        <v>652606.03908196301</v>
      </c>
      <c r="E55" s="303" t="str">
        <f t="shared" si="4"/>
        <v>Medium</v>
      </c>
      <c r="F55" s="340">
        <f>VLOOKUP(A55,'Household Information'!$H$2:$M$49,6,FALSE)</f>
        <v>4.0714439771379274</v>
      </c>
      <c r="G55" s="196">
        <f t="shared" si="0"/>
        <v>160289</v>
      </c>
      <c r="H55" s="213">
        <f>Area!G11</f>
        <v>121.70385395537525</v>
      </c>
      <c r="I55" s="213"/>
      <c r="J55" s="32">
        <f>D55*Variables!$C$20</f>
        <v>587.34543517376665</v>
      </c>
      <c r="K55" s="202">
        <f t="shared" si="9"/>
        <v>718.84568000000002</v>
      </c>
      <c r="L55" s="32">
        <f t="shared" si="1"/>
        <v>0</v>
      </c>
      <c r="N55" s="117"/>
      <c r="O55" s="117"/>
      <c r="P55" s="117"/>
      <c r="Q55" s="117"/>
      <c r="R55" s="108"/>
      <c r="S55" s="198">
        <f>$L55*Variables!$C$21/100</f>
        <v>0</v>
      </c>
      <c r="T55" s="198">
        <f>$L55*Variables!$C$22/100</f>
        <v>0</v>
      </c>
      <c r="U55" s="198">
        <f>$L55*Variables!$C$23/100</f>
        <v>0</v>
      </c>
      <c r="V55" s="198">
        <f>$L55*Variables!$C$24/100</f>
        <v>0</v>
      </c>
      <c r="W55" s="22">
        <f>S55*Variables!$E$25*Variables!$C$15+'Cost Calculations'!T55*Variables!$E$26*Variables!$C$15+'Cost Calculations'!U55*Variables!$E$27*Variables!$C$15+V55*Variables!$E$28*Variables!$C$15</f>
        <v>0</v>
      </c>
      <c r="X55" s="20">
        <f>J55*Variables!$E$29*Variables!$C$15</f>
        <v>100400.82868860368</v>
      </c>
      <c r="Z55" s="33">
        <f>D55*(IF(D55&lt;50000,0,IF(D55&gt;Variables!$C$7,Variables!$C$37,IF(D55&gt;Variables!$C$6,Variables!$C$36,IF(D55&gt;Variables!$C$5,Variables!$C$35)))))</f>
        <v>326.3030195409815</v>
      </c>
      <c r="AA55" s="34">
        <f t="shared" si="8"/>
        <v>319</v>
      </c>
      <c r="AB55" s="35">
        <f t="shared" si="2"/>
        <v>7</v>
      </c>
      <c r="AC55" s="22">
        <f>AB55*Variables!$E$41</f>
        <v>2587200.0000000005</v>
      </c>
      <c r="AD55" s="115">
        <f>ROUND(IF(D55&lt;50000,0,(H55/(3.14*Variables!$C$34^2))),0)</f>
        <v>155</v>
      </c>
      <c r="AE55" s="116">
        <f t="shared" si="10"/>
        <v>153</v>
      </c>
      <c r="AF55" s="117">
        <f t="shared" si="3"/>
        <v>2</v>
      </c>
      <c r="AG55" s="107">
        <f>AF55*Variables!$E$42*Variables!$C$15</f>
        <v>1355.088</v>
      </c>
      <c r="AH55" s="199">
        <f>ROUND((Z55)/Variables!$C$40,0)</f>
        <v>3</v>
      </c>
      <c r="AI55" s="33">
        <f t="shared" si="11"/>
        <v>3</v>
      </c>
      <c r="AJ55" s="199">
        <f t="shared" si="5"/>
        <v>0</v>
      </c>
      <c r="AK55" s="22">
        <f>AJ55*Variables!$E$43*Variables!$C$15</f>
        <v>0</v>
      </c>
      <c r="AL55" s="20">
        <f>Z55*Variables!$E$38*Variables!$C$15</f>
        <v>57846513.414275974</v>
      </c>
      <c r="AM55" s="98"/>
      <c r="AN55" s="200">
        <f t="shared" si="12"/>
        <v>0.25221875000000005</v>
      </c>
      <c r="AO55" s="201">
        <f t="shared" si="6"/>
        <v>61.613670636525413</v>
      </c>
      <c r="AP55" s="321">
        <f>VLOOKUP(A55,'Household Information'!H:Q,10,FALSE)</f>
        <v>39.775337624637132</v>
      </c>
      <c r="AQ55" s="122">
        <f>IF(12*(AO55-Variables!$C$3*AP55*F55)*(G55/5)&lt;0,0,12*(AO55-Variables!$C$3*AP55*F55)*(G55/5))</f>
        <v>14357616.023058319</v>
      </c>
      <c r="AS55" s="22"/>
    </row>
    <row r="56" spans="1:45" ht="14.25" customHeight="1" x14ac:dyDescent="0.35">
      <c r="A56" s="30">
        <v>11</v>
      </c>
      <c r="B56" s="28" t="s">
        <v>164</v>
      </c>
      <c r="C56" s="28">
        <v>2020</v>
      </c>
      <c r="D56" s="196">
        <f>Population!E12</f>
        <v>254550.22250783932</v>
      </c>
      <c r="E56" s="303" t="str">
        <f t="shared" si="4"/>
        <v>Medium</v>
      </c>
      <c r="F56" s="340">
        <f>VLOOKUP(A56,'Household Information'!$H$2:$M$49,6,FALSE)</f>
        <v>4.5669760538732476</v>
      </c>
      <c r="G56" s="196">
        <f t="shared" si="0"/>
        <v>55737</v>
      </c>
      <c r="H56" s="213">
        <f>Area!G12</f>
        <v>156.09688737164038</v>
      </c>
      <c r="I56" s="213"/>
      <c r="J56" s="32">
        <f>D56*Variables!$C$20</f>
        <v>229.09520025705538</v>
      </c>
      <c r="K56" s="202">
        <f t="shared" si="9"/>
        <v>223.79134537174502</v>
      </c>
      <c r="L56" s="32">
        <f t="shared" si="1"/>
        <v>5.3038548853103578</v>
      </c>
      <c r="N56" s="117"/>
      <c r="O56" s="117"/>
      <c r="P56" s="117"/>
      <c r="Q56" s="117"/>
      <c r="R56" s="108"/>
      <c r="S56" s="198">
        <f>$L56*Variables!$C$21/100</f>
        <v>0.28799212046934064</v>
      </c>
      <c r="T56" s="198">
        <f>$L56*Variables!$C$22/100</f>
        <v>0.5039862108213462</v>
      </c>
      <c r="U56" s="198">
        <f>$L56*Variables!$C$23/100</f>
        <v>0.52798555419379123</v>
      </c>
      <c r="V56" s="198">
        <f>$L56*Variables!$C$24/100</f>
        <v>3.8398949395912094</v>
      </c>
      <c r="W56" s="22">
        <f>S56*Variables!$E$25*Variables!$C$15+'Cost Calculations'!T56*Variables!$E$26*Variables!$C$15+'Cost Calculations'!U56*Variables!$E$27*Variables!$C$15+V56*Variables!$E$28*Variables!$C$15</f>
        <v>3557516.8235214171</v>
      </c>
      <c r="X56" s="20">
        <f>J56*Variables!$E$29*Variables!$C$15</f>
        <v>39161.533531941051</v>
      </c>
      <c r="Z56" s="33">
        <f>D56*(IF(D56&lt;50000,0,IF(D56&gt;Variables!$C$7,Variables!$C$37,IF(D56&gt;Variables!$C$6,Variables!$C$36,IF(D56&gt;Variables!$C$5,Variables!$C$35)))))</f>
        <v>127.27511125391966</v>
      </c>
      <c r="AA56" s="34">
        <f t="shared" si="8"/>
        <v>124</v>
      </c>
      <c r="AB56" s="35">
        <f t="shared" si="2"/>
        <v>3</v>
      </c>
      <c r="AC56" s="22">
        <f>AB56*Variables!$E$41</f>
        <v>1108800.0000000002</v>
      </c>
      <c r="AD56" s="115">
        <f>ROUND(IF(D56&lt;50000,0,(H56/(3.14*Variables!$C$34^2))),0)</f>
        <v>199</v>
      </c>
      <c r="AE56" s="116">
        <f t="shared" si="10"/>
        <v>196</v>
      </c>
      <c r="AF56" s="117">
        <f t="shared" si="3"/>
        <v>3</v>
      </c>
      <c r="AG56" s="107">
        <f>AF56*Variables!$E$42*Variables!$C$15</f>
        <v>2032.6320000000001</v>
      </c>
      <c r="AH56" s="199">
        <f>ROUND((Z56)/Variables!$C$40,0)</f>
        <v>1</v>
      </c>
      <c r="AI56" s="33">
        <f t="shared" si="11"/>
        <v>1</v>
      </c>
      <c r="AJ56" s="199">
        <f t="shared" si="5"/>
        <v>0</v>
      </c>
      <c r="AK56" s="22">
        <f>AJ56*Variables!$E$43*Variables!$C$15</f>
        <v>0</v>
      </c>
      <c r="AL56" s="20">
        <f>Z56*Variables!$E$38*Variables!$C$15</f>
        <v>22563142.200799216</v>
      </c>
      <c r="AM56" s="98"/>
      <c r="AN56" s="200">
        <f t="shared" si="12"/>
        <v>0.315</v>
      </c>
      <c r="AO56" s="201">
        <f t="shared" si="6"/>
        <v>86.31584741820437</v>
      </c>
      <c r="AP56" s="321">
        <f>VLOOKUP(A56,'Household Information'!H:Q,10,FALSE)</f>
        <v>93.297993184399843</v>
      </c>
      <c r="AQ56" s="122">
        <f>IF(12*(AO56-Variables!$C$3*AP56*F56)*(G56/5)&lt;0,0,12*(AO56-Variables!$C$3*AP56*F56)*(G56/5))</f>
        <v>2996741.1359117944</v>
      </c>
      <c r="AS56" s="22"/>
    </row>
    <row r="57" spans="1:45" ht="14.25" customHeight="1" x14ac:dyDescent="0.35">
      <c r="A57" s="30">
        <v>12</v>
      </c>
      <c r="B57" s="28" t="s">
        <v>165</v>
      </c>
      <c r="C57" s="28">
        <v>2020</v>
      </c>
      <c r="D57" s="196">
        <f>Population!E13</f>
        <v>123821.09461951318</v>
      </c>
      <c r="E57" s="303" t="str">
        <f t="shared" si="4"/>
        <v>Medium</v>
      </c>
      <c r="F57" s="340">
        <f>VLOOKUP(A57,'Household Information'!$H$2:$M$49,6,FALSE)</f>
        <v>4.2184831531569431</v>
      </c>
      <c r="G57" s="196">
        <f t="shared" si="0"/>
        <v>29352</v>
      </c>
      <c r="H57" s="213">
        <f>Area!G13</f>
        <v>26.016147895273399</v>
      </c>
      <c r="I57" s="213"/>
      <c r="J57" s="32">
        <f>D57*Variables!$C$20</f>
        <v>111.43898515756186</v>
      </c>
      <c r="K57" s="202">
        <f t="shared" si="9"/>
        <v>108.85902623577402</v>
      </c>
      <c r="L57" s="32">
        <f t="shared" si="1"/>
        <v>2.5799589217878349</v>
      </c>
      <c r="N57" s="117"/>
      <c r="O57" s="117"/>
      <c r="P57" s="117"/>
      <c r="Q57" s="117"/>
      <c r="R57" s="108"/>
      <c r="S57" s="198">
        <f>$L57*Variables!$C$21/100</f>
        <v>0.14008826724639825</v>
      </c>
      <c r="T57" s="198">
        <f>$L57*Variables!$C$22/100</f>
        <v>0.24515446768119697</v>
      </c>
      <c r="U57" s="198">
        <f>$L57*Variables!$C$23/100</f>
        <v>0.25682848995173019</v>
      </c>
      <c r="V57" s="198">
        <f>$L57*Variables!$C$24/100</f>
        <v>1.8678435632853103</v>
      </c>
      <c r="W57" s="22">
        <f>S57*Variables!$E$25*Variables!$C$15+'Cost Calculations'!T57*Variables!$E$26*Variables!$C$15+'Cost Calculations'!U57*Variables!$E$27*Variables!$C$15+V57*Variables!$E$28*Variables!$C$15</f>
        <v>1730486.1212690077</v>
      </c>
      <c r="X57" s="20">
        <f>J57*Variables!$E$29*Variables!$C$15</f>
        <v>19049.380122833623</v>
      </c>
      <c r="Z57" s="33">
        <f>D57*(IF(D57&lt;50000,0,IF(D57&gt;Variables!$C$7,Variables!$C$37,IF(D57&gt;Variables!$C$6,Variables!$C$36,IF(D57&gt;Variables!$C$5,Variables!$C$35)))))</f>
        <v>61.910547309756595</v>
      </c>
      <c r="AA57" s="34">
        <f t="shared" si="8"/>
        <v>60</v>
      </c>
      <c r="AB57" s="35">
        <f t="shared" si="2"/>
        <v>2</v>
      </c>
      <c r="AC57" s="22">
        <f>AB57*Variables!$E$41</f>
        <v>739200.00000000012</v>
      </c>
      <c r="AD57" s="115">
        <f>ROUND(IF(D57&lt;50000,0,(H57/(3.14*Variables!$C$34^2))),0)</f>
        <v>33</v>
      </c>
      <c r="AE57" s="116">
        <f t="shared" si="10"/>
        <v>33</v>
      </c>
      <c r="AF57" s="117">
        <f t="shared" si="3"/>
        <v>0</v>
      </c>
      <c r="AG57" s="107">
        <f>AF57*Variables!$E$42*Variables!$C$15</f>
        <v>0</v>
      </c>
      <c r="AH57" s="199">
        <f>ROUND((Z57)/Variables!$C$40,0)</f>
        <v>0</v>
      </c>
      <c r="AI57" s="33">
        <f t="shared" si="11"/>
        <v>0</v>
      </c>
      <c r="AJ57" s="199">
        <f t="shared" si="5"/>
        <v>0</v>
      </c>
      <c r="AK57" s="22">
        <f>AJ57*Variables!$E$43*Variables!$C$15</f>
        <v>0</v>
      </c>
      <c r="AL57" s="20">
        <f>Z57*Variables!$E$38*Variables!$C$15</f>
        <v>10975409.637572212</v>
      </c>
      <c r="AM57" s="98"/>
      <c r="AN57" s="200">
        <f t="shared" si="12"/>
        <v>0.28000000000000003</v>
      </c>
      <c r="AO57" s="201">
        <f t="shared" si="6"/>
        <v>70.870516973036644</v>
      </c>
      <c r="AP57" s="321">
        <f>VLOOKUP(A57,'Household Information'!H:Q,10,FALSE)</f>
        <v>108.65462509082352</v>
      </c>
      <c r="AQ57" s="122">
        <f>IF(12*(AO57-Variables!$C$3*AP57*F57)*(G57/5)&lt;0,0,12*(AO57-Variables!$C$3*AP57*F57)*(G57/5))</f>
        <v>149121.86064266067</v>
      </c>
      <c r="AS57" s="22"/>
    </row>
    <row r="58" spans="1:45" ht="14.25" customHeight="1" x14ac:dyDescent="0.35">
      <c r="A58" s="30">
        <v>13</v>
      </c>
      <c r="B58" s="28" t="s">
        <v>166</v>
      </c>
      <c r="C58" s="28">
        <v>2020</v>
      </c>
      <c r="D58" s="196">
        <f>Population!E14</f>
        <v>8311604.8755428735</v>
      </c>
      <c r="E58" s="303" t="str">
        <f t="shared" si="4"/>
        <v>Large</v>
      </c>
      <c r="F58" s="340">
        <f>VLOOKUP(A58,'Household Information'!$H$2:$M$49,6,FALSE)</f>
        <v>4.33</v>
      </c>
      <c r="G58" s="196">
        <f t="shared" si="0"/>
        <v>1919539</v>
      </c>
      <c r="H58" s="213">
        <f>Area!G14</f>
        <v>858.17968884547497</v>
      </c>
      <c r="I58" s="213"/>
      <c r="J58" s="32">
        <f>D58*Variables!$C$20</f>
        <v>7480.4443879885857</v>
      </c>
      <c r="K58" s="202">
        <f t="shared" si="9"/>
        <v>7307.2622721388943</v>
      </c>
      <c r="L58" s="32">
        <f t="shared" si="1"/>
        <v>173.1821158496914</v>
      </c>
      <c r="N58" s="117"/>
      <c r="O58" s="117"/>
      <c r="P58" s="117"/>
      <c r="Q58" s="117"/>
      <c r="R58" s="108"/>
      <c r="S58" s="198">
        <f>$L58*Variables!$C$21/100</f>
        <v>9.4035538017931977</v>
      </c>
      <c r="T58" s="198">
        <f>$L58*Variables!$C$22/100</f>
        <v>16.456219153138097</v>
      </c>
      <c r="U58" s="198">
        <f>$L58*Variables!$C$23/100</f>
        <v>17.239848636620863</v>
      </c>
      <c r="V58" s="198">
        <f>$L58*Variables!$C$24/100</f>
        <v>125.38071735724264</v>
      </c>
      <c r="W58" s="22">
        <f>S58*Variables!$E$25*Variables!$C$15+'Cost Calculations'!T58*Variables!$E$26*Variables!$C$15+'Cost Calculations'!U58*Variables!$E$27*Variables!$C$15+V58*Variables!$E$28*Variables!$C$15</f>
        <v>116160472.71102156</v>
      </c>
      <c r="X58" s="20">
        <f>J58*Variables!$E$29*Variables!$C$15</f>
        <v>1278707.1636827688</v>
      </c>
      <c r="Z58" s="33">
        <f>D58*(IF(D58&lt;50000,0,IF(D58&gt;Variables!$C$7,Variables!$C$37,IF(D58&gt;Variables!$C$6,Variables!$C$36,IF(D58&gt;Variables!$C$5,Variables!$C$35)))))</f>
        <v>4155.8024377714364</v>
      </c>
      <c r="AA58" s="34">
        <f t="shared" si="8"/>
        <v>4060</v>
      </c>
      <c r="AB58" s="35">
        <f t="shared" si="2"/>
        <v>96</v>
      </c>
      <c r="AC58" s="22">
        <f>AB58*Variables!$E$41</f>
        <v>35481600.000000007</v>
      </c>
      <c r="AD58" s="115">
        <f>ROUND(IF(D58&lt;50000,0,(H58/(3.14*Variables!$C$34^2))),0)</f>
        <v>1093</v>
      </c>
      <c r="AE58" s="116">
        <f t="shared" si="10"/>
        <v>1082</v>
      </c>
      <c r="AF58" s="117">
        <f t="shared" si="3"/>
        <v>11</v>
      </c>
      <c r="AG58" s="107">
        <f>AF58*Variables!$E$42*Variables!$C$15</f>
        <v>7452.9840000000004</v>
      </c>
      <c r="AH58" s="199">
        <f>ROUND((Z58)/Variables!$C$40,0)</f>
        <v>33</v>
      </c>
      <c r="AI58" s="33">
        <f t="shared" si="11"/>
        <v>32</v>
      </c>
      <c r="AJ58" s="199">
        <f t="shared" si="5"/>
        <v>1</v>
      </c>
      <c r="AK58" s="22">
        <f>AJ58*Variables!$E$43*Variables!$C$15</f>
        <v>552717.39600000007</v>
      </c>
      <c r="AL58" s="20">
        <f>Z58*Variables!$E$38*Variables!$C$15</f>
        <v>736734467.86303401</v>
      </c>
      <c r="AM58" s="98"/>
      <c r="AN58" s="200">
        <f t="shared" si="12"/>
        <v>0.28000000000000003</v>
      </c>
      <c r="AO58" s="201">
        <f t="shared" si="6"/>
        <v>72.744</v>
      </c>
      <c r="AP58" s="321">
        <f>VLOOKUP(A58,'Household Information'!H:Q,10,FALSE)</f>
        <v>139.85863940426606</v>
      </c>
      <c r="AQ58" s="122">
        <f>IF(12*(AO58-Variables!$C$3*AP58*F58)*(G58/5)&lt;0,0,12*(AO58-Variables!$C$3*AP58*F58)*(G58/5))</f>
        <v>0</v>
      </c>
      <c r="AS58" s="22"/>
    </row>
    <row r="59" spans="1:45" ht="14.25" customHeight="1" x14ac:dyDescent="0.35">
      <c r="A59" s="30">
        <v>14</v>
      </c>
      <c r="B59" s="28" t="s">
        <v>167</v>
      </c>
      <c r="C59" s="28">
        <v>2020</v>
      </c>
      <c r="D59" s="196">
        <f>Population!E15</f>
        <v>331194.20341844397</v>
      </c>
      <c r="E59" s="303" t="str">
        <f t="shared" si="4"/>
        <v>Medium</v>
      </c>
      <c r="F59" s="340">
        <f>VLOOKUP(A59,'Household Information'!$H$2:$M$49,6,FALSE)</f>
        <v>4.6437746693442286</v>
      </c>
      <c r="G59" s="196">
        <f t="shared" si="0"/>
        <v>71320</v>
      </c>
      <c r="H59" s="213">
        <f>Area!G15</f>
        <v>41.078128255694836</v>
      </c>
      <c r="I59" s="213"/>
      <c r="J59" s="32">
        <f>D59*Variables!$C$20</f>
        <v>298.07478307659954</v>
      </c>
      <c r="K59" s="202">
        <f t="shared" si="9"/>
        <v>291.17396021939982</v>
      </c>
      <c r="L59" s="32">
        <f t="shared" si="1"/>
        <v>6.9008228571997279</v>
      </c>
      <c r="N59" s="117"/>
      <c r="O59" s="117"/>
      <c r="P59" s="117"/>
      <c r="Q59" s="117"/>
      <c r="R59" s="108"/>
      <c r="S59" s="198">
        <f>$L59*Variables!$C$21/100</f>
        <v>0.37470531351310732</v>
      </c>
      <c r="T59" s="198">
        <f>$L59*Variables!$C$22/100</f>
        <v>0.65573429864793797</v>
      </c>
      <c r="U59" s="198">
        <f>$L59*Variables!$C$23/100</f>
        <v>0.68695974144069694</v>
      </c>
      <c r="V59" s="198">
        <f>$L59*Variables!$C$24/100</f>
        <v>4.9960708468414312</v>
      </c>
      <c r="W59" s="22">
        <f>S59*Variables!$E$25*Variables!$C$15+'Cost Calculations'!T59*Variables!$E$26*Variables!$C$15+'Cost Calculations'!U59*Variables!$E$27*Variables!$C$15+V59*Variables!$E$28*Variables!$C$15</f>
        <v>4628669.890389096</v>
      </c>
      <c r="X59" s="20">
        <f>J59*Variables!$E$29*Variables!$C$15</f>
        <v>50952.903419113929</v>
      </c>
      <c r="Z59" s="33">
        <f>D59*(IF(D59&lt;50000,0,IF(D59&gt;Variables!$C$7,Variables!$C$37,IF(D59&gt;Variables!$C$6,Variables!$C$36,IF(D59&gt;Variables!$C$5,Variables!$C$35)))))</f>
        <v>165.59710170922199</v>
      </c>
      <c r="AA59" s="34">
        <f t="shared" si="8"/>
        <v>162</v>
      </c>
      <c r="AB59" s="35">
        <f t="shared" si="2"/>
        <v>4</v>
      </c>
      <c r="AC59" s="22">
        <f>AB59*Variables!$E$41</f>
        <v>1478400.0000000002</v>
      </c>
      <c r="AD59" s="115">
        <f>ROUND(IF(D59&lt;50000,0,(H59/(3.14*Variables!$C$34^2))),0)</f>
        <v>52</v>
      </c>
      <c r="AE59" s="116">
        <f t="shared" si="10"/>
        <v>52</v>
      </c>
      <c r="AF59" s="117">
        <f t="shared" si="3"/>
        <v>0</v>
      </c>
      <c r="AG59" s="107">
        <f>AF59*Variables!$E$42*Variables!$C$15</f>
        <v>0</v>
      </c>
      <c r="AH59" s="199">
        <f>ROUND((Z59)/Variables!$C$40,0)</f>
        <v>1</v>
      </c>
      <c r="AI59" s="33">
        <f t="shared" si="11"/>
        <v>1</v>
      </c>
      <c r="AJ59" s="199">
        <f t="shared" si="5"/>
        <v>0</v>
      </c>
      <c r="AK59" s="22">
        <f>AJ59*Variables!$E$43*Variables!$C$15</f>
        <v>0</v>
      </c>
      <c r="AL59" s="20">
        <f>Z59*Variables!$E$38*Variables!$C$15</f>
        <v>29356807.604364343</v>
      </c>
      <c r="AM59" s="98"/>
      <c r="AN59" s="200">
        <f t="shared" si="12"/>
        <v>0.21</v>
      </c>
      <c r="AO59" s="201">
        <f t="shared" si="6"/>
        <v>58.511560833737278</v>
      </c>
      <c r="AP59" s="321">
        <f>VLOOKUP(A59,'Household Information'!H:Q,10,FALSE)</f>
        <v>108.65462509082352</v>
      </c>
      <c r="AQ59" s="122">
        <f>IF(12*(AO59-Variables!$C$3*AP59*F59)*(G59/5)&lt;0,0,12*(AO59-Variables!$C$3*AP59*F59)*(G59/5))</f>
        <v>0</v>
      </c>
      <c r="AS59" s="22"/>
    </row>
    <row r="60" spans="1:45" ht="14.25" customHeight="1" x14ac:dyDescent="0.35">
      <c r="A60" s="30">
        <v>15</v>
      </c>
      <c r="B60" s="28" t="s">
        <v>168</v>
      </c>
      <c r="C60" s="28">
        <v>2020</v>
      </c>
      <c r="D60" s="196">
        <f>Population!E16</f>
        <v>73451.099045877185</v>
      </c>
      <c r="E60" s="303" t="str">
        <f t="shared" si="4"/>
        <v>Small</v>
      </c>
      <c r="F60" s="340">
        <f>VLOOKUP(A60,'Household Information'!$H$2:$M$49,6,FALSE)</f>
        <v>4.4181210545859635</v>
      </c>
      <c r="G60" s="196">
        <f t="shared" si="0"/>
        <v>16625</v>
      </c>
      <c r="H60" s="213">
        <f>Area!G16</f>
        <v>228.66824729003457</v>
      </c>
      <c r="I60" s="213"/>
      <c r="J60" s="32">
        <f>D60*Variables!$C$20</f>
        <v>66.10598914128947</v>
      </c>
      <c r="K60" s="202">
        <f t="shared" si="9"/>
        <v>64.575548638555688</v>
      </c>
      <c r="L60" s="32">
        <f t="shared" si="1"/>
        <v>1.5304405027337822</v>
      </c>
      <c r="N60" s="117"/>
      <c r="O60" s="117"/>
      <c r="P60" s="117"/>
      <c r="Q60" s="117"/>
      <c r="R60" s="108"/>
      <c r="S60" s="198">
        <f>$L60*Variables!$C$21/100</f>
        <v>8.3100841777399931E-2</v>
      </c>
      <c r="T60" s="198">
        <f>$L60*Variables!$C$22/100</f>
        <v>0.1454264731104499</v>
      </c>
      <c r="U60" s="198">
        <f>$L60*Variables!$C$23/100</f>
        <v>0.15235154325856656</v>
      </c>
      <c r="V60" s="198">
        <f>$L60*Variables!$C$24/100</f>
        <v>1.1080112236986657</v>
      </c>
      <c r="W60" s="22">
        <f>S60*Variables!$E$25*Variables!$C$15+'Cost Calculations'!T60*Variables!$E$26*Variables!$C$15+'Cost Calculations'!U60*Variables!$E$27*Variables!$C$15+V60*Variables!$E$28*Variables!$C$15</f>
        <v>1026530.3168367913</v>
      </c>
      <c r="X60" s="20">
        <f>J60*Variables!$E$29*Variables!$C$15</f>
        <v>11300.157783812023</v>
      </c>
      <c r="Z60" s="33">
        <f>D60*(IF(D60&lt;50000,0,IF(D60&gt;Variables!$C$7,Variables!$C$37,IF(D60&gt;Variables!$C$6,Variables!$C$36,IF(D60&gt;Variables!$C$5,Variables!$C$35)))))</f>
        <v>36.725549522938593</v>
      </c>
      <c r="AA60" s="34">
        <f t="shared" si="8"/>
        <v>36</v>
      </c>
      <c r="AB60" s="35">
        <f t="shared" si="2"/>
        <v>1</v>
      </c>
      <c r="AC60" s="22">
        <f>AB60*Variables!$E$41</f>
        <v>369600.00000000006</v>
      </c>
      <c r="AD60" s="115">
        <f>ROUND(IF(D60&lt;50000,0,(H60/(3.14*Variables!$C$34^2))),0)</f>
        <v>291</v>
      </c>
      <c r="AE60" s="116">
        <f t="shared" si="10"/>
        <v>287</v>
      </c>
      <c r="AF60" s="117">
        <f t="shared" si="3"/>
        <v>4</v>
      </c>
      <c r="AG60" s="107">
        <f>AF60*Variables!$E$42*Variables!$C$15</f>
        <v>2710.1759999999999</v>
      </c>
      <c r="AH60" s="199">
        <f>ROUND((Z60)/Variables!$C$40,0)</f>
        <v>0</v>
      </c>
      <c r="AI60" s="33">
        <f t="shared" si="11"/>
        <v>0</v>
      </c>
      <c r="AJ60" s="199">
        <f t="shared" si="5"/>
        <v>0</v>
      </c>
      <c r="AK60" s="22">
        <f>AJ60*Variables!$E$43*Variables!$C$15</f>
        <v>0</v>
      </c>
      <c r="AL60" s="20">
        <f>Z60*Variables!$E$38*Variables!$C$15</f>
        <v>6510650.7322973385</v>
      </c>
      <c r="AM60" s="98"/>
      <c r="AN60" s="200">
        <f t="shared" si="12"/>
        <v>0.28000000000000003</v>
      </c>
      <c r="AO60" s="201">
        <f t="shared" si="6"/>
        <v>74.224433717044192</v>
      </c>
      <c r="AP60" s="321">
        <f>VLOOKUP(A60,'Household Information'!H:Q,10,FALSE)</f>
        <v>119.4497033951786</v>
      </c>
      <c r="AQ60" s="122">
        <f>IF(12*(AO60-Variables!$C$3*AP60*F60)*(G60/5)&lt;0,0,12*(AO60-Variables!$C$3*AP60*F60)*(G60/5))</f>
        <v>0</v>
      </c>
      <c r="AS60" s="22"/>
    </row>
    <row r="61" spans="1:45" ht="14.25" customHeight="1" x14ac:dyDescent="0.35">
      <c r="A61" s="30">
        <v>16</v>
      </c>
      <c r="B61" s="28" t="s">
        <v>169</v>
      </c>
      <c r="C61" s="28">
        <v>2020</v>
      </c>
      <c r="D61" s="196">
        <f>Population!E17</f>
        <v>3761035.8080834826</v>
      </c>
      <c r="E61" s="303" t="str">
        <f t="shared" si="4"/>
        <v>Large</v>
      </c>
      <c r="F61" s="340">
        <f>VLOOKUP(A61,'Household Information'!$H$2:$M$49,6,FALSE)</f>
        <v>5.0811133147736394</v>
      </c>
      <c r="G61" s="196">
        <f t="shared" si="0"/>
        <v>740199</v>
      </c>
      <c r="H61" s="213">
        <f>Area!G17</f>
        <v>429.20049756054078</v>
      </c>
      <c r="I61" s="213"/>
      <c r="J61" s="32">
        <f>D61*Variables!$C$20</f>
        <v>3384.9322272751342</v>
      </c>
      <c r="K61" s="202">
        <f t="shared" si="9"/>
        <v>3306.5665988816395</v>
      </c>
      <c r="L61" s="32">
        <f t="shared" si="1"/>
        <v>78.365628393494717</v>
      </c>
      <c r="N61" s="117"/>
      <c r="O61" s="117"/>
      <c r="P61" s="117"/>
      <c r="Q61" s="117"/>
      <c r="R61" s="108"/>
      <c r="S61" s="198">
        <f>$L61*Variables!$C$21/100</f>
        <v>4.2551472430856849</v>
      </c>
      <c r="T61" s="198">
        <f>$L61*Variables!$C$22/100</f>
        <v>7.4465076753999506</v>
      </c>
      <c r="U61" s="198">
        <f>$L61*Variables!$C$23/100</f>
        <v>7.801103278990424</v>
      </c>
      <c r="V61" s="198">
        <f>$L61*Variables!$C$24/100</f>
        <v>56.735296574475818</v>
      </c>
      <c r="W61" s="22">
        <f>S61*Variables!$E$25*Variables!$C$15+'Cost Calculations'!T61*Variables!$E$26*Variables!$C$15+'Cost Calculations'!U61*Variables!$E$27*Variables!$C$15+V61*Variables!$E$28*Variables!$C$15</f>
        <v>52563097.487417728</v>
      </c>
      <c r="X61" s="20">
        <f>J61*Variables!$E$29*Variables!$C$15</f>
        <v>578620.3149304114</v>
      </c>
      <c r="Z61" s="33">
        <f>D61*(IF(D61&lt;50000,0,IF(D61&gt;Variables!$C$7,Variables!$C$37,IF(D61&gt;Variables!$C$6,Variables!$C$36,IF(D61&gt;Variables!$C$5,Variables!$C$35)))))</f>
        <v>1880.5179040417413</v>
      </c>
      <c r="AA61" s="34">
        <f t="shared" si="8"/>
        <v>3249</v>
      </c>
      <c r="AB61" s="35">
        <f t="shared" si="2"/>
        <v>0</v>
      </c>
      <c r="AC61" s="22">
        <f>AB61*Variables!$E$41</f>
        <v>0</v>
      </c>
      <c r="AD61" s="115">
        <f>ROUND(IF(D61&lt;50000,0,(H61/(3.14*Variables!$C$34^2))),0)</f>
        <v>547</v>
      </c>
      <c r="AE61" s="116">
        <f t="shared" si="10"/>
        <v>566</v>
      </c>
      <c r="AF61" s="117">
        <f t="shared" si="3"/>
        <v>0</v>
      </c>
      <c r="AG61" s="107">
        <f>AF61*Variables!$E$42*Variables!$C$15</f>
        <v>0</v>
      </c>
      <c r="AH61" s="199">
        <f>ROUND((Z61)/Variables!$C$40,0)</f>
        <v>15</v>
      </c>
      <c r="AI61" s="33">
        <f t="shared" si="11"/>
        <v>15</v>
      </c>
      <c r="AJ61" s="199">
        <f t="shared" si="5"/>
        <v>0</v>
      </c>
      <c r="AK61" s="22">
        <f>AJ61*Variables!$E$43*Variables!$C$15</f>
        <v>0</v>
      </c>
      <c r="AL61" s="20">
        <f>Z61*Variables!$E$38*Variables!$C$15</f>
        <v>333375413.79470599</v>
      </c>
      <c r="AM61" s="98"/>
      <c r="AN61" s="200">
        <f t="shared" si="12"/>
        <v>0.21</v>
      </c>
      <c r="AO61" s="201">
        <f t="shared" si="6"/>
        <v>64.022027766147858</v>
      </c>
      <c r="AP61" s="321">
        <f>VLOOKUP(A61,'Household Information'!H:Q,10,FALSE)</f>
        <v>125.45752871387103</v>
      </c>
      <c r="AQ61" s="122">
        <f>IF(12*(AO61-Variables!$C$3*AP61*F61)*(G61/5)&lt;0,0,12*(AO61-Variables!$C$3*AP61*F61)*(G61/5))</f>
        <v>0</v>
      </c>
      <c r="AS61" s="22"/>
    </row>
    <row r="62" spans="1:45" ht="14.25" customHeight="1" x14ac:dyDescent="0.35">
      <c r="A62" s="30">
        <v>17</v>
      </c>
      <c r="B62" s="28" t="s">
        <v>170</v>
      </c>
      <c r="C62" s="28">
        <v>2020</v>
      </c>
      <c r="D62" s="196">
        <f>Population!E18</f>
        <v>13840.760132867426</v>
      </c>
      <c r="E62" s="303" t="str">
        <f t="shared" si="4"/>
        <v>Small</v>
      </c>
      <c r="F62" s="340">
        <f>VLOOKUP(A62,'Household Information'!$H$2:$M$49,6,FALSE)</f>
        <v>4.9910952804986639</v>
      </c>
      <c r="G62" s="196">
        <f t="shared" si="0"/>
        <v>2773</v>
      </c>
      <c r="H62" s="213">
        <f>Area!G18</f>
        <v>2.6470588235294117</v>
      </c>
      <c r="I62" s="213"/>
      <c r="J62" s="32">
        <f>D62*Variables!$C$20</f>
        <v>12.456684119580684</v>
      </c>
      <c r="K62" s="202">
        <f t="shared" si="9"/>
        <v>12.168295515854922</v>
      </c>
      <c r="L62" s="32">
        <f t="shared" si="1"/>
        <v>0.28838860372576214</v>
      </c>
      <c r="N62" s="117"/>
      <c r="O62" s="117"/>
      <c r="P62" s="117"/>
      <c r="Q62" s="117"/>
      <c r="R62" s="108"/>
      <c r="S62" s="198">
        <f>$L62*Variables!$C$21/100</f>
        <v>1.5659109704566267E-2</v>
      </c>
      <c r="T62" s="198">
        <f>$L62*Variables!$C$22/100</f>
        <v>2.740344198299097E-2</v>
      </c>
      <c r="U62" s="198">
        <f>$L62*Variables!$C$23/100</f>
        <v>2.8708367791704829E-2</v>
      </c>
      <c r="V62" s="198">
        <f>$L62*Variables!$C$24/100</f>
        <v>0.20878812939421693</v>
      </c>
      <c r="W62" s="22">
        <f>S62*Variables!$E$25*Variables!$C$15+'Cost Calculations'!T62*Variables!$E$26*Variables!$C$15+'Cost Calculations'!U62*Variables!$E$27*Variables!$C$15+V62*Variables!$E$28*Variables!$C$15</f>
        <v>193434.27217583387</v>
      </c>
      <c r="X62" s="20">
        <f>J62*Variables!$E$29*Variables!$C$15</f>
        <v>2129.345583401122</v>
      </c>
      <c r="Z62" s="33">
        <f>D62*(IF(D62&lt;50000,0,IF(D62&gt;Variables!$C$7,Variables!$C$37,IF(D62&gt;Variables!$C$6,Variables!$C$36,IF(D62&gt;Variables!$C$5,Variables!$C$35)))))</f>
        <v>0</v>
      </c>
      <c r="AA62" s="34">
        <f t="shared" si="8"/>
        <v>0</v>
      </c>
      <c r="AB62" s="35">
        <f t="shared" si="2"/>
        <v>0</v>
      </c>
      <c r="AC62" s="22">
        <f>AB62*Variables!$E$41</f>
        <v>0</v>
      </c>
      <c r="AD62" s="115">
        <f>ROUND(IF(D62&lt;50000,0,(H62/(3.14*Variables!$C$34^2))),0)</f>
        <v>0</v>
      </c>
      <c r="AE62" s="116">
        <f t="shared" si="10"/>
        <v>0</v>
      </c>
      <c r="AF62" s="117">
        <f t="shared" si="3"/>
        <v>0</v>
      </c>
      <c r="AG62" s="107">
        <f>AF62*Variables!$E$42*Variables!$C$15</f>
        <v>0</v>
      </c>
      <c r="AH62" s="199">
        <f>ROUND((Z62)/Variables!$C$40,0)</f>
        <v>0</v>
      </c>
      <c r="AI62" s="33">
        <f t="shared" si="11"/>
        <v>0</v>
      </c>
      <c r="AJ62" s="199">
        <f t="shared" si="5"/>
        <v>0</v>
      </c>
      <c r="AK62" s="22">
        <f>AJ62*Variables!$E$43*Variables!$C$15</f>
        <v>0</v>
      </c>
      <c r="AL62" s="20">
        <f>Z62*Variables!$E$38*Variables!$C$15</f>
        <v>0</v>
      </c>
      <c r="AM62" s="98"/>
      <c r="AN62" s="200">
        <f t="shared" si="12"/>
        <v>0.25221875000000005</v>
      </c>
      <c r="AO62" s="201">
        <f t="shared" si="6"/>
        <v>75.530868766696358</v>
      </c>
      <c r="AP62" s="321">
        <f>VLOOKUP(A62,'Household Information'!H:Q,10,FALSE)</f>
        <v>108.65462509082352</v>
      </c>
      <c r="AQ62" s="122">
        <f>IF(12*(AO62-Variables!$C$3*AP62*F62)*(G62/5)&lt;0,0,12*(AO62-Variables!$C$3*AP62*F62)*(G62/5))</f>
        <v>0</v>
      </c>
      <c r="AS62" s="22"/>
    </row>
    <row r="63" spans="1:45" ht="14.25" customHeight="1" x14ac:dyDescent="0.35">
      <c r="A63" s="30">
        <v>18</v>
      </c>
      <c r="B63" s="28" t="s">
        <v>171</v>
      </c>
      <c r="C63" s="28">
        <v>2020</v>
      </c>
      <c r="D63" s="196">
        <f>Population!E19</f>
        <v>122281.44895620491</v>
      </c>
      <c r="E63" s="303" t="str">
        <f t="shared" si="4"/>
        <v>Medium</v>
      </c>
      <c r="F63" s="340">
        <f>VLOOKUP(A63,'Household Information'!$H$2:$M$49,6,FALSE)</f>
        <v>4.4388221584797423</v>
      </c>
      <c r="G63" s="196">
        <f t="shared" si="0"/>
        <v>27548</v>
      </c>
      <c r="H63" s="213">
        <f>Area!G19</f>
        <v>27.385418837129897</v>
      </c>
      <c r="I63" s="213"/>
      <c r="J63" s="32">
        <f>D63*Variables!$C$20</f>
        <v>110.05330406058442</v>
      </c>
      <c r="K63" s="202">
        <f t="shared" si="9"/>
        <v>107.50542547678462</v>
      </c>
      <c r="L63" s="32">
        <f t="shared" si="1"/>
        <v>2.5478785837998004</v>
      </c>
      <c r="N63" s="117"/>
      <c r="O63" s="117"/>
      <c r="P63" s="117"/>
      <c r="Q63" s="117"/>
      <c r="R63" s="108"/>
      <c r="S63" s="198">
        <f>$L63*Variables!$C$21/100</f>
        <v>0.13834634844161811</v>
      </c>
      <c r="T63" s="198">
        <f>$L63*Variables!$C$22/100</f>
        <v>0.2421061097728317</v>
      </c>
      <c r="U63" s="198">
        <f>$L63*Variables!$C$23/100</f>
        <v>0.25363497214296654</v>
      </c>
      <c r="V63" s="198">
        <f>$L63*Variables!$C$24/100</f>
        <v>1.8446179792215751</v>
      </c>
      <c r="W63" s="22">
        <f>S63*Variables!$E$25*Variables!$C$15+'Cost Calculations'!T63*Variables!$E$26*Variables!$C$15+'Cost Calculations'!U63*Variables!$E$27*Variables!$C$15+V63*Variables!$E$28*Variables!$C$15</f>
        <v>1708968.4997343817</v>
      </c>
      <c r="X63" s="20">
        <f>J63*Variables!$E$29*Variables!$C$15</f>
        <v>18812.511796116301</v>
      </c>
      <c r="Z63" s="33">
        <f>D63*(IF(D63&lt;50000,0,IF(D63&gt;Variables!$C$7,Variables!$C$37,IF(D63&gt;Variables!$C$6,Variables!$C$36,IF(D63&gt;Variables!$C$5,Variables!$C$35)))))</f>
        <v>61.140724478102456</v>
      </c>
      <c r="AA63" s="34">
        <f t="shared" si="8"/>
        <v>94</v>
      </c>
      <c r="AB63" s="35">
        <f t="shared" si="2"/>
        <v>0</v>
      </c>
      <c r="AC63" s="22">
        <f>AB63*Variables!$E$41</f>
        <v>0</v>
      </c>
      <c r="AD63" s="115">
        <f>ROUND(IF(D63&lt;50000,0,(H63/(3.14*Variables!$C$34^2))),0)</f>
        <v>35</v>
      </c>
      <c r="AE63" s="116">
        <f t="shared" si="10"/>
        <v>34</v>
      </c>
      <c r="AF63" s="117">
        <f t="shared" si="3"/>
        <v>1</v>
      </c>
      <c r="AG63" s="107">
        <f>AF63*Variables!$E$42*Variables!$C$15</f>
        <v>677.54399999999998</v>
      </c>
      <c r="AH63" s="199">
        <f>ROUND((Z63)/Variables!$C$40,0)</f>
        <v>0</v>
      </c>
      <c r="AI63" s="33">
        <f t="shared" si="11"/>
        <v>0</v>
      </c>
      <c r="AJ63" s="199">
        <f t="shared" si="5"/>
        <v>0</v>
      </c>
      <c r="AK63" s="22">
        <f>AJ63*Variables!$E$43*Variables!$C$15</f>
        <v>0</v>
      </c>
      <c r="AL63" s="20">
        <f>Z63*Variables!$E$38*Variables!$C$15</f>
        <v>10838936.59230116</v>
      </c>
      <c r="AM63" s="98"/>
      <c r="AN63" s="200">
        <f t="shared" si="12"/>
        <v>0.25221875000000005</v>
      </c>
      <c r="AO63" s="201">
        <f t="shared" si="6"/>
        <v>67.17325057704376</v>
      </c>
      <c r="AP63" s="321">
        <f>VLOOKUP(A63,'Household Information'!H:Q,10,FALSE)</f>
        <v>98.76688123185663</v>
      </c>
      <c r="AQ63" s="122">
        <f>IF(12*(AO63-Variables!$C$3*AP63*F63)*(G63/5)&lt;0,0,12*(AO63-Variables!$C$3*AP63*F63)*(G63/5))</f>
        <v>93351.848316160118</v>
      </c>
      <c r="AS63" s="22"/>
    </row>
    <row r="64" spans="1:45" ht="14.25" customHeight="1" x14ac:dyDescent="0.35">
      <c r="A64" s="30">
        <v>19</v>
      </c>
      <c r="B64" s="28" t="s">
        <v>172</v>
      </c>
      <c r="C64" s="28">
        <v>2020</v>
      </c>
      <c r="D64" s="196">
        <f>Population!E20</f>
        <v>5551977.0780467587</v>
      </c>
      <c r="E64" s="303" t="str">
        <f t="shared" si="4"/>
        <v>Large</v>
      </c>
      <c r="F64" s="340">
        <f>VLOOKUP(A64,'Household Information'!$H$2:$M$49,6,FALSE)</f>
        <v>4.3873267195354213</v>
      </c>
      <c r="G64" s="196">
        <f t="shared" si="0"/>
        <v>1265458</v>
      </c>
      <c r="H64" s="213">
        <f>Area!G20</f>
        <v>1142.6982802164819</v>
      </c>
      <c r="I64" s="213"/>
      <c r="J64" s="32">
        <f>D64*Variables!$C$20</f>
        <v>4996.7793702420822</v>
      </c>
      <c r="K64" s="202">
        <f t="shared" si="9"/>
        <v>4901.3964599999999</v>
      </c>
      <c r="L64" s="32">
        <f t="shared" si="1"/>
        <v>95.382910242082289</v>
      </c>
      <c r="N64" s="117"/>
      <c r="O64" s="117"/>
      <c r="P64" s="117"/>
      <c r="Q64" s="117"/>
      <c r="R64" s="108"/>
      <c r="S64" s="198">
        <f>$L64*Variables!$C$21/100</f>
        <v>5.1791625470813907</v>
      </c>
      <c r="T64" s="198">
        <f>$L64*Variables!$C$22/100</f>
        <v>9.0635344573924357</v>
      </c>
      <c r="U64" s="198">
        <f>$L64*Variables!$C$23/100</f>
        <v>9.4951313363158842</v>
      </c>
      <c r="V64" s="198">
        <f>$L64*Variables!$C$24/100</f>
        <v>69.055500627751883</v>
      </c>
      <c r="W64" s="22">
        <f>S64*Variables!$E$25*Variables!$C$15+'Cost Calculations'!T64*Variables!$E$26*Variables!$C$15+'Cost Calculations'!U64*Variables!$E$27*Variables!$C$15+V64*Variables!$E$28*Variables!$C$15</f>
        <v>63977298.62527813</v>
      </c>
      <c r="X64" s="20">
        <f>J64*Variables!$E$29*Variables!$C$15</f>
        <v>854149.46554918156</v>
      </c>
      <c r="Z64" s="33">
        <f>D64*(IF(D64&lt;50000,0,IF(D64&gt;Variables!$C$7,Variables!$C$37,IF(D64&gt;Variables!$C$6,Variables!$C$36,IF(D64&gt;Variables!$C$5,Variables!$C$35)))))</f>
        <v>2775.9885390233794</v>
      </c>
      <c r="AA64" s="34">
        <f t="shared" si="8"/>
        <v>5267</v>
      </c>
      <c r="AB64" s="35">
        <f t="shared" si="2"/>
        <v>0</v>
      </c>
      <c r="AC64" s="22">
        <f>AB64*Variables!$E$41</f>
        <v>0</v>
      </c>
      <c r="AD64" s="115">
        <f>ROUND(IF(D64&lt;50000,0,(H64/(3.14*Variables!$C$34^2))),0)</f>
        <v>1456</v>
      </c>
      <c r="AE64" s="116">
        <f t="shared" si="10"/>
        <v>1469</v>
      </c>
      <c r="AF64" s="117">
        <f t="shared" si="3"/>
        <v>0</v>
      </c>
      <c r="AG64" s="107">
        <f>AF64*Variables!$E$42*Variables!$C$15</f>
        <v>0</v>
      </c>
      <c r="AH64" s="199">
        <f>ROUND((Z64)/Variables!$C$40,0)</f>
        <v>22</v>
      </c>
      <c r="AI64" s="33">
        <f t="shared" si="11"/>
        <v>22</v>
      </c>
      <c r="AJ64" s="199">
        <f t="shared" si="5"/>
        <v>0</v>
      </c>
      <c r="AK64" s="22">
        <f>AJ64*Variables!$E$43*Variables!$C$15</f>
        <v>0</v>
      </c>
      <c r="AL64" s="20">
        <f>Z64*Variables!$E$38*Variables!$C$15</f>
        <v>492123114.54054546</v>
      </c>
      <c r="AM64" s="98"/>
      <c r="AN64" s="200">
        <f t="shared" si="12"/>
        <v>0.14000000000000001</v>
      </c>
      <c r="AO64" s="201">
        <f t="shared" si="6"/>
        <v>36.853544444097544</v>
      </c>
      <c r="AP64" s="321">
        <f>VLOOKUP(A64,'Household Information'!H:Q,10,FALSE)</f>
        <v>155.49665530733307</v>
      </c>
      <c r="AQ64" s="122">
        <f>IF(12*(AO64-Variables!$C$3*AP64*F64)*(G64/5)&lt;0,0,12*(AO64-Variables!$C$3*AP64*F64)*(G64/5))</f>
        <v>0</v>
      </c>
      <c r="AS64" s="22"/>
    </row>
    <row r="65" spans="1:45" ht="14.25" customHeight="1" x14ac:dyDescent="0.35">
      <c r="A65" s="30">
        <v>20</v>
      </c>
      <c r="B65" s="28" t="s">
        <v>173</v>
      </c>
      <c r="C65" s="28">
        <v>2020</v>
      </c>
      <c r="D65" s="196">
        <f>Population!E21</f>
        <v>3478222.5311419708</v>
      </c>
      <c r="E65" s="303" t="str">
        <f t="shared" si="4"/>
        <v>Large</v>
      </c>
      <c r="F65" s="340">
        <f>VLOOKUP(A65,'Household Information'!$H$2:$M$49,6,FALSE)</f>
        <v>5.2348048588773741</v>
      </c>
      <c r="G65" s="196">
        <f t="shared" si="0"/>
        <v>664442</v>
      </c>
      <c r="H65" s="213">
        <f>Area!G21</f>
        <v>461.4443074056386</v>
      </c>
      <c r="I65" s="213"/>
      <c r="J65" s="32">
        <f>D65*Variables!$C$20</f>
        <v>3130.4002780277738</v>
      </c>
      <c r="K65" s="202">
        <f t="shared" si="9"/>
        <v>3267.8417999999997</v>
      </c>
      <c r="L65" s="32">
        <f t="shared" si="1"/>
        <v>0</v>
      </c>
      <c r="N65" s="117"/>
      <c r="O65" s="117"/>
      <c r="P65" s="117"/>
      <c r="Q65" s="117"/>
      <c r="R65" s="108"/>
      <c r="S65" s="198">
        <f>$L65*Variables!$C$21/100</f>
        <v>0</v>
      </c>
      <c r="T65" s="198">
        <f>$L65*Variables!$C$22/100</f>
        <v>0</v>
      </c>
      <c r="U65" s="198">
        <f>$L65*Variables!$C$23/100</f>
        <v>0</v>
      </c>
      <c r="V65" s="198">
        <f>$L65*Variables!$C$24/100</f>
        <v>0</v>
      </c>
      <c r="W65" s="22">
        <f>S65*Variables!$E$25*Variables!$C$15+'Cost Calculations'!T65*Variables!$E$26*Variables!$C$15+'Cost Calculations'!U65*Variables!$E$27*Variables!$C$15+V65*Variables!$E$28*Variables!$C$15</f>
        <v>0</v>
      </c>
      <c r="X65" s="20">
        <f>J65*Variables!$E$29*Variables!$C$15</f>
        <v>535110.62352606771</v>
      </c>
      <c r="Z65" s="33">
        <f>D65*(IF(D65&lt;50000,0,IF(D65&gt;Variables!$C$7,Variables!$C$37,IF(D65&gt;Variables!$C$6,Variables!$C$36,IF(D65&gt;Variables!$C$5,Variables!$C$35)))))</f>
        <v>1739.1112655709853</v>
      </c>
      <c r="AA65" s="34">
        <f t="shared" si="8"/>
        <v>3353</v>
      </c>
      <c r="AB65" s="35">
        <f t="shared" si="2"/>
        <v>0</v>
      </c>
      <c r="AC65" s="22">
        <f>AB65*Variables!$E$41</f>
        <v>0</v>
      </c>
      <c r="AD65" s="115">
        <f>ROUND(IF(D65&lt;50000,0,(H65/(3.14*Variables!$C$34^2))),0)</f>
        <v>588</v>
      </c>
      <c r="AE65" s="116">
        <f t="shared" si="10"/>
        <v>580</v>
      </c>
      <c r="AF65" s="117">
        <f t="shared" si="3"/>
        <v>8</v>
      </c>
      <c r="AG65" s="107">
        <f>AF65*Variables!$E$42*Variables!$C$15</f>
        <v>5420.3519999999999</v>
      </c>
      <c r="AH65" s="199">
        <f>ROUND((Z65)/Variables!$C$40,0)</f>
        <v>14</v>
      </c>
      <c r="AI65" s="33">
        <f t="shared" si="11"/>
        <v>14</v>
      </c>
      <c r="AJ65" s="199">
        <f t="shared" si="5"/>
        <v>0</v>
      </c>
      <c r="AK65" s="22">
        <f>AJ65*Variables!$E$43*Variables!$C$15</f>
        <v>0</v>
      </c>
      <c r="AL65" s="20">
        <f>Z65*Variables!$E$38*Variables!$C$15</f>
        <v>308307055.491822</v>
      </c>
      <c r="AM65" s="98"/>
      <c r="AN65" s="200">
        <f t="shared" si="12"/>
        <v>0.56000000000000005</v>
      </c>
      <c r="AO65" s="201">
        <f t="shared" si="6"/>
        <v>175.88944325827978</v>
      </c>
      <c r="AP65" s="321">
        <f>VLOOKUP(A65,'Household Information'!H:Q,10,FALSE)</f>
        <v>92.944591695065014</v>
      </c>
      <c r="AQ65" s="122">
        <f>IF(12*(AO65-Variables!$C$3*AP65*F65)*(G65/5)&lt;0,0,12*(AO65-Variables!$C$3*AP65*F65)*(G65/5))</f>
        <v>164102433.84834859</v>
      </c>
      <c r="AS65" s="22"/>
    </row>
    <row r="66" spans="1:45" ht="14.25" customHeight="1" x14ac:dyDescent="0.35">
      <c r="A66" s="30">
        <v>21</v>
      </c>
      <c r="B66" s="30" t="s">
        <v>174</v>
      </c>
      <c r="C66" s="28">
        <v>2020</v>
      </c>
      <c r="D66" s="196">
        <f>Population!E22</f>
        <v>15362346.135295814</v>
      </c>
      <c r="E66" s="303" t="str">
        <f t="shared" si="4"/>
        <v>Large</v>
      </c>
      <c r="F66" s="340">
        <f>VLOOKUP(A66,'Household Information'!$H$2:$M$49,6,FALSE)</f>
        <v>4.4756737410071938</v>
      </c>
      <c r="G66" s="196">
        <f t="shared" si="0"/>
        <v>3432410</v>
      </c>
      <c r="H66" s="213">
        <f>Area!G22</f>
        <v>821.58274055590448</v>
      </c>
      <c r="I66" s="213"/>
      <c r="J66" s="32">
        <f>D66*Variables!$C$20</f>
        <v>13826.111521766232</v>
      </c>
      <c r="K66" s="202">
        <f t="shared" si="9"/>
        <v>13506.018874441959</v>
      </c>
      <c r="L66" s="32">
        <f t="shared" si="1"/>
        <v>320.09264732427255</v>
      </c>
      <c r="N66" s="117"/>
      <c r="O66" s="117"/>
      <c r="P66" s="117"/>
      <c r="Q66" s="117"/>
      <c r="R66" s="108"/>
      <c r="S66" s="198">
        <f>$L66*Variables!$C$21/100</f>
        <v>17.380596234802127</v>
      </c>
      <c r="T66" s="198">
        <f>$L66*Variables!$C$22/100</f>
        <v>30.416043410903725</v>
      </c>
      <c r="U66" s="198">
        <f>$L66*Variables!$C$23/100</f>
        <v>31.864426430470573</v>
      </c>
      <c r="V66" s="198">
        <f>$L66*Variables!$C$24/100</f>
        <v>231.74128313069505</v>
      </c>
      <c r="W66" s="22">
        <f>S66*Variables!$E$25*Variables!$C$15+'Cost Calculations'!T66*Variables!$E$26*Variables!$C$15+'Cost Calculations'!U66*Variables!$E$27*Variables!$C$15+V66*Variables!$E$28*Variables!$C$15</f>
        <v>214699497.35907483</v>
      </c>
      <c r="X66" s="20">
        <f>J66*Variables!$E$29*Variables!$C$15</f>
        <v>2363435.5035307198</v>
      </c>
      <c r="Z66" s="33">
        <f>D66*(IF(D66&lt;50000,0,IF(D66&gt;Variables!$C$7,Variables!$C$37,IF(D66&gt;Variables!$C$6,Variables!$C$36,IF(D66&gt;Variables!$C$5,Variables!$C$35)))))</f>
        <v>7681.1730676479074</v>
      </c>
      <c r="AA66" s="34">
        <f t="shared" si="8"/>
        <v>7503</v>
      </c>
      <c r="AB66" s="35">
        <f t="shared" si="2"/>
        <v>178</v>
      </c>
      <c r="AC66" s="22">
        <f>AB66*Variables!$E$41</f>
        <v>65788800.000000007</v>
      </c>
      <c r="AD66" s="115">
        <f>ROUND(IF(D66&lt;50000,0,(H66/(3.14*Variables!$C$34^2))),0)</f>
        <v>1047</v>
      </c>
      <c r="AE66" s="116">
        <f t="shared" si="10"/>
        <v>1087</v>
      </c>
      <c r="AF66" s="117">
        <f t="shared" si="3"/>
        <v>0</v>
      </c>
      <c r="AG66" s="107">
        <f>AF66*Variables!$E$42*Variables!$C$15</f>
        <v>0</v>
      </c>
      <c r="AH66" s="199">
        <f>ROUND((Z66)/Variables!$C$40,0)</f>
        <v>61</v>
      </c>
      <c r="AI66" s="33">
        <f t="shared" si="11"/>
        <v>60</v>
      </c>
      <c r="AJ66" s="199">
        <f t="shared" si="5"/>
        <v>1</v>
      </c>
      <c r="AK66" s="22">
        <f>AJ66*Variables!$E$43*Variables!$C$15</f>
        <v>552717.39600000007</v>
      </c>
      <c r="AL66" s="20">
        <f>Z66*Variables!$E$38*Variables!$C$15</f>
        <v>1361706923.5832345</v>
      </c>
      <c r="AM66" s="98"/>
      <c r="AN66" s="200">
        <f t="shared" si="12"/>
        <v>0.28000000000000003</v>
      </c>
      <c r="AO66" s="201">
        <f t="shared" si="6"/>
        <v>75.191318848920858</v>
      </c>
      <c r="AP66" s="321">
        <f>VLOOKUP(A66,'Household Information'!H:Q,10,FALSE)</f>
        <v>254.44907232109051</v>
      </c>
      <c r="AQ66" s="122">
        <f>IF(12*(AO66-Variables!$C$3*AP66*F66)*(G66/5)&lt;0,0,12*(AO66-Variables!$C$3*AP66*F66)*(G66/5))</f>
        <v>0</v>
      </c>
      <c r="AS66" s="22"/>
    </row>
    <row r="67" spans="1:45" ht="14.25" customHeight="1" x14ac:dyDescent="0.35">
      <c r="A67" s="30">
        <v>22</v>
      </c>
      <c r="B67" s="28" t="s">
        <v>175</v>
      </c>
      <c r="C67" s="28">
        <v>2020</v>
      </c>
      <c r="D67" s="196">
        <f>Population!E23</f>
        <v>13624141.742010074</v>
      </c>
      <c r="E67" s="303" t="str">
        <f t="shared" si="4"/>
        <v>Large</v>
      </c>
      <c r="F67" s="340">
        <f>VLOOKUP(A67,'Household Information'!$H$2:$M$49,6,FALSE)</f>
        <v>4.7768636363636361</v>
      </c>
      <c r="G67" s="196">
        <f t="shared" si="0"/>
        <v>2852110</v>
      </c>
      <c r="H67" s="213">
        <f>Area!G23</f>
        <v>1070.7698765317787</v>
      </c>
      <c r="I67" s="213"/>
      <c r="J67" s="32">
        <f>D67*Variables!$C$20</f>
        <v>12261.727567809066</v>
      </c>
      <c r="K67" s="202">
        <f t="shared" si="9"/>
        <v>19972.544550000002</v>
      </c>
      <c r="L67" s="32">
        <f t="shared" si="1"/>
        <v>0</v>
      </c>
      <c r="N67" s="117"/>
      <c r="O67" s="117"/>
      <c r="P67" s="117"/>
      <c r="Q67" s="117"/>
      <c r="R67" s="108"/>
      <c r="S67" s="198">
        <f>$L67*Variables!$C$21/100</f>
        <v>0</v>
      </c>
      <c r="T67" s="198">
        <f>$L67*Variables!$C$22/100</f>
        <v>0</v>
      </c>
      <c r="U67" s="198">
        <f>$L67*Variables!$C$23/100</f>
        <v>0</v>
      </c>
      <c r="V67" s="198">
        <f>$L67*Variables!$C$24/100</f>
        <v>0</v>
      </c>
      <c r="W67" s="22">
        <f>S67*Variables!$E$25*Variables!$C$15+'Cost Calculations'!T67*Variables!$E$26*Variables!$C$15+'Cost Calculations'!U67*Variables!$E$27*Variables!$C$15+V67*Variables!$E$28*Variables!$C$15</f>
        <v>0</v>
      </c>
      <c r="X67" s="20">
        <f>J67*Variables!$E$29*Variables!$C$15</f>
        <v>2096019.710441282</v>
      </c>
      <c r="Z67" s="33">
        <f>D67*(IF(D67&lt;50000,0,IF(D67&gt;Variables!$C$7,Variables!$C$37,IF(D67&gt;Variables!$C$6,Variables!$C$36,IF(D67&gt;Variables!$C$5,Variables!$C$35)))))</f>
        <v>6812.0708710050367</v>
      </c>
      <c r="AA67" s="34">
        <f t="shared" si="8"/>
        <v>6654</v>
      </c>
      <c r="AB67" s="35">
        <f t="shared" si="2"/>
        <v>158</v>
      </c>
      <c r="AC67" s="22">
        <f>AB67*Variables!$E$41</f>
        <v>58396800.000000007</v>
      </c>
      <c r="AD67" s="115">
        <f>ROUND(IF(D67&lt;50000,0,(H67/(3.14*Variables!$C$34^2))),0)</f>
        <v>1364</v>
      </c>
      <c r="AE67" s="116">
        <f t="shared" si="10"/>
        <v>1345</v>
      </c>
      <c r="AF67" s="117">
        <f t="shared" si="3"/>
        <v>19</v>
      </c>
      <c r="AG67" s="107">
        <f>AF67*Variables!$E$42*Variables!$C$15</f>
        <v>12873.336000000001</v>
      </c>
      <c r="AH67" s="199">
        <f>ROUND((Z67)/Variables!$C$40,0)</f>
        <v>54</v>
      </c>
      <c r="AI67" s="33">
        <f t="shared" si="11"/>
        <v>69</v>
      </c>
      <c r="AJ67" s="199">
        <f t="shared" si="5"/>
        <v>0</v>
      </c>
      <c r="AK67" s="22">
        <f>AJ67*Variables!$E$43*Variables!$C$15</f>
        <v>0</v>
      </c>
      <c r="AL67" s="20">
        <f>Z67*Variables!$E$38*Variables!$C$15</f>
        <v>1207633780.3214867</v>
      </c>
      <c r="AM67" s="98"/>
      <c r="AN67" s="200">
        <f t="shared" si="12"/>
        <v>0.42</v>
      </c>
      <c r="AO67" s="201">
        <f t="shared" si="6"/>
        <v>120.37696363636363</v>
      </c>
      <c r="AP67" s="321">
        <f>VLOOKUP(A67,'Household Information'!H:Q,10,FALSE)</f>
        <v>150.91303799066011</v>
      </c>
      <c r="AQ67" s="122">
        <f>IF(12*(AO67-Variables!$C$3*AP67*F67)*(G67/5)&lt;0,0,12*(AO67-Variables!$C$3*AP67*F67)*(G67/5))</f>
        <v>83806261.890428022</v>
      </c>
      <c r="AS67" s="22"/>
    </row>
    <row r="68" spans="1:45" ht="14.25" customHeight="1" x14ac:dyDescent="0.35">
      <c r="A68" s="30">
        <v>23</v>
      </c>
      <c r="B68" s="28" t="s">
        <v>176</v>
      </c>
      <c r="C68" s="28">
        <v>2020</v>
      </c>
      <c r="D68" s="196">
        <f>Population!E24</f>
        <v>49408.18003897911</v>
      </c>
      <c r="E68" s="303" t="str">
        <f t="shared" si="4"/>
        <v>Small</v>
      </c>
      <c r="F68" s="340">
        <f>VLOOKUP(A68,'Household Information'!$H$2:$M$49,6,FALSE)</f>
        <v>3.9394565859421147</v>
      </c>
      <c r="G68" s="196">
        <f t="shared" ref="G68:G131" si="13">ROUND(D68/F68,0)</f>
        <v>12542</v>
      </c>
      <c r="H68" s="213">
        <f>Area!G24</f>
        <v>101.59368383510039</v>
      </c>
      <c r="I68" s="213"/>
      <c r="J68" s="32">
        <f>D68*Variables!$C$20</f>
        <v>44.467362035081194</v>
      </c>
      <c r="K68" s="202">
        <f t="shared" si="9"/>
        <v>53.622780000000006</v>
      </c>
      <c r="L68" s="32">
        <f t="shared" ref="L68:L131" si="14">IF(J68-K68&lt;0,0,J68-K68)</f>
        <v>0</v>
      </c>
      <c r="N68" s="117"/>
      <c r="O68" s="117"/>
      <c r="P68" s="117"/>
      <c r="Q68" s="117"/>
      <c r="R68" s="108"/>
      <c r="S68" s="198">
        <f>$L68*Variables!$C$21/100</f>
        <v>0</v>
      </c>
      <c r="T68" s="198">
        <f>$L68*Variables!$C$22/100</f>
        <v>0</v>
      </c>
      <c r="U68" s="198">
        <f>$L68*Variables!$C$23/100</f>
        <v>0</v>
      </c>
      <c r="V68" s="198">
        <f>$L68*Variables!$C$24/100</f>
        <v>0</v>
      </c>
      <c r="W68" s="22">
        <f>S68*Variables!$E$25*Variables!$C$15+'Cost Calculations'!T68*Variables!$E$26*Variables!$C$15+'Cost Calculations'!U68*Variables!$E$27*Variables!$C$15+V68*Variables!$E$28*Variables!$C$15</f>
        <v>0</v>
      </c>
      <c r="X68" s="20">
        <f>J68*Variables!$E$29*Variables!$C$15</f>
        <v>7601.2508662767796</v>
      </c>
      <c r="Z68" s="33">
        <f>D68*(IF(D68&lt;50000,0,IF(D68&gt;Variables!$C$7,Variables!$C$37,IF(D68&gt;Variables!$C$6,Variables!$C$36,IF(D68&gt;Variables!$C$5,Variables!$C$35)))))</f>
        <v>0</v>
      </c>
      <c r="AA68" s="34">
        <f t="shared" si="8"/>
        <v>374.4</v>
      </c>
      <c r="AB68" s="35">
        <f t="shared" ref="AB68:AB131" si="15">IF(Z68-AA68&lt;0,0, ROUND(Z68-AA68,0))</f>
        <v>0</v>
      </c>
      <c r="AC68" s="22">
        <f>AB68*Variables!$E$41</f>
        <v>0</v>
      </c>
      <c r="AD68" s="115">
        <f>ROUND(IF(D68&lt;50000,0,(H68/(3.14*Variables!$C$34^2))),0)</f>
        <v>0</v>
      </c>
      <c r="AE68" s="116">
        <f t="shared" si="10"/>
        <v>0</v>
      </c>
      <c r="AF68" s="117">
        <f t="shared" ref="AF68:AF131" si="16">IF(AD68-AE68&lt;0,0,AD68-AE68)</f>
        <v>0</v>
      </c>
      <c r="AG68" s="107">
        <f>AF68*Variables!$E$42*Variables!$C$15</f>
        <v>0</v>
      </c>
      <c r="AH68" s="199">
        <f>ROUND((Z68)/Variables!$C$40,0)</f>
        <v>0</v>
      </c>
      <c r="AI68" s="33">
        <f t="shared" si="11"/>
        <v>1</v>
      </c>
      <c r="AJ68" s="199">
        <f t="shared" si="5"/>
        <v>0</v>
      </c>
      <c r="AK68" s="22">
        <f>AJ68*Variables!$E$43*Variables!$C$15</f>
        <v>0</v>
      </c>
      <c r="AL68" s="20">
        <f>Z68*Variables!$E$38*Variables!$C$15</f>
        <v>0</v>
      </c>
      <c r="AM68" s="98"/>
      <c r="AN68" s="200">
        <f t="shared" si="12"/>
        <v>0.42</v>
      </c>
      <c r="AO68" s="201">
        <f t="shared" ref="AO68:AO131" si="17">AN68*2*30*F68</f>
        <v>99.274305965741291</v>
      </c>
      <c r="AP68" s="321">
        <f>VLOOKUP(A68,'Household Information'!H:Q,10,FALSE)</f>
        <v>127.00366022971097</v>
      </c>
      <c r="AQ68" s="122">
        <f>IF(12*(AO68-Variables!$C$3*AP68*F68)*(G68/5)&lt;0,0,12*(AO68-Variables!$C$3*AP68*F68)*(G68/5))</f>
        <v>729206.78309083486</v>
      </c>
      <c r="AS68" s="22"/>
    </row>
    <row r="69" spans="1:45" ht="14.25" customHeight="1" x14ac:dyDescent="0.35">
      <c r="A69" s="30">
        <v>24</v>
      </c>
      <c r="B69" s="28" t="s">
        <v>177</v>
      </c>
      <c r="C69" s="28">
        <v>2020</v>
      </c>
      <c r="D69" s="196">
        <f>Population!E25</f>
        <v>2079474.8182424838</v>
      </c>
      <c r="E69" s="303" t="str">
        <f t="shared" ref="E69:E132" si="18">IF(D69&lt;100000,"Small",IF(D69&lt;1000000,"Medium","Large"))</f>
        <v>Large</v>
      </c>
      <c r="F69" s="340">
        <f>VLOOKUP(A69,'Household Information'!$H$2:$M$49,6,FALSE)</f>
        <v>5.7167460931666056</v>
      </c>
      <c r="G69" s="196">
        <f t="shared" si="13"/>
        <v>363751</v>
      </c>
      <c r="H69" s="213">
        <f>Area!G25</f>
        <v>104.06459158109359</v>
      </c>
      <c r="I69" s="213"/>
      <c r="J69" s="32">
        <f>D69*Variables!$C$20</f>
        <v>1871.5273364182353</v>
      </c>
      <c r="K69" s="202">
        <f t="shared" si="9"/>
        <v>1828.1990196524719</v>
      </c>
      <c r="L69" s="32">
        <f t="shared" si="14"/>
        <v>43.328316765763475</v>
      </c>
      <c r="N69" s="117"/>
      <c r="O69" s="117"/>
      <c r="P69" s="117"/>
      <c r="Q69" s="117"/>
      <c r="R69" s="108"/>
      <c r="S69" s="198">
        <f>$L69*Variables!$C$21/100</f>
        <v>2.3526687836613651</v>
      </c>
      <c r="T69" s="198">
        <f>$L69*Variables!$C$22/100</f>
        <v>4.1171703714073891</v>
      </c>
      <c r="U69" s="198">
        <f>$L69*Variables!$C$23/100</f>
        <v>4.3132261033791695</v>
      </c>
      <c r="V69" s="198">
        <f>$L69*Variables!$C$24/100</f>
        <v>31.368917115484869</v>
      </c>
      <c r="W69" s="22">
        <f>S69*Variables!$E$25*Variables!$C$15+'Cost Calculations'!T69*Variables!$E$26*Variables!$C$15+'Cost Calculations'!U69*Variables!$E$27*Variables!$C$15+V69*Variables!$E$28*Variables!$C$15</f>
        <v>29062110.325827472</v>
      </c>
      <c r="X69" s="20">
        <f>J69*Variables!$E$29*Variables!$C$15</f>
        <v>319918.88288733317</v>
      </c>
      <c r="Z69" s="33">
        <f>D69*(IF(D69&lt;50000,0,IF(D69&gt;Variables!$C$7,Variables!$C$37,IF(D69&gt;Variables!$C$6,Variables!$C$36,IF(D69&gt;Variables!$C$5,Variables!$C$35)))))</f>
        <v>1039.7374091212419</v>
      </c>
      <c r="AA69" s="34">
        <f t="shared" si="8"/>
        <v>1015.6</v>
      </c>
      <c r="AB69" s="35">
        <f t="shared" si="15"/>
        <v>24</v>
      </c>
      <c r="AC69" s="22">
        <f>AB69*Variables!$E$41</f>
        <v>8870400.0000000019</v>
      </c>
      <c r="AD69" s="115">
        <f>ROUND(IF(D69&lt;50000,0,(H69/(3.14*Variables!$C$34^2))),0)</f>
        <v>133</v>
      </c>
      <c r="AE69" s="116">
        <f t="shared" si="10"/>
        <v>131</v>
      </c>
      <c r="AF69" s="117">
        <f t="shared" si="16"/>
        <v>2</v>
      </c>
      <c r="AG69" s="107">
        <f>AF69*Variables!$E$42*Variables!$C$15</f>
        <v>1355.088</v>
      </c>
      <c r="AH69" s="199">
        <f>ROUND((Z69)/Variables!$C$40,0)</f>
        <v>8</v>
      </c>
      <c r="AI69" s="33">
        <f t="shared" si="11"/>
        <v>8</v>
      </c>
      <c r="AJ69" s="199">
        <f t="shared" ref="AJ69:AJ132" si="19">IF(AH69-AI69&lt;0,0,AH69-AI69)</f>
        <v>0</v>
      </c>
      <c r="AK69" s="22">
        <f>AJ69*Variables!$E$43*Variables!$C$15</f>
        <v>0</v>
      </c>
      <c r="AL69" s="20">
        <f>Z69*Variables!$E$38*Variables!$C$15</f>
        <v>184323099.64113778</v>
      </c>
      <c r="AM69" s="98"/>
      <c r="AN69" s="200">
        <f t="shared" si="12"/>
        <v>0.14000000000000001</v>
      </c>
      <c r="AO69" s="201">
        <f t="shared" si="17"/>
        <v>48.020667182599489</v>
      </c>
      <c r="AP69" s="321">
        <f>VLOOKUP(A69,'Household Information'!H:Q,10,FALSE)</f>
        <v>84.816357440363504</v>
      </c>
      <c r="AQ69" s="122">
        <f>IF(12*(AO69-Variables!$C$3*AP69*F69)*(G69/5)&lt;0,0,12*(AO69-Variables!$C$3*AP69*F69)*(G69/5))</f>
        <v>0</v>
      </c>
      <c r="AS69" s="22"/>
    </row>
    <row r="70" spans="1:45" ht="14.25" customHeight="1" x14ac:dyDescent="0.35">
      <c r="A70" s="30">
        <v>25</v>
      </c>
      <c r="B70" s="28" t="s">
        <v>178</v>
      </c>
      <c r="C70" s="28">
        <v>2020</v>
      </c>
      <c r="D70" s="196">
        <f>Population!E26</f>
        <v>298512.23011630296</v>
      </c>
      <c r="E70" s="303" t="str">
        <f t="shared" si="18"/>
        <v>Medium</v>
      </c>
      <c r="F70" s="340">
        <f>VLOOKUP(A70,'Household Information'!$H$2:$M$49,6,FALSE)</f>
        <v>4.4000000000000004</v>
      </c>
      <c r="G70" s="196">
        <f t="shared" si="13"/>
        <v>67844</v>
      </c>
      <c r="H70" s="213">
        <f>Area!G26</f>
        <v>184.85157715062678</v>
      </c>
      <c r="I70" s="213"/>
      <c r="J70" s="32">
        <f>D70*Variables!$C$20</f>
        <v>268.66100710467265</v>
      </c>
      <c r="K70" s="202">
        <f t="shared" si="9"/>
        <v>262.44115180685031</v>
      </c>
      <c r="L70" s="32">
        <f t="shared" si="14"/>
        <v>6.2198552978223347</v>
      </c>
      <c r="N70" s="117"/>
      <c r="O70" s="117"/>
      <c r="P70" s="117"/>
      <c r="Q70" s="117"/>
      <c r="R70" s="108"/>
      <c r="S70" s="198">
        <f>$L70*Variables!$C$21/100</f>
        <v>0.33772969942926701</v>
      </c>
      <c r="T70" s="198">
        <f>$L70*Variables!$C$22/100</f>
        <v>0.59102697400121729</v>
      </c>
      <c r="U70" s="198">
        <f>$L70*Variables!$C$23/100</f>
        <v>0.6191711156203229</v>
      </c>
      <c r="V70" s="198">
        <f>$L70*Variables!$C$24/100</f>
        <v>4.5030626590568934</v>
      </c>
      <c r="W70" s="22">
        <f>S70*Variables!$E$25*Variables!$C$15+'Cost Calculations'!T70*Variables!$E$26*Variables!$C$15+'Cost Calculations'!U70*Variables!$E$27*Variables!$C$15+V70*Variables!$E$28*Variables!$C$15</f>
        <v>4171916.5287036281</v>
      </c>
      <c r="X70" s="20">
        <f>J70*Variables!$E$29*Variables!$C$15</f>
        <v>45924.912554472743</v>
      </c>
      <c r="Z70" s="33">
        <f>D70*(IF(D70&lt;50000,0,IF(D70&gt;Variables!$C$7,Variables!$C$37,IF(D70&gt;Variables!$C$6,Variables!$C$36,IF(D70&gt;Variables!$C$5,Variables!$C$35)))))</f>
        <v>149.25611505815149</v>
      </c>
      <c r="AA70" s="34">
        <f t="shared" si="8"/>
        <v>146</v>
      </c>
      <c r="AB70" s="35">
        <f t="shared" si="15"/>
        <v>3</v>
      </c>
      <c r="AC70" s="22">
        <f>AB70*Variables!$E$41</f>
        <v>1108800.0000000002</v>
      </c>
      <c r="AD70" s="115">
        <f>ROUND(IF(D70&lt;50000,0,(H70/(3.14*Variables!$C$34^2))),0)</f>
        <v>235</v>
      </c>
      <c r="AE70" s="116">
        <f t="shared" si="10"/>
        <v>232</v>
      </c>
      <c r="AF70" s="117">
        <f t="shared" si="16"/>
        <v>3</v>
      </c>
      <c r="AG70" s="107">
        <f>AF70*Variables!$E$42*Variables!$C$15</f>
        <v>2032.6320000000001</v>
      </c>
      <c r="AH70" s="199">
        <f>ROUND((Z70)/Variables!$C$40,0)</f>
        <v>1</v>
      </c>
      <c r="AI70" s="33">
        <f t="shared" si="11"/>
        <v>1</v>
      </c>
      <c r="AJ70" s="199">
        <f t="shared" si="19"/>
        <v>0</v>
      </c>
      <c r="AK70" s="22">
        <f>AJ70*Variables!$E$43*Variables!$C$15</f>
        <v>0</v>
      </c>
      <c r="AL70" s="20">
        <f>Z70*Variables!$E$38*Variables!$C$15</f>
        <v>26459901.823831309</v>
      </c>
      <c r="AM70" s="98"/>
      <c r="AN70" s="200">
        <f t="shared" si="12"/>
        <v>0.14000000000000001</v>
      </c>
      <c r="AO70" s="201">
        <f t="shared" si="17"/>
        <v>36.960000000000008</v>
      </c>
      <c r="AP70" s="321">
        <f>VLOOKUP(A70,'Household Information'!H:Q,10,FALSE)</f>
        <v>100.80777483276538</v>
      </c>
      <c r="AQ70" s="122">
        <f>IF(12*(AO70-Variables!$C$3*AP70*F70)*(G70/5)&lt;0,0,12*(AO70-Variables!$C$3*AP70*F70)*(G70/5))</f>
        <v>0</v>
      </c>
      <c r="AS70" s="22"/>
    </row>
    <row r="71" spans="1:45" ht="14.25" customHeight="1" x14ac:dyDescent="0.35">
      <c r="A71" s="30">
        <v>26</v>
      </c>
      <c r="B71" s="28" t="s">
        <v>179</v>
      </c>
      <c r="C71" s="28">
        <v>2020</v>
      </c>
      <c r="D71" s="196">
        <f>Population!E27</f>
        <v>123697.62664330562</v>
      </c>
      <c r="E71" s="303" t="str">
        <f t="shared" si="18"/>
        <v>Medium</v>
      </c>
      <c r="F71" s="340">
        <f>VLOOKUP(A71,'Household Information'!$H$2:$M$49,6,FALSE)</f>
        <v>3.9948981478058339</v>
      </c>
      <c r="G71" s="196">
        <f t="shared" si="13"/>
        <v>30964</v>
      </c>
      <c r="H71" s="213">
        <f>Area!G27</f>
        <v>659.98859397483045</v>
      </c>
      <c r="I71" s="213"/>
      <c r="J71" s="32">
        <f>D71*Variables!$C$20</f>
        <v>111.32786397897505</v>
      </c>
      <c r="K71" s="202">
        <f t="shared" si="9"/>
        <v>108.75047765846934</v>
      </c>
      <c r="L71" s="32">
        <f t="shared" si="14"/>
        <v>2.5773863205057097</v>
      </c>
      <c r="N71" s="117"/>
      <c r="O71" s="117"/>
      <c r="P71" s="117"/>
      <c r="Q71" s="117"/>
      <c r="R71" s="108"/>
      <c r="S71" s="198">
        <f>$L71*Variables!$C$21/100</f>
        <v>0.1399485784889978</v>
      </c>
      <c r="T71" s="198">
        <f>$L71*Variables!$C$22/100</f>
        <v>0.24491001235574619</v>
      </c>
      <c r="U71" s="198">
        <f>$L71*Variables!$C$23/100</f>
        <v>0.256572393896496</v>
      </c>
      <c r="V71" s="198">
        <f>$L71*Variables!$C$24/100</f>
        <v>1.8659810465199709</v>
      </c>
      <c r="W71" s="22">
        <f>S71*Variables!$E$25*Variables!$C$15+'Cost Calculations'!T71*Variables!$E$26*Variables!$C$15+'Cost Calculations'!U71*Variables!$E$27*Variables!$C$15+V71*Variables!$E$28*Variables!$C$15</f>
        <v>1728760.5702237254</v>
      </c>
      <c r="X71" s="20">
        <f>J71*Variables!$E$29*Variables!$C$15</f>
        <v>19030.385068565996</v>
      </c>
      <c r="Z71" s="33">
        <f>D71*(IF(D71&lt;50000,0,IF(D71&gt;Variables!$C$7,Variables!$C$37,IF(D71&gt;Variables!$C$6,Variables!$C$36,IF(D71&gt;Variables!$C$5,Variables!$C$35)))))</f>
        <v>61.848813321652806</v>
      </c>
      <c r="AA71" s="34">
        <f t="shared" si="8"/>
        <v>139</v>
      </c>
      <c r="AB71" s="35">
        <f t="shared" si="15"/>
        <v>0</v>
      </c>
      <c r="AC71" s="22">
        <f>AB71*Variables!$E$41</f>
        <v>0</v>
      </c>
      <c r="AD71" s="115">
        <f>ROUND(IF(D71&lt;50000,0,(H71/(3.14*Variables!$C$34^2))),0)</f>
        <v>841</v>
      </c>
      <c r="AE71" s="116">
        <f t="shared" si="10"/>
        <v>829</v>
      </c>
      <c r="AF71" s="117">
        <f t="shared" si="16"/>
        <v>12</v>
      </c>
      <c r="AG71" s="107">
        <f>AF71*Variables!$E$42*Variables!$C$15</f>
        <v>8130.5280000000002</v>
      </c>
      <c r="AH71" s="199">
        <f>ROUND((Z71)/Variables!$C$40,0)</f>
        <v>0</v>
      </c>
      <c r="AI71" s="33">
        <f t="shared" si="11"/>
        <v>0</v>
      </c>
      <c r="AJ71" s="199">
        <f t="shared" si="19"/>
        <v>0</v>
      </c>
      <c r="AK71" s="22">
        <f>AJ71*Variables!$E$43*Variables!$C$15</f>
        <v>0</v>
      </c>
      <c r="AL71" s="20">
        <f>Z71*Variables!$E$38*Variables!$C$15</f>
        <v>10964465.528087763</v>
      </c>
      <c r="AM71" s="98"/>
      <c r="AN71" s="200">
        <f t="shared" si="12"/>
        <v>0.25221875000000005</v>
      </c>
      <c r="AO71" s="201">
        <f t="shared" si="17"/>
        <v>60.455293033014172</v>
      </c>
      <c r="AP71" s="321">
        <f>VLOOKUP(A71,'Household Information'!H:Q,10,FALSE)</f>
        <v>108.65462509082352</v>
      </c>
      <c r="AQ71" s="122">
        <f>IF(12*(AO71-Variables!$C$3*AP71*F71)*(G71/5)&lt;0,0,12*(AO71-Variables!$C$3*AP71*F71)*(G71/5))</f>
        <v>0</v>
      </c>
      <c r="AS71" s="22"/>
    </row>
    <row r="72" spans="1:45" ht="14.25" customHeight="1" x14ac:dyDescent="0.35">
      <c r="A72" s="30">
        <v>27</v>
      </c>
      <c r="B72" s="28" t="s">
        <v>180</v>
      </c>
      <c r="C72" s="28">
        <v>2020</v>
      </c>
      <c r="D72" s="196">
        <f>Population!E28</f>
        <v>1247561.1760333304</v>
      </c>
      <c r="E72" s="303" t="str">
        <f t="shared" si="18"/>
        <v>Large</v>
      </c>
      <c r="F72" s="340">
        <f>VLOOKUP(A72,'Household Information'!$H$2:$M$49,6,FALSE)</f>
        <v>4.6947316089524085</v>
      </c>
      <c r="G72" s="196">
        <f t="shared" si="13"/>
        <v>265736</v>
      </c>
      <c r="H72" s="213">
        <f>Area!G28</f>
        <v>123.23249139844914</v>
      </c>
      <c r="I72" s="213"/>
      <c r="J72" s="32">
        <f>D72*Variables!$C$20</f>
        <v>1122.8050584299974</v>
      </c>
      <c r="K72" s="202">
        <f t="shared" si="9"/>
        <v>2162.4648561170238</v>
      </c>
      <c r="L72" s="32">
        <f t="shared" si="14"/>
        <v>0</v>
      </c>
      <c r="N72" s="117"/>
      <c r="O72" s="117"/>
      <c r="P72" s="117"/>
      <c r="Q72" s="117"/>
      <c r="R72" s="108"/>
      <c r="S72" s="198">
        <f>$L72*Variables!$C$21/100</f>
        <v>0</v>
      </c>
      <c r="T72" s="198">
        <f>$L72*Variables!$C$22/100</f>
        <v>0</v>
      </c>
      <c r="U72" s="198">
        <f>$L72*Variables!$C$23/100</f>
        <v>0</v>
      </c>
      <c r="V72" s="198">
        <f>$L72*Variables!$C$24/100</f>
        <v>0</v>
      </c>
      <c r="W72" s="22">
        <f>S72*Variables!$E$25*Variables!$C$15+'Cost Calculations'!T72*Variables!$E$26*Variables!$C$15+'Cost Calculations'!U72*Variables!$E$27*Variables!$C$15+V72*Variables!$E$28*Variables!$C$15</f>
        <v>0</v>
      </c>
      <c r="X72" s="20">
        <f>J72*Variables!$E$29*Variables!$C$15</f>
        <v>191932.29668802378</v>
      </c>
      <c r="Z72" s="33">
        <f>D72*(IF(D72&lt;50000,0,IF(D72&gt;Variables!$C$7,Variables!$C$37,IF(D72&gt;Variables!$C$6,Variables!$C$36,IF(D72&gt;Variables!$C$5,Variables!$C$35)))))</f>
        <v>623.78058801666521</v>
      </c>
      <c r="AA72" s="34">
        <f t="shared" si="8"/>
        <v>609</v>
      </c>
      <c r="AB72" s="35">
        <f t="shared" si="15"/>
        <v>15</v>
      </c>
      <c r="AC72" s="22">
        <f>AB72*Variables!$E$41</f>
        <v>5544000.0000000009</v>
      </c>
      <c r="AD72" s="115">
        <f>ROUND(IF(D72&lt;50000,0,(H72/(3.14*Variables!$C$34^2))),0)</f>
        <v>157</v>
      </c>
      <c r="AE72" s="116">
        <f t="shared" si="10"/>
        <v>155</v>
      </c>
      <c r="AF72" s="117">
        <f t="shared" si="16"/>
        <v>2</v>
      </c>
      <c r="AG72" s="107">
        <f>AF72*Variables!$E$42*Variables!$C$15</f>
        <v>1355.088</v>
      </c>
      <c r="AH72" s="199">
        <f>ROUND((Z72)/Variables!$C$40,0)</f>
        <v>5</v>
      </c>
      <c r="AI72" s="33">
        <f t="shared" si="11"/>
        <v>110</v>
      </c>
      <c r="AJ72" s="199">
        <f t="shared" si="19"/>
        <v>0</v>
      </c>
      <c r="AK72" s="22">
        <f>AJ72*Variables!$E$43*Variables!$C$15</f>
        <v>0</v>
      </c>
      <c r="AL72" s="20">
        <f>Z72*Variables!$E$38*Variables!$C$15</f>
        <v>110582893.78697926</v>
      </c>
      <c r="AM72" s="98"/>
      <c r="AN72" s="200">
        <f t="shared" si="12"/>
        <v>0.14000000000000001</v>
      </c>
      <c r="AO72" s="201">
        <f t="shared" si="17"/>
        <v>39.435745515200232</v>
      </c>
      <c r="AP72" s="321">
        <f>VLOOKUP(A72,'Household Information'!H:Q,10,FALSE)</f>
        <v>58.94736842105263</v>
      </c>
      <c r="AQ72" s="122">
        <f>IF(12*(AO72-Variables!$C$3*AP72*F72)*(G72/5)&lt;0,0,12*(AO72-Variables!$C$3*AP72*F72)*(G72/5))</f>
        <v>0</v>
      </c>
      <c r="AS72" s="22"/>
    </row>
    <row r="73" spans="1:45" ht="14.25" customHeight="1" x14ac:dyDescent="0.35">
      <c r="A73" s="30">
        <v>28</v>
      </c>
      <c r="B73" s="28" t="s">
        <v>181</v>
      </c>
      <c r="C73" s="28">
        <v>2020</v>
      </c>
      <c r="D73" s="196">
        <f>Population!E29</f>
        <v>1325338.5929655205</v>
      </c>
      <c r="E73" s="303" t="str">
        <f t="shared" si="18"/>
        <v>Large</v>
      </c>
      <c r="F73" s="340">
        <f>VLOOKUP(A73,'Household Information'!$H$2:$M$49,6,FALSE)</f>
        <v>3.2903489815623708</v>
      </c>
      <c r="G73" s="196">
        <f t="shared" si="13"/>
        <v>402796</v>
      </c>
      <c r="H73" s="213">
        <f>Area!G29</f>
        <v>158.83542925535335</v>
      </c>
      <c r="I73" s="213"/>
      <c r="J73" s="32">
        <f>D73*Variables!$C$20</f>
        <v>1192.8047336689683</v>
      </c>
      <c r="K73" s="202">
        <f t="shared" si="9"/>
        <v>53.671350000000004</v>
      </c>
      <c r="L73" s="32">
        <f t="shared" si="14"/>
        <v>1139.1333836689682</v>
      </c>
      <c r="N73" s="117"/>
      <c r="O73" s="117"/>
      <c r="P73" s="117"/>
      <c r="Q73" s="117"/>
      <c r="R73" s="108"/>
      <c r="S73" s="198">
        <f>$L73*Variables!$C$21/100</f>
        <v>61.853396398315006</v>
      </c>
      <c r="T73" s="198">
        <f>$L73*Variables!$C$22/100</f>
        <v>108.24344369705128</v>
      </c>
      <c r="U73" s="198">
        <f>$L73*Variables!$C$23/100</f>
        <v>113.39789339691086</v>
      </c>
      <c r="V73" s="198">
        <f>$L73*Variables!$C$24/100</f>
        <v>824.71195197753366</v>
      </c>
      <c r="W73" s="22">
        <f>S73*Variables!$E$25*Variables!$C$15+'Cost Calculations'!T73*Variables!$E$26*Variables!$C$15+'Cost Calculations'!U73*Variables!$E$27*Variables!$C$15+V73*Variables!$E$28*Variables!$C$15</f>
        <v>764064301.20497131</v>
      </c>
      <c r="X73" s="20">
        <f>J73*Variables!$E$29*Variables!$C$15</f>
        <v>203898.04117337347</v>
      </c>
      <c r="Z73" s="33">
        <f>D73*(IF(D73&lt;50000,0,IF(D73&gt;Variables!$C$7,Variables!$C$37,IF(D73&gt;Variables!$C$6,Variables!$C$36,IF(D73&gt;Variables!$C$5,Variables!$C$35)))))</f>
        <v>662.66929648276027</v>
      </c>
      <c r="AA73" s="34">
        <f t="shared" si="8"/>
        <v>647</v>
      </c>
      <c r="AB73" s="35">
        <f t="shared" si="15"/>
        <v>16</v>
      </c>
      <c r="AC73" s="22">
        <f>AB73*Variables!$E$41</f>
        <v>5913600.0000000009</v>
      </c>
      <c r="AD73" s="115">
        <f>ROUND(IF(D73&lt;50000,0,(H73/(3.14*Variables!$C$34^2))),0)</f>
        <v>202</v>
      </c>
      <c r="AE73" s="116">
        <f t="shared" si="10"/>
        <v>200</v>
      </c>
      <c r="AF73" s="117">
        <f t="shared" si="16"/>
        <v>2</v>
      </c>
      <c r="AG73" s="107">
        <f>AF73*Variables!$E$42*Variables!$C$15</f>
        <v>1355.088</v>
      </c>
      <c r="AH73" s="199">
        <f>ROUND((Z73)/Variables!$C$40,0)</f>
        <v>5</v>
      </c>
      <c r="AI73" s="33">
        <f t="shared" si="11"/>
        <v>5</v>
      </c>
      <c r="AJ73" s="199">
        <f t="shared" si="19"/>
        <v>0</v>
      </c>
      <c r="AK73" s="22">
        <f>AJ73*Variables!$E$43*Variables!$C$15</f>
        <v>0</v>
      </c>
      <c r="AL73" s="20">
        <f>Z73*Variables!$E$38*Variables!$C$15</f>
        <v>117477026.11561163</v>
      </c>
      <c r="AM73" s="98"/>
      <c r="AN73" s="200">
        <f t="shared" si="12"/>
        <v>0.21</v>
      </c>
      <c r="AO73" s="201">
        <f t="shared" si="17"/>
        <v>41.458397167685874</v>
      </c>
      <c r="AP73" s="321">
        <f>VLOOKUP(A73,'Household Information'!H:Q,10,FALSE)</f>
        <v>53.01022340022719</v>
      </c>
      <c r="AQ73" s="122">
        <f>IF(12*(AO73-Variables!$C$3*AP73*F73)*(G73/5)&lt;0,0,12*(AO73-Variables!$C$3*AP73*F73)*(G73/5))</f>
        <v>14785909.986416612</v>
      </c>
      <c r="AS73" s="22"/>
    </row>
    <row r="74" spans="1:45" ht="14.25" customHeight="1" x14ac:dyDescent="0.35">
      <c r="A74" s="30">
        <v>29</v>
      </c>
      <c r="B74" s="28" t="s">
        <v>182</v>
      </c>
      <c r="C74" s="28">
        <v>2020</v>
      </c>
      <c r="D74" s="196">
        <f>Population!E30</f>
        <v>176841.94764232548</v>
      </c>
      <c r="E74" s="303" t="str">
        <f t="shared" si="18"/>
        <v>Medium</v>
      </c>
      <c r="F74" s="340">
        <f>VLOOKUP(A74,'Household Information'!$H$2:$M$49,6,FALSE)</f>
        <v>4.6165672844480259</v>
      </c>
      <c r="G74" s="196">
        <f t="shared" si="13"/>
        <v>38306</v>
      </c>
      <c r="H74" s="213">
        <f>Area!G30</f>
        <v>892.76465409043442</v>
      </c>
      <c r="I74" s="213"/>
      <c r="J74" s="32">
        <f>D74*Variables!$C$20</f>
        <v>159.15775287809294</v>
      </c>
      <c r="K74" s="202">
        <f t="shared" si="9"/>
        <v>155.4730417877239</v>
      </c>
      <c r="L74" s="32">
        <f t="shared" si="14"/>
        <v>3.684711090369035</v>
      </c>
      <c r="N74" s="117"/>
      <c r="O74" s="117"/>
      <c r="P74" s="117"/>
      <c r="Q74" s="117"/>
      <c r="R74" s="108"/>
      <c r="S74" s="198">
        <f>$L74*Variables!$C$21/100</f>
        <v>0.20007481033678015</v>
      </c>
      <c r="T74" s="198">
        <f>$L74*Variables!$C$22/100</f>
        <v>0.35013091808936531</v>
      </c>
      <c r="U74" s="198">
        <f>$L74*Variables!$C$23/100</f>
        <v>0.36680381895076364</v>
      </c>
      <c r="V74" s="198">
        <f>$L74*Variables!$C$24/100</f>
        <v>2.6676641378237353</v>
      </c>
      <c r="W74" s="22">
        <f>S74*Variables!$E$25*Variables!$C$15+'Cost Calculations'!T74*Variables!$E$26*Variables!$C$15+'Cost Calculations'!U74*Variables!$E$27*Variables!$C$15+V74*Variables!$E$28*Variables!$C$15</f>
        <v>2471489.5066433814</v>
      </c>
      <c r="X74" s="20">
        <f>J74*Variables!$E$29*Variables!$C$15</f>
        <v>27206.426276981205</v>
      </c>
      <c r="Z74" s="33">
        <f>D74*(IF(D74&lt;50000,0,IF(D74&gt;Variables!$C$7,Variables!$C$37,IF(D74&gt;Variables!$C$6,Variables!$C$36,IF(D74&gt;Variables!$C$5,Variables!$C$35)))))</f>
        <v>88.420973821162747</v>
      </c>
      <c r="AA74" s="34">
        <f t="shared" si="8"/>
        <v>206</v>
      </c>
      <c r="AB74" s="35">
        <f t="shared" si="15"/>
        <v>0</v>
      </c>
      <c r="AC74" s="22">
        <f>AB74*Variables!$E$41</f>
        <v>0</v>
      </c>
      <c r="AD74" s="115">
        <f>ROUND(IF(D74&lt;50000,0,(H74/(3.14*Variables!$C$34^2))),0)</f>
        <v>1137</v>
      </c>
      <c r="AE74" s="116">
        <f t="shared" si="10"/>
        <v>1121</v>
      </c>
      <c r="AF74" s="117">
        <f t="shared" si="16"/>
        <v>16</v>
      </c>
      <c r="AG74" s="107">
        <f>AF74*Variables!$E$42*Variables!$C$15</f>
        <v>10840.704</v>
      </c>
      <c r="AH74" s="199">
        <f>ROUND((Z74)/Variables!$C$40,0)</f>
        <v>1</v>
      </c>
      <c r="AI74" s="33">
        <f t="shared" si="11"/>
        <v>1</v>
      </c>
      <c r="AJ74" s="199">
        <f t="shared" si="19"/>
        <v>0</v>
      </c>
      <c r="AK74" s="22">
        <f>AJ74*Variables!$E$43*Variables!$C$15</f>
        <v>0</v>
      </c>
      <c r="AL74" s="20">
        <f>Z74*Variables!$E$38*Variables!$C$15</f>
        <v>15675138.573478155</v>
      </c>
      <c r="AM74" s="98"/>
      <c r="AN74" s="200">
        <f t="shared" si="12"/>
        <v>0.14000000000000001</v>
      </c>
      <c r="AO74" s="201">
        <f t="shared" si="17"/>
        <v>38.779165189363418</v>
      </c>
      <c r="AP74" s="321">
        <f>VLOOKUP(A74,'Household Information'!H:Q,10,FALSE)</f>
        <v>91.707686482393044</v>
      </c>
      <c r="AQ74" s="122">
        <f>IF(12*(AO74-Variables!$C$3*AP74*F74)*(G74/5)&lt;0,0,12*(AO74-Variables!$C$3*AP74*F74)*(G74/5))</f>
        <v>0</v>
      </c>
      <c r="AS74" s="22"/>
    </row>
    <row r="75" spans="1:45" ht="14.25" customHeight="1" x14ac:dyDescent="0.35">
      <c r="A75" s="30">
        <v>30</v>
      </c>
      <c r="B75" s="28" t="s">
        <v>183</v>
      </c>
      <c r="C75" s="28">
        <v>2020</v>
      </c>
      <c r="D75" s="196">
        <f>Population!E31</f>
        <v>121325.8068203584</v>
      </c>
      <c r="E75" s="303" t="str">
        <f t="shared" si="18"/>
        <v>Medium</v>
      </c>
      <c r="F75" s="340">
        <f>VLOOKUP(A75,'Household Information'!$H$2:$M$49,6,FALSE)</f>
        <v>4.0765401369010581</v>
      </c>
      <c r="G75" s="196">
        <f t="shared" si="13"/>
        <v>29762</v>
      </c>
      <c r="H75" s="213">
        <f>Area!G31</f>
        <v>89.002611220672151</v>
      </c>
      <c r="I75" s="213"/>
      <c r="J75" s="32">
        <f>D75*Variables!$C$20</f>
        <v>109.19322613832256</v>
      </c>
      <c r="K75" s="202">
        <f t="shared" si="9"/>
        <v>106.66525948844638</v>
      </c>
      <c r="L75" s="32">
        <f t="shared" si="14"/>
        <v>2.527966649876177</v>
      </c>
      <c r="N75" s="117"/>
      <c r="O75" s="117"/>
      <c r="P75" s="117"/>
      <c r="Q75" s="117"/>
      <c r="R75" s="108"/>
      <c r="S75" s="198">
        <f>$L75*Variables!$C$21/100</f>
        <v>0.1372651574593399</v>
      </c>
      <c r="T75" s="198">
        <f>$L75*Variables!$C$22/100</f>
        <v>0.24021402555384486</v>
      </c>
      <c r="U75" s="198">
        <f>$L75*Variables!$C$23/100</f>
        <v>0.25165278867545654</v>
      </c>
      <c r="V75" s="198">
        <f>$L75*Variables!$C$24/100</f>
        <v>1.8302020994578658</v>
      </c>
      <c r="W75" s="22">
        <f>S75*Variables!$E$25*Variables!$C$15+'Cost Calculations'!T75*Variables!$E$26*Variables!$C$15+'Cost Calculations'!U75*Variables!$E$27*Variables!$C$15+V75*Variables!$E$28*Variables!$C$15</f>
        <v>1695612.7346439136</v>
      </c>
      <c r="X75" s="20">
        <f>J75*Variables!$E$29*Variables!$C$15</f>
        <v>18665.490076084858</v>
      </c>
      <c r="Z75" s="33">
        <f>D75*(IF(D75&lt;50000,0,IF(D75&gt;Variables!$C$7,Variables!$C$37,IF(D75&gt;Variables!$C$6,Variables!$C$36,IF(D75&gt;Variables!$C$5,Variables!$C$35)))))</f>
        <v>60.662903410179197</v>
      </c>
      <c r="AA75" s="34">
        <f t="shared" si="8"/>
        <v>59</v>
      </c>
      <c r="AB75" s="35">
        <f t="shared" si="15"/>
        <v>2</v>
      </c>
      <c r="AC75" s="22">
        <f>AB75*Variables!$E$41</f>
        <v>739200.00000000012</v>
      </c>
      <c r="AD75" s="115">
        <f>ROUND(IF(D75&lt;50000,0,(H75/(3.14*Variables!$C$34^2))),0)</f>
        <v>113</v>
      </c>
      <c r="AE75" s="116">
        <f t="shared" si="10"/>
        <v>112</v>
      </c>
      <c r="AF75" s="117">
        <f t="shared" si="16"/>
        <v>1</v>
      </c>
      <c r="AG75" s="107">
        <f>AF75*Variables!$E$42*Variables!$C$15</f>
        <v>677.54399999999998</v>
      </c>
      <c r="AH75" s="199">
        <f>ROUND((Z75)/Variables!$C$40,0)</f>
        <v>0</v>
      </c>
      <c r="AI75" s="33">
        <f t="shared" si="11"/>
        <v>21</v>
      </c>
      <c r="AJ75" s="199">
        <f t="shared" si="19"/>
        <v>0</v>
      </c>
      <c r="AK75" s="22">
        <f>AJ75*Variables!$E$43*Variables!$C$15</f>
        <v>0</v>
      </c>
      <c r="AL75" s="20">
        <f>Z75*Variables!$E$38*Variables!$C$15</f>
        <v>10754229.184891542</v>
      </c>
      <c r="AM75" s="98"/>
      <c r="AN75" s="200">
        <f t="shared" si="12"/>
        <v>0.25221875000000005</v>
      </c>
      <c r="AO75" s="201">
        <f t="shared" si="17"/>
        <v>61.690791459240835</v>
      </c>
      <c r="AP75" s="321">
        <f>VLOOKUP(A75,'Household Information'!H:Q,10,FALSE)</f>
        <v>60.413984601792251</v>
      </c>
      <c r="AQ75" s="122">
        <f>IF(12*(AO75-Variables!$C$3*AP75*F75)*(G75/5)&lt;0,0,12*(AO75-Variables!$C$3*AP75*F75)*(G75/5))</f>
        <v>1767776.1211755963</v>
      </c>
      <c r="AS75" s="22"/>
    </row>
    <row r="76" spans="1:45" ht="14.25" customHeight="1" x14ac:dyDescent="0.35">
      <c r="A76" s="30">
        <v>31</v>
      </c>
      <c r="B76" s="28" t="s">
        <v>184</v>
      </c>
      <c r="C76" s="28">
        <v>2020</v>
      </c>
      <c r="D76" s="196">
        <f>Population!E32</f>
        <v>209374.52469325534</v>
      </c>
      <c r="E76" s="303" t="str">
        <f t="shared" si="18"/>
        <v>Medium</v>
      </c>
      <c r="F76" s="340">
        <f>VLOOKUP(A76,'Household Information'!$H$2:$M$49,6,FALSE)</f>
        <v>3.6621172202306398</v>
      </c>
      <c r="G76" s="196">
        <f t="shared" si="13"/>
        <v>57173</v>
      </c>
      <c r="H76" s="213">
        <f>Area!G32</f>
        <v>672.31203245153881</v>
      </c>
      <c r="I76" s="213"/>
      <c r="J76" s="32">
        <f>D76*Variables!$C$20</f>
        <v>188.43707222392979</v>
      </c>
      <c r="K76" s="202">
        <f t="shared" si="9"/>
        <v>522.30024000000003</v>
      </c>
      <c r="L76" s="32">
        <f t="shared" si="14"/>
        <v>0</v>
      </c>
      <c r="N76" s="117"/>
      <c r="O76" s="117"/>
      <c r="P76" s="117"/>
      <c r="Q76" s="117"/>
      <c r="R76" s="108"/>
      <c r="S76" s="198">
        <f>$L76*Variables!$C$21/100</f>
        <v>0</v>
      </c>
      <c r="T76" s="198">
        <f>$L76*Variables!$C$22/100</f>
        <v>0</v>
      </c>
      <c r="U76" s="198">
        <f>$L76*Variables!$C$23/100</f>
        <v>0</v>
      </c>
      <c r="V76" s="198">
        <f>$L76*Variables!$C$24/100</f>
        <v>0</v>
      </c>
      <c r="W76" s="22">
        <f>S76*Variables!$E$25*Variables!$C$15+'Cost Calculations'!T76*Variables!$E$26*Variables!$C$15+'Cost Calculations'!U76*Variables!$E$27*Variables!$C$15+V76*Variables!$E$28*Variables!$C$15</f>
        <v>0</v>
      </c>
      <c r="X76" s="20">
        <f>J76*Variables!$E$29*Variables!$C$15</f>
        <v>32211.43312595856</v>
      </c>
      <c r="Z76" s="33">
        <f>D76*(IF(D76&lt;50000,0,IF(D76&gt;Variables!$C$7,Variables!$C$37,IF(D76&gt;Variables!$C$6,Variables!$C$36,IF(D76&gt;Variables!$C$5,Variables!$C$35)))))</f>
        <v>104.68726234662768</v>
      </c>
      <c r="AA76" s="34">
        <f t="shared" si="8"/>
        <v>3158</v>
      </c>
      <c r="AB76" s="35">
        <f t="shared" si="15"/>
        <v>0</v>
      </c>
      <c r="AC76" s="22">
        <f>AB76*Variables!$E$41</f>
        <v>0</v>
      </c>
      <c r="AD76" s="115">
        <f>ROUND(IF(D76&lt;50000,0,(H76/(3.14*Variables!$C$34^2))),0)</f>
        <v>856</v>
      </c>
      <c r="AE76" s="116">
        <f t="shared" si="10"/>
        <v>844</v>
      </c>
      <c r="AF76" s="117">
        <f t="shared" si="16"/>
        <v>12</v>
      </c>
      <c r="AG76" s="107">
        <f>AF76*Variables!$E$42*Variables!$C$15</f>
        <v>8130.5280000000002</v>
      </c>
      <c r="AH76" s="199">
        <f>ROUND((Z76)/Variables!$C$40,0)</f>
        <v>1</v>
      </c>
      <c r="AI76" s="33">
        <f t="shared" si="11"/>
        <v>27</v>
      </c>
      <c r="AJ76" s="199">
        <f t="shared" si="19"/>
        <v>0</v>
      </c>
      <c r="AK76" s="22">
        <f>AJ76*Variables!$E$43*Variables!$C$15</f>
        <v>0</v>
      </c>
      <c r="AL76" s="20">
        <f>Z76*Variables!$E$38*Variables!$C$15</f>
        <v>18558801.981535014</v>
      </c>
      <c r="AM76" s="98"/>
      <c r="AN76" s="200">
        <f t="shared" si="12"/>
        <v>0.14000000000000001</v>
      </c>
      <c r="AO76" s="201">
        <f t="shared" si="17"/>
        <v>30.761784649937375</v>
      </c>
      <c r="AP76" s="321">
        <f>VLOOKUP(A76,'Household Information'!H:Q,10,FALSE)</f>
        <v>118.33648870377382</v>
      </c>
      <c r="AQ76" s="122">
        <f>IF(12*(AO76-Variables!$C$3*AP76*F76)*(G76/5)&lt;0,0,12*(AO76-Variables!$C$3*AP76*F76)*(G76/5))</f>
        <v>0</v>
      </c>
      <c r="AS76" s="22"/>
    </row>
    <row r="77" spans="1:45" ht="14.25" customHeight="1" x14ac:dyDescent="0.35">
      <c r="A77" s="30">
        <v>32</v>
      </c>
      <c r="B77" s="28" t="s">
        <v>185</v>
      </c>
      <c r="C77" s="28">
        <v>2020</v>
      </c>
      <c r="D77" s="196">
        <f>Population!E33</f>
        <v>1457625.8867135858</v>
      </c>
      <c r="E77" s="303" t="str">
        <f t="shared" si="18"/>
        <v>Large</v>
      </c>
      <c r="F77" s="340">
        <f>VLOOKUP(A77,'Household Information'!$H$2:$M$49,6,FALSE)</f>
        <v>6.457235996477583</v>
      </c>
      <c r="G77" s="196">
        <f t="shared" si="13"/>
        <v>225735</v>
      </c>
      <c r="H77" s="213">
        <f>Area!G33</f>
        <v>39.708857313838344</v>
      </c>
      <c r="I77" s="213"/>
      <c r="J77" s="32">
        <f>D77*Variables!$C$20</f>
        <v>1311.8632980422271</v>
      </c>
      <c r="K77" s="202">
        <f t="shared" si="9"/>
        <v>1281.4919390858915</v>
      </c>
      <c r="L77" s="32">
        <f t="shared" si="14"/>
        <v>30.371358956335598</v>
      </c>
      <c r="N77" s="117"/>
      <c r="O77" s="117"/>
      <c r="P77" s="117"/>
      <c r="Q77" s="117"/>
      <c r="R77" s="108"/>
      <c r="S77" s="198">
        <f>$L77*Variables!$C$21/100</f>
        <v>1.6491235632399417</v>
      </c>
      <c r="T77" s="198">
        <f>$L77*Variables!$C$22/100</f>
        <v>2.8859662356698981</v>
      </c>
      <c r="U77" s="198">
        <f>$L77*Variables!$C$23/100</f>
        <v>3.0233931992732272</v>
      </c>
      <c r="V77" s="198">
        <f>$L77*Variables!$C$24/100</f>
        <v>21.988314176532558</v>
      </c>
      <c r="W77" s="22">
        <f>S77*Variables!$E$25*Variables!$C$15+'Cost Calculations'!T77*Variables!$E$26*Variables!$C$15+'Cost Calculations'!U77*Variables!$E$27*Variables!$C$15+V77*Variables!$E$28*Variables!$C$15</f>
        <v>20371337.975256339</v>
      </c>
      <c r="X77" s="20">
        <f>J77*Variables!$E$29*Variables!$C$15</f>
        <v>224249.91216733833</v>
      </c>
      <c r="Z77" s="33">
        <f>D77*(IF(D77&lt;50000,0,IF(D77&gt;Variables!$C$7,Variables!$C$37,IF(D77&gt;Variables!$C$6,Variables!$C$36,IF(D77&gt;Variables!$C$5,Variables!$C$35)))))</f>
        <v>728.81294335679297</v>
      </c>
      <c r="AA77" s="34">
        <f t="shared" si="8"/>
        <v>712</v>
      </c>
      <c r="AB77" s="35">
        <f t="shared" si="15"/>
        <v>17</v>
      </c>
      <c r="AC77" s="22">
        <f>AB77*Variables!$E$41</f>
        <v>6283200.0000000009</v>
      </c>
      <c r="AD77" s="115">
        <f>ROUND(IF(D77&lt;50000,0,(H77/(3.14*Variables!$C$34^2))),0)</f>
        <v>51</v>
      </c>
      <c r="AE77" s="116">
        <f t="shared" si="10"/>
        <v>50</v>
      </c>
      <c r="AF77" s="117">
        <f t="shared" si="16"/>
        <v>1</v>
      </c>
      <c r="AG77" s="107">
        <f>AF77*Variables!$E$42*Variables!$C$15</f>
        <v>677.54399999999998</v>
      </c>
      <c r="AH77" s="199">
        <f>ROUND((Z77)/Variables!$C$40,0)</f>
        <v>6</v>
      </c>
      <c r="AI77" s="33">
        <f t="shared" si="11"/>
        <v>6</v>
      </c>
      <c r="AJ77" s="199">
        <f t="shared" si="19"/>
        <v>0</v>
      </c>
      <c r="AK77" s="22">
        <f>AJ77*Variables!$E$43*Variables!$C$15</f>
        <v>0</v>
      </c>
      <c r="AL77" s="20">
        <f>Z77*Variables!$E$38*Variables!$C$15</f>
        <v>129202873.34053235</v>
      </c>
      <c r="AM77" s="98"/>
      <c r="AN77" s="200">
        <f t="shared" si="12"/>
        <v>0.14000000000000001</v>
      </c>
      <c r="AO77" s="201">
        <f t="shared" si="17"/>
        <v>54.240782370411701</v>
      </c>
      <c r="AP77" s="321">
        <f>VLOOKUP(A77,'Household Information'!H:Q,10,FALSE)</f>
        <v>105.97627161428754</v>
      </c>
      <c r="AQ77" s="122">
        <f>IF(12*(AO77-Variables!$C$3*AP77*F77)*(G77/5)&lt;0,0,12*(AO77-Variables!$C$3*AP77*F77)*(G77/5))</f>
        <v>0</v>
      </c>
      <c r="AS77" s="22"/>
    </row>
    <row r="78" spans="1:45" ht="14.25" customHeight="1" x14ac:dyDescent="0.35">
      <c r="A78" s="30">
        <v>33</v>
      </c>
      <c r="B78" s="28" t="s">
        <v>186</v>
      </c>
      <c r="C78" s="28">
        <v>2020</v>
      </c>
      <c r="D78" s="196">
        <f>Population!E34</f>
        <v>918220.22693776176</v>
      </c>
      <c r="E78" s="303" t="str">
        <f t="shared" si="18"/>
        <v>Medium</v>
      </c>
      <c r="F78" s="340">
        <f>VLOOKUP(A78,'Household Information'!$H$2:$M$49,6,FALSE)</f>
        <v>3.9813857124502121</v>
      </c>
      <c r="G78" s="196">
        <f t="shared" si="13"/>
        <v>230628</v>
      </c>
      <c r="H78" s="213">
        <f>Area!G34</f>
        <v>331.3635679292716</v>
      </c>
      <c r="I78" s="213"/>
      <c r="J78" s="32">
        <f>D78*Variables!$C$20</f>
        <v>826.39820424398556</v>
      </c>
      <c r="K78" s="202">
        <f t="shared" si="9"/>
        <v>1137.8472300000001</v>
      </c>
      <c r="L78" s="32">
        <f t="shared" si="14"/>
        <v>0</v>
      </c>
      <c r="N78" s="117"/>
      <c r="O78" s="117"/>
      <c r="P78" s="117"/>
      <c r="Q78" s="117"/>
      <c r="R78" s="108"/>
      <c r="S78" s="198">
        <f>$L78*Variables!$C$21/100</f>
        <v>0</v>
      </c>
      <c r="T78" s="198">
        <f>$L78*Variables!$C$22/100</f>
        <v>0</v>
      </c>
      <c r="U78" s="198">
        <f>$L78*Variables!$C$23/100</f>
        <v>0</v>
      </c>
      <c r="V78" s="198">
        <f>$L78*Variables!$C$24/100</f>
        <v>0</v>
      </c>
      <c r="W78" s="22">
        <f>S78*Variables!$E$25*Variables!$C$15+'Cost Calculations'!T78*Variables!$E$26*Variables!$C$15+'Cost Calculations'!U78*Variables!$E$27*Variables!$C$15+V78*Variables!$E$28*Variables!$C$15</f>
        <v>0</v>
      </c>
      <c r="X78" s="20">
        <f>J78*Variables!$E$29*Variables!$C$15</f>
        <v>141264.50903346689</v>
      </c>
      <c r="Z78" s="33">
        <f>D78*(IF(D78&lt;50000,0,IF(D78&gt;Variables!$C$7,Variables!$C$37,IF(D78&gt;Variables!$C$6,Variables!$C$36,IF(D78&gt;Variables!$C$5,Variables!$C$35)))))</f>
        <v>459.11011346888091</v>
      </c>
      <c r="AA78" s="34">
        <f t="shared" si="8"/>
        <v>448</v>
      </c>
      <c r="AB78" s="35">
        <f t="shared" si="15"/>
        <v>11</v>
      </c>
      <c r="AC78" s="22">
        <f>AB78*Variables!$E$41</f>
        <v>4065600.0000000005</v>
      </c>
      <c r="AD78" s="115">
        <f>ROUND(IF(D78&lt;50000,0,(H78/(3.14*Variables!$C$34^2))),0)</f>
        <v>422</v>
      </c>
      <c r="AE78" s="116">
        <f t="shared" si="10"/>
        <v>416</v>
      </c>
      <c r="AF78" s="117">
        <f t="shared" si="16"/>
        <v>6</v>
      </c>
      <c r="AG78" s="107">
        <f>AF78*Variables!$E$42*Variables!$C$15</f>
        <v>4065.2640000000001</v>
      </c>
      <c r="AH78" s="199">
        <f>ROUND((Z78)/Variables!$C$40,0)</f>
        <v>4</v>
      </c>
      <c r="AI78" s="33">
        <f t="shared" si="11"/>
        <v>4</v>
      </c>
      <c r="AJ78" s="199">
        <f t="shared" si="19"/>
        <v>0</v>
      </c>
      <c r="AK78" s="22">
        <f>AJ78*Variables!$E$43*Variables!$C$15</f>
        <v>0</v>
      </c>
      <c r="AL78" s="20">
        <f>Z78*Variables!$E$38*Variables!$C$15</f>
        <v>81390357.265976474</v>
      </c>
      <c r="AM78" s="98"/>
      <c r="AN78" s="200">
        <f t="shared" si="12"/>
        <v>0.14000000000000001</v>
      </c>
      <c r="AO78" s="201">
        <f t="shared" si="17"/>
        <v>33.443639984581786</v>
      </c>
      <c r="AP78" s="321">
        <f>VLOOKUP(A78,'Household Information'!H:Q,10,FALSE)</f>
        <v>212.04089360090876</v>
      </c>
      <c r="AQ78" s="122">
        <f>IF(12*(AO78-Variables!$C$3*AP78*F78)*(G78/5)&lt;0,0,12*(AO78-Variables!$C$3*AP78*F78)*(G78/5))</f>
        <v>0</v>
      </c>
      <c r="AS78" s="22"/>
    </row>
    <row r="79" spans="1:45" ht="14.25" customHeight="1" x14ac:dyDescent="0.35">
      <c r="A79" s="30">
        <v>34</v>
      </c>
      <c r="B79" s="28" t="s">
        <v>187</v>
      </c>
      <c r="C79" s="28">
        <v>2020</v>
      </c>
      <c r="D79" s="196">
        <f>Population!E35</f>
        <v>531176.51916159026</v>
      </c>
      <c r="E79" s="303" t="str">
        <f t="shared" si="18"/>
        <v>Medium</v>
      </c>
      <c r="F79" s="340">
        <f>VLOOKUP(A79,'Household Information'!$H$2:$M$49,6,FALSE)</f>
        <v>4.3021399999999996</v>
      </c>
      <c r="G79" s="196">
        <f t="shared" si="13"/>
        <v>123468</v>
      </c>
      <c r="H79" s="213">
        <f>Area!G35</f>
        <v>100.80271879332975</v>
      </c>
      <c r="I79" s="213"/>
      <c r="J79" s="32">
        <f>D79*Variables!$C$20</f>
        <v>478.0588672454312</v>
      </c>
      <c r="K79" s="202">
        <f t="shared" si="9"/>
        <v>466.9911763655673</v>
      </c>
      <c r="L79" s="32">
        <f t="shared" si="14"/>
        <v>11.067690879863903</v>
      </c>
      <c r="N79" s="117"/>
      <c r="O79" s="117"/>
      <c r="P79" s="117"/>
      <c r="Q79" s="117"/>
      <c r="R79" s="108"/>
      <c r="S79" s="198">
        <f>$L79*Variables!$C$21/100</f>
        <v>0.60096059076184083</v>
      </c>
      <c r="T79" s="198">
        <f>$L79*Variables!$C$22/100</f>
        <v>1.0516810338332216</v>
      </c>
      <c r="U79" s="198">
        <f>$L79*Variables!$C$23/100</f>
        <v>1.1017610830633751</v>
      </c>
      <c r="V79" s="198">
        <f>$L79*Variables!$C$24/100</f>
        <v>8.0128078768245459</v>
      </c>
      <c r="W79" s="22">
        <f>S79*Variables!$E$25*Variables!$C$15+'Cost Calculations'!T79*Variables!$E$26*Variables!$C$15+'Cost Calculations'!U79*Variables!$E$27*Variables!$C$15+V79*Variables!$E$28*Variables!$C$15</f>
        <v>7423562.1739387829</v>
      </c>
      <c r="X79" s="20">
        <f>J79*Variables!$E$29*Variables!$C$15</f>
        <v>81719.38276693401</v>
      </c>
      <c r="Z79" s="33">
        <f>D79*(IF(D79&lt;50000,0,IF(D79&gt;Variables!$C$7,Variables!$C$37,IF(D79&gt;Variables!$C$6,Variables!$C$36,IF(D79&gt;Variables!$C$5,Variables!$C$35)))))</f>
        <v>265.58825958079512</v>
      </c>
      <c r="AA79" s="34">
        <f t="shared" si="8"/>
        <v>1061</v>
      </c>
      <c r="AB79" s="35">
        <f t="shared" si="15"/>
        <v>0</v>
      </c>
      <c r="AC79" s="22">
        <f>AB79*Variables!$E$41</f>
        <v>0</v>
      </c>
      <c r="AD79" s="115">
        <f>ROUND(IF(D79&lt;50000,0,(H79/(3.14*Variables!$C$34^2))),0)</f>
        <v>128</v>
      </c>
      <c r="AE79" s="116">
        <f t="shared" si="10"/>
        <v>127</v>
      </c>
      <c r="AF79" s="117">
        <f t="shared" si="16"/>
        <v>1</v>
      </c>
      <c r="AG79" s="107">
        <f>AF79*Variables!$E$42*Variables!$C$15</f>
        <v>677.54399999999998</v>
      </c>
      <c r="AH79" s="199">
        <f>ROUND((Z79)/Variables!$C$40,0)</f>
        <v>2</v>
      </c>
      <c r="AI79" s="33">
        <f t="shared" si="11"/>
        <v>2</v>
      </c>
      <c r="AJ79" s="199">
        <f t="shared" si="19"/>
        <v>0</v>
      </c>
      <c r="AK79" s="22">
        <f>AJ79*Variables!$E$43*Variables!$C$15</f>
        <v>0</v>
      </c>
      <c r="AL79" s="20">
        <f>Z79*Variables!$E$38*Variables!$C$15</f>
        <v>47083091.177417494</v>
      </c>
      <c r="AM79" s="98"/>
      <c r="AN79" s="200">
        <f t="shared" si="12"/>
        <v>0.21</v>
      </c>
      <c r="AO79" s="201">
        <f t="shared" si="17"/>
        <v>54.206963999999992</v>
      </c>
      <c r="AP79" s="321">
        <f>VLOOKUP(A79,'Household Information'!H:Q,10,FALSE)</f>
        <v>71.56380159030671</v>
      </c>
      <c r="AQ79" s="122">
        <f>IF(12*(AO79-Variables!$C$3*AP79*F79)*(G79/5)&lt;0,0,12*(AO79-Variables!$C$3*AP79*F79)*(G79/5))</f>
        <v>2378094.4280927805</v>
      </c>
      <c r="AS79" s="22"/>
    </row>
    <row r="80" spans="1:45" ht="14.25" customHeight="1" x14ac:dyDescent="0.35">
      <c r="A80" s="30">
        <v>35</v>
      </c>
      <c r="B80" s="28" t="s">
        <v>188</v>
      </c>
      <c r="C80" s="28">
        <v>2020</v>
      </c>
      <c r="D80" s="196">
        <f>Population!E36</f>
        <v>226294.57615273932</v>
      </c>
      <c r="E80" s="303" t="str">
        <f t="shared" si="18"/>
        <v>Medium</v>
      </c>
      <c r="F80" s="340">
        <f>VLOOKUP(A80,'Household Information'!$H$2:$M$49,6,FALSE)</f>
        <v>5.0911666666666671</v>
      </c>
      <c r="G80" s="196">
        <f t="shared" si="13"/>
        <v>44448</v>
      </c>
      <c r="H80" s="213">
        <f>Area!G36</f>
        <v>34.279918864097361</v>
      </c>
      <c r="I80" s="213"/>
      <c r="J80" s="32">
        <f>D80*Variables!$C$20</f>
        <v>203.66511853746539</v>
      </c>
      <c r="K80" s="202">
        <f t="shared" si="9"/>
        <v>198.95000345556841</v>
      </c>
      <c r="L80" s="32">
        <f t="shared" si="14"/>
        <v>4.7151150818969825</v>
      </c>
      <c r="N80" s="117"/>
      <c r="O80" s="117"/>
      <c r="P80" s="117"/>
      <c r="Q80" s="117"/>
      <c r="R80" s="108"/>
      <c r="S80" s="198">
        <f>$L80*Variables!$C$21/100</f>
        <v>0.25602434833829762</v>
      </c>
      <c r="T80" s="198">
        <f>$L80*Variables!$C$22/100</f>
        <v>0.44804260959202097</v>
      </c>
      <c r="U80" s="198">
        <f>$L80*Variables!$C$23/100</f>
        <v>0.46937797195354575</v>
      </c>
      <c r="V80" s="198">
        <f>$L80*Variables!$C$24/100</f>
        <v>3.4136579778439695</v>
      </c>
      <c r="W80" s="22">
        <f>S80*Variables!$E$25*Variables!$C$15+'Cost Calculations'!T80*Variables!$E$26*Variables!$C$15+'Cost Calculations'!U80*Variables!$E$27*Variables!$C$15+V80*Variables!$E$28*Variables!$C$15</f>
        <v>3162624.4668092076</v>
      </c>
      <c r="X80" s="20">
        <f>J80*Variables!$E$29*Variables!$C$15</f>
        <v>34814.515362794336</v>
      </c>
      <c r="Z80" s="33">
        <f>D80*(IF(D80&lt;50000,0,IF(D80&gt;Variables!$C$7,Variables!$C$37,IF(D80&gt;Variables!$C$6,Variables!$C$36,IF(D80&gt;Variables!$C$5,Variables!$C$35)))))</f>
        <v>113.14728807636966</v>
      </c>
      <c r="AA80" s="34">
        <f t="shared" si="8"/>
        <v>111</v>
      </c>
      <c r="AB80" s="35">
        <f t="shared" si="15"/>
        <v>2</v>
      </c>
      <c r="AC80" s="22">
        <f>AB80*Variables!$E$41</f>
        <v>739200.00000000012</v>
      </c>
      <c r="AD80" s="115">
        <f>ROUND(IF(D80&lt;50000,0,(H80/(3.14*Variables!$C$34^2))),0)</f>
        <v>44</v>
      </c>
      <c r="AE80" s="116">
        <f t="shared" si="10"/>
        <v>43</v>
      </c>
      <c r="AF80" s="117">
        <f t="shared" si="16"/>
        <v>1</v>
      </c>
      <c r="AG80" s="107">
        <f>AF80*Variables!$E$42*Variables!$C$15</f>
        <v>677.54399999999998</v>
      </c>
      <c r="AH80" s="199">
        <f>ROUND((Z80)/Variables!$C$40,0)</f>
        <v>1</v>
      </c>
      <c r="AI80" s="33">
        <f t="shared" si="11"/>
        <v>1</v>
      </c>
      <c r="AJ80" s="199">
        <f t="shared" si="19"/>
        <v>0</v>
      </c>
      <c r="AK80" s="22">
        <f>AJ80*Variables!$E$43*Variables!$C$15</f>
        <v>0</v>
      </c>
      <c r="AL80" s="20">
        <f>Z80*Variables!$E$38*Variables!$C$15</f>
        <v>20058582.745283589</v>
      </c>
      <c r="AM80" s="98"/>
      <c r="AN80" s="200">
        <f t="shared" si="12"/>
        <v>0.25221875000000005</v>
      </c>
      <c r="AO80" s="201">
        <f t="shared" si="17"/>
        <v>77.045261562500016</v>
      </c>
      <c r="AP80" s="321">
        <f>VLOOKUP(A80,'Household Information'!H:Q,10,FALSE)</f>
        <v>112.55837435314906</v>
      </c>
      <c r="AQ80" s="122">
        <f>IF(12*(AO80-Variables!$C$3*AP80*F80)*(G80/5)&lt;0,0,12*(AO80-Variables!$C$3*AP80*F80)*(G80/5))</f>
        <v>0</v>
      </c>
      <c r="AS80" s="22"/>
    </row>
    <row r="81" spans="1:45" ht="14.25" customHeight="1" x14ac:dyDescent="0.35">
      <c r="A81" s="30">
        <v>36</v>
      </c>
      <c r="B81" s="28" t="s">
        <v>189</v>
      </c>
      <c r="C81" s="28">
        <v>2020</v>
      </c>
      <c r="D81" s="196">
        <f>Population!E37</f>
        <v>1450891.9432912257</v>
      </c>
      <c r="E81" s="303" t="str">
        <f t="shared" si="18"/>
        <v>Large</v>
      </c>
      <c r="F81" s="340">
        <f>VLOOKUP(A81,'Household Information'!$H$2:$M$49,6,FALSE)</f>
        <v>4.8963166666666664</v>
      </c>
      <c r="G81" s="196">
        <f t="shared" si="13"/>
        <v>296323</v>
      </c>
      <c r="H81" s="213">
        <f>Area!G37</f>
        <v>64.198782961460452</v>
      </c>
      <c r="I81" s="213"/>
      <c r="J81" s="32">
        <f>D81*Variables!$C$20</f>
        <v>1305.8027489621031</v>
      </c>
      <c r="K81" s="202">
        <f t="shared" si="9"/>
        <v>1275.5716996796941</v>
      </c>
      <c r="L81" s="32">
        <f t="shared" si="14"/>
        <v>30.231049282409003</v>
      </c>
      <c r="N81" s="117"/>
      <c r="O81" s="117"/>
      <c r="P81" s="117"/>
      <c r="Q81" s="117"/>
      <c r="R81" s="108"/>
      <c r="S81" s="198">
        <f>$L81*Variables!$C$21/100</f>
        <v>1.6415049384113485</v>
      </c>
      <c r="T81" s="198">
        <f>$L81*Variables!$C$22/100</f>
        <v>2.8726336422198604</v>
      </c>
      <c r="U81" s="198">
        <f>$L81*Variables!$C$23/100</f>
        <v>3.0094257204208059</v>
      </c>
      <c r="V81" s="198">
        <f>$L81*Variables!$C$24/100</f>
        <v>21.886732512151315</v>
      </c>
      <c r="W81" s="22">
        <f>S81*Variables!$E$25*Variables!$C$15+'Cost Calculations'!T81*Variables!$E$26*Variables!$C$15+'Cost Calculations'!U81*Variables!$E$27*Variables!$C$15+V81*Variables!$E$28*Variables!$C$15</f>
        <v>20277226.421246991</v>
      </c>
      <c r="X81" s="20">
        <f>J81*Variables!$E$29*Variables!$C$15</f>
        <v>223213.92190758191</v>
      </c>
      <c r="Z81" s="33">
        <f>D81*(IF(D81&lt;50000,0,IF(D81&gt;Variables!$C$7,Variables!$C$37,IF(D81&gt;Variables!$C$6,Variables!$C$36,IF(D81&gt;Variables!$C$5,Variables!$C$35)))))</f>
        <v>725.44597164561287</v>
      </c>
      <c r="AA81" s="34">
        <f t="shared" si="8"/>
        <v>709</v>
      </c>
      <c r="AB81" s="35">
        <f t="shared" si="15"/>
        <v>16</v>
      </c>
      <c r="AC81" s="22">
        <f>AB81*Variables!$E$41</f>
        <v>5913600.0000000009</v>
      </c>
      <c r="AD81" s="115">
        <f>ROUND(IF(D81&lt;50000,0,(H81/(3.14*Variables!$C$34^2))),0)</f>
        <v>82</v>
      </c>
      <c r="AE81" s="116">
        <f t="shared" si="10"/>
        <v>81</v>
      </c>
      <c r="AF81" s="117">
        <f t="shared" si="16"/>
        <v>1</v>
      </c>
      <c r="AG81" s="107">
        <f>AF81*Variables!$E$42*Variables!$C$15</f>
        <v>677.54399999999998</v>
      </c>
      <c r="AH81" s="199">
        <f>ROUND((Z81)/Variables!$C$40,0)</f>
        <v>6</v>
      </c>
      <c r="AI81" s="33">
        <f t="shared" si="11"/>
        <v>6</v>
      </c>
      <c r="AJ81" s="199">
        <f t="shared" si="19"/>
        <v>0</v>
      </c>
      <c r="AK81" s="22">
        <f>AJ81*Variables!$E$43*Variables!$C$15</f>
        <v>0</v>
      </c>
      <c r="AL81" s="20">
        <f>Z81*Variables!$E$38*Variables!$C$15</f>
        <v>128605981.60925062</v>
      </c>
      <c r="AM81" s="98"/>
      <c r="AN81" s="200">
        <f t="shared" si="12"/>
        <v>0.28000000000000003</v>
      </c>
      <c r="AO81" s="201">
        <f t="shared" si="17"/>
        <v>82.258120000000005</v>
      </c>
      <c r="AP81" s="321">
        <f>VLOOKUP(A81,'Household Information'!H:Q,10,FALSE)</f>
        <v>50.200681560015155</v>
      </c>
      <c r="AQ81" s="122">
        <f>IF(12*(AO81-Variables!$C$3*AP81*F81)*(G81/5)&lt;0,0,12*(AO81-Variables!$C$3*AP81*F81)*(G81/5))</f>
        <v>32279072.394978736</v>
      </c>
      <c r="AS81" s="22"/>
    </row>
    <row r="82" spans="1:45" ht="14.25" customHeight="1" x14ac:dyDescent="0.35">
      <c r="A82" s="30">
        <v>37</v>
      </c>
      <c r="B82" s="28" t="s">
        <v>190</v>
      </c>
      <c r="C82" s="28">
        <v>2020</v>
      </c>
      <c r="D82" s="196">
        <f>Population!E38</f>
        <v>242067.61011325504</v>
      </c>
      <c r="E82" s="303" t="str">
        <f t="shared" si="18"/>
        <v>Medium</v>
      </c>
      <c r="F82" s="340">
        <f>VLOOKUP(A82,'Household Information'!$H$2:$M$49,6,FALSE)</f>
        <v>5.027102564102564</v>
      </c>
      <c r="G82" s="196">
        <f t="shared" si="13"/>
        <v>48153</v>
      </c>
      <c r="H82" s="213">
        <f>Area!G38</f>
        <v>26.977687626774848</v>
      </c>
      <c r="I82" s="213"/>
      <c r="J82" s="32">
        <f>D82*Variables!$C$20</f>
        <v>217.86084910192952</v>
      </c>
      <c r="K82" s="202">
        <f t="shared" si="9"/>
        <v>212.81708420624162</v>
      </c>
      <c r="L82" s="32">
        <f t="shared" si="14"/>
        <v>5.0437648956879002</v>
      </c>
      <c r="N82" s="117"/>
      <c r="O82" s="117"/>
      <c r="P82" s="117"/>
      <c r="Q82" s="117"/>
      <c r="R82" s="108"/>
      <c r="S82" s="198">
        <f>$L82*Variables!$C$21/100</f>
        <v>0.27386958709617554</v>
      </c>
      <c r="T82" s="198">
        <f>$L82*Variables!$C$22/100</f>
        <v>0.47927177741830723</v>
      </c>
      <c r="U82" s="198">
        <f>$L82*Variables!$C$23/100</f>
        <v>0.50209424300965522</v>
      </c>
      <c r="V82" s="198">
        <f>$L82*Variables!$C$24/100</f>
        <v>3.651594494615674</v>
      </c>
      <c r="W82" s="22">
        <f>S82*Variables!$E$25*Variables!$C$15+'Cost Calculations'!T82*Variables!$E$26*Variables!$C$15+'Cost Calculations'!U82*Variables!$E$27*Variables!$C$15+V82*Variables!$E$28*Variables!$C$15</f>
        <v>3383063.6128436401</v>
      </c>
      <c r="X82" s="20">
        <f>J82*Variables!$E$29*Variables!$C$15</f>
        <v>37241.133545483834</v>
      </c>
      <c r="Z82" s="33">
        <f>D82*(IF(D82&lt;50000,0,IF(D82&gt;Variables!$C$7,Variables!$C$37,IF(D82&gt;Variables!$C$6,Variables!$C$36,IF(D82&gt;Variables!$C$5,Variables!$C$35)))))</f>
        <v>121.03380505662753</v>
      </c>
      <c r="AA82" s="34">
        <f t="shared" si="8"/>
        <v>118</v>
      </c>
      <c r="AB82" s="35">
        <f t="shared" si="15"/>
        <v>3</v>
      </c>
      <c r="AC82" s="22">
        <f>AB82*Variables!$E$41</f>
        <v>1108800.0000000002</v>
      </c>
      <c r="AD82" s="115">
        <f>ROUND(IF(D82&lt;50000,0,(H82/(3.14*Variables!$C$34^2))),0)</f>
        <v>34</v>
      </c>
      <c r="AE82" s="116">
        <f t="shared" si="10"/>
        <v>34</v>
      </c>
      <c r="AF82" s="117">
        <f t="shared" si="16"/>
        <v>0</v>
      </c>
      <c r="AG82" s="107">
        <f>AF82*Variables!$E$42*Variables!$C$15</f>
        <v>0</v>
      </c>
      <c r="AH82" s="199">
        <f>ROUND((Z82)/Variables!$C$40,0)</f>
        <v>1</v>
      </c>
      <c r="AI82" s="33">
        <f t="shared" si="11"/>
        <v>1</v>
      </c>
      <c r="AJ82" s="199">
        <f t="shared" si="19"/>
        <v>0</v>
      </c>
      <c r="AK82" s="22">
        <f>AJ82*Variables!$E$43*Variables!$C$15</f>
        <v>0</v>
      </c>
      <c r="AL82" s="20">
        <f>Z82*Variables!$E$38*Variables!$C$15</f>
        <v>21456692.731921654</v>
      </c>
      <c r="AM82" s="98"/>
      <c r="AN82" s="200">
        <f t="shared" si="12"/>
        <v>0.14000000000000001</v>
      </c>
      <c r="AO82" s="201">
        <f t="shared" si="17"/>
        <v>42.22766153846154</v>
      </c>
      <c r="AP82" s="321">
        <f>VLOOKUP(A82,'Household Information'!H:Q,10,FALSE)</f>
        <v>74.965290925154619</v>
      </c>
      <c r="AQ82" s="122">
        <f>IF(12*(AO82-Variables!$C$3*AP82*F82)*(G82/5)&lt;0,0,12*(AO82-Variables!$C$3*AP82*F82)*(G82/5))</f>
        <v>0</v>
      </c>
      <c r="AS82" s="22"/>
    </row>
    <row r="83" spans="1:45" ht="14.25" customHeight="1" x14ac:dyDescent="0.35">
      <c r="A83" s="30">
        <v>38</v>
      </c>
      <c r="B83" s="28" t="s">
        <v>191</v>
      </c>
      <c r="C83" s="28">
        <v>2020</v>
      </c>
      <c r="D83" s="196">
        <f>Population!E39</f>
        <v>1064535.9521425301</v>
      </c>
      <c r="E83" s="303" t="str">
        <f t="shared" si="18"/>
        <v>Large</v>
      </c>
      <c r="F83" s="340">
        <f>VLOOKUP(A83,'Household Information'!$H$2:$M$49,6,FALSE)</f>
        <v>4.5378736842105267</v>
      </c>
      <c r="G83" s="196">
        <f t="shared" si="13"/>
        <v>234589</v>
      </c>
      <c r="H83" s="213">
        <f>Area!G39</f>
        <v>108.51926977687629</v>
      </c>
      <c r="I83" s="213"/>
      <c r="J83" s="32">
        <f>D83*Variables!$C$20</f>
        <v>958.08235692827714</v>
      </c>
      <c r="K83" s="202">
        <f t="shared" si="9"/>
        <v>935.90149157788142</v>
      </c>
      <c r="L83" s="32">
        <f t="shared" si="14"/>
        <v>22.18086535039572</v>
      </c>
      <c r="N83" s="117"/>
      <c r="O83" s="117"/>
      <c r="P83" s="117"/>
      <c r="Q83" s="117"/>
      <c r="R83" s="108"/>
      <c r="S83" s="198">
        <f>$L83*Variables!$C$21/100</f>
        <v>1.2043908787545186</v>
      </c>
      <c r="T83" s="198">
        <f>$L83*Variables!$C$22/100</f>
        <v>2.107684037820408</v>
      </c>
      <c r="U83" s="198">
        <f>$L83*Variables!$C$23/100</f>
        <v>2.2080499443832844</v>
      </c>
      <c r="V83" s="198">
        <f>$L83*Variables!$C$24/100</f>
        <v>16.05854505006025</v>
      </c>
      <c r="W83" s="22">
        <f>S83*Variables!$E$25*Variables!$C$15+'Cost Calculations'!T83*Variables!$E$26*Variables!$C$15+'Cost Calculations'!U83*Variables!$E$27*Variables!$C$15+V83*Variables!$E$28*Variables!$C$15</f>
        <v>14877632.090358118</v>
      </c>
      <c r="X83" s="20">
        <f>J83*Variables!$E$29*Variables!$C$15</f>
        <v>163774.59809331968</v>
      </c>
      <c r="Z83" s="33">
        <f>D83*(IF(D83&lt;50000,0,IF(D83&gt;Variables!$C$7,Variables!$C$37,IF(D83&gt;Variables!$C$6,Variables!$C$36,IF(D83&gt;Variables!$C$5,Variables!$C$35)))))</f>
        <v>532.26797607126502</v>
      </c>
      <c r="AA83" s="34">
        <f t="shared" si="8"/>
        <v>520</v>
      </c>
      <c r="AB83" s="35">
        <f t="shared" si="15"/>
        <v>12</v>
      </c>
      <c r="AC83" s="22">
        <f>AB83*Variables!$E$41</f>
        <v>4435200.0000000009</v>
      </c>
      <c r="AD83" s="115">
        <f>ROUND(IF(D83&lt;50000,0,(H83/(3.14*Variables!$C$34^2))),0)</f>
        <v>138</v>
      </c>
      <c r="AE83" s="116">
        <f t="shared" si="10"/>
        <v>136</v>
      </c>
      <c r="AF83" s="117">
        <f t="shared" si="16"/>
        <v>2</v>
      </c>
      <c r="AG83" s="107">
        <f>AF83*Variables!$E$42*Variables!$C$15</f>
        <v>1355.088</v>
      </c>
      <c r="AH83" s="199">
        <f>ROUND((Z83)/Variables!$C$40,0)</f>
        <v>4</v>
      </c>
      <c r="AI83" s="33">
        <f t="shared" si="11"/>
        <v>4</v>
      </c>
      <c r="AJ83" s="199">
        <f t="shared" si="19"/>
        <v>0</v>
      </c>
      <c r="AK83" s="22">
        <f>AJ83*Variables!$E$43*Variables!$C$15</f>
        <v>0</v>
      </c>
      <c r="AL83" s="20">
        <f>Z83*Variables!$E$38*Variables!$C$15</f>
        <v>94359674.210519999</v>
      </c>
      <c r="AM83" s="98"/>
      <c r="AN83" s="200">
        <f t="shared" si="12"/>
        <v>0.21</v>
      </c>
      <c r="AO83" s="201">
        <f t="shared" si="17"/>
        <v>57.177208421052633</v>
      </c>
      <c r="AP83" s="321">
        <f>VLOOKUP(A83,'Household Information'!H:Q,10,FALSE)</f>
        <v>100.71942446043167</v>
      </c>
      <c r="AQ83" s="122">
        <f>IF(12*(AO83-Variables!$C$3*AP83*F83)*(G83/5)&lt;0,0,12*(AO83-Variables!$C$3*AP83*F83)*(G83/5))</f>
        <v>0</v>
      </c>
      <c r="AS83" s="22"/>
    </row>
    <row r="84" spans="1:45" ht="14.25" customHeight="1" x14ac:dyDescent="0.35">
      <c r="A84" s="30">
        <v>39</v>
      </c>
      <c r="B84" s="28" t="s">
        <v>192</v>
      </c>
      <c r="C84" s="28">
        <v>2020</v>
      </c>
      <c r="D84" s="196">
        <f>Population!E40</f>
        <v>87637.569512125774</v>
      </c>
      <c r="E84" s="303" t="str">
        <f t="shared" si="18"/>
        <v>Small</v>
      </c>
      <c r="F84" s="340">
        <f>VLOOKUP(A84,'Household Information'!$H$2:$M$49,6,FALSE)</f>
        <v>3.6693548387096775</v>
      </c>
      <c r="G84" s="196">
        <f t="shared" si="13"/>
        <v>23884</v>
      </c>
      <c r="H84" s="213">
        <f>Area!G40</f>
        <v>25.862068965517242</v>
      </c>
      <c r="I84" s="213"/>
      <c r="J84" s="32">
        <f>D84*Variables!$C$20</f>
        <v>78.873812560913194</v>
      </c>
      <c r="K84" s="202">
        <f t="shared" si="9"/>
        <v>77.047780170863717</v>
      </c>
      <c r="L84" s="32">
        <f t="shared" si="14"/>
        <v>1.8260323900494768</v>
      </c>
      <c r="N84" s="117"/>
      <c r="O84" s="117"/>
      <c r="P84" s="117"/>
      <c r="Q84" s="117"/>
      <c r="R84" s="108"/>
      <c r="S84" s="198">
        <f>$L84*Variables!$C$21/100</f>
        <v>9.9151080002686506E-2</v>
      </c>
      <c r="T84" s="198">
        <f>$L84*Variables!$C$22/100</f>
        <v>0.1735143900047014</v>
      </c>
      <c r="U84" s="198">
        <f>$L84*Variables!$C$23/100</f>
        <v>0.18177698000492529</v>
      </c>
      <c r="V84" s="198">
        <f>$L84*Variables!$C$24/100</f>
        <v>1.3220144000358203</v>
      </c>
      <c r="W84" s="22">
        <f>S84*Variables!$E$25*Variables!$C$15+'Cost Calculations'!T84*Variables!$E$26*Variables!$C$15+'Cost Calculations'!U84*Variables!$E$27*Variables!$C$15+V84*Variables!$E$28*Variables!$C$15</f>
        <v>1224796.1319394037</v>
      </c>
      <c r="X84" s="20">
        <f>J84*Variables!$E$29*Variables!$C$15</f>
        <v>13482.689519162501</v>
      </c>
      <c r="Z84" s="33">
        <f>D84*(IF(D84&lt;50000,0,IF(D84&gt;Variables!$C$7,Variables!$C$37,IF(D84&gt;Variables!$C$6,Variables!$C$36,IF(D84&gt;Variables!$C$5,Variables!$C$35)))))</f>
        <v>43.81878475606289</v>
      </c>
      <c r="AA84" s="34">
        <f t="shared" si="8"/>
        <v>43</v>
      </c>
      <c r="AB84" s="35">
        <f t="shared" si="15"/>
        <v>1</v>
      </c>
      <c r="AC84" s="22">
        <f>AB84*Variables!$E$41</f>
        <v>369600.00000000006</v>
      </c>
      <c r="AD84" s="115">
        <f>ROUND(IF(D84&lt;50000,0,(H84/(3.14*Variables!$C$34^2))),0)</f>
        <v>33</v>
      </c>
      <c r="AE84" s="116">
        <f t="shared" si="10"/>
        <v>32</v>
      </c>
      <c r="AF84" s="117">
        <f t="shared" si="16"/>
        <v>1</v>
      </c>
      <c r="AG84" s="107">
        <f>AF84*Variables!$E$42*Variables!$C$15</f>
        <v>677.54399999999998</v>
      </c>
      <c r="AH84" s="199">
        <f>ROUND((Z84)/Variables!$C$40,0)</f>
        <v>0</v>
      </c>
      <c r="AI84" s="33">
        <f t="shared" si="11"/>
        <v>0</v>
      </c>
      <c r="AJ84" s="199">
        <f t="shared" si="19"/>
        <v>0</v>
      </c>
      <c r="AK84" s="22">
        <f>AJ84*Variables!$E$43*Variables!$C$15</f>
        <v>0</v>
      </c>
      <c r="AL84" s="20">
        <f>Z84*Variables!$E$38*Variables!$C$15</f>
        <v>7768128.9120602636</v>
      </c>
      <c r="AM84" s="98"/>
      <c r="AN84" s="200">
        <f t="shared" si="12"/>
        <v>0.25221875000000005</v>
      </c>
      <c r="AO84" s="201">
        <f t="shared" si="17"/>
        <v>55.5288054435484</v>
      </c>
      <c r="AP84" s="321">
        <f>VLOOKUP(A84,'Household Information'!H:Q,10,FALSE)</f>
        <v>69.973494888299896</v>
      </c>
      <c r="AQ84" s="122">
        <f>IF(12*(AO84-Variables!$C$3*AP84*F84)*(G84/5)&lt;0,0,12*(AO84-Variables!$C$3*AP84*F84)*(G84/5))</f>
        <v>975336.66182894458</v>
      </c>
      <c r="AS84" s="22"/>
    </row>
    <row r="85" spans="1:45" ht="14.25" customHeight="1" x14ac:dyDescent="0.35">
      <c r="A85" s="30">
        <v>40</v>
      </c>
      <c r="B85" s="28" t="s">
        <v>193</v>
      </c>
      <c r="C85" s="28">
        <v>2020</v>
      </c>
      <c r="D85" s="196">
        <f>Population!E41</f>
        <v>156478.37432641268</v>
      </c>
      <c r="E85" s="303" t="str">
        <f t="shared" si="18"/>
        <v>Medium</v>
      </c>
      <c r="F85" s="340">
        <f>VLOOKUP(A85,'Household Information'!$H$2:$M$49,6,FALSE)</f>
        <v>4.2245333333333335</v>
      </c>
      <c r="G85" s="196">
        <f t="shared" si="13"/>
        <v>37040</v>
      </c>
      <c r="H85" s="213">
        <f>Area!G41</f>
        <v>36.105476673427994</v>
      </c>
      <c r="I85" s="213"/>
      <c r="J85" s="32">
        <f>D85*Variables!$C$20</f>
        <v>140.83053689377141</v>
      </c>
      <c r="K85" s="202">
        <f t="shared" si="9"/>
        <v>172.36096000000003</v>
      </c>
      <c r="L85" s="32">
        <f t="shared" si="14"/>
        <v>0</v>
      </c>
      <c r="N85" s="117"/>
      <c r="O85" s="117"/>
      <c r="P85" s="117"/>
      <c r="Q85" s="117"/>
      <c r="R85" s="108"/>
      <c r="S85" s="198">
        <f>$L85*Variables!$C$21/100</f>
        <v>0</v>
      </c>
      <c r="T85" s="198">
        <f>$L85*Variables!$C$22/100</f>
        <v>0</v>
      </c>
      <c r="U85" s="198">
        <f>$L85*Variables!$C$23/100</f>
        <v>0</v>
      </c>
      <c r="V85" s="198">
        <f>$L85*Variables!$C$24/100</f>
        <v>0</v>
      </c>
      <c r="W85" s="22">
        <f>S85*Variables!$E$25*Variables!$C$15+'Cost Calculations'!T85*Variables!$E$26*Variables!$C$15+'Cost Calculations'!U85*Variables!$E$27*Variables!$C$15+V85*Variables!$E$28*Variables!$C$15</f>
        <v>0</v>
      </c>
      <c r="X85" s="20">
        <f>J85*Variables!$E$29*Variables!$C$15</f>
        <v>24073.571976621286</v>
      </c>
      <c r="Z85" s="33">
        <f>D85*(IF(D85&lt;50000,0,IF(D85&gt;Variables!$C$7,Variables!$C$37,IF(D85&gt;Variables!$C$6,Variables!$C$36,IF(D85&gt;Variables!$C$5,Variables!$C$35)))))</f>
        <v>78.239187163206338</v>
      </c>
      <c r="AA85" s="34">
        <f t="shared" si="8"/>
        <v>76</v>
      </c>
      <c r="AB85" s="35">
        <f t="shared" si="15"/>
        <v>2</v>
      </c>
      <c r="AC85" s="22">
        <f>AB85*Variables!$E$41</f>
        <v>739200.00000000012</v>
      </c>
      <c r="AD85" s="115">
        <f>ROUND(IF(D85&lt;50000,0,(H85/(3.14*Variables!$C$34^2))),0)</f>
        <v>46</v>
      </c>
      <c r="AE85" s="116">
        <f t="shared" si="10"/>
        <v>45</v>
      </c>
      <c r="AF85" s="117">
        <f t="shared" si="16"/>
        <v>1</v>
      </c>
      <c r="AG85" s="107">
        <f>AF85*Variables!$E$42*Variables!$C$15</f>
        <v>677.54399999999998</v>
      </c>
      <c r="AH85" s="199">
        <f>ROUND((Z85)/Variables!$C$40,0)</f>
        <v>1</v>
      </c>
      <c r="AI85" s="33">
        <f t="shared" si="11"/>
        <v>1</v>
      </c>
      <c r="AJ85" s="199">
        <f t="shared" si="19"/>
        <v>0</v>
      </c>
      <c r="AK85" s="22">
        <f>AJ85*Variables!$E$43*Variables!$C$15</f>
        <v>0</v>
      </c>
      <c r="AL85" s="20">
        <f>Z85*Variables!$E$38*Variables!$C$15</f>
        <v>13870126.59620836</v>
      </c>
      <c r="AM85" s="98"/>
      <c r="AN85" s="200">
        <f t="shared" si="12"/>
        <v>0.28000000000000003</v>
      </c>
      <c r="AO85" s="201">
        <f t="shared" si="17"/>
        <v>70.972160000000002</v>
      </c>
      <c r="AP85" s="321">
        <f>VLOOKUP(A85,'Household Information'!H:Q,10,FALSE)</f>
        <v>73.754890824182766</v>
      </c>
      <c r="AQ85" s="122">
        <f>IF(12*(AO85-Variables!$C$3*AP85*F85)*(G85/5)&lt;0,0,12*(AO85-Variables!$C$3*AP85*F85)*(G85/5))</f>
        <v>2154408.8529239525</v>
      </c>
      <c r="AS85" s="22"/>
    </row>
    <row r="86" spans="1:45" ht="14.25" customHeight="1" x14ac:dyDescent="0.35">
      <c r="A86" s="30">
        <v>41</v>
      </c>
      <c r="B86" s="28" t="s">
        <v>194</v>
      </c>
      <c r="C86" s="28">
        <v>2020</v>
      </c>
      <c r="D86" s="196">
        <f>Population!E42</f>
        <v>75315.465486611327</v>
      </c>
      <c r="E86" s="303" t="str">
        <f t="shared" si="18"/>
        <v>Small</v>
      </c>
      <c r="F86" s="340">
        <f>VLOOKUP(A86,'Household Information'!$H$2:$M$49,6,FALSE)</f>
        <v>6.1423824388279122</v>
      </c>
      <c r="G86" s="196">
        <f t="shared" si="13"/>
        <v>12262</v>
      </c>
      <c r="H86" s="213">
        <f>Area!G42</f>
        <v>14.401622718052739</v>
      </c>
      <c r="I86" s="213"/>
      <c r="J86" s="32">
        <f>D86*Variables!$C$20</f>
        <v>67.78391893795019</v>
      </c>
      <c r="K86" s="202">
        <f t="shared" si="9"/>
        <v>66.214632155856393</v>
      </c>
      <c r="L86" s="32">
        <f t="shared" si="14"/>
        <v>1.5692867820937977</v>
      </c>
      <c r="N86" s="117"/>
      <c r="O86" s="117"/>
      <c r="P86" s="117"/>
      <c r="Q86" s="117"/>
      <c r="R86" s="108"/>
      <c r="S86" s="198">
        <f>$L86*Variables!$C$21/100</f>
        <v>8.5210142014142856E-2</v>
      </c>
      <c r="T86" s="198">
        <f>$L86*Variables!$C$22/100</f>
        <v>0.14911774852475002</v>
      </c>
      <c r="U86" s="198">
        <f>$L86*Variables!$C$23/100</f>
        <v>0.15621859369259525</v>
      </c>
      <c r="V86" s="198">
        <f>$L86*Variables!$C$24/100</f>
        <v>1.1361352268552383</v>
      </c>
      <c r="W86" s="22">
        <f>S86*Variables!$E$25*Variables!$C$15+'Cost Calculations'!T86*Variables!$E$26*Variables!$C$15+'Cost Calculations'!U86*Variables!$E$27*Variables!$C$15+V86*Variables!$E$28*Variables!$C$15</f>
        <v>1052586.1376205045</v>
      </c>
      <c r="X86" s="20">
        <f>J86*Variables!$E$29*Variables!$C$15</f>
        <v>11586.983103253206</v>
      </c>
      <c r="Z86" s="33">
        <f>D86*(IF(D86&lt;50000,0,IF(D86&gt;Variables!$C$7,Variables!$C$37,IF(D86&gt;Variables!$C$6,Variables!$C$36,IF(D86&gt;Variables!$C$5,Variables!$C$35)))))</f>
        <v>37.657732743305665</v>
      </c>
      <c r="AA86" s="34">
        <f t="shared" si="8"/>
        <v>37</v>
      </c>
      <c r="AB86" s="35">
        <f t="shared" si="15"/>
        <v>1</v>
      </c>
      <c r="AC86" s="22">
        <f>AB86*Variables!$E$41</f>
        <v>369600.00000000006</v>
      </c>
      <c r="AD86" s="115">
        <f>ROUND(IF(D86&lt;50000,0,(H86/(3.14*Variables!$C$34^2))),0)</f>
        <v>18</v>
      </c>
      <c r="AE86" s="116">
        <f t="shared" si="10"/>
        <v>18</v>
      </c>
      <c r="AF86" s="117">
        <f t="shared" si="16"/>
        <v>0</v>
      </c>
      <c r="AG86" s="107">
        <f>AF86*Variables!$E$42*Variables!$C$15</f>
        <v>0</v>
      </c>
      <c r="AH86" s="199">
        <f>ROUND((Z86)/Variables!$C$40,0)</f>
        <v>0</v>
      </c>
      <c r="AI86" s="33">
        <f t="shared" si="11"/>
        <v>0</v>
      </c>
      <c r="AJ86" s="199">
        <f t="shared" si="19"/>
        <v>0</v>
      </c>
      <c r="AK86" s="22">
        <f>AJ86*Variables!$E$43*Variables!$C$15</f>
        <v>0</v>
      </c>
      <c r="AL86" s="20">
        <f>Z86*Variables!$E$38*Variables!$C$15</f>
        <v>6675906.7855124837</v>
      </c>
      <c r="AM86" s="98"/>
      <c r="AN86" s="200">
        <f t="shared" si="12"/>
        <v>0.25221875000000005</v>
      </c>
      <c r="AO86" s="201">
        <f t="shared" si="17"/>
        <v>92.953441244587665</v>
      </c>
      <c r="AP86" s="321">
        <f>VLOOKUP(A86,'Household Information'!H:Q,10,FALSE)</f>
        <v>110.04922377887165</v>
      </c>
      <c r="AQ86" s="122">
        <f>IF(12*(AO86-Variables!$C$3*AP86*F86)*(G86/5)&lt;0,0,12*(AO86-Variables!$C$3*AP86*F86)*(G86/5))</f>
        <v>0</v>
      </c>
      <c r="AS86" s="22"/>
    </row>
    <row r="87" spans="1:45" ht="14.25" customHeight="1" x14ac:dyDescent="0.35">
      <c r="A87" s="30">
        <v>42</v>
      </c>
      <c r="B87" s="28" t="s">
        <v>195</v>
      </c>
      <c r="C87" s="28">
        <v>2020</v>
      </c>
      <c r="D87" s="196">
        <f>Population!E43</f>
        <v>93267.709227190498</v>
      </c>
      <c r="E87" s="303" t="str">
        <f t="shared" si="18"/>
        <v>Small</v>
      </c>
      <c r="F87" s="340">
        <f>VLOOKUP(A87,'Household Information'!$H$2:$M$49,6,FALSE)</f>
        <v>4.2419137466307282</v>
      </c>
      <c r="G87" s="196">
        <f t="shared" si="13"/>
        <v>21987</v>
      </c>
      <c r="H87" s="213">
        <f>Area!G43</f>
        <v>15.212981744421906</v>
      </c>
      <c r="I87" s="213"/>
      <c r="J87" s="32">
        <f>D87*Variables!$C$20</f>
        <v>83.940938304471445</v>
      </c>
      <c r="K87" s="202">
        <f t="shared" si="9"/>
        <v>110.2884</v>
      </c>
      <c r="L87" s="32">
        <f t="shared" si="14"/>
        <v>0</v>
      </c>
      <c r="N87" s="117"/>
      <c r="O87" s="117"/>
      <c r="P87" s="117"/>
      <c r="Q87" s="117"/>
      <c r="R87" s="108"/>
      <c r="S87" s="198">
        <f>$L87*Variables!$C$21/100</f>
        <v>0</v>
      </c>
      <c r="T87" s="198">
        <f>$L87*Variables!$C$22/100</f>
        <v>0</v>
      </c>
      <c r="U87" s="198">
        <f>$L87*Variables!$C$23/100</f>
        <v>0</v>
      </c>
      <c r="V87" s="198">
        <f>$L87*Variables!$C$24/100</f>
        <v>0</v>
      </c>
      <c r="W87" s="22">
        <f>S87*Variables!$E$25*Variables!$C$15+'Cost Calculations'!T87*Variables!$E$26*Variables!$C$15+'Cost Calculations'!U87*Variables!$E$27*Variables!$C$15+V87*Variables!$E$28*Variables!$C$15</f>
        <v>0</v>
      </c>
      <c r="X87" s="20">
        <f>J87*Variables!$E$29*Variables!$C$15</f>
        <v>14348.863993766348</v>
      </c>
      <c r="Z87" s="33">
        <f>D87*(IF(D87&lt;50000,0,IF(D87&gt;Variables!$C$7,Variables!$C$37,IF(D87&gt;Variables!$C$6,Variables!$C$36,IF(D87&gt;Variables!$C$5,Variables!$C$35)))))</f>
        <v>46.633854613595247</v>
      </c>
      <c r="AA87" s="34">
        <f t="shared" si="8"/>
        <v>46</v>
      </c>
      <c r="AB87" s="35">
        <f t="shared" si="15"/>
        <v>1</v>
      </c>
      <c r="AC87" s="22">
        <f>AB87*Variables!$E$41</f>
        <v>369600.00000000006</v>
      </c>
      <c r="AD87" s="115">
        <f>ROUND(IF(D87&lt;50000,0,(H87/(3.14*Variables!$C$34^2))),0)</f>
        <v>19</v>
      </c>
      <c r="AE87" s="116">
        <f t="shared" si="10"/>
        <v>19</v>
      </c>
      <c r="AF87" s="117">
        <f t="shared" si="16"/>
        <v>0</v>
      </c>
      <c r="AG87" s="107">
        <f>AF87*Variables!$E$42*Variables!$C$15</f>
        <v>0</v>
      </c>
      <c r="AH87" s="199">
        <f>ROUND((Z87)/Variables!$C$40,0)</f>
        <v>0</v>
      </c>
      <c r="AI87" s="33">
        <f t="shared" si="11"/>
        <v>0</v>
      </c>
      <c r="AJ87" s="199">
        <f t="shared" si="19"/>
        <v>0</v>
      </c>
      <c r="AK87" s="22">
        <f>AJ87*Variables!$E$43*Variables!$C$15</f>
        <v>0</v>
      </c>
      <c r="AL87" s="20">
        <f>Z87*Variables!$E$38*Variables!$C$15</f>
        <v>8267180.3045510324</v>
      </c>
      <c r="AM87" s="98"/>
      <c r="AN87" s="200">
        <f t="shared" si="12"/>
        <v>0.25221875000000005</v>
      </c>
      <c r="AO87" s="201">
        <f t="shared" si="17"/>
        <v>64.193410966981148</v>
      </c>
      <c r="AP87" s="321">
        <f>VLOOKUP(A87,'Household Information'!H:Q,10,FALSE)</f>
        <v>81.833648870377388</v>
      </c>
      <c r="AQ87" s="122">
        <f>IF(12*(AO87-Variables!$C$3*AP87*F87)*(G87/5)&lt;0,0,12*(AO87-Variables!$C$3*AP87*F87)*(G87/5))</f>
        <v>639754.10078997863</v>
      </c>
      <c r="AS87" s="22"/>
    </row>
    <row r="88" spans="1:45" ht="14.25" customHeight="1" x14ac:dyDescent="0.35">
      <c r="A88" s="30">
        <v>1</v>
      </c>
      <c r="B88" s="28" t="s">
        <v>154</v>
      </c>
      <c r="C88" s="28">
        <v>2021</v>
      </c>
      <c r="D88" s="196">
        <f>Population!F2</f>
        <v>505581.7247414047</v>
      </c>
      <c r="E88" s="303" t="str">
        <f t="shared" si="18"/>
        <v>Medium</v>
      </c>
      <c r="F88" s="340">
        <f>VLOOKUP(A88,'Household Information'!$H$2:$M$49,6,FALSE)</f>
        <v>3.974207650273224</v>
      </c>
      <c r="G88" s="196">
        <f t="shared" si="13"/>
        <v>127216</v>
      </c>
      <c r="H88" s="213">
        <f>Area!H2</f>
        <v>105.54218213092655</v>
      </c>
      <c r="I88" s="213"/>
      <c r="J88" s="32">
        <f>D88*Variables!$C$20</f>
        <v>455.02355226726422</v>
      </c>
      <c r="K88" s="202">
        <f t="shared" si="9"/>
        <v>444.48915919435785</v>
      </c>
      <c r="L88" s="32">
        <f t="shared" si="14"/>
        <v>10.534393072906369</v>
      </c>
      <c r="N88" s="117"/>
      <c r="O88" s="117"/>
      <c r="P88" s="117"/>
      <c r="Q88" s="117"/>
      <c r="R88" s="108"/>
      <c r="S88" s="198">
        <f>$L88*Variables!$C$21/100</f>
        <v>0.57200324377772138</v>
      </c>
      <c r="T88" s="198">
        <f>$L88*Variables!$C$22/100</f>
        <v>1.0010056766110125</v>
      </c>
      <c r="U88" s="198">
        <f>$L88*Variables!$C$23/100</f>
        <v>1.0486726135924891</v>
      </c>
      <c r="V88" s="198">
        <f>$L88*Variables!$C$24/100</f>
        <v>7.6267099170362851</v>
      </c>
      <c r="W88" s="22">
        <f>S88*Variables!$E$25*Variables!$C$15+'Cost Calculations'!T88*Variables!$E$26*Variables!$C$15+'Cost Calculations'!U88*Variables!$E$27*Variables!$C$15+V88*Variables!$E$28*Variables!$C$15</f>
        <v>7065857.0780748166</v>
      </c>
      <c r="X88" s="20">
        <f>J88*Variables!$E$29*Variables!$C$15</f>
        <v>77781.726024566145</v>
      </c>
      <c r="Z88" s="33">
        <f>D88*(IF(D88&lt;50000,0,IF(D88&gt;Variables!$C$7,Variables!$C$37,IF(D88&gt;Variables!$C$6,Variables!$C$36,IF(D88&gt;Variables!$C$5,Variables!$C$35)))))</f>
        <v>252.79086237070234</v>
      </c>
      <c r="AA88" s="34">
        <f t="shared" si="8"/>
        <v>247</v>
      </c>
      <c r="AB88" s="35">
        <f t="shared" si="15"/>
        <v>6</v>
      </c>
      <c r="AC88" s="22">
        <f>AB88*Variables!$E$41</f>
        <v>2217600.0000000005</v>
      </c>
      <c r="AD88" s="115">
        <f>ROUND(IF(D88&lt;50000,0,(H88/(3.14*Variables!$C$34^2))),0)</f>
        <v>134</v>
      </c>
      <c r="AE88" s="116">
        <f t="shared" si="10"/>
        <v>133</v>
      </c>
      <c r="AF88" s="117">
        <f t="shared" si="16"/>
        <v>1</v>
      </c>
      <c r="AG88" s="107">
        <f>AF88*Variables!$E$42*Variables!$C$15</f>
        <v>677.54399999999998</v>
      </c>
      <c r="AH88" s="199">
        <f>ROUND((Z88)/Variables!$C$40,0)</f>
        <v>2</v>
      </c>
      <c r="AI88" s="33">
        <f t="shared" si="11"/>
        <v>2</v>
      </c>
      <c r="AJ88" s="199">
        <f t="shared" si="19"/>
        <v>0</v>
      </c>
      <c r="AK88" s="22">
        <f>AJ88*Variables!$E$43*Variables!$C$15</f>
        <v>0</v>
      </c>
      <c r="AL88" s="20">
        <f>Z88*Variables!$E$38*Variables!$C$15</f>
        <v>44814387.656307489</v>
      </c>
      <c r="AM88" s="98"/>
      <c r="AN88" s="200">
        <f t="shared" si="12"/>
        <v>0.14000000000000001</v>
      </c>
      <c r="AO88" s="201">
        <f t="shared" si="17"/>
        <v>33.383344262295083</v>
      </c>
      <c r="AP88" s="321">
        <f>VLOOKUP(A88,'Household Information'!H:Q,10,FALSE)</f>
        <v>73.860911270983223</v>
      </c>
      <c r="AQ88" s="122">
        <f>IF(12*(AO88-Variables!$C$3*AP88*F88)*(G88/5)&lt;0,0,12*(AO88-Variables!$C$3*AP88*F88)*(G88/5))</f>
        <v>0</v>
      </c>
      <c r="AS88" s="22"/>
    </row>
    <row r="89" spans="1:45" ht="14.25" customHeight="1" x14ac:dyDescent="0.35">
      <c r="A89" s="30">
        <v>2</v>
      </c>
      <c r="B89" s="28" t="s">
        <v>155</v>
      </c>
      <c r="C89" s="28">
        <v>2021</v>
      </c>
      <c r="D89" s="196">
        <f>Population!F3</f>
        <v>370860.70975971239</v>
      </c>
      <c r="E89" s="303" t="str">
        <f t="shared" si="18"/>
        <v>Medium</v>
      </c>
      <c r="F89" s="340">
        <f>VLOOKUP(A89,'Household Information'!$H$2:$M$49,6,FALSE)</f>
        <v>4.8390533520244086</v>
      </c>
      <c r="G89" s="196">
        <f t="shared" si="13"/>
        <v>76639</v>
      </c>
      <c r="H89" s="213">
        <f>Area!H3</f>
        <v>634.64180570833469</v>
      </c>
      <c r="I89" s="213"/>
      <c r="J89" s="32">
        <f>D89*Variables!$C$20</f>
        <v>333.77463878374112</v>
      </c>
      <c r="K89" s="202">
        <f t="shared" si="9"/>
        <v>326.04731736225563</v>
      </c>
      <c r="L89" s="32">
        <f t="shared" si="14"/>
        <v>7.7273214214854988</v>
      </c>
      <c r="N89" s="117"/>
      <c r="O89" s="117"/>
      <c r="P89" s="117"/>
      <c r="Q89" s="117"/>
      <c r="R89" s="108"/>
      <c r="S89" s="198">
        <f>$L89*Variables!$C$21/100</f>
        <v>0.4195830636100723</v>
      </c>
      <c r="T89" s="198">
        <f>$L89*Variables!$C$22/100</f>
        <v>0.73427036131762657</v>
      </c>
      <c r="U89" s="198">
        <f>$L89*Variables!$C$23/100</f>
        <v>0.76923561661846596</v>
      </c>
      <c r="V89" s="198">
        <f>$L89*Variables!$C$24/100</f>
        <v>5.5944408481342975</v>
      </c>
      <c r="W89" s="22">
        <f>S89*Variables!$E$25*Variables!$C$15+'Cost Calculations'!T89*Variables!$E$26*Variables!$C$15+'Cost Calculations'!U89*Variables!$E$27*Variables!$C$15+V89*Variables!$E$28*Variables!$C$15</f>
        <v>5183036.970681278</v>
      </c>
      <c r="X89" s="20">
        <f>J89*Variables!$E$29*Variables!$C$15</f>
        <v>57055.436753692717</v>
      </c>
      <c r="Z89" s="33">
        <f>D89*(IF(D89&lt;50000,0,IF(D89&gt;Variables!$C$7,Variables!$C$37,IF(D89&gt;Variables!$C$6,Variables!$C$36,IF(D89&gt;Variables!$C$5,Variables!$C$35)))))</f>
        <v>185.4303548798562</v>
      </c>
      <c r="AA89" s="34">
        <f t="shared" si="8"/>
        <v>262</v>
      </c>
      <c r="AB89" s="35">
        <f t="shared" si="15"/>
        <v>0</v>
      </c>
      <c r="AC89" s="22">
        <f>AB89*Variables!$E$41</f>
        <v>0</v>
      </c>
      <c r="AD89" s="115">
        <f>ROUND(IF(D89&lt;50000,0,(H89/(3.14*Variables!$C$34^2))),0)</f>
        <v>808</v>
      </c>
      <c r="AE89" s="116">
        <f t="shared" si="10"/>
        <v>797</v>
      </c>
      <c r="AF89" s="117">
        <f t="shared" si="16"/>
        <v>11</v>
      </c>
      <c r="AG89" s="107">
        <f>AF89*Variables!$E$42*Variables!$C$15</f>
        <v>7452.9840000000004</v>
      </c>
      <c r="AH89" s="199">
        <f>ROUND((Z89)/Variables!$C$40,0)</f>
        <v>1</v>
      </c>
      <c r="AI89" s="33">
        <f t="shared" si="11"/>
        <v>1</v>
      </c>
      <c r="AJ89" s="199">
        <f t="shared" si="19"/>
        <v>0</v>
      </c>
      <c r="AK89" s="22">
        <f>AJ89*Variables!$E$43*Variables!$C$15</f>
        <v>0</v>
      </c>
      <c r="AL89" s="20">
        <f>Z89*Variables!$E$38*Variables!$C$15</f>
        <v>32872817.193235867</v>
      </c>
      <c r="AM89" s="98"/>
      <c r="AN89" s="200">
        <f t="shared" si="12"/>
        <v>0.49</v>
      </c>
      <c r="AO89" s="201">
        <f t="shared" si="17"/>
        <v>142.26816854951761</v>
      </c>
      <c r="AP89" s="321">
        <f>VLOOKUP(A89,'Household Information'!H:Q,10,FALSE)</f>
        <v>166.27540073204597</v>
      </c>
      <c r="AQ89" s="122">
        <f>IF(12*(AO89-Variables!$C$3*AP89*F89)*(G89/5)&lt;0,0,12*(AO89-Variables!$C$3*AP89*F89)*(G89/5))</f>
        <v>3968521.603954454</v>
      </c>
      <c r="AS89" s="22"/>
    </row>
    <row r="90" spans="1:45" ht="14.25" customHeight="1" x14ac:dyDescent="0.35">
      <c r="A90" s="30">
        <v>3</v>
      </c>
      <c r="B90" s="28" t="s">
        <v>156</v>
      </c>
      <c r="C90" s="28">
        <v>2021</v>
      </c>
      <c r="D90" s="196">
        <f>Population!F4</f>
        <v>10672312.70101269</v>
      </c>
      <c r="E90" s="303" t="str">
        <f t="shared" si="18"/>
        <v>Large</v>
      </c>
      <c r="F90" s="340">
        <f>VLOOKUP(A90,'Household Information'!$H$2:$M$49,6,FALSE)</f>
        <v>4.0172949204764796</v>
      </c>
      <c r="G90" s="196">
        <f t="shared" si="13"/>
        <v>2656592</v>
      </c>
      <c r="H90" s="213">
        <f>Area!H4</f>
        <v>748.51626537591346</v>
      </c>
      <c r="I90" s="213"/>
      <c r="J90" s="32">
        <f>D90*Variables!$C$20</f>
        <v>9605.0814309114212</v>
      </c>
      <c r="K90" s="202">
        <f t="shared" si="9"/>
        <v>9710.2262499999997</v>
      </c>
      <c r="L90" s="32">
        <f t="shared" si="14"/>
        <v>0</v>
      </c>
      <c r="N90" s="117"/>
      <c r="O90" s="117"/>
      <c r="P90" s="117"/>
      <c r="Q90" s="117"/>
      <c r="R90" s="108"/>
      <c r="S90" s="198">
        <f>$L90*Variables!$C$21/100</f>
        <v>0</v>
      </c>
      <c r="T90" s="198">
        <f>$L90*Variables!$C$22/100</f>
        <v>0</v>
      </c>
      <c r="U90" s="198">
        <f>$L90*Variables!$C$23/100</f>
        <v>0</v>
      </c>
      <c r="V90" s="198">
        <f>$L90*Variables!$C$24/100</f>
        <v>0</v>
      </c>
      <c r="W90" s="22">
        <f>S90*Variables!$E$25*Variables!$C$15+'Cost Calculations'!T90*Variables!$E$26*Variables!$C$15+'Cost Calculations'!U90*Variables!$E$27*Variables!$C$15+V90*Variables!$E$28*Variables!$C$15</f>
        <v>0</v>
      </c>
      <c r="X90" s="20">
        <f>J90*Variables!$E$29*Variables!$C$15</f>
        <v>1641892.6197999984</v>
      </c>
      <c r="Z90" s="33">
        <f>D90*(IF(D90&lt;50000,0,IF(D90&gt;Variables!$C$7,Variables!$C$37,IF(D90&gt;Variables!$C$6,Variables!$C$36,IF(D90&gt;Variables!$C$5,Variables!$C$35)))))</f>
        <v>5336.156350506345</v>
      </c>
      <c r="AA90" s="34">
        <f t="shared" si="8"/>
        <v>5213</v>
      </c>
      <c r="AB90" s="35">
        <f t="shared" si="15"/>
        <v>123</v>
      </c>
      <c r="AC90" s="22">
        <f>AB90*Variables!$E$41</f>
        <v>45460800.000000007</v>
      </c>
      <c r="AD90" s="115">
        <f>ROUND(IF(D90&lt;50000,0,(H90/(3.14*Variables!$C$34^2))),0)</f>
        <v>954</v>
      </c>
      <c r="AE90" s="116">
        <f t="shared" si="10"/>
        <v>940</v>
      </c>
      <c r="AF90" s="117">
        <f t="shared" si="16"/>
        <v>14</v>
      </c>
      <c r="AG90" s="107">
        <f>AF90*Variables!$E$42*Variables!$C$15</f>
        <v>9485.616</v>
      </c>
      <c r="AH90" s="199">
        <f>ROUND((Z90)/Variables!$C$40,0)</f>
        <v>43</v>
      </c>
      <c r="AI90" s="33">
        <f t="shared" si="11"/>
        <v>42</v>
      </c>
      <c r="AJ90" s="199">
        <f t="shared" si="19"/>
        <v>1</v>
      </c>
      <c r="AK90" s="22">
        <f>AJ90*Variables!$E$43*Variables!$C$15</f>
        <v>552717.39600000007</v>
      </c>
      <c r="AL90" s="20">
        <f>Z90*Variables!$E$38*Variables!$C$15</f>
        <v>945985851.87616169</v>
      </c>
      <c r="AM90" s="98"/>
      <c r="AN90" s="200">
        <f t="shared" si="12"/>
        <v>0.42</v>
      </c>
      <c r="AO90" s="201">
        <f t="shared" si="17"/>
        <v>101.23583199600728</v>
      </c>
      <c r="AP90" s="321">
        <f>VLOOKUP(A90,'Household Information'!H:Q,10,FALSE)</f>
        <v>132.525558500568</v>
      </c>
      <c r="AQ90" s="122">
        <f>IF(12*(AO90-Variables!$C$3*AP90*F90)*(G90/5)&lt;0,0,12*(AO90-Variables!$C$3*AP90*F90)*(G90/5))</f>
        <v>136293970.53602606</v>
      </c>
      <c r="AS90" s="22"/>
    </row>
    <row r="91" spans="1:45" ht="14.25" customHeight="1" x14ac:dyDescent="0.35">
      <c r="A91" s="30">
        <v>4</v>
      </c>
      <c r="B91" s="28" t="s">
        <v>157</v>
      </c>
      <c r="C91" s="28">
        <v>2021</v>
      </c>
      <c r="D91" s="196">
        <f>Population!F5</f>
        <v>2272842.6663259347</v>
      </c>
      <c r="E91" s="303" t="str">
        <f t="shared" si="18"/>
        <v>Large</v>
      </c>
      <c r="F91" s="340">
        <f>VLOOKUP(A91,'Household Information'!$H$2:$M$49,6,FALSE)</f>
        <v>4.6988894405393395</v>
      </c>
      <c r="G91" s="196">
        <f t="shared" si="13"/>
        <v>483698</v>
      </c>
      <c r="H91" s="213">
        <f>Area!H5</f>
        <v>413.83645098705415</v>
      </c>
      <c r="I91" s="213"/>
      <c r="J91" s="32">
        <f>D91*Variables!$C$20</f>
        <v>2045.5583996933412</v>
      </c>
      <c r="K91" s="202">
        <f t="shared" si="9"/>
        <v>1998.2010351600479</v>
      </c>
      <c r="L91" s="32">
        <f t="shared" si="14"/>
        <v>47.357364533293321</v>
      </c>
      <c r="N91" s="117"/>
      <c r="O91" s="117"/>
      <c r="P91" s="117"/>
      <c r="Q91" s="117"/>
      <c r="R91" s="108"/>
      <c r="S91" s="198">
        <f>$L91*Variables!$C$21/100</f>
        <v>2.5714406081426233</v>
      </c>
      <c r="T91" s="198">
        <f>$L91*Variables!$C$22/100</f>
        <v>4.5000210642495917</v>
      </c>
      <c r="U91" s="198">
        <f>$L91*Variables!$C$23/100</f>
        <v>4.71430778159481</v>
      </c>
      <c r="V91" s="198">
        <f>$L91*Variables!$C$24/100</f>
        <v>34.285874775234987</v>
      </c>
      <c r="W91" s="22">
        <f>S91*Variables!$E$25*Variables!$C$15+'Cost Calculations'!T91*Variables!$E$26*Variables!$C$15+'Cost Calculations'!U91*Variables!$E$27*Variables!$C$15+V91*Variables!$E$28*Variables!$C$15</f>
        <v>31764560.812445585</v>
      </c>
      <c r="X91" s="20">
        <f>J91*Variables!$E$29*Variables!$C$15</f>
        <v>349667.75284357974</v>
      </c>
      <c r="Z91" s="33">
        <f>D91*(IF(D91&lt;50000,0,IF(D91&gt;Variables!$C$7,Variables!$C$37,IF(D91&gt;Variables!$C$6,Variables!$C$36,IF(D91&gt;Variables!$C$5,Variables!$C$35)))))</f>
        <v>1136.4213331629674</v>
      </c>
      <c r="AA91" s="34">
        <f t="shared" si="8"/>
        <v>1110</v>
      </c>
      <c r="AB91" s="35">
        <f t="shared" si="15"/>
        <v>26</v>
      </c>
      <c r="AC91" s="22">
        <f>AB91*Variables!$E$41</f>
        <v>9609600.0000000019</v>
      </c>
      <c r="AD91" s="115">
        <f>ROUND(IF(D91&lt;50000,0,(H91/(3.14*Variables!$C$34^2))),0)</f>
        <v>527</v>
      </c>
      <c r="AE91" s="116">
        <f t="shared" si="10"/>
        <v>520</v>
      </c>
      <c r="AF91" s="117">
        <f t="shared" si="16"/>
        <v>7</v>
      </c>
      <c r="AG91" s="107">
        <f>AF91*Variables!$E$42*Variables!$C$15</f>
        <v>4742.808</v>
      </c>
      <c r="AH91" s="199">
        <f>ROUND((Z91)/Variables!$C$40,0)</f>
        <v>9</v>
      </c>
      <c r="AI91" s="33">
        <f t="shared" si="11"/>
        <v>9</v>
      </c>
      <c r="AJ91" s="199">
        <f t="shared" si="19"/>
        <v>0</v>
      </c>
      <c r="AK91" s="22">
        <f>AJ91*Variables!$E$43*Variables!$C$15</f>
        <v>0</v>
      </c>
      <c r="AL91" s="20">
        <f>Z91*Variables!$E$38*Variables!$C$15</f>
        <v>201463081.7255576</v>
      </c>
      <c r="AM91" s="98"/>
      <c r="AN91" s="200">
        <f t="shared" si="12"/>
        <v>0.28000000000000003</v>
      </c>
      <c r="AO91" s="201">
        <f t="shared" si="17"/>
        <v>78.94134260106091</v>
      </c>
      <c r="AP91" s="321">
        <f>VLOOKUP(A91,'Household Information'!H:Q,10,FALSE)</f>
        <v>108.65462509082352</v>
      </c>
      <c r="AQ91" s="122">
        <f>IF(12*(AO91-Variables!$C$3*AP91*F91)*(G91/5)&lt;0,0,12*(AO91-Variables!$C$3*AP91*F91)*(G91/5))</f>
        <v>2737264.8114637379</v>
      </c>
      <c r="AS91" s="22"/>
    </row>
    <row r="92" spans="1:45" ht="14.25" customHeight="1" x14ac:dyDescent="0.35">
      <c r="A92" s="30">
        <v>5</v>
      </c>
      <c r="B92" s="28" t="s">
        <v>158</v>
      </c>
      <c r="C92" s="28">
        <v>2021</v>
      </c>
      <c r="D92" s="196">
        <f>Population!F6</f>
        <v>1066010.9344165314</v>
      </c>
      <c r="E92" s="303" t="str">
        <f t="shared" si="18"/>
        <v>Large</v>
      </c>
      <c r="F92" s="340">
        <f>VLOOKUP(A92,'Household Information'!$H$2:$M$49,6,FALSE)</f>
        <v>4.2814892277702192</v>
      </c>
      <c r="G92" s="196">
        <f t="shared" si="13"/>
        <v>248981</v>
      </c>
      <c r="H92" s="213">
        <f>Area!H6</f>
        <v>187.47624457467219</v>
      </c>
      <c r="I92" s="213"/>
      <c r="J92" s="32">
        <f>D92*Variables!$C$20</f>
        <v>959.40984097487819</v>
      </c>
      <c r="K92" s="202">
        <f t="shared" si="9"/>
        <v>2378.3936399999998</v>
      </c>
      <c r="L92" s="32">
        <f t="shared" si="14"/>
        <v>0</v>
      </c>
      <c r="N92" s="117"/>
      <c r="O92" s="117"/>
      <c r="P92" s="117"/>
      <c r="Q92" s="117"/>
      <c r="R92" s="108"/>
      <c r="S92" s="198">
        <f>$L92*Variables!$C$21/100</f>
        <v>0</v>
      </c>
      <c r="T92" s="198">
        <f>$L92*Variables!$C$22/100</f>
        <v>0</v>
      </c>
      <c r="U92" s="198">
        <f>$L92*Variables!$C$23/100</f>
        <v>0</v>
      </c>
      <c r="V92" s="198">
        <f>$L92*Variables!$C$24/100</f>
        <v>0</v>
      </c>
      <c r="W92" s="22">
        <f>S92*Variables!$E$25*Variables!$C$15+'Cost Calculations'!T92*Variables!$E$26*Variables!$C$15+'Cost Calculations'!U92*Variables!$E$27*Variables!$C$15+V92*Variables!$E$28*Variables!$C$15</f>
        <v>0</v>
      </c>
      <c r="X92" s="20">
        <f>J92*Variables!$E$29*Variables!$C$15</f>
        <v>164001.51821624569</v>
      </c>
      <c r="Z92" s="33">
        <f>D92*(IF(D92&lt;50000,0,IF(D92&gt;Variables!$C$7,Variables!$C$37,IF(D92&gt;Variables!$C$6,Variables!$C$36,IF(D92&gt;Variables!$C$5,Variables!$C$35)))))</f>
        <v>533.00546720826571</v>
      </c>
      <c r="AA92" s="34">
        <f t="shared" si="8"/>
        <v>521</v>
      </c>
      <c r="AB92" s="35">
        <f t="shared" si="15"/>
        <v>12</v>
      </c>
      <c r="AC92" s="22">
        <f>AB92*Variables!$E$41</f>
        <v>4435200.0000000009</v>
      </c>
      <c r="AD92" s="115">
        <f>ROUND(IF(D92&lt;50000,0,(H92/(3.14*Variables!$C$34^2))),0)</f>
        <v>239</v>
      </c>
      <c r="AE92" s="116">
        <f t="shared" si="10"/>
        <v>235</v>
      </c>
      <c r="AF92" s="117">
        <f t="shared" si="16"/>
        <v>4</v>
      </c>
      <c r="AG92" s="107">
        <f>AF92*Variables!$E$42*Variables!$C$15</f>
        <v>2710.1759999999999</v>
      </c>
      <c r="AH92" s="199">
        <f>ROUND((Z92)/Variables!$C$40,0)</f>
        <v>4</v>
      </c>
      <c r="AI92" s="33">
        <f t="shared" si="11"/>
        <v>4</v>
      </c>
      <c r="AJ92" s="199">
        <f t="shared" si="19"/>
        <v>0</v>
      </c>
      <c r="AK92" s="22">
        <f>AJ92*Variables!$E$43*Variables!$C$15</f>
        <v>0</v>
      </c>
      <c r="AL92" s="20">
        <f>Z92*Variables!$E$38*Variables!$C$15</f>
        <v>94490415.541107237</v>
      </c>
      <c r="AM92" s="98"/>
      <c r="AN92" s="200">
        <f t="shared" si="12"/>
        <v>0.28000000000000003</v>
      </c>
      <c r="AO92" s="201">
        <f t="shared" si="17"/>
        <v>71.929019026539692</v>
      </c>
      <c r="AP92" s="321">
        <f>VLOOKUP(A92,'Household Information'!H:Q,10,FALSE)</f>
        <v>70.680297866969596</v>
      </c>
      <c r="AQ92" s="122">
        <f>IF(12*(AO92-Variables!$C$3*AP92*F92)*(G92/5)&lt;0,0,12*(AO92-Variables!$C$3*AP92*F92)*(G92/5))</f>
        <v>15856989.749064634</v>
      </c>
      <c r="AS92" s="22"/>
    </row>
    <row r="93" spans="1:45" ht="14.25" customHeight="1" x14ac:dyDescent="0.35">
      <c r="A93" s="30">
        <v>6</v>
      </c>
      <c r="B93" s="28" t="s">
        <v>159</v>
      </c>
      <c r="C93" s="28">
        <v>2021</v>
      </c>
      <c r="D93" s="196">
        <f>Population!F7</f>
        <v>1215389.880973473</v>
      </c>
      <c r="E93" s="303" t="str">
        <f t="shared" si="18"/>
        <v>Large</v>
      </c>
      <c r="F93" s="340">
        <f>VLOOKUP(A93,'Household Information'!$H$2:$M$49,6,FALSE)</f>
        <v>4.4091899104485828</v>
      </c>
      <c r="G93" s="196">
        <f t="shared" si="13"/>
        <v>275649</v>
      </c>
      <c r="H93" s="213">
        <f>Area!H7</f>
        <v>161.4900699035997</v>
      </c>
      <c r="I93" s="213"/>
      <c r="J93" s="32">
        <f>D93*Variables!$C$20</f>
        <v>1093.8508928761257</v>
      </c>
      <c r="K93" s="202">
        <f t="shared" si="9"/>
        <v>1068.5268075374872</v>
      </c>
      <c r="L93" s="32">
        <f t="shared" si="14"/>
        <v>25.324085338638497</v>
      </c>
      <c r="N93" s="117"/>
      <c r="O93" s="117"/>
      <c r="P93" s="117"/>
      <c r="Q93" s="117"/>
      <c r="R93" s="108"/>
      <c r="S93" s="198">
        <f>$L93*Variables!$C$21/100</f>
        <v>1.3750634573016376</v>
      </c>
      <c r="T93" s="198">
        <f>$L93*Variables!$C$22/100</f>
        <v>2.4063610502778663</v>
      </c>
      <c r="U93" s="198">
        <f>$L93*Variables!$C$23/100</f>
        <v>2.5209496717196695</v>
      </c>
      <c r="V93" s="198">
        <f>$L93*Variables!$C$24/100</f>
        <v>18.334179430688504</v>
      </c>
      <c r="W93" s="22">
        <f>S93*Variables!$E$25*Variables!$C$15+'Cost Calculations'!T93*Variables!$E$26*Variables!$C$15+'Cost Calculations'!U93*Variables!$E$27*Variables!$C$15+V93*Variables!$E$28*Variables!$C$15</f>
        <v>16985920.916127555</v>
      </c>
      <c r="X93" s="20">
        <f>J93*Variables!$E$29*Variables!$C$15</f>
        <v>186982.87162824493</v>
      </c>
      <c r="Z93" s="33">
        <f>D93*(IF(D93&lt;50000,0,IF(D93&gt;Variables!$C$7,Variables!$C$37,IF(D93&gt;Variables!$C$6,Variables!$C$36,IF(D93&gt;Variables!$C$5,Variables!$C$35)))))</f>
        <v>607.69494048673653</v>
      </c>
      <c r="AA93" s="34">
        <f t="shared" si="8"/>
        <v>594</v>
      </c>
      <c r="AB93" s="35">
        <f t="shared" si="15"/>
        <v>14</v>
      </c>
      <c r="AC93" s="22">
        <f>AB93*Variables!$E$41</f>
        <v>5174400.0000000009</v>
      </c>
      <c r="AD93" s="115">
        <f>ROUND(IF(D93&lt;50000,0,(H93/(3.14*Variables!$C$34^2))),0)</f>
        <v>206</v>
      </c>
      <c r="AE93" s="116">
        <f t="shared" si="10"/>
        <v>203</v>
      </c>
      <c r="AF93" s="117">
        <f t="shared" si="16"/>
        <v>3</v>
      </c>
      <c r="AG93" s="107">
        <f>AF93*Variables!$E$42*Variables!$C$15</f>
        <v>2032.6320000000001</v>
      </c>
      <c r="AH93" s="199">
        <f>ROUND((Z93)/Variables!$C$40,0)</f>
        <v>5</v>
      </c>
      <c r="AI93" s="33">
        <f t="shared" si="11"/>
        <v>5</v>
      </c>
      <c r="AJ93" s="199">
        <f t="shared" si="19"/>
        <v>0</v>
      </c>
      <c r="AK93" s="22">
        <f>AJ93*Variables!$E$43*Variables!$C$15</f>
        <v>0</v>
      </c>
      <c r="AL93" s="20">
        <f>Z93*Variables!$E$38*Variables!$C$15</f>
        <v>107731254.14562294</v>
      </c>
      <c r="AM93" s="98"/>
      <c r="AN93" s="200">
        <f t="shared" si="12"/>
        <v>0.28000000000000003</v>
      </c>
      <c r="AO93" s="201">
        <f t="shared" si="17"/>
        <v>74.074390495536193</v>
      </c>
      <c r="AP93" s="321">
        <f>VLOOKUP(A93,'Household Information'!H:Q,10,FALSE)</f>
        <v>228.82746434431402</v>
      </c>
      <c r="AQ93" s="122">
        <f>IF(12*(AO93-Variables!$C$3*AP93*F93)*(G93/5)&lt;0,0,12*(AO93-Variables!$C$3*AP93*F93)*(G93/5))</f>
        <v>0</v>
      </c>
      <c r="AS93" s="22"/>
    </row>
    <row r="94" spans="1:45" ht="14.25" customHeight="1" x14ac:dyDescent="0.35">
      <c r="A94" s="30">
        <v>7</v>
      </c>
      <c r="B94" s="28" t="s">
        <v>160</v>
      </c>
      <c r="C94" s="28">
        <v>2021</v>
      </c>
      <c r="D94" s="196">
        <f>Population!F8</f>
        <v>5873198.2154455381</v>
      </c>
      <c r="E94" s="303" t="str">
        <f t="shared" si="18"/>
        <v>Large</v>
      </c>
      <c r="F94" s="340">
        <f>VLOOKUP(A94,'Household Information'!$H$2:$M$49,6,FALSE)</f>
        <v>4.0232072880789485</v>
      </c>
      <c r="G94" s="196">
        <f t="shared" si="13"/>
        <v>1459830</v>
      </c>
      <c r="H94" s="213">
        <f>Area!H8</f>
        <v>1094.3057831469755</v>
      </c>
      <c r="I94" s="213"/>
      <c r="J94" s="32">
        <f>D94*Variables!$C$20</f>
        <v>5285.8783939009845</v>
      </c>
      <c r="K94" s="202">
        <f t="shared" si="9"/>
        <v>5163.5033641701511</v>
      </c>
      <c r="L94" s="32">
        <f t="shared" si="14"/>
        <v>122.37502973083338</v>
      </c>
      <c r="N94" s="117"/>
      <c r="O94" s="117"/>
      <c r="P94" s="117"/>
      <c r="Q94" s="117"/>
      <c r="R94" s="108"/>
      <c r="S94" s="198">
        <f>$L94*Variables!$C$21/100</f>
        <v>6.6447979944343913</v>
      </c>
      <c r="T94" s="198">
        <f>$L94*Variables!$C$22/100</f>
        <v>11.628396490260187</v>
      </c>
      <c r="U94" s="198">
        <f>$L94*Variables!$C$23/100</f>
        <v>12.182129656463051</v>
      </c>
      <c r="V94" s="198">
        <f>$L94*Variables!$C$24/100</f>
        <v>88.597306592458551</v>
      </c>
      <c r="W94" s="22">
        <f>S94*Variables!$E$25*Variables!$C$15+'Cost Calculations'!T94*Variables!$E$26*Variables!$C$15+'Cost Calculations'!U94*Variables!$E$27*Variables!$C$15+V94*Variables!$E$28*Variables!$C$15</f>
        <v>82082039.659895137</v>
      </c>
      <c r="X94" s="20">
        <f>J94*Variables!$E$29*Variables!$C$15</f>
        <v>903568.05265343434</v>
      </c>
      <c r="Z94" s="33">
        <f>D94*(IF(D94&lt;50000,0,IF(D94&gt;Variables!$C$7,Variables!$C$37,IF(D94&gt;Variables!$C$6,Variables!$C$36,IF(D94&gt;Variables!$C$5,Variables!$C$35)))))</f>
        <v>2936.5991077227691</v>
      </c>
      <c r="AA94" s="34">
        <f t="shared" si="8"/>
        <v>4599</v>
      </c>
      <c r="AB94" s="35">
        <f t="shared" si="15"/>
        <v>0</v>
      </c>
      <c r="AC94" s="22">
        <f>AB94*Variables!$E$41</f>
        <v>0</v>
      </c>
      <c r="AD94" s="115">
        <f>ROUND(IF(D94&lt;50000,0,(H94/(3.14*Variables!$C$34^2))),0)</f>
        <v>1394</v>
      </c>
      <c r="AE94" s="116">
        <f t="shared" si="10"/>
        <v>1375</v>
      </c>
      <c r="AF94" s="117">
        <f t="shared" si="16"/>
        <v>19</v>
      </c>
      <c r="AG94" s="107">
        <f>AF94*Variables!$E$42*Variables!$C$15</f>
        <v>12873.336000000001</v>
      </c>
      <c r="AH94" s="199">
        <f>ROUND((Z94)/Variables!$C$40,0)</f>
        <v>23</v>
      </c>
      <c r="AI94" s="33">
        <f t="shared" si="11"/>
        <v>23</v>
      </c>
      <c r="AJ94" s="199">
        <f t="shared" si="19"/>
        <v>0</v>
      </c>
      <c r="AK94" s="22">
        <f>AJ94*Variables!$E$43*Variables!$C$15</f>
        <v>0</v>
      </c>
      <c r="AL94" s="20">
        <f>Z94*Variables!$E$38*Variables!$C$15</f>
        <v>520595916.99825263</v>
      </c>
      <c r="AM94" s="98"/>
      <c r="AN94" s="200">
        <f t="shared" si="12"/>
        <v>0.28000000000000003</v>
      </c>
      <c r="AO94" s="201">
        <f t="shared" si="17"/>
        <v>67.589882439726338</v>
      </c>
      <c r="AP94" s="321">
        <f>VLOOKUP(A94,'Household Information'!H:Q,10,FALSE)</f>
        <v>141.36059573393919</v>
      </c>
      <c r="AQ94" s="122">
        <f>IF(12*(AO94-Variables!$C$3*AP94*F94)*(G94/5)&lt;0,0,12*(AO94-Variables!$C$3*AP94*F94)*(G94/5))</f>
        <v>0</v>
      </c>
      <c r="AS94" s="22"/>
    </row>
    <row r="95" spans="1:45" ht="14.25" customHeight="1" x14ac:dyDescent="0.35">
      <c r="A95" s="30">
        <v>8</v>
      </c>
      <c r="B95" s="28" t="s">
        <v>161</v>
      </c>
      <c r="C95" s="28">
        <v>2021</v>
      </c>
      <c r="D95" s="196">
        <f>Population!F9</f>
        <v>55969.865138845817</v>
      </c>
      <c r="E95" s="303" t="str">
        <f t="shared" si="18"/>
        <v>Small</v>
      </c>
      <c r="F95" s="340">
        <f>VLOOKUP(A95,'Household Information'!$H$2:$M$49,6,FALSE)</f>
        <v>4.332028957151242</v>
      </c>
      <c r="G95" s="196">
        <f t="shared" si="13"/>
        <v>12920</v>
      </c>
      <c r="H95" s="213">
        <f>Area!H9</f>
        <v>154.14713442806377</v>
      </c>
      <c r="I95" s="213"/>
      <c r="J95" s="32">
        <f>D95*Variables!$C$20</f>
        <v>50.372878624961231</v>
      </c>
      <c r="K95" s="202">
        <f t="shared" si="9"/>
        <v>49.206680301808369</v>
      </c>
      <c r="L95" s="32">
        <f t="shared" si="14"/>
        <v>1.1661983231528623</v>
      </c>
      <c r="N95" s="117"/>
      <c r="O95" s="117"/>
      <c r="P95" s="117"/>
      <c r="Q95" s="117"/>
      <c r="R95" s="108"/>
      <c r="S95" s="198">
        <f>$L95*Variables!$C$21/100</f>
        <v>6.3322985872553611E-2</v>
      </c>
      <c r="T95" s="198">
        <f>$L95*Variables!$C$22/100</f>
        <v>0.11081522527696881</v>
      </c>
      <c r="U95" s="198">
        <f>$L95*Variables!$C$23/100</f>
        <v>0.11609214076634827</v>
      </c>
      <c r="V95" s="198">
        <f>$L95*Variables!$C$24/100</f>
        <v>0.84430647830071481</v>
      </c>
      <c r="W95" s="22">
        <f>S95*Variables!$E$25*Variables!$C$15+'Cost Calculations'!T95*Variables!$E$26*Variables!$C$15+'Cost Calculations'!U95*Variables!$E$27*Variables!$C$15+V95*Variables!$E$28*Variables!$C$15</f>
        <v>782217.88564941217</v>
      </c>
      <c r="X95" s="20">
        <f>J95*Variables!$E$29*Variables!$C$15</f>
        <v>8610.7398721508725</v>
      </c>
      <c r="Z95" s="33">
        <f>D95*(IF(D95&lt;50000,0,IF(D95&gt;Variables!$C$7,Variables!$C$37,IF(D95&gt;Variables!$C$6,Variables!$C$36,IF(D95&gt;Variables!$C$5,Variables!$C$35)))))</f>
        <v>27.984932569422909</v>
      </c>
      <c r="AA95" s="34">
        <f t="shared" si="8"/>
        <v>27</v>
      </c>
      <c r="AB95" s="35">
        <f t="shared" si="15"/>
        <v>1</v>
      </c>
      <c r="AC95" s="22">
        <f>AB95*Variables!$E$41</f>
        <v>369600.00000000006</v>
      </c>
      <c r="AD95" s="115">
        <f>ROUND(IF(D95&lt;50000,0,(H95/(3.14*Variables!$C$34^2))),0)</f>
        <v>196</v>
      </c>
      <c r="AE95" s="116">
        <f t="shared" si="10"/>
        <v>194</v>
      </c>
      <c r="AF95" s="117">
        <f t="shared" si="16"/>
        <v>2</v>
      </c>
      <c r="AG95" s="107">
        <f>AF95*Variables!$E$42*Variables!$C$15</f>
        <v>1355.088</v>
      </c>
      <c r="AH95" s="199">
        <f>ROUND((Z95)/Variables!$C$40,0)</f>
        <v>0</v>
      </c>
      <c r="AI95" s="33">
        <f t="shared" si="11"/>
        <v>0</v>
      </c>
      <c r="AJ95" s="199">
        <f t="shared" si="19"/>
        <v>0</v>
      </c>
      <c r="AK95" s="22">
        <f>AJ95*Variables!$E$43*Variables!$C$15</f>
        <v>0</v>
      </c>
      <c r="AL95" s="20">
        <f>Z95*Variables!$E$38*Variables!$C$15</f>
        <v>4961127.1742197797</v>
      </c>
      <c r="AM95" s="98"/>
      <c r="AN95" s="200">
        <f t="shared" si="12"/>
        <v>0.25221875000000005</v>
      </c>
      <c r="AO95" s="201">
        <f t="shared" si="17"/>
        <v>65.557135712189407</v>
      </c>
      <c r="AP95" s="321">
        <f>VLOOKUP(A95,'Household Information'!H:Q,10,FALSE)</f>
        <v>39.775337624637132</v>
      </c>
      <c r="AQ95" s="122">
        <f>IF(12*(AO95-Variables!$C$3*AP95*F95)*(G95/5)&lt;0,0,12*(AO95-Variables!$C$3*AP95*F95)*(G95/5))</f>
        <v>1231357.0928439863</v>
      </c>
      <c r="AS95" s="22"/>
    </row>
    <row r="96" spans="1:45" ht="14.25" customHeight="1" x14ac:dyDescent="0.35">
      <c r="A96" s="30">
        <v>9</v>
      </c>
      <c r="B96" s="28" t="s">
        <v>162</v>
      </c>
      <c r="C96" s="28">
        <v>2021</v>
      </c>
      <c r="D96" s="196">
        <f>Population!F10</f>
        <v>719913.36990320042</v>
      </c>
      <c r="E96" s="303" t="str">
        <f t="shared" si="18"/>
        <v>Medium</v>
      </c>
      <c r="F96" s="340">
        <f>VLOOKUP(A96,'Household Information'!$H$2:$M$49,6,FALSE)</f>
        <v>4.5911864516077028</v>
      </c>
      <c r="G96" s="196">
        <f t="shared" si="13"/>
        <v>156803</v>
      </c>
      <c r="H96" s="213">
        <f>Area!H10</f>
        <v>416.61387683260489</v>
      </c>
      <c r="I96" s="213"/>
      <c r="J96" s="32">
        <f>D96*Variables!$C$20</f>
        <v>647.92203291288035</v>
      </c>
      <c r="K96" s="202">
        <f t="shared" si="9"/>
        <v>694.88516000000004</v>
      </c>
      <c r="L96" s="32">
        <f t="shared" si="14"/>
        <v>0</v>
      </c>
      <c r="N96" s="117"/>
      <c r="O96" s="117"/>
      <c r="P96" s="117"/>
      <c r="Q96" s="117"/>
      <c r="R96" s="108"/>
      <c r="S96" s="198">
        <f>$L96*Variables!$C$21/100</f>
        <v>0</v>
      </c>
      <c r="T96" s="198">
        <f>$L96*Variables!$C$22/100</f>
        <v>0</v>
      </c>
      <c r="U96" s="198">
        <f>$L96*Variables!$C$23/100</f>
        <v>0</v>
      </c>
      <c r="V96" s="198">
        <f>$L96*Variables!$C$24/100</f>
        <v>0</v>
      </c>
      <c r="W96" s="22">
        <f>S96*Variables!$E$25*Variables!$C$15+'Cost Calculations'!T96*Variables!$E$26*Variables!$C$15+'Cost Calculations'!U96*Variables!$E$27*Variables!$C$15+V96*Variables!$E$28*Variables!$C$15</f>
        <v>0</v>
      </c>
      <c r="X96" s="20">
        <f>J96*Variables!$E$29*Variables!$C$15</f>
        <v>110755.79230612777</v>
      </c>
      <c r="Z96" s="33">
        <f>D96*(IF(D96&lt;50000,0,IF(D96&gt;Variables!$C$7,Variables!$C$37,IF(D96&gt;Variables!$C$6,Variables!$C$36,IF(D96&gt;Variables!$C$5,Variables!$C$35)))))</f>
        <v>359.95668495160021</v>
      </c>
      <c r="AA96" s="34">
        <f t="shared" si="8"/>
        <v>430</v>
      </c>
      <c r="AB96" s="35">
        <f t="shared" si="15"/>
        <v>0</v>
      </c>
      <c r="AC96" s="22">
        <f>AB96*Variables!$E$41</f>
        <v>0</v>
      </c>
      <c r="AD96" s="115">
        <f>ROUND(IF(D96&lt;50000,0,(H96/(3.14*Variables!$C$34^2))),0)</f>
        <v>531</v>
      </c>
      <c r="AE96" s="116">
        <f t="shared" si="10"/>
        <v>523</v>
      </c>
      <c r="AF96" s="117">
        <f t="shared" si="16"/>
        <v>8</v>
      </c>
      <c r="AG96" s="107">
        <f>AF96*Variables!$E$42*Variables!$C$15</f>
        <v>5420.3519999999999</v>
      </c>
      <c r="AH96" s="199">
        <f>ROUND((Z96)/Variables!$C$40,0)</f>
        <v>3</v>
      </c>
      <c r="AI96" s="33">
        <f t="shared" si="11"/>
        <v>3</v>
      </c>
      <c r="AJ96" s="199">
        <f t="shared" si="19"/>
        <v>0</v>
      </c>
      <c r="AK96" s="22">
        <f>AJ96*Variables!$E$43*Variables!$C$15</f>
        <v>0</v>
      </c>
      <c r="AL96" s="20">
        <f>Z96*Variables!$E$38*Variables!$C$15</f>
        <v>63812585.105409719</v>
      </c>
      <c r="AM96" s="98"/>
      <c r="AN96" s="200">
        <f t="shared" si="12"/>
        <v>0.19600000000000001</v>
      </c>
      <c r="AO96" s="201">
        <f t="shared" si="17"/>
        <v>53.992352670906584</v>
      </c>
      <c r="AP96" s="321">
        <f>VLOOKUP(A96,'Household Information'!H:Q,10,FALSE)</f>
        <v>137.82658084059071</v>
      </c>
      <c r="AQ96" s="122">
        <f>IF(12*(AO96-Variables!$C$3*AP96*F96)*(G96/5)&lt;0,0,12*(AO96-Variables!$C$3*AP96*F96)*(G96/5))</f>
        <v>0</v>
      </c>
      <c r="AS96" s="22"/>
    </row>
    <row r="97" spans="1:45" ht="14.25" customHeight="1" x14ac:dyDescent="0.35">
      <c r="A97" s="30">
        <v>10</v>
      </c>
      <c r="B97" s="28" t="s">
        <v>163</v>
      </c>
      <c r="C97" s="28">
        <v>2021</v>
      </c>
      <c r="D97" s="196">
        <f>Population!F11</f>
        <v>668072.80220820569</v>
      </c>
      <c r="E97" s="303" t="str">
        <f t="shared" si="18"/>
        <v>Medium</v>
      </c>
      <c r="F97" s="340">
        <f>VLOOKUP(A97,'Household Information'!$H$2:$M$49,6,FALSE)</f>
        <v>4.0714439771379274</v>
      </c>
      <c r="G97" s="196">
        <f t="shared" si="13"/>
        <v>164087</v>
      </c>
      <c r="H97" s="213">
        <f>Area!H11</f>
        <v>123.4319005632609</v>
      </c>
      <c r="I97" s="213"/>
      <c r="J97" s="32">
        <f>D97*Variables!$C$20</f>
        <v>601.26552198738511</v>
      </c>
      <c r="K97" s="202">
        <f t="shared" si="9"/>
        <v>718.84568000000002</v>
      </c>
      <c r="L97" s="32">
        <f t="shared" si="14"/>
        <v>0</v>
      </c>
      <c r="N97" s="117"/>
      <c r="O97" s="117"/>
      <c r="P97" s="117"/>
      <c r="Q97" s="117"/>
      <c r="R97" s="108"/>
      <c r="S97" s="198">
        <f>$L97*Variables!$C$21/100</f>
        <v>0</v>
      </c>
      <c r="T97" s="198">
        <f>$L97*Variables!$C$22/100</f>
        <v>0</v>
      </c>
      <c r="U97" s="198">
        <f>$L97*Variables!$C$23/100</f>
        <v>0</v>
      </c>
      <c r="V97" s="198">
        <f>$L97*Variables!$C$24/100</f>
        <v>0</v>
      </c>
      <c r="W97" s="22">
        <f>S97*Variables!$E$25*Variables!$C$15+'Cost Calculations'!T97*Variables!$E$26*Variables!$C$15+'Cost Calculations'!U97*Variables!$E$27*Variables!$C$15+V97*Variables!$E$28*Variables!$C$15</f>
        <v>0</v>
      </c>
      <c r="X97" s="20">
        <f>J97*Variables!$E$29*Variables!$C$15</f>
        <v>102780.32832852361</v>
      </c>
      <c r="Z97" s="33">
        <f>D97*(IF(D97&lt;50000,0,IF(D97&gt;Variables!$C$7,Variables!$C$37,IF(D97&gt;Variables!$C$6,Variables!$C$36,IF(D97&gt;Variables!$C$5,Variables!$C$35)))))</f>
        <v>334.03640110410282</v>
      </c>
      <c r="AA97" s="34">
        <f t="shared" si="8"/>
        <v>326</v>
      </c>
      <c r="AB97" s="35">
        <f t="shared" si="15"/>
        <v>8</v>
      </c>
      <c r="AC97" s="22">
        <f>AB97*Variables!$E$41</f>
        <v>2956800.0000000005</v>
      </c>
      <c r="AD97" s="115">
        <f>ROUND(IF(D97&lt;50000,0,(H97/(3.14*Variables!$C$34^2))),0)</f>
        <v>157</v>
      </c>
      <c r="AE97" s="116">
        <f t="shared" si="10"/>
        <v>155</v>
      </c>
      <c r="AF97" s="117">
        <f t="shared" si="16"/>
        <v>2</v>
      </c>
      <c r="AG97" s="107">
        <f>AF97*Variables!$E$42*Variables!$C$15</f>
        <v>1355.088</v>
      </c>
      <c r="AH97" s="199">
        <f>ROUND((Z97)/Variables!$C$40,0)</f>
        <v>3</v>
      </c>
      <c r="AI97" s="33">
        <f t="shared" si="11"/>
        <v>3</v>
      </c>
      <c r="AJ97" s="199">
        <f t="shared" si="19"/>
        <v>0</v>
      </c>
      <c r="AK97" s="22">
        <f>AJ97*Variables!$E$43*Variables!$C$15</f>
        <v>0</v>
      </c>
      <c r="AL97" s="20">
        <f>Z97*Variables!$E$38*Variables!$C$15</f>
        <v>59217475.782194324</v>
      </c>
      <c r="AM97" s="98"/>
      <c r="AN97" s="200">
        <f t="shared" si="12"/>
        <v>0.25221875000000005</v>
      </c>
      <c r="AO97" s="201">
        <f t="shared" si="17"/>
        <v>61.613670636525413</v>
      </c>
      <c r="AP97" s="321">
        <f>VLOOKUP(A97,'Household Information'!H:Q,10,FALSE)</f>
        <v>39.775337624637132</v>
      </c>
      <c r="AQ97" s="122">
        <f>IF(12*(AO97-Variables!$C$3*AP97*F97)*(G97/5)&lt;0,0,12*(AO97-Variables!$C$3*AP97*F97)*(G97/5))</f>
        <v>14697815.448194018</v>
      </c>
      <c r="AS97" s="22"/>
    </row>
    <row r="98" spans="1:45" ht="14.25" customHeight="1" x14ac:dyDescent="0.35">
      <c r="A98" s="30">
        <v>11</v>
      </c>
      <c r="B98" s="28" t="s">
        <v>164</v>
      </c>
      <c r="C98" s="28">
        <v>2021</v>
      </c>
      <c r="D98" s="196">
        <f>Population!F12</f>
        <v>260583.06278127513</v>
      </c>
      <c r="E98" s="303" t="str">
        <f t="shared" si="18"/>
        <v>Medium</v>
      </c>
      <c r="F98" s="340">
        <f>VLOOKUP(A98,'Household Information'!$H$2:$M$49,6,FALSE)</f>
        <v>4.5669760538732476</v>
      </c>
      <c r="G98" s="196">
        <f t="shared" si="13"/>
        <v>57058</v>
      </c>
      <c r="H98" s="213">
        <f>Area!H12</f>
        <v>158.31327319638984</v>
      </c>
      <c r="I98" s="213"/>
      <c r="J98" s="32">
        <f>D98*Variables!$C$20</f>
        <v>234.52475650314761</v>
      </c>
      <c r="K98" s="202">
        <f t="shared" si="9"/>
        <v>229.09520025705538</v>
      </c>
      <c r="L98" s="32">
        <f t="shared" si="14"/>
        <v>5.4295562460922326</v>
      </c>
      <c r="N98" s="117"/>
      <c r="O98" s="117"/>
      <c r="P98" s="117"/>
      <c r="Q98" s="117"/>
      <c r="R98" s="108"/>
      <c r="S98" s="198">
        <f>$L98*Variables!$C$21/100</f>
        <v>0.29481753372446506</v>
      </c>
      <c r="T98" s="198">
        <f>$L98*Variables!$C$22/100</f>
        <v>0.51593068401781395</v>
      </c>
      <c r="U98" s="198">
        <f>$L98*Variables!$C$23/100</f>
        <v>0.54049881182818604</v>
      </c>
      <c r="V98" s="198">
        <f>$L98*Variables!$C$24/100</f>
        <v>3.9309004496595348</v>
      </c>
      <c r="W98" s="22">
        <f>S98*Variables!$E$25*Variables!$C$15+'Cost Calculations'!T98*Variables!$E$26*Variables!$C$15+'Cost Calculations'!U98*Variables!$E$27*Variables!$C$15+V98*Variables!$E$28*Variables!$C$15</f>
        <v>3641829.9722388871</v>
      </c>
      <c r="X98" s="20">
        <f>J98*Variables!$E$29*Variables!$C$15</f>
        <v>40089.661876648053</v>
      </c>
      <c r="Z98" s="33">
        <f>D98*(IF(D98&lt;50000,0,IF(D98&gt;Variables!$C$7,Variables!$C$37,IF(D98&gt;Variables!$C$6,Variables!$C$36,IF(D98&gt;Variables!$C$5,Variables!$C$35)))))</f>
        <v>130.29153139063757</v>
      </c>
      <c r="AA98" s="34">
        <f t="shared" si="8"/>
        <v>127</v>
      </c>
      <c r="AB98" s="35">
        <f t="shared" si="15"/>
        <v>3</v>
      </c>
      <c r="AC98" s="22">
        <f>AB98*Variables!$E$41</f>
        <v>1108800.0000000002</v>
      </c>
      <c r="AD98" s="115">
        <f>ROUND(IF(D98&lt;50000,0,(H98/(3.14*Variables!$C$34^2))),0)</f>
        <v>202</v>
      </c>
      <c r="AE98" s="116">
        <f t="shared" si="10"/>
        <v>199</v>
      </c>
      <c r="AF98" s="117">
        <f t="shared" si="16"/>
        <v>3</v>
      </c>
      <c r="AG98" s="107">
        <f>AF98*Variables!$E$42*Variables!$C$15</f>
        <v>2032.6320000000001</v>
      </c>
      <c r="AH98" s="199">
        <f>ROUND((Z98)/Variables!$C$40,0)</f>
        <v>1</v>
      </c>
      <c r="AI98" s="33">
        <f t="shared" si="11"/>
        <v>1</v>
      </c>
      <c r="AJ98" s="199">
        <f t="shared" si="19"/>
        <v>0</v>
      </c>
      <c r="AK98" s="22">
        <f>AJ98*Variables!$E$43*Variables!$C$15</f>
        <v>0</v>
      </c>
      <c r="AL98" s="20">
        <f>Z98*Variables!$E$38*Variables!$C$15</f>
        <v>23097888.670958161</v>
      </c>
      <c r="AM98" s="98"/>
      <c r="AN98" s="200">
        <f t="shared" si="12"/>
        <v>0.315</v>
      </c>
      <c r="AO98" s="201">
        <f t="shared" si="17"/>
        <v>86.31584741820437</v>
      </c>
      <c r="AP98" s="321">
        <f>VLOOKUP(A98,'Household Information'!H:Q,10,FALSE)</f>
        <v>93.297993184399843</v>
      </c>
      <c r="AQ98" s="122">
        <f>IF(12*(AO98-Variables!$C$3*AP98*F98)*(G98/5)&lt;0,0,12*(AO98-Variables!$C$3*AP98*F98)*(G98/5))</f>
        <v>3067765.6804789486</v>
      </c>
      <c r="AS98" s="22"/>
    </row>
    <row r="99" spans="1:45" ht="14.25" customHeight="1" x14ac:dyDescent="0.35">
      <c r="A99" s="30">
        <v>12</v>
      </c>
      <c r="B99" s="28" t="s">
        <v>165</v>
      </c>
      <c r="C99" s="28">
        <v>2021</v>
      </c>
      <c r="D99" s="196">
        <f>Population!F13</f>
        <v>126755.65456199566</v>
      </c>
      <c r="E99" s="303" t="str">
        <f t="shared" si="18"/>
        <v>Medium</v>
      </c>
      <c r="F99" s="340">
        <f>VLOOKUP(A99,'Household Information'!$H$2:$M$49,6,FALSE)</f>
        <v>4.2184831531569431</v>
      </c>
      <c r="G99" s="196">
        <f t="shared" si="13"/>
        <v>30048</v>
      </c>
      <c r="H99" s="213">
        <f>Area!H13</f>
        <v>26.385545532731644</v>
      </c>
      <c r="I99" s="213"/>
      <c r="J99" s="32">
        <f>D99*Variables!$C$20</f>
        <v>114.08008910579609</v>
      </c>
      <c r="K99" s="202">
        <f t="shared" si="9"/>
        <v>111.43898515756186</v>
      </c>
      <c r="L99" s="32">
        <f t="shared" si="14"/>
        <v>2.6411039482342318</v>
      </c>
      <c r="N99" s="117"/>
      <c r="O99" s="117"/>
      <c r="P99" s="117"/>
      <c r="Q99" s="117"/>
      <c r="R99" s="108"/>
      <c r="S99" s="198">
        <f>$L99*Variables!$C$21/100</f>
        <v>0.14340835918013928</v>
      </c>
      <c r="T99" s="198">
        <f>$L99*Variables!$C$22/100</f>
        <v>0.25096462856524376</v>
      </c>
      <c r="U99" s="198">
        <f>$L99*Variables!$C$23/100</f>
        <v>0.26291532516358873</v>
      </c>
      <c r="V99" s="198">
        <f>$L99*Variables!$C$24/100</f>
        <v>1.9121114557351904</v>
      </c>
      <c r="W99" s="22">
        <f>S99*Variables!$E$25*Variables!$C$15+'Cost Calculations'!T99*Variables!$E$26*Variables!$C$15+'Cost Calculations'!U99*Variables!$E$27*Variables!$C$15+V99*Variables!$E$28*Variables!$C$15</f>
        <v>1771498.6423430999</v>
      </c>
      <c r="X99" s="20">
        <f>J99*Variables!$E$29*Variables!$C$15</f>
        <v>19500.850431744784</v>
      </c>
      <c r="Z99" s="33">
        <f>D99*(IF(D99&lt;50000,0,IF(D99&gt;Variables!$C$7,Variables!$C$37,IF(D99&gt;Variables!$C$6,Variables!$C$36,IF(D99&gt;Variables!$C$5,Variables!$C$35)))))</f>
        <v>63.377827280997828</v>
      </c>
      <c r="AA99" s="34">
        <f t="shared" si="8"/>
        <v>62</v>
      </c>
      <c r="AB99" s="35">
        <f t="shared" si="15"/>
        <v>1</v>
      </c>
      <c r="AC99" s="22">
        <f>AB99*Variables!$E$41</f>
        <v>369600.00000000006</v>
      </c>
      <c r="AD99" s="115">
        <f>ROUND(IF(D99&lt;50000,0,(H99/(3.14*Variables!$C$34^2))),0)</f>
        <v>34</v>
      </c>
      <c r="AE99" s="116">
        <f t="shared" si="10"/>
        <v>33</v>
      </c>
      <c r="AF99" s="117">
        <f t="shared" si="16"/>
        <v>1</v>
      </c>
      <c r="AG99" s="107">
        <f>AF99*Variables!$E$42*Variables!$C$15</f>
        <v>677.54399999999998</v>
      </c>
      <c r="AH99" s="199">
        <f>ROUND((Z99)/Variables!$C$40,0)</f>
        <v>1</v>
      </c>
      <c r="AI99" s="33">
        <f t="shared" si="11"/>
        <v>0</v>
      </c>
      <c r="AJ99" s="199">
        <f t="shared" si="19"/>
        <v>1</v>
      </c>
      <c r="AK99" s="22">
        <f>AJ99*Variables!$E$43*Variables!$C$15</f>
        <v>552717.39600000007</v>
      </c>
      <c r="AL99" s="20">
        <f>Z99*Variables!$E$38*Variables!$C$15</f>
        <v>11235526.845982675</v>
      </c>
      <c r="AM99" s="98"/>
      <c r="AN99" s="200">
        <f t="shared" si="12"/>
        <v>0.28000000000000003</v>
      </c>
      <c r="AO99" s="201">
        <f t="shared" si="17"/>
        <v>70.870516973036644</v>
      </c>
      <c r="AP99" s="321">
        <f>VLOOKUP(A99,'Household Information'!H:Q,10,FALSE)</f>
        <v>108.65462509082352</v>
      </c>
      <c r="AQ99" s="122">
        <f>IF(12*(AO99-Variables!$C$3*AP99*F99)*(G99/5)&lt;0,0,12*(AO99-Variables!$C$3*AP99*F99)*(G99/5))</f>
        <v>152657.8655148088</v>
      </c>
      <c r="AS99" s="22"/>
    </row>
    <row r="100" spans="1:45" ht="14.25" customHeight="1" x14ac:dyDescent="0.35">
      <c r="A100" s="30">
        <v>13</v>
      </c>
      <c r="B100" s="28" t="s">
        <v>166</v>
      </c>
      <c r="C100" s="28">
        <v>2021</v>
      </c>
      <c r="D100" s="196">
        <f>Population!F14</f>
        <v>8508589.9110932406</v>
      </c>
      <c r="E100" s="303" t="str">
        <f t="shared" si="18"/>
        <v>Large</v>
      </c>
      <c r="F100" s="340">
        <f>VLOOKUP(A100,'Household Information'!$H$2:$M$49,6,FALSE)</f>
        <v>4.33</v>
      </c>
      <c r="G100" s="196">
        <f t="shared" si="13"/>
        <v>1965032</v>
      </c>
      <c r="H100" s="213">
        <f>Area!H14</f>
        <v>866.84817055098495</v>
      </c>
      <c r="I100" s="213"/>
      <c r="J100" s="32">
        <f>D100*Variables!$C$20</f>
        <v>7657.7309199839165</v>
      </c>
      <c r="K100" s="202">
        <f t="shared" si="9"/>
        <v>7480.4443879885857</v>
      </c>
      <c r="L100" s="32">
        <f t="shared" si="14"/>
        <v>177.28653199533073</v>
      </c>
      <c r="N100" s="117"/>
      <c r="O100" s="117"/>
      <c r="P100" s="117"/>
      <c r="Q100" s="117"/>
      <c r="R100" s="108"/>
      <c r="S100" s="198">
        <f>$L100*Variables!$C$21/100</f>
        <v>9.6264180268957844</v>
      </c>
      <c r="T100" s="198">
        <f>$L100*Variables!$C$22/100</f>
        <v>16.846231547067624</v>
      </c>
      <c r="U100" s="198">
        <f>$L100*Variables!$C$23/100</f>
        <v>17.648433049308942</v>
      </c>
      <c r="V100" s="198">
        <f>$L100*Variables!$C$24/100</f>
        <v>128.35224035861049</v>
      </c>
      <c r="W100" s="22">
        <f>S100*Variables!$E$25*Variables!$C$15+'Cost Calculations'!T100*Variables!$E$26*Variables!$C$15+'Cost Calculations'!U100*Variables!$E$27*Variables!$C$15+V100*Variables!$E$28*Variables!$C$15</f>
        <v>118913475.91427386</v>
      </c>
      <c r="X100" s="20">
        <f>J100*Variables!$E$29*Variables!$C$15</f>
        <v>1309012.5234620508</v>
      </c>
      <c r="Z100" s="33">
        <f>D100*(IF(D100&lt;50000,0,IF(D100&gt;Variables!$C$7,Variables!$C$37,IF(D100&gt;Variables!$C$6,Variables!$C$36,IF(D100&gt;Variables!$C$5,Variables!$C$35)))))</f>
        <v>4254.2949555466203</v>
      </c>
      <c r="AA100" s="34">
        <f t="shared" si="8"/>
        <v>4156</v>
      </c>
      <c r="AB100" s="35">
        <f t="shared" si="15"/>
        <v>98</v>
      </c>
      <c r="AC100" s="22">
        <f>AB100*Variables!$E$41</f>
        <v>36220800.000000007</v>
      </c>
      <c r="AD100" s="115">
        <f>ROUND(IF(D100&lt;50000,0,(H100/(3.14*Variables!$C$34^2))),0)</f>
        <v>1104</v>
      </c>
      <c r="AE100" s="116">
        <f t="shared" si="10"/>
        <v>1093</v>
      </c>
      <c r="AF100" s="117">
        <f t="shared" si="16"/>
        <v>11</v>
      </c>
      <c r="AG100" s="107">
        <f>AF100*Variables!$E$42*Variables!$C$15</f>
        <v>7452.9840000000004</v>
      </c>
      <c r="AH100" s="199">
        <f>ROUND((Z100)/Variables!$C$40,0)</f>
        <v>34</v>
      </c>
      <c r="AI100" s="33">
        <f t="shared" si="11"/>
        <v>33</v>
      </c>
      <c r="AJ100" s="199">
        <f t="shared" si="19"/>
        <v>1</v>
      </c>
      <c r="AK100" s="22">
        <f>AJ100*Variables!$E$43*Variables!$C$15</f>
        <v>552717.39600000007</v>
      </c>
      <c r="AL100" s="20">
        <f>Z100*Variables!$E$38*Variables!$C$15</f>
        <v>754195074.75138807</v>
      </c>
      <c r="AM100" s="98"/>
      <c r="AN100" s="200">
        <f t="shared" si="12"/>
        <v>0.28000000000000003</v>
      </c>
      <c r="AO100" s="201">
        <f t="shared" si="17"/>
        <v>72.744</v>
      </c>
      <c r="AP100" s="321">
        <f>VLOOKUP(A100,'Household Information'!H:Q,10,FALSE)</f>
        <v>139.85863940426606</v>
      </c>
      <c r="AQ100" s="122">
        <f>IF(12*(AO100-Variables!$C$3*AP100*F100)*(G100/5)&lt;0,0,12*(AO100-Variables!$C$3*AP100*F100)*(G100/5))</f>
        <v>0</v>
      </c>
      <c r="AS100" s="22"/>
    </row>
    <row r="101" spans="1:45" ht="14.25" customHeight="1" x14ac:dyDescent="0.35">
      <c r="A101" s="30">
        <v>14</v>
      </c>
      <c r="B101" s="28" t="s">
        <v>167</v>
      </c>
      <c r="C101" s="28">
        <v>2021</v>
      </c>
      <c r="D101" s="196">
        <f>Population!F15</f>
        <v>339043.50603946112</v>
      </c>
      <c r="E101" s="303" t="str">
        <f t="shared" si="18"/>
        <v>Medium</v>
      </c>
      <c r="F101" s="340">
        <f>VLOOKUP(A101,'Household Information'!$H$2:$M$49,6,FALSE)</f>
        <v>4.6437746693442286</v>
      </c>
      <c r="G101" s="196">
        <f t="shared" si="13"/>
        <v>73010</v>
      </c>
      <c r="H101" s="213">
        <f>Area!H15</f>
        <v>41.661387683260486</v>
      </c>
      <c r="I101" s="213"/>
      <c r="J101" s="32">
        <f>D101*Variables!$C$20</f>
        <v>305.13915543551502</v>
      </c>
      <c r="K101" s="202">
        <f t="shared" si="9"/>
        <v>298.07478307659954</v>
      </c>
      <c r="L101" s="32">
        <f t="shared" si="14"/>
        <v>7.0643723589154774</v>
      </c>
      <c r="N101" s="117"/>
      <c r="O101" s="117"/>
      <c r="P101" s="117"/>
      <c r="Q101" s="117"/>
      <c r="R101" s="108"/>
      <c r="S101" s="198">
        <f>$L101*Variables!$C$21/100</f>
        <v>0.38358582944337427</v>
      </c>
      <c r="T101" s="198">
        <f>$L101*Variables!$C$22/100</f>
        <v>0.67127520152590503</v>
      </c>
      <c r="U101" s="198">
        <f>$L101*Variables!$C$23/100</f>
        <v>0.70324068731285294</v>
      </c>
      <c r="V101" s="198">
        <f>$L101*Variables!$C$24/100</f>
        <v>5.1144777259116578</v>
      </c>
      <c r="W101" s="22">
        <f>S101*Variables!$E$25*Variables!$C$15+'Cost Calculations'!T101*Variables!$E$26*Variables!$C$15+'Cost Calculations'!U101*Variables!$E$27*Variables!$C$15+V101*Variables!$E$28*Variables!$C$15</f>
        <v>4738369.3667913955</v>
      </c>
      <c r="X101" s="20">
        <f>J101*Variables!$E$29*Variables!$C$15</f>
        <v>52160.487230146944</v>
      </c>
      <c r="Z101" s="33">
        <f>D101*(IF(D101&lt;50000,0,IF(D101&gt;Variables!$C$7,Variables!$C$37,IF(D101&gt;Variables!$C$6,Variables!$C$36,IF(D101&gt;Variables!$C$5,Variables!$C$35)))))</f>
        <v>169.52175301973057</v>
      </c>
      <c r="AA101" s="34">
        <f t="shared" si="8"/>
        <v>166</v>
      </c>
      <c r="AB101" s="35">
        <f t="shared" si="15"/>
        <v>4</v>
      </c>
      <c r="AC101" s="22">
        <f>AB101*Variables!$E$41</f>
        <v>1478400.0000000002</v>
      </c>
      <c r="AD101" s="115">
        <f>ROUND(IF(D101&lt;50000,0,(H101/(3.14*Variables!$C$34^2))),0)</f>
        <v>53</v>
      </c>
      <c r="AE101" s="116">
        <f t="shared" si="10"/>
        <v>52</v>
      </c>
      <c r="AF101" s="117">
        <f t="shared" si="16"/>
        <v>1</v>
      </c>
      <c r="AG101" s="107">
        <f>AF101*Variables!$E$42*Variables!$C$15</f>
        <v>677.54399999999998</v>
      </c>
      <c r="AH101" s="199">
        <f>ROUND((Z101)/Variables!$C$40,0)</f>
        <v>1</v>
      </c>
      <c r="AI101" s="33">
        <f t="shared" si="11"/>
        <v>1</v>
      </c>
      <c r="AJ101" s="199">
        <f t="shared" si="19"/>
        <v>0</v>
      </c>
      <c r="AK101" s="22">
        <f>AJ101*Variables!$E$43*Variables!$C$15</f>
        <v>0</v>
      </c>
      <c r="AL101" s="20">
        <f>Z101*Variables!$E$38*Variables!$C$15</f>
        <v>30052563.944587782</v>
      </c>
      <c r="AM101" s="98"/>
      <c r="AN101" s="200">
        <f t="shared" si="12"/>
        <v>0.21</v>
      </c>
      <c r="AO101" s="201">
        <f t="shared" si="17"/>
        <v>58.511560833737278</v>
      </c>
      <c r="AP101" s="321">
        <f>VLOOKUP(A101,'Household Information'!H:Q,10,FALSE)</f>
        <v>108.65462509082352</v>
      </c>
      <c r="AQ101" s="122">
        <f>IF(12*(AO101-Variables!$C$3*AP101*F101)*(G101/5)&lt;0,0,12*(AO101-Variables!$C$3*AP101*F101)*(G101/5))</f>
        <v>0</v>
      </c>
      <c r="AS101" s="22"/>
    </row>
    <row r="102" spans="1:45" ht="14.25" customHeight="1" x14ac:dyDescent="0.35">
      <c r="A102" s="30">
        <v>15</v>
      </c>
      <c r="B102" s="28" t="s">
        <v>168</v>
      </c>
      <c r="C102" s="28">
        <v>2021</v>
      </c>
      <c r="D102" s="196">
        <f>Population!F16</f>
        <v>75191.890093264476</v>
      </c>
      <c r="E102" s="303" t="str">
        <f t="shared" si="18"/>
        <v>Small</v>
      </c>
      <c r="F102" s="340">
        <f>VLOOKUP(A102,'Household Information'!$H$2:$M$49,6,FALSE)</f>
        <v>4.4181210545859635</v>
      </c>
      <c r="G102" s="196">
        <f t="shared" si="13"/>
        <v>17019</v>
      </c>
      <c r="H102" s="213">
        <f>Area!H16</f>
        <v>231.91505810348335</v>
      </c>
      <c r="I102" s="213"/>
      <c r="J102" s="32">
        <f>D102*Variables!$C$20</f>
        <v>67.672701083938023</v>
      </c>
      <c r="K102" s="202">
        <f t="shared" si="9"/>
        <v>66.10598914128947</v>
      </c>
      <c r="L102" s="32">
        <f t="shared" si="14"/>
        <v>1.5667119426485527</v>
      </c>
      <c r="N102" s="117"/>
      <c r="O102" s="117"/>
      <c r="P102" s="117"/>
      <c r="Q102" s="117"/>
      <c r="R102" s="108"/>
      <c r="S102" s="198">
        <f>$L102*Variables!$C$21/100</f>
        <v>8.5070331727523207E-2</v>
      </c>
      <c r="T102" s="198">
        <f>$L102*Variables!$C$22/100</f>
        <v>0.14887308052316564</v>
      </c>
      <c r="U102" s="198">
        <f>$L102*Variables!$C$23/100</f>
        <v>0.1559622748337926</v>
      </c>
      <c r="V102" s="198">
        <f>$L102*Variables!$C$24/100</f>
        <v>1.1342710897003097</v>
      </c>
      <c r="W102" s="22">
        <f>S102*Variables!$E$25*Variables!$C$15+'Cost Calculations'!T102*Variables!$E$26*Variables!$C$15+'Cost Calculations'!U102*Variables!$E$27*Variables!$C$15+V102*Variables!$E$28*Variables!$C$15</f>
        <v>1050859.0853458098</v>
      </c>
      <c r="X102" s="20">
        <f>J102*Variables!$E$29*Variables!$C$15</f>
        <v>11567.971523288365</v>
      </c>
      <c r="Z102" s="33">
        <f>D102*(IF(D102&lt;50000,0,IF(D102&gt;Variables!$C$7,Variables!$C$37,IF(D102&gt;Variables!$C$6,Variables!$C$36,IF(D102&gt;Variables!$C$5,Variables!$C$35)))))</f>
        <v>37.595945046632238</v>
      </c>
      <c r="AA102" s="34">
        <f t="shared" si="8"/>
        <v>37</v>
      </c>
      <c r="AB102" s="35">
        <f t="shared" si="15"/>
        <v>1</v>
      </c>
      <c r="AC102" s="22">
        <f>AB102*Variables!$E$41</f>
        <v>369600.00000000006</v>
      </c>
      <c r="AD102" s="115">
        <f>ROUND(IF(D102&lt;50000,0,(H102/(3.14*Variables!$C$34^2))),0)</f>
        <v>295</v>
      </c>
      <c r="AE102" s="116">
        <f t="shared" si="10"/>
        <v>291</v>
      </c>
      <c r="AF102" s="117">
        <f t="shared" si="16"/>
        <v>4</v>
      </c>
      <c r="AG102" s="107">
        <f>AF102*Variables!$E$42*Variables!$C$15</f>
        <v>2710.1759999999999</v>
      </c>
      <c r="AH102" s="199">
        <f>ROUND((Z102)/Variables!$C$40,0)</f>
        <v>0</v>
      </c>
      <c r="AI102" s="33">
        <f t="shared" si="11"/>
        <v>0</v>
      </c>
      <c r="AJ102" s="199">
        <f t="shared" si="19"/>
        <v>0</v>
      </c>
      <c r="AK102" s="22">
        <f>AJ102*Variables!$E$43*Variables!$C$15</f>
        <v>0</v>
      </c>
      <c r="AL102" s="20">
        <f>Z102*Variables!$E$38*Variables!$C$15</f>
        <v>6664953.1546527846</v>
      </c>
      <c r="AM102" s="98"/>
      <c r="AN102" s="200">
        <f t="shared" si="12"/>
        <v>0.28000000000000003</v>
      </c>
      <c r="AO102" s="201">
        <f t="shared" si="17"/>
        <v>74.224433717044192</v>
      </c>
      <c r="AP102" s="321">
        <f>VLOOKUP(A102,'Household Information'!H:Q,10,FALSE)</f>
        <v>119.4497033951786</v>
      </c>
      <c r="AQ102" s="122">
        <f>IF(12*(AO102-Variables!$C$3*AP102*F102)*(G102/5)&lt;0,0,12*(AO102-Variables!$C$3*AP102*F102)*(G102/5))</f>
        <v>0</v>
      </c>
      <c r="AS102" s="22"/>
    </row>
    <row r="103" spans="1:45" ht="14.25" customHeight="1" x14ac:dyDescent="0.35">
      <c r="A103" s="30">
        <v>16</v>
      </c>
      <c r="B103" s="28" t="s">
        <v>169</v>
      </c>
      <c r="C103" s="28">
        <v>2021</v>
      </c>
      <c r="D103" s="196">
        <f>Population!F17</f>
        <v>3850172.3567350614</v>
      </c>
      <c r="E103" s="303" t="str">
        <f t="shared" si="18"/>
        <v>Large</v>
      </c>
      <c r="F103" s="340">
        <f>VLOOKUP(A103,'Household Information'!$H$2:$M$49,6,FALSE)</f>
        <v>5.0811133147736394</v>
      </c>
      <c r="G103" s="196">
        <f t="shared" si="13"/>
        <v>757742</v>
      </c>
      <c r="H103" s="213">
        <f>Area!H17</f>
        <v>414.68647107298631</v>
      </c>
      <c r="I103" s="213"/>
      <c r="J103" s="32">
        <f>D103*Variables!$C$20</f>
        <v>3465.1551210615553</v>
      </c>
      <c r="K103" s="202">
        <f t="shared" si="9"/>
        <v>3384.9322272751342</v>
      </c>
      <c r="L103" s="32">
        <f t="shared" si="14"/>
        <v>80.222893786421082</v>
      </c>
      <c r="N103" s="117"/>
      <c r="O103" s="117"/>
      <c r="P103" s="117"/>
      <c r="Q103" s="117"/>
      <c r="R103" s="108"/>
      <c r="S103" s="198">
        <f>$L103*Variables!$C$21/100</f>
        <v>4.3559942327468457</v>
      </c>
      <c r="T103" s="198">
        <f>$L103*Variables!$C$22/100</f>
        <v>7.6229899073069802</v>
      </c>
      <c r="U103" s="198">
        <f>$L103*Variables!$C$23/100</f>
        <v>7.9859894267025515</v>
      </c>
      <c r="V103" s="198">
        <f>$L103*Variables!$C$24/100</f>
        <v>58.079923103291279</v>
      </c>
      <c r="W103" s="22">
        <f>S103*Variables!$E$25*Variables!$C$15+'Cost Calculations'!T103*Variables!$E$26*Variables!$C$15+'Cost Calculations'!U103*Variables!$E$27*Variables!$C$15+V103*Variables!$E$28*Variables!$C$15</f>
        <v>53808842.897869885</v>
      </c>
      <c r="X103" s="20">
        <f>J103*Variables!$E$29*Variables!$C$15</f>
        <v>592333.6163942623</v>
      </c>
      <c r="Z103" s="33">
        <f>D103*(IF(D103&lt;50000,0,IF(D103&gt;Variables!$C$7,Variables!$C$37,IF(D103&gt;Variables!$C$6,Variables!$C$36,IF(D103&gt;Variables!$C$5,Variables!$C$35)))))</f>
        <v>1925.0861783675307</v>
      </c>
      <c r="AA103" s="34">
        <f t="shared" si="8"/>
        <v>3249</v>
      </c>
      <c r="AB103" s="35">
        <f t="shared" si="15"/>
        <v>0</v>
      </c>
      <c r="AC103" s="22">
        <f>AB103*Variables!$E$41</f>
        <v>0</v>
      </c>
      <c r="AD103" s="115">
        <f>ROUND(IF(D103&lt;50000,0,(H103/(3.14*Variables!$C$34^2))),0)</f>
        <v>528</v>
      </c>
      <c r="AE103" s="116">
        <f t="shared" si="10"/>
        <v>566</v>
      </c>
      <c r="AF103" s="117">
        <f t="shared" si="16"/>
        <v>0</v>
      </c>
      <c r="AG103" s="107">
        <f>AF103*Variables!$E$42*Variables!$C$15</f>
        <v>0</v>
      </c>
      <c r="AH103" s="199">
        <f>ROUND((Z103)/Variables!$C$40,0)</f>
        <v>15</v>
      </c>
      <c r="AI103" s="33">
        <f t="shared" si="11"/>
        <v>15</v>
      </c>
      <c r="AJ103" s="199">
        <f t="shared" si="19"/>
        <v>0</v>
      </c>
      <c r="AK103" s="22">
        <f>AJ103*Variables!$E$43*Variables!$C$15</f>
        <v>0</v>
      </c>
      <c r="AL103" s="20">
        <f>Z103*Variables!$E$38*Variables!$C$15</f>
        <v>341276411.10164046</v>
      </c>
      <c r="AM103" s="98"/>
      <c r="AN103" s="200">
        <f t="shared" si="12"/>
        <v>0.21</v>
      </c>
      <c r="AO103" s="201">
        <f t="shared" si="17"/>
        <v>64.022027766147858</v>
      </c>
      <c r="AP103" s="321">
        <f>VLOOKUP(A103,'Household Information'!H:Q,10,FALSE)</f>
        <v>125.45752871387103</v>
      </c>
      <c r="AQ103" s="122">
        <f>IF(12*(AO103-Variables!$C$3*AP103*F103)*(G103/5)&lt;0,0,12*(AO103-Variables!$C$3*AP103*F103)*(G103/5))</f>
        <v>0</v>
      </c>
      <c r="AS103" s="22"/>
    </row>
    <row r="104" spans="1:45" ht="14.25" customHeight="1" x14ac:dyDescent="0.35">
      <c r="A104" s="30">
        <v>17</v>
      </c>
      <c r="B104" s="28" t="s">
        <v>170</v>
      </c>
      <c r="C104" s="28">
        <v>2021</v>
      </c>
      <c r="D104" s="196">
        <f>Population!F18</f>
        <v>14168.786148016387</v>
      </c>
      <c r="E104" s="303" t="str">
        <f t="shared" si="18"/>
        <v>Small</v>
      </c>
      <c r="F104" s="340">
        <f>VLOOKUP(A104,'Household Information'!$H$2:$M$49,6,FALSE)</f>
        <v>4.9910952804986639</v>
      </c>
      <c r="G104" s="196">
        <f t="shared" si="13"/>
        <v>2839</v>
      </c>
      <c r="H104" s="213">
        <f>Area!H18</f>
        <v>2.6846438372509249</v>
      </c>
      <c r="I104" s="213"/>
      <c r="J104" s="32">
        <f>D104*Variables!$C$20</f>
        <v>12.751907533214748</v>
      </c>
      <c r="K104" s="202">
        <f t="shared" si="9"/>
        <v>12.456684119580684</v>
      </c>
      <c r="L104" s="32">
        <f t="shared" si="14"/>
        <v>0.2952234136340639</v>
      </c>
      <c r="N104" s="117"/>
      <c r="O104" s="117"/>
      <c r="P104" s="117"/>
      <c r="Q104" s="117"/>
      <c r="R104" s="108"/>
      <c r="S104" s="198">
        <f>$L104*Variables!$C$21/100</f>
        <v>1.6030230604564554E-2</v>
      </c>
      <c r="T104" s="198">
        <f>$L104*Variables!$C$22/100</f>
        <v>2.8052903557987972E-2</v>
      </c>
      <c r="U104" s="198">
        <f>$L104*Variables!$C$23/100</f>
        <v>2.9388756108368351E-2</v>
      </c>
      <c r="V104" s="198">
        <f>$L104*Variables!$C$24/100</f>
        <v>0.21373640806086072</v>
      </c>
      <c r="W104" s="22">
        <f>S104*Variables!$E$25*Variables!$C$15+'Cost Calculations'!T104*Variables!$E$26*Variables!$C$15+'Cost Calculations'!U104*Variables!$E$27*Variables!$C$15+V104*Variables!$E$28*Variables!$C$15</f>
        <v>198018.66442640196</v>
      </c>
      <c r="X104" s="20">
        <f>J104*Variables!$E$29*Variables!$C$15</f>
        <v>2179.8110737277293</v>
      </c>
      <c r="Z104" s="33">
        <f>D104*(IF(D104&lt;50000,0,IF(D104&gt;Variables!$C$7,Variables!$C$37,IF(D104&gt;Variables!$C$6,Variables!$C$36,IF(D104&gt;Variables!$C$5,Variables!$C$35)))))</f>
        <v>0</v>
      </c>
      <c r="AA104" s="34">
        <f t="shared" si="8"/>
        <v>0</v>
      </c>
      <c r="AB104" s="35">
        <f t="shared" si="15"/>
        <v>0</v>
      </c>
      <c r="AC104" s="22">
        <f>AB104*Variables!$E$41</f>
        <v>0</v>
      </c>
      <c r="AD104" s="115">
        <f>ROUND(IF(D104&lt;50000,0,(H104/(3.14*Variables!$C$34^2))),0)</f>
        <v>0</v>
      </c>
      <c r="AE104" s="116">
        <f t="shared" si="10"/>
        <v>0</v>
      </c>
      <c r="AF104" s="117">
        <f t="shared" si="16"/>
        <v>0</v>
      </c>
      <c r="AG104" s="107">
        <f>AF104*Variables!$E$42*Variables!$C$15</f>
        <v>0</v>
      </c>
      <c r="AH104" s="199">
        <f>ROUND((Z104)/Variables!$C$40,0)</f>
        <v>0</v>
      </c>
      <c r="AI104" s="33">
        <f t="shared" si="11"/>
        <v>0</v>
      </c>
      <c r="AJ104" s="199">
        <f t="shared" si="19"/>
        <v>0</v>
      </c>
      <c r="AK104" s="22">
        <f>AJ104*Variables!$E$43*Variables!$C$15</f>
        <v>0</v>
      </c>
      <c r="AL104" s="20">
        <f>Z104*Variables!$E$38*Variables!$C$15</f>
        <v>0</v>
      </c>
      <c r="AM104" s="98"/>
      <c r="AN104" s="200">
        <f t="shared" si="12"/>
        <v>0.25221875000000005</v>
      </c>
      <c r="AO104" s="201">
        <f t="shared" si="17"/>
        <v>75.530868766696358</v>
      </c>
      <c r="AP104" s="321">
        <f>VLOOKUP(A104,'Household Information'!H:Q,10,FALSE)</f>
        <v>108.65462509082352</v>
      </c>
      <c r="AQ104" s="122">
        <f>IF(12*(AO104-Variables!$C$3*AP104*F104)*(G104/5)&lt;0,0,12*(AO104-Variables!$C$3*AP104*F104)*(G104/5))</f>
        <v>0</v>
      </c>
      <c r="AS104" s="22"/>
    </row>
    <row r="105" spans="1:45" ht="14.25" customHeight="1" x14ac:dyDescent="0.35">
      <c r="A105" s="30">
        <v>18</v>
      </c>
      <c r="B105" s="28" t="s">
        <v>171</v>
      </c>
      <c r="C105" s="28">
        <v>2021</v>
      </c>
      <c r="D105" s="196">
        <f>Population!F19</f>
        <v>125179.51929646698</v>
      </c>
      <c r="E105" s="303" t="str">
        <f t="shared" si="18"/>
        <v>Medium</v>
      </c>
      <c r="F105" s="340">
        <f>VLOOKUP(A105,'Household Information'!$H$2:$M$49,6,FALSE)</f>
        <v>4.4388221584797423</v>
      </c>
      <c r="G105" s="196">
        <f t="shared" si="13"/>
        <v>28201</v>
      </c>
      <c r="H105" s="213">
        <f>Area!H19</f>
        <v>27.774258455506992</v>
      </c>
      <c r="I105" s="213"/>
      <c r="J105" s="32">
        <f>D105*Variables!$C$20</f>
        <v>112.66156736682028</v>
      </c>
      <c r="K105" s="202">
        <f t="shared" si="9"/>
        <v>110.05330406058442</v>
      </c>
      <c r="L105" s="32">
        <f t="shared" si="14"/>
        <v>2.6082633062358553</v>
      </c>
      <c r="N105" s="117"/>
      <c r="O105" s="117"/>
      <c r="P105" s="117"/>
      <c r="Q105" s="117"/>
      <c r="R105" s="108"/>
      <c r="S105" s="198">
        <f>$L105*Variables!$C$21/100</f>
        <v>0.14162515689968444</v>
      </c>
      <c r="T105" s="198">
        <f>$L105*Variables!$C$22/100</f>
        <v>0.24784402457444782</v>
      </c>
      <c r="U105" s="198">
        <f>$L105*Variables!$C$23/100</f>
        <v>0.25964612098275486</v>
      </c>
      <c r="V105" s="198">
        <f>$L105*Variables!$C$24/100</f>
        <v>1.8883354253291258</v>
      </c>
      <c r="W105" s="22">
        <f>S105*Variables!$E$25*Variables!$C$15+'Cost Calculations'!T105*Variables!$E$26*Variables!$C$15+'Cost Calculations'!U105*Variables!$E$27*Variables!$C$15+V105*Variables!$E$28*Variables!$C$15</f>
        <v>1749471.0531780859</v>
      </c>
      <c r="X105" s="20">
        <f>J105*Variables!$E$29*Variables!$C$15</f>
        <v>19258.36832568426</v>
      </c>
      <c r="Z105" s="33">
        <f>D105*(IF(D105&lt;50000,0,IF(D105&gt;Variables!$C$7,Variables!$C$37,IF(D105&gt;Variables!$C$6,Variables!$C$36,IF(D105&gt;Variables!$C$5,Variables!$C$35)))))</f>
        <v>62.589759648233496</v>
      </c>
      <c r="AA105" s="34">
        <f t="shared" si="8"/>
        <v>94</v>
      </c>
      <c r="AB105" s="35">
        <f t="shared" si="15"/>
        <v>0</v>
      </c>
      <c r="AC105" s="22">
        <f>AB105*Variables!$E$41</f>
        <v>0</v>
      </c>
      <c r="AD105" s="115">
        <f>ROUND(IF(D105&lt;50000,0,(H105/(3.14*Variables!$C$34^2))),0)</f>
        <v>35</v>
      </c>
      <c r="AE105" s="116">
        <f t="shared" si="10"/>
        <v>35</v>
      </c>
      <c r="AF105" s="117">
        <f t="shared" si="16"/>
        <v>0</v>
      </c>
      <c r="AG105" s="107">
        <f>AF105*Variables!$E$42*Variables!$C$15</f>
        <v>0</v>
      </c>
      <c r="AH105" s="199">
        <f>ROUND((Z105)/Variables!$C$40,0)</f>
        <v>1</v>
      </c>
      <c r="AI105" s="33">
        <f t="shared" si="11"/>
        <v>0</v>
      </c>
      <c r="AJ105" s="199">
        <f t="shared" si="19"/>
        <v>1</v>
      </c>
      <c r="AK105" s="22">
        <f>AJ105*Variables!$E$43*Variables!$C$15</f>
        <v>552717.39600000007</v>
      </c>
      <c r="AL105" s="20">
        <f>Z105*Variables!$E$38*Variables!$C$15</f>
        <v>11095819.3895387</v>
      </c>
      <c r="AM105" s="98"/>
      <c r="AN105" s="200">
        <f t="shared" si="12"/>
        <v>0.25221875000000005</v>
      </c>
      <c r="AO105" s="201">
        <f t="shared" si="17"/>
        <v>67.17325057704376</v>
      </c>
      <c r="AP105" s="321">
        <f>VLOOKUP(A105,'Household Information'!H:Q,10,FALSE)</f>
        <v>98.76688123185663</v>
      </c>
      <c r="AQ105" s="122">
        <f>IF(12*(AO105-Variables!$C$3*AP105*F105)*(G105/5)&lt;0,0,12*(AO105-Variables!$C$3*AP105*F105)*(G105/5))</f>
        <v>95564.668010891211</v>
      </c>
      <c r="AS105" s="22"/>
    </row>
    <row r="106" spans="1:45" ht="14.25" customHeight="1" x14ac:dyDescent="0.35">
      <c r="A106" s="30">
        <v>19</v>
      </c>
      <c r="B106" s="28" t="s">
        <v>172</v>
      </c>
      <c r="C106" s="28">
        <v>2021</v>
      </c>
      <c r="D106" s="196">
        <f>Population!F20</f>
        <v>5683558.9347964674</v>
      </c>
      <c r="E106" s="303" t="str">
        <f t="shared" si="18"/>
        <v>Large</v>
      </c>
      <c r="F106" s="340">
        <f>VLOOKUP(A106,'Household Information'!$H$2:$M$49,6,FALSE)</f>
        <v>4.3873267195354213</v>
      </c>
      <c r="G106" s="196">
        <f t="shared" si="13"/>
        <v>1295449</v>
      </c>
      <c r="H106" s="213">
        <f>Area!H20</f>
        <v>1132.5057286585547</v>
      </c>
      <c r="I106" s="213"/>
      <c r="J106" s="32">
        <f>D106*Variables!$C$20</f>
        <v>5115.2030413168204</v>
      </c>
      <c r="K106" s="202">
        <f t="shared" si="9"/>
        <v>4996.7793702420822</v>
      </c>
      <c r="L106" s="32">
        <f t="shared" si="14"/>
        <v>118.42367107473819</v>
      </c>
      <c r="N106" s="117"/>
      <c r="O106" s="117"/>
      <c r="P106" s="117"/>
      <c r="Q106" s="117"/>
      <c r="R106" s="108"/>
      <c r="S106" s="198">
        <f>$L106*Variables!$C$21/100</f>
        <v>6.4302445832437023</v>
      </c>
      <c r="T106" s="198">
        <f>$L106*Variables!$C$22/100</f>
        <v>11.25292802067648</v>
      </c>
      <c r="U106" s="198">
        <f>$L106*Variables!$C$23/100</f>
        <v>11.788781735946788</v>
      </c>
      <c r="V106" s="198">
        <f>$L106*Variables!$C$24/100</f>
        <v>85.736594443249373</v>
      </c>
      <c r="W106" s="22">
        <f>S106*Variables!$E$25*Variables!$C$15+'Cost Calculations'!T106*Variables!$E$26*Variables!$C$15+'Cost Calculations'!U106*Variables!$E$27*Variables!$C$15+V106*Variables!$E$28*Variables!$C$15</f>
        <v>79431698.502606273</v>
      </c>
      <c r="X106" s="20">
        <f>J106*Variables!$E$29*Variables!$C$15</f>
        <v>874392.80788269732</v>
      </c>
      <c r="Z106" s="33">
        <f>D106*(IF(D106&lt;50000,0,IF(D106&gt;Variables!$C$7,Variables!$C$37,IF(D106&gt;Variables!$C$6,Variables!$C$36,IF(D106&gt;Variables!$C$5,Variables!$C$35)))))</f>
        <v>2841.7794673982339</v>
      </c>
      <c r="AA106" s="34">
        <f t="shared" si="8"/>
        <v>5267</v>
      </c>
      <c r="AB106" s="35">
        <f t="shared" si="15"/>
        <v>0</v>
      </c>
      <c r="AC106" s="22">
        <f>AB106*Variables!$E$41</f>
        <v>0</v>
      </c>
      <c r="AD106" s="115">
        <f>ROUND(IF(D106&lt;50000,0,(H106/(3.14*Variables!$C$34^2))),0)</f>
        <v>1443</v>
      </c>
      <c r="AE106" s="116">
        <f t="shared" si="10"/>
        <v>1469</v>
      </c>
      <c r="AF106" s="117">
        <f t="shared" si="16"/>
        <v>0</v>
      </c>
      <c r="AG106" s="107">
        <f>AF106*Variables!$E$42*Variables!$C$15</f>
        <v>0</v>
      </c>
      <c r="AH106" s="199">
        <f>ROUND((Z106)/Variables!$C$40,0)</f>
        <v>23</v>
      </c>
      <c r="AI106" s="33">
        <f t="shared" si="11"/>
        <v>22</v>
      </c>
      <c r="AJ106" s="199">
        <f t="shared" si="19"/>
        <v>1</v>
      </c>
      <c r="AK106" s="22">
        <f>AJ106*Variables!$E$43*Variables!$C$15</f>
        <v>552717.39600000007</v>
      </c>
      <c r="AL106" s="20">
        <f>Z106*Variables!$E$38*Variables!$C$15</f>
        <v>503786432.35515642</v>
      </c>
      <c r="AM106" s="98"/>
      <c r="AN106" s="200">
        <f t="shared" si="12"/>
        <v>0.14000000000000001</v>
      </c>
      <c r="AO106" s="201">
        <f t="shared" si="17"/>
        <v>36.853544444097544</v>
      </c>
      <c r="AP106" s="321">
        <f>VLOOKUP(A106,'Household Information'!H:Q,10,FALSE)</f>
        <v>155.49665530733307</v>
      </c>
      <c r="AQ106" s="122">
        <f>IF(12*(AO106-Variables!$C$3*AP106*F106)*(G106/5)&lt;0,0,12*(AO106-Variables!$C$3*AP106*F106)*(G106/5))</f>
        <v>0</v>
      </c>
      <c r="AS106" s="22"/>
    </row>
    <row r="107" spans="1:45" ht="14.25" customHeight="1" x14ac:dyDescent="0.35">
      <c r="A107" s="30">
        <v>20</v>
      </c>
      <c r="B107" s="28" t="s">
        <v>173</v>
      </c>
      <c r="C107" s="28">
        <v>2021</v>
      </c>
      <c r="D107" s="196">
        <f>Population!F21</f>
        <v>3560656.4051300357</v>
      </c>
      <c r="E107" s="303" t="str">
        <f t="shared" si="18"/>
        <v>Large</v>
      </c>
      <c r="F107" s="340">
        <f>VLOOKUP(A107,'Household Information'!$H$2:$M$49,6,FALSE)</f>
        <v>5.2348048588773741</v>
      </c>
      <c r="G107" s="196">
        <f t="shared" si="13"/>
        <v>680189</v>
      </c>
      <c r="H107" s="213">
        <f>Area!H21</f>
        <v>467.99625497529269</v>
      </c>
      <c r="I107" s="213"/>
      <c r="J107" s="32">
        <f>D107*Variables!$C$20</f>
        <v>3204.5907646170322</v>
      </c>
      <c r="K107" s="202">
        <f t="shared" si="9"/>
        <v>3267.8417999999997</v>
      </c>
      <c r="L107" s="32">
        <f t="shared" si="14"/>
        <v>0</v>
      </c>
      <c r="N107" s="117"/>
      <c r="O107" s="117"/>
      <c r="P107" s="117"/>
      <c r="Q107" s="117"/>
      <c r="R107" s="108"/>
      <c r="S107" s="198">
        <f>$L107*Variables!$C$21/100</f>
        <v>0</v>
      </c>
      <c r="T107" s="198">
        <f>$L107*Variables!$C$22/100</f>
        <v>0</v>
      </c>
      <c r="U107" s="198">
        <f>$L107*Variables!$C$23/100</f>
        <v>0</v>
      </c>
      <c r="V107" s="198">
        <f>$L107*Variables!$C$24/100</f>
        <v>0</v>
      </c>
      <c r="W107" s="22">
        <f>S107*Variables!$E$25*Variables!$C$15+'Cost Calculations'!T107*Variables!$E$26*Variables!$C$15+'Cost Calculations'!U107*Variables!$E$27*Variables!$C$15+V107*Variables!$E$28*Variables!$C$15</f>
        <v>0</v>
      </c>
      <c r="X107" s="20">
        <f>J107*Variables!$E$29*Variables!$C$15</f>
        <v>547792.74530363549</v>
      </c>
      <c r="Z107" s="33">
        <f>D107*(IF(D107&lt;50000,0,IF(D107&gt;Variables!$C$7,Variables!$C$37,IF(D107&gt;Variables!$C$6,Variables!$C$36,IF(D107&gt;Variables!$C$5,Variables!$C$35)))))</f>
        <v>1780.3282025650178</v>
      </c>
      <c r="AA107" s="34">
        <f t="shared" si="8"/>
        <v>3353</v>
      </c>
      <c r="AB107" s="35">
        <f t="shared" si="15"/>
        <v>0</v>
      </c>
      <c r="AC107" s="22">
        <f>AB107*Variables!$E$41</f>
        <v>0</v>
      </c>
      <c r="AD107" s="115">
        <f>ROUND(IF(D107&lt;50000,0,(H107/(3.14*Variables!$C$34^2))),0)</f>
        <v>596</v>
      </c>
      <c r="AE107" s="116">
        <f t="shared" si="10"/>
        <v>588</v>
      </c>
      <c r="AF107" s="117">
        <f t="shared" si="16"/>
        <v>8</v>
      </c>
      <c r="AG107" s="107">
        <f>AF107*Variables!$E$42*Variables!$C$15</f>
        <v>5420.3519999999999</v>
      </c>
      <c r="AH107" s="199">
        <f>ROUND((Z107)/Variables!$C$40,0)</f>
        <v>14</v>
      </c>
      <c r="AI107" s="33">
        <f t="shared" si="11"/>
        <v>14</v>
      </c>
      <c r="AJ107" s="199">
        <f t="shared" si="19"/>
        <v>0</v>
      </c>
      <c r="AK107" s="22">
        <f>AJ107*Variables!$E$43*Variables!$C$15</f>
        <v>0</v>
      </c>
      <c r="AL107" s="20">
        <f>Z107*Variables!$E$38*Variables!$C$15</f>
        <v>315613932.70697826</v>
      </c>
      <c r="AM107" s="98"/>
      <c r="AN107" s="200">
        <f t="shared" si="12"/>
        <v>0.56000000000000005</v>
      </c>
      <c r="AO107" s="201">
        <f t="shared" si="17"/>
        <v>175.88944325827978</v>
      </c>
      <c r="AP107" s="321">
        <f>VLOOKUP(A107,'Household Information'!H:Q,10,FALSE)</f>
        <v>92.944591695065014</v>
      </c>
      <c r="AQ107" s="122">
        <f>IF(12*(AO107-Variables!$C$3*AP107*F107)*(G107/5)&lt;0,0,12*(AO107-Variables!$C$3*AP107*F107)*(G107/5))</f>
        <v>167991593.51286399</v>
      </c>
      <c r="AS107" s="22"/>
    </row>
    <row r="108" spans="1:45" ht="14.25" customHeight="1" x14ac:dyDescent="0.35">
      <c r="A108" s="30">
        <v>21</v>
      </c>
      <c r="B108" s="30" t="s">
        <v>174</v>
      </c>
      <c r="C108" s="28">
        <v>2021</v>
      </c>
      <c r="D108" s="196">
        <f>Population!F22</f>
        <v>15726433.738702327</v>
      </c>
      <c r="E108" s="303" t="str">
        <f t="shared" si="18"/>
        <v>Large</v>
      </c>
      <c r="F108" s="340">
        <f>VLOOKUP(A108,'Household Information'!$H$2:$M$49,6,FALSE)</f>
        <v>4.4756737410071938</v>
      </c>
      <c r="G108" s="196">
        <f t="shared" si="13"/>
        <v>3513758</v>
      </c>
      <c r="H108" s="213">
        <f>Area!H22</f>
        <v>790.74373489499953</v>
      </c>
      <c r="I108" s="213"/>
      <c r="J108" s="32">
        <f>D108*Variables!$C$20</f>
        <v>14153.790364832093</v>
      </c>
      <c r="K108" s="202">
        <f t="shared" si="9"/>
        <v>13826.111521766232</v>
      </c>
      <c r="L108" s="32">
        <f t="shared" si="14"/>
        <v>327.67884306586166</v>
      </c>
      <c r="N108" s="117"/>
      <c r="O108" s="117"/>
      <c r="P108" s="117"/>
      <c r="Q108" s="117"/>
      <c r="R108" s="108"/>
      <c r="S108" s="198">
        <f>$L108*Variables!$C$21/100</f>
        <v>17.792516365567145</v>
      </c>
      <c r="T108" s="198">
        <f>$L108*Variables!$C$22/100</f>
        <v>31.13690363974251</v>
      </c>
      <c r="U108" s="198">
        <f>$L108*Variables!$C$23/100</f>
        <v>32.619613336873108</v>
      </c>
      <c r="V108" s="198">
        <f>$L108*Variables!$C$24/100</f>
        <v>237.23355154089532</v>
      </c>
      <c r="W108" s="22">
        <f>S108*Variables!$E$25*Variables!$C$15+'Cost Calculations'!T108*Variables!$E$26*Variables!$C$15+'Cost Calculations'!U108*Variables!$E$27*Variables!$C$15+V108*Variables!$E$28*Variables!$C$15</f>
        <v>219787875.44648749</v>
      </c>
      <c r="X108" s="20">
        <f>J108*Variables!$E$29*Variables!$C$15</f>
        <v>2419448.9249643981</v>
      </c>
      <c r="Z108" s="33">
        <f>D108*(IF(D108&lt;50000,0,IF(D108&gt;Variables!$C$7,Variables!$C$37,IF(D108&gt;Variables!$C$6,Variables!$C$36,IF(D108&gt;Variables!$C$5,Variables!$C$35)))))</f>
        <v>7863.216869351164</v>
      </c>
      <c r="AA108" s="34">
        <f t="shared" si="8"/>
        <v>7681</v>
      </c>
      <c r="AB108" s="35">
        <f t="shared" si="15"/>
        <v>182</v>
      </c>
      <c r="AC108" s="22">
        <f>AB108*Variables!$E$41</f>
        <v>67267200.000000015</v>
      </c>
      <c r="AD108" s="115">
        <f>ROUND(IF(D108&lt;50000,0,(H108/(3.14*Variables!$C$34^2))),0)</f>
        <v>1007</v>
      </c>
      <c r="AE108" s="116">
        <f t="shared" si="10"/>
        <v>1087</v>
      </c>
      <c r="AF108" s="117">
        <f t="shared" si="16"/>
        <v>0</v>
      </c>
      <c r="AG108" s="107">
        <f>AF108*Variables!$E$42*Variables!$C$15</f>
        <v>0</v>
      </c>
      <c r="AH108" s="199">
        <f>ROUND((Z108)/Variables!$C$40,0)</f>
        <v>63</v>
      </c>
      <c r="AI108" s="33">
        <f t="shared" si="11"/>
        <v>61</v>
      </c>
      <c r="AJ108" s="199">
        <f t="shared" si="19"/>
        <v>2</v>
      </c>
      <c r="AK108" s="22">
        <f>AJ108*Variables!$E$43*Variables!$C$15</f>
        <v>1105434.7920000001</v>
      </c>
      <c r="AL108" s="20">
        <f>Z108*Variables!$E$38*Variables!$C$15</f>
        <v>1393979377.6721575</v>
      </c>
      <c r="AM108" s="98"/>
      <c r="AN108" s="200">
        <f t="shared" si="12"/>
        <v>0.28000000000000003</v>
      </c>
      <c r="AO108" s="201">
        <f t="shared" si="17"/>
        <v>75.191318848920858</v>
      </c>
      <c r="AP108" s="321">
        <f>VLOOKUP(A108,'Household Information'!H:Q,10,FALSE)</f>
        <v>254.44907232109051</v>
      </c>
      <c r="AQ108" s="122">
        <f>IF(12*(AO108-Variables!$C$3*AP108*F108)*(G108/5)&lt;0,0,12*(AO108-Variables!$C$3*AP108*F108)*(G108/5))</f>
        <v>0</v>
      </c>
      <c r="AS108" s="22"/>
    </row>
    <row r="109" spans="1:45" ht="14.25" customHeight="1" x14ac:dyDescent="0.35">
      <c r="A109" s="30">
        <v>22</v>
      </c>
      <c r="B109" s="28" t="s">
        <v>175</v>
      </c>
      <c r="C109" s="28">
        <v>2021</v>
      </c>
      <c r="D109" s="196">
        <f>Population!F23</f>
        <v>13947033.901295714</v>
      </c>
      <c r="E109" s="303" t="str">
        <f t="shared" si="18"/>
        <v>Large</v>
      </c>
      <c r="F109" s="340">
        <f>VLOOKUP(A109,'Household Information'!$H$2:$M$49,6,FALSE)</f>
        <v>4.7768636363636361</v>
      </c>
      <c r="G109" s="196">
        <f t="shared" si="13"/>
        <v>2919705</v>
      </c>
      <c r="H109" s="213">
        <f>Area!H23</f>
        <v>1085.9735056103232</v>
      </c>
      <c r="I109" s="213"/>
      <c r="J109" s="32">
        <f>D109*Variables!$C$20</f>
        <v>12552.330511166143</v>
      </c>
      <c r="K109" s="202">
        <f t="shared" si="9"/>
        <v>19972.544550000002</v>
      </c>
      <c r="L109" s="32">
        <f t="shared" si="14"/>
        <v>0</v>
      </c>
      <c r="N109" s="117"/>
      <c r="O109" s="117"/>
      <c r="P109" s="117"/>
      <c r="Q109" s="117"/>
      <c r="R109" s="108"/>
      <c r="S109" s="198">
        <f>$L109*Variables!$C$21/100</f>
        <v>0</v>
      </c>
      <c r="T109" s="198">
        <f>$L109*Variables!$C$22/100</f>
        <v>0</v>
      </c>
      <c r="U109" s="198">
        <f>$L109*Variables!$C$23/100</f>
        <v>0</v>
      </c>
      <c r="V109" s="198">
        <f>$L109*Variables!$C$24/100</f>
        <v>0</v>
      </c>
      <c r="W109" s="22">
        <f>S109*Variables!$E$25*Variables!$C$15+'Cost Calculations'!T109*Variables!$E$26*Variables!$C$15+'Cost Calculations'!U109*Variables!$E$27*Variables!$C$15+V109*Variables!$E$28*Variables!$C$15</f>
        <v>0</v>
      </c>
      <c r="X109" s="20">
        <f>J109*Variables!$E$29*Variables!$C$15</f>
        <v>2145695.3775787405</v>
      </c>
      <c r="Z109" s="33">
        <f>D109*(IF(D109&lt;50000,0,IF(D109&gt;Variables!$C$7,Variables!$C$37,IF(D109&gt;Variables!$C$6,Variables!$C$36,IF(D109&gt;Variables!$C$5,Variables!$C$35)))))</f>
        <v>6973.5169506478569</v>
      </c>
      <c r="AA109" s="34">
        <f t="shared" si="8"/>
        <v>6812</v>
      </c>
      <c r="AB109" s="35">
        <f t="shared" si="15"/>
        <v>162</v>
      </c>
      <c r="AC109" s="22">
        <f>AB109*Variables!$E$41</f>
        <v>59875200.000000007</v>
      </c>
      <c r="AD109" s="115">
        <f>ROUND(IF(D109&lt;50000,0,(H109/(3.14*Variables!$C$34^2))),0)</f>
        <v>1383</v>
      </c>
      <c r="AE109" s="116">
        <f t="shared" si="10"/>
        <v>1364</v>
      </c>
      <c r="AF109" s="117">
        <f t="shared" si="16"/>
        <v>19</v>
      </c>
      <c r="AG109" s="107">
        <f>AF109*Variables!$E$42*Variables!$C$15</f>
        <v>12873.336000000001</v>
      </c>
      <c r="AH109" s="199">
        <f>ROUND((Z109)/Variables!$C$40,0)</f>
        <v>56</v>
      </c>
      <c r="AI109" s="33">
        <f t="shared" si="11"/>
        <v>69</v>
      </c>
      <c r="AJ109" s="199">
        <f t="shared" si="19"/>
        <v>0</v>
      </c>
      <c r="AK109" s="22">
        <f>AJ109*Variables!$E$43*Variables!$C$15</f>
        <v>0</v>
      </c>
      <c r="AL109" s="20">
        <f>Z109*Variables!$E$38*Variables!$C$15</f>
        <v>1236254700.9151063</v>
      </c>
      <c r="AM109" s="98"/>
      <c r="AN109" s="200">
        <f t="shared" si="12"/>
        <v>0.42</v>
      </c>
      <c r="AO109" s="201">
        <f t="shared" si="17"/>
        <v>120.37696363636363</v>
      </c>
      <c r="AP109" s="321">
        <f>VLOOKUP(A109,'Household Information'!H:Q,10,FALSE)</f>
        <v>150.91303799066011</v>
      </c>
      <c r="AQ109" s="122">
        <f>IF(12*(AO109-Variables!$C$3*AP109*F109)*(G109/5)&lt;0,0,12*(AO109-Variables!$C$3*AP109*F109)*(G109/5))</f>
        <v>85792470.091543511</v>
      </c>
      <c r="AS109" s="22"/>
    </row>
    <row r="110" spans="1:45" ht="14.25" customHeight="1" x14ac:dyDescent="0.35">
      <c r="A110" s="30">
        <v>23</v>
      </c>
      <c r="B110" s="28" t="s">
        <v>176</v>
      </c>
      <c r="C110" s="28">
        <v>2021</v>
      </c>
      <c r="D110" s="196">
        <f>Population!F24</f>
        <v>50579.153905902916</v>
      </c>
      <c r="E110" s="303" t="str">
        <f t="shared" si="18"/>
        <v>Small</v>
      </c>
      <c r="F110" s="340">
        <f>VLOOKUP(A110,'Household Information'!$H$2:$M$49,6,FALSE)</f>
        <v>3.9394565859421147</v>
      </c>
      <c r="G110" s="196">
        <f t="shared" si="13"/>
        <v>12839</v>
      </c>
      <c r="H110" s="213">
        <f>Area!H24</f>
        <v>103.03619050213022</v>
      </c>
      <c r="I110" s="213"/>
      <c r="J110" s="32">
        <f>D110*Variables!$C$20</f>
        <v>45.521238515312625</v>
      </c>
      <c r="K110" s="202">
        <f t="shared" si="9"/>
        <v>53.622780000000006</v>
      </c>
      <c r="L110" s="32">
        <f t="shared" si="14"/>
        <v>0</v>
      </c>
      <c r="N110" s="117"/>
      <c r="O110" s="117"/>
      <c r="P110" s="117"/>
      <c r="Q110" s="117"/>
      <c r="R110" s="108"/>
      <c r="S110" s="198">
        <f>$L110*Variables!$C$21/100</f>
        <v>0</v>
      </c>
      <c r="T110" s="198">
        <f>$L110*Variables!$C$22/100</f>
        <v>0</v>
      </c>
      <c r="U110" s="198">
        <f>$L110*Variables!$C$23/100</f>
        <v>0</v>
      </c>
      <c r="V110" s="198">
        <f>$L110*Variables!$C$24/100</f>
        <v>0</v>
      </c>
      <c r="W110" s="22">
        <f>S110*Variables!$E$25*Variables!$C$15+'Cost Calculations'!T110*Variables!$E$26*Variables!$C$15+'Cost Calculations'!U110*Variables!$E$27*Variables!$C$15+V110*Variables!$E$28*Variables!$C$15</f>
        <v>0</v>
      </c>
      <c r="X110" s="20">
        <f>J110*Variables!$E$29*Variables!$C$15</f>
        <v>7781.4005118075402</v>
      </c>
      <c r="Z110" s="33">
        <f>D110*(IF(D110&lt;50000,0,IF(D110&gt;Variables!$C$7,Variables!$C$37,IF(D110&gt;Variables!$C$6,Variables!$C$36,IF(D110&gt;Variables!$C$5,Variables!$C$35)))))</f>
        <v>25.28957695295146</v>
      </c>
      <c r="AA110" s="34">
        <f t="shared" ref="AA110:AA173" si="20">AA68+AB68</f>
        <v>374.4</v>
      </c>
      <c r="AB110" s="35">
        <f t="shared" si="15"/>
        <v>0</v>
      </c>
      <c r="AC110" s="22">
        <f>AB110*Variables!$E$41</f>
        <v>0</v>
      </c>
      <c r="AD110" s="115">
        <f>ROUND(IF(D110&lt;50000,0,(H110/(3.14*Variables!$C$34^2))),0)</f>
        <v>131</v>
      </c>
      <c r="AE110" s="116">
        <f t="shared" si="10"/>
        <v>0</v>
      </c>
      <c r="AF110" s="117">
        <f t="shared" si="16"/>
        <v>131</v>
      </c>
      <c r="AG110" s="107">
        <f>AF110*Variables!$E$42*Variables!$C$15</f>
        <v>88758.263999999996</v>
      </c>
      <c r="AH110" s="199">
        <f>ROUND((Z110)/Variables!$C$40,0)</f>
        <v>0</v>
      </c>
      <c r="AI110" s="33">
        <f t="shared" si="11"/>
        <v>1</v>
      </c>
      <c r="AJ110" s="199">
        <f t="shared" si="19"/>
        <v>0</v>
      </c>
      <c r="AK110" s="22">
        <f>AJ110*Variables!$E$43*Variables!$C$15</f>
        <v>0</v>
      </c>
      <c r="AL110" s="20">
        <f>Z110*Variables!$E$38*Variables!$C$15</f>
        <v>4483298.544120701</v>
      </c>
      <c r="AM110" s="98"/>
      <c r="AN110" s="200">
        <f t="shared" si="12"/>
        <v>0.42</v>
      </c>
      <c r="AO110" s="201">
        <f t="shared" si="17"/>
        <v>99.274305965741291</v>
      </c>
      <c r="AP110" s="321">
        <f>VLOOKUP(A110,'Household Information'!H:Q,10,FALSE)</f>
        <v>127.00366022971097</v>
      </c>
      <c r="AQ110" s="122">
        <f>IF(12*(AO110-Variables!$C$3*AP110*F110)*(G110/5)&lt;0,0,12*(AO110-Variables!$C$3*AP110*F110)*(G110/5))</f>
        <v>746474.71600248991</v>
      </c>
      <c r="AS110" s="22"/>
    </row>
    <row r="111" spans="1:45" ht="14.25" customHeight="1" x14ac:dyDescent="0.35">
      <c r="A111" s="30">
        <v>24</v>
      </c>
      <c r="B111" s="28" t="s">
        <v>177</v>
      </c>
      <c r="C111" s="28">
        <v>2021</v>
      </c>
      <c r="D111" s="196">
        <f>Population!F25</f>
        <v>2128758.3714348311</v>
      </c>
      <c r="E111" s="303" t="str">
        <f t="shared" si="18"/>
        <v>Large</v>
      </c>
      <c r="F111" s="340">
        <f>VLOOKUP(A111,'Household Information'!$H$2:$M$49,6,FALSE)</f>
        <v>5.7167460931666056</v>
      </c>
      <c r="G111" s="196">
        <f t="shared" si="13"/>
        <v>372372</v>
      </c>
      <c r="H111" s="213">
        <f>Area!H25</f>
        <v>105.54218213092658</v>
      </c>
      <c r="I111" s="213"/>
      <c r="J111" s="32">
        <f>D111*Variables!$C$20</f>
        <v>1915.8825342913478</v>
      </c>
      <c r="K111" s="202">
        <f t="shared" ref="K111:K174" si="21">K69+L69</f>
        <v>1871.5273364182353</v>
      </c>
      <c r="L111" s="32">
        <f t="shared" si="14"/>
        <v>44.355197873112502</v>
      </c>
      <c r="N111" s="117"/>
      <c r="O111" s="117"/>
      <c r="P111" s="117"/>
      <c r="Q111" s="117"/>
      <c r="R111" s="108"/>
      <c r="S111" s="198">
        <f>$L111*Variables!$C$21/100</f>
        <v>2.4084270338341627</v>
      </c>
      <c r="T111" s="198">
        <f>$L111*Variables!$C$22/100</f>
        <v>4.2147473092097849</v>
      </c>
      <c r="U111" s="198">
        <f>$L111*Variables!$C$23/100</f>
        <v>4.4154495620292984</v>
      </c>
      <c r="V111" s="198">
        <f>$L111*Variables!$C$24/100</f>
        <v>32.112360451122171</v>
      </c>
      <c r="W111" s="22">
        <f>S111*Variables!$E$25*Variables!$C$15+'Cost Calculations'!T111*Variables!$E$26*Variables!$C$15+'Cost Calculations'!U111*Variables!$E$27*Variables!$C$15+V111*Variables!$E$28*Variables!$C$15</f>
        <v>29750882.340549871</v>
      </c>
      <c r="X111" s="20">
        <f>J111*Variables!$E$29*Variables!$C$15</f>
        <v>327500.96041176305</v>
      </c>
      <c r="Z111" s="33">
        <f>D111*(IF(D111&lt;50000,0,IF(D111&gt;Variables!$C$7,Variables!$C$37,IF(D111&gt;Variables!$C$6,Variables!$C$36,IF(D111&gt;Variables!$C$5,Variables!$C$35)))))</f>
        <v>1064.3791857174156</v>
      </c>
      <c r="AA111" s="34">
        <f t="shared" si="20"/>
        <v>1039.5999999999999</v>
      </c>
      <c r="AB111" s="35">
        <f t="shared" si="15"/>
        <v>25</v>
      </c>
      <c r="AC111" s="22">
        <f>AB111*Variables!$E$41</f>
        <v>9240000.0000000019</v>
      </c>
      <c r="AD111" s="115">
        <f>ROUND(IF(D111&lt;50000,0,(H111/(3.14*Variables!$C$34^2))),0)</f>
        <v>134</v>
      </c>
      <c r="AE111" s="116">
        <f t="shared" ref="AE111:AE174" si="22">AE69+AF69</f>
        <v>133</v>
      </c>
      <c r="AF111" s="117">
        <f t="shared" si="16"/>
        <v>1</v>
      </c>
      <c r="AG111" s="107">
        <f>AF111*Variables!$E$42*Variables!$C$15</f>
        <v>677.54399999999998</v>
      </c>
      <c r="AH111" s="199">
        <f>ROUND((Z111)/Variables!$C$40,0)</f>
        <v>9</v>
      </c>
      <c r="AI111" s="33">
        <f t="shared" ref="AI111:AI174" si="23">AI69+AJ69</f>
        <v>8</v>
      </c>
      <c r="AJ111" s="199">
        <f t="shared" si="19"/>
        <v>1</v>
      </c>
      <c r="AK111" s="22">
        <f>AJ111*Variables!$E$43*Variables!$C$15</f>
        <v>552717.39600000007</v>
      </c>
      <c r="AL111" s="20">
        <f>Z111*Variables!$E$38*Variables!$C$15</f>
        <v>188691557.10263279</v>
      </c>
      <c r="AM111" s="98"/>
      <c r="AN111" s="200">
        <f t="shared" ref="AN111:AN174" si="24">AN69</f>
        <v>0.14000000000000001</v>
      </c>
      <c r="AO111" s="201">
        <f t="shared" si="17"/>
        <v>48.020667182599489</v>
      </c>
      <c r="AP111" s="321">
        <f>VLOOKUP(A111,'Household Information'!H:Q,10,FALSE)</f>
        <v>84.816357440363504</v>
      </c>
      <c r="AQ111" s="122">
        <f>IF(12*(AO111-Variables!$C$3*AP111*F111)*(G111/5)&lt;0,0,12*(AO111-Variables!$C$3*AP111*F111)*(G111/5))</f>
        <v>0</v>
      </c>
      <c r="AS111" s="22"/>
    </row>
    <row r="112" spans="1:45" ht="14.25" customHeight="1" x14ac:dyDescent="0.35">
      <c r="A112" s="30">
        <v>25</v>
      </c>
      <c r="B112" s="28" t="s">
        <v>178</v>
      </c>
      <c r="C112" s="28">
        <v>2021</v>
      </c>
      <c r="D112" s="196">
        <f>Population!F26</f>
        <v>305586.96997005941</v>
      </c>
      <c r="E112" s="303" t="str">
        <f t="shared" si="18"/>
        <v>Medium</v>
      </c>
      <c r="F112" s="340">
        <f>VLOOKUP(A112,'Household Information'!$H$2:$M$49,6,FALSE)</f>
        <v>4.4000000000000004</v>
      </c>
      <c r="G112" s="196">
        <f t="shared" si="13"/>
        <v>69452</v>
      </c>
      <c r="H112" s="213">
        <f>Area!H26</f>
        <v>187.47624457467219</v>
      </c>
      <c r="I112" s="213"/>
      <c r="J112" s="32">
        <f>D112*Variables!$C$20</f>
        <v>275.02827297305345</v>
      </c>
      <c r="K112" s="202">
        <f t="shared" si="21"/>
        <v>268.66100710467265</v>
      </c>
      <c r="L112" s="32">
        <f t="shared" si="14"/>
        <v>6.3672658683807981</v>
      </c>
      <c r="N112" s="117"/>
      <c r="O112" s="117"/>
      <c r="P112" s="117"/>
      <c r="Q112" s="117"/>
      <c r="R112" s="108"/>
      <c r="S112" s="198">
        <f>$L112*Variables!$C$21/100</f>
        <v>0.34573389330574467</v>
      </c>
      <c r="T112" s="198">
        <f>$L112*Variables!$C$22/100</f>
        <v>0.60503431328505319</v>
      </c>
      <c r="U112" s="198">
        <f>$L112*Variables!$C$23/100</f>
        <v>0.63384547106053202</v>
      </c>
      <c r="V112" s="198">
        <f>$L112*Variables!$C$24/100</f>
        <v>4.6097852440765958</v>
      </c>
      <c r="W112" s="22">
        <f>S112*Variables!$E$25*Variables!$C$15+'Cost Calculations'!T112*Variables!$E$26*Variables!$C$15+'Cost Calculations'!U112*Variables!$E$27*Variables!$C$15+V112*Variables!$E$28*Variables!$C$15</f>
        <v>4270790.9504339546</v>
      </c>
      <c r="X112" s="20">
        <f>J112*Variables!$E$29*Variables!$C$15</f>
        <v>47013.332982013759</v>
      </c>
      <c r="Z112" s="33">
        <f>D112*(IF(D112&lt;50000,0,IF(D112&gt;Variables!$C$7,Variables!$C$37,IF(D112&gt;Variables!$C$6,Variables!$C$36,IF(D112&gt;Variables!$C$5,Variables!$C$35)))))</f>
        <v>152.79348498502969</v>
      </c>
      <c r="AA112" s="34">
        <f t="shared" si="20"/>
        <v>149</v>
      </c>
      <c r="AB112" s="35">
        <f t="shared" si="15"/>
        <v>4</v>
      </c>
      <c r="AC112" s="22">
        <f>AB112*Variables!$E$41</f>
        <v>1478400.0000000002</v>
      </c>
      <c r="AD112" s="115">
        <f>ROUND(IF(D112&lt;50000,0,(H112/(3.14*Variables!$C$34^2))),0)</f>
        <v>239</v>
      </c>
      <c r="AE112" s="116">
        <f t="shared" si="22"/>
        <v>235</v>
      </c>
      <c r="AF112" s="117">
        <f t="shared" si="16"/>
        <v>4</v>
      </c>
      <c r="AG112" s="107">
        <f>AF112*Variables!$E$42*Variables!$C$15</f>
        <v>2710.1759999999999</v>
      </c>
      <c r="AH112" s="199">
        <f>ROUND((Z112)/Variables!$C$40,0)</f>
        <v>1</v>
      </c>
      <c r="AI112" s="33">
        <f t="shared" si="23"/>
        <v>1</v>
      </c>
      <c r="AJ112" s="199">
        <f t="shared" si="19"/>
        <v>0</v>
      </c>
      <c r="AK112" s="22">
        <f>AJ112*Variables!$E$43*Variables!$C$15</f>
        <v>0</v>
      </c>
      <c r="AL112" s="20">
        <f>Z112*Variables!$E$38*Variables!$C$15</f>
        <v>27087001.497056108</v>
      </c>
      <c r="AM112" s="98"/>
      <c r="AN112" s="200">
        <f t="shared" si="24"/>
        <v>0.14000000000000001</v>
      </c>
      <c r="AO112" s="201">
        <f t="shared" si="17"/>
        <v>36.960000000000008</v>
      </c>
      <c r="AP112" s="321">
        <f>VLOOKUP(A112,'Household Information'!H:Q,10,FALSE)</f>
        <v>100.80777483276538</v>
      </c>
      <c r="AQ112" s="122">
        <f>IF(12*(AO112-Variables!$C$3*AP112*F112)*(G112/5)&lt;0,0,12*(AO112-Variables!$C$3*AP112*F112)*(G112/5))</f>
        <v>0</v>
      </c>
      <c r="AS112" s="22"/>
    </row>
    <row r="113" spans="1:45" ht="14.25" customHeight="1" x14ac:dyDescent="0.35">
      <c r="A113" s="30">
        <v>26</v>
      </c>
      <c r="B113" s="28" t="s">
        <v>179</v>
      </c>
      <c r="C113" s="28">
        <v>2021</v>
      </c>
      <c r="D113" s="196">
        <f>Population!F27</f>
        <v>126629.26039475198</v>
      </c>
      <c r="E113" s="303" t="str">
        <f t="shared" si="18"/>
        <v>Medium</v>
      </c>
      <c r="F113" s="340">
        <f>VLOOKUP(A113,'Household Information'!$H$2:$M$49,6,FALSE)</f>
        <v>3.9948981478058339</v>
      </c>
      <c r="G113" s="196">
        <f t="shared" si="13"/>
        <v>31698</v>
      </c>
      <c r="H113" s="213">
        <f>Area!H27</f>
        <v>669.35962877771863</v>
      </c>
      <c r="I113" s="213"/>
      <c r="J113" s="32">
        <f>D113*Variables!$C$20</f>
        <v>113.96633435527679</v>
      </c>
      <c r="K113" s="202">
        <f t="shared" si="21"/>
        <v>111.32786397897505</v>
      </c>
      <c r="L113" s="32">
        <f t="shared" si="14"/>
        <v>2.6384703763017399</v>
      </c>
      <c r="N113" s="117"/>
      <c r="O113" s="117"/>
      <c r="P113" s="117"/>
      <c r="Q113" s="117"/>
      <c r="R113" s="108"/>
      <c r="S113" s="198">
        <f>$L113*Variables!$C$21/100</f>
        <v>0.14326535979918947</v>
      </c>
      <c r="T113" s="198">
        <f>$L113*Variables!$C$22/100</f>
        <v>0.25071437964858162</v>
      </c>
      <c r="U113" s="198">
        <f>$L113*Variables!$C$23/100</f>
        <v>0.26265315963184738</v>
      </c>
      <c r="V113" s="198">
        <f>$L113*Variables!$C$24/100</f>
        <v>1.9102047973225265</v>
      </c>
      <c r="W113" s="22">
        <f>S113*Variables!$E$25*Variables!$C$15+'Cost Calculations'!T113*Variables!$E$26*Variables!$C$15+'Cost Calculations'!U113*Variables!$E$27*Variables!$C$15+V113*Variables!$E$28*Variables!$C$15</f>
        <v>1769732.1957380576</v>
      </c>
      <c r="X113" s="20">
        <f>J113*Variables!$E$29*Variables!$C$15</f>
        <v>19481.405194691015</v>
      </c>
      <c r="Z113" s="33">
        <f>D113*(IF(D113&lt;50000,0,IF(D113&gt;Variables!$C$7,Variables!$C$37,IF(D113&gt;Variables!$C$6,Variables!$C$36,IF(D113&gt;Variables!$C$5,Variables!$C$35)))))</f>
        <v>63.31463019737599</v>
      </c>
      <c r="AA113" s="34">
        <f t="shared" si="20"/>
        <v>139</v>
      </c>
      <c r="AB113" s="35">
        <f t="shared" si="15"/>
        <v>0</v>
      </c>
      <c r="AC113" s="22">
        <f>AB113*Variables!$E$41</f>
        <v>0</v>
      </c>
      <c r="AD113" s="115">
        <f>ROUND(IF(D113&lt;50000,0,(H113/(3.14*Variables!$C$34^2))),0)</f>
        <v>853</v>
      </c>
      <c r="AE113" s="116">
        <f t="shared" si="22"/>
        <v>841</v>
      </c>
      <c r="AF113" s="117">
        <f t="shared" si="16"/>
        <v>12</v>
      </c>
      <c r="AG113" s="107">
        <f>AF113*Variables!$E$42*Variables!$C$15</f>
        <v>8130.5280000000002</v>
      </c>
      <c r="AH113" s="199">
        <f>ROUND((Z113)/Variables!$C$40,0)</f>
        <v>1</v>
      </c>
      <c r="AI113" s="33">
        <f t="shared" si="23"/>
        <v>0</v>
      </c>
      <c r="AJ113" s="199">
        <f t="shared" si="19"/>
        <v>1</v>
      </c>
      <c r="AK113" s="22">
        <f>AJ113*Variables!$E$43*Variables!$C$15</f>
        <v>552717.39600000007</v>
      </c>
      <c r="AL113" s="20">
        <f>Z113*Variables!$E$38*Variables!$C$15</f>
        <v>11224323.361103445</v>
      </c>
      <c r="AM113" s="98"/>
      <c r="AN113" s="200">
        <f t="shared" si="24"/>
        <v>0.25221875000000005</v>
      </c>
      <c r="AO113" s="201">
        <f t="shared" si="17"/>
        <v>60.455293033014172</v>
      </c>
      <c r="AP113" s="321">
        <f>VLOOKUP(A113,'Household Information'!H:Q,10,FALSE)</f>
        <v>108.65462509082352</v>
      </c>
      <c r="AQ113" s="122">
        <f>IF(12*(AO113-Variables!$C$3*AP113*F113)*(G113/5)&lt;0,0,12*(AO113-Variables!$C$3*AP113*F113)*(G113/5))</f>
        <v>0</v>
      </c>
      <c r="AS113" s="22"/>
    </row>
    <row r="114" spans="1:45" ht="14.25" customHeight="1" x14ac:dyDescent="0.35">
      <c r="A114" s="30">
        <v>27</v>
      </c>
      <c r="B114" s="28" t="s">
        <v>180</v>
      </c>
      <c r="C114" s="28">
        <v>2021</v>
      </c>
      <c r="D114" s="196">
        <f>Population!F28</f>
        <v>1277128.3759053203</v>
      </c>
      <c r="E114" s="303" t="str">
        <f t="shared" si="18"/>
        <v>Large</v>
      </c>
      <c r="F114" s="340">
        <f>VLOOKUP(A114,'Household Information'!$H$2:$M$49,6,FALSE)</f>
        <v>4.6947316089524085</v>
      </c>
      <c r="G114" s="196">
        <f t="shared" si="13"/>
        <v>272034</v>
      </c>
      <c r="H114" s="213">
        <f>Area!H28</f>
        <v>124.98224279761575</v>
      </c>
      <c r="I114" s="213"/>
      <c r="J114" s="32">
        <f>D114*Variables!$C$20</f>
        <v>1149.4155383147881</v>
      </c>
      <c r="K114" s="202">
        <f t="shared" si="21"/>
        <v>2162.4648561170238</v>
      </c>
      <c r="L114" s="32">
        <f t="shared" si="14"/>
        <v>0</v>
      </c>
      <c r="N114" s="117"/>
      <c r="O114" s="117"/>
      <c r="P114" s="117"/>
      <c r="Q114" s="117"/>
      <c r="R114" s="108"/>
      <c r="S114" s="198">
        <f>$L114*Variables!$C$21/100</f>
        <v>0</v>
      </c>
      <c r="T114" s="198">
        <f>$L114*Variables!$C$22/100</f>
        <v>0</v>
      </c>
      <c r="U114" s="198">
        <f>$L114*Variables!$C$23/100</f>
        <v>0</v>
      </c>
      <c r="V114" s="198">
        <f>$L114*Variables!$C$24/100</f>
        <v>0</v>
      </c>
      <c r="W114" s="22">
        <f>S114*Variables!$E$25*Variables!$C$15+'Cost Calculations'!T114*Variables!$E$26*Variables!$C$15+'Cost Calculations'!U114*Variables!$E$27*Variables!$C$15+V114*Variables!$E$28*Variables!$C$15</f>
        <v>0</v>
      </c>
      <c r="X114" s="20">
        <f>J114*Variables!$E$29*Variables!$C$15</f>
        <v>196481.0921195299</v>
      </c>
      <c r="Z114" s="33">
        <f>D114*(IF(D114&lt;50000,0,IF(D114&gt;Variables!$C$7,Variables!$C$37,IF(D114&gt;Variables!$C$6,Variables!$C$36,IF(D114&gt;Variables!$C$5,Variables!$C$35)))))</f>
        <v>638.56418795266018</v>
      </c>
      <c r="AA114" s="34">
        <f t="shared" si="20"/>
        <v>624</v>
      </c>
      <c r="AB114" s="35">
        <f t="shared" si="15"/>
        <v>15</v>
      </c>
      <c r="AC114" s="22">
        <f>AB114*Variables!$E$41</f>
        <v>5544000.0000000009</v>
      </c>
      <c r="AD114" s="115">
        <f>ROUND(IF(D114&lt;50000,0,(H114/(3.14*Variables!$C$34^2))),0)</f>
        <v>159</v>
      </c>
      <c r="AE114" s="116">
        <f t="shared" si="22"/>
        <v>157</v>
      </c>
      <c r="AF114" s="117">
        <f t="shared" si="16"/>
        <v>2</v>
      </c>
      <c r="AG114" s="107">
        <f>AF114*Variables!$E$42*Variables!$C$15</f>
        <v>1355.088</v>
      </c>
      <c r="AH114" s="199">
        <f>ROUND((Z114)/Variables!$C$40,0)</f>
        <v>5</v>
      </c>
      <c r="AI114" s="33">
        <f t="shared" si="23"/>
        <v>110</v>
      </c>
      <c r="AJ114" s="199">
        <f t="shared" si="19"/>
        <v>0</v>
      </c>
      <c r="AK114" s="22">
        <f>AJ114*Variables!$E$43*Variables!$C$15</f>
        <v>0</v>
      </c>
      <c r="AL114" s="20">
        <f>Z114*Variables!$E$38*Variables!$C$15</f>
        <v>113203708.36973067</v>
      </c>
      <c r="AM114" s="98"/>
      <c r="AN114" s="200">
        <f t="shared" si="24"/>
        <v>0.14000000000000001</v>
      </c>
      <c r="AO114" s="201">
        <f t="shared" si="17"/>
        <v>39.435745515200232</v>
      </c>
      <c r="AP114" s="321">
        <f>VLOOKUP(A114,'Household Information'!H:Q,10,FALSE)</f>
        <v>58.94736842105263</v>
      </c>
      <c r="AQ114" s="122">
        <f>IF(12*(AO114-Variables!$C$3*AP114*F114)*(G114/5)&lt;0,0,12*(AO114-Variables!$C$3*AP114*F114)*(G114/5))</f>
        <v>0</v>
      </c>
      <c r="AS114" s="22"/>
    </row>
    <row r="115" spans="1:45" ht="14.25" customHeight="1" x14ac:dyDescent="0.35">
      <c r="A115" s="30">
        <v>28</v>
      </c>
      <c r="B115" s="28" t="s">
        <v>181</v>
      </c>
      <c r="C115" s="28">
        <v>2021</v>
      </c>
      <c r="D115" s="196">
        <f>Population!F29</f>
        <v>1356749.1176188034</v>
      </c>
      <c r="E115" s="303" t="str">
        <f t="shared" si="18"/>
        <v>Large</v>
      </c>
      <c r="F115" s="340">
        <f>VLOOKUP(A115,'Household Information'!$H$2:$M$49,6,FALSE)</f>
        <v>3.2903489815623708</v>
      </c>
      <c r="G115" s="196">
        <f t="shared" si="13"/>
        <v>412342</v>
      </c>
      <c r="H115" s="213">
        <f>Area!H29</f>
        <v>161.0906990419405</v>
      </c>
      <c r="I115" s="213"/>
      <c r="J115" s="32">
        <f>D115*Variables!$C$20</f>
        <v>1221.0742058569231</v>
      </c>
      <c r="K115" s="202">
        <f t="shared" si="21"/>
        <v>1192.8047336689683</v>
      </c>
      <c r="L115" s="32">
        <f t="shared" si="14"/>
        <v>28.269472187954761</v>
      </c>
      <c r="N115" s="117"/>
      <c r="O115" s="117"/>
      <c r="P115" s="117"/>
      <c r="Q115" s="117"/>
      <c r="R115" s="108"/>
      <c r="S115" s="198">
        <f>$L115*Variables!$C$21/100</f>
        <v>1.5349939649568194</v>
      </c>
      <c r="T115" s="198">
        <f>$L115*Variables!$C$22/100</f>
        <v>2.6862394386744342</v>
      </c>
      <c r="U115" s="198">
        <f>$L115*Variables!$C$23/100</f>
        <v>2.8141556024208358</v>
      </c>
      <c r="V115" s="198">
        <f>$L115*Variables!$C$24/100</f>
        <v>20.466586199424263</v>
      </c>
      <c r="W115" s="22">
        <f>S115*Variables!$E$25*Variables!$C$15+'Cost Calculations'!T115*Variables!$E$26*Variables!$C$15+'Cost Calculations'!U115*Variables!$E$27*Variables!$C$15+V115*Variables!$E$28*Variables!$C$15</f>
        <v>18961514.799218535</v>
      </c>
      <c r="X115" s="20">
        <f>J115*Variables!$E$29*Variables!$C$15</f>
        <v>208730.42474918242</v>
      </c>
      <c r="Z115" s="33">
        <f>D115*(IF(D115&lt;50000,0,IF(D115&gt;Variables!$C$7,Variables!$C$37,IF(D115&gt;Variables!$C$6,Variables!$C$36,IF(D115&gt;Variables!$C$5,Variables!$C$35)))))</f>
        <v>678.37455880940172</v>
      </c>
      <c r="AA115" s="34">
        <f t="shared" si="20"/>
        <v>663</v>
      </c>
      <c r="AB115" s="35">
        <f t="shared" si="15"/>
        <v>15</v>
      </c>
      <c r="AC115" s="22">
        <f>AB115*Variables!$E$41</f>
        <v>5544000.0000000009</v>
      </c>
      <c r="AD115" s="115">
        <f>ROUND(IF(D115&lt;50000,0,(H115/(3.14*Variables!$C$34^2))),0)</f>
        <v>205</v>
      </c>
      <c r="AE115" s="116">
        <f t="shared" si="22"/>
        <v>202</v>
      </c>
      <c r="AF115" s="117">
        <f t="shared" si="16"/>
        <v>3</v>
      </c>
      <c r="AG115" s="107">
        <f>AF115*Variables!$E$42*Variables!$C$15</f>
        <v>2032.6320000000001</v>
      </c>
      <c r="AH115" s="199">
        <f>ROUND((Z115)/Variables!$C$40,0)</f>
        <v>5</v>
      </c>
      <c r="AI115" s="33">
        <f t="shared" si="23"/>
        <v>5</v>
      </c>
      <c r="AJ115" s="199">
        <f t="shared" si="19"/>
        <v>0</v>
      </c>
      <c r="AK115" s="22">
        <f>AJ115*Variables!$E$43*Variables!$C$15</f>
        <v>0</v>
      </c>
      <c r="AL115" s="20">
        <f>Z115*Variables!$E$38*Variables!$C$15</f>
        <v>120261231.63455161</v>
      </c>
      <c r="AM115" s="98"/>
      <c r="AN115" s="200">
        <f t="shared" si="24"/>
        <v>0.21</v>
      </c>
      <c r="AO115" s="201">
        <f t="shared" si="17"/>
        <v>41.458397167685874</v>
      </c>
      <c r="AP115" s="321">
        <f>VLOOKUP(A115,'Household Information'!H:Q,10,FALSE)</f>
        <v>53.01022340022719</v>
      </c>
      <c r="AQ115" s="122">
        <f>IF(12*(AO115-Variables!$C$3*AP115*F115)*(G115/5)&lt;0,0,12*(AO115-Variables!$C$3*AP115*F115)*(G115/5))</f>
        <v>15136326.318084087</v>
      </c>
      <c r="AS115" s="22"/>
    </row>
    <row r="116" spans="1:45" ht="14.25" customHeight="1" x14ac:dyDescent="0.35">
      <c r="A116" s="30">
        <v>29</v>
      </c>
      <c r="B116" s="28" t="s">
        <v>182</v>
      </c>
      <c r="C116" s="28">
        <v>2021</v>
      </c>
      <c r="D116" s="196">
        <f>Population!F30</f>
        <v>181033.10180144862</v>
      </c>
      <c r="E116" s="303" t="str">
        <f t="shared" si="18"/>
        <v>Medium</v>
      </c>
      <c r="F116" s="340">
        <f>VLOOKUP(A116,'Household Information'!$H$2:$M$49,6,FALSE)</f>
        <v>4.6165672844480259</v>
      </c>
      <c r="G116" s="196">
        <f t="shared" si="13"/>
        <v>39214</v>
      </c>
      <c r="H116" s="213">
        <f>Area!H30</f>
        <v>905.44082564952782</v>
      </c>
      <c r="I116" s="213"/>
      <c r="J116" s="32">
        <f>D116*Variables!$C$20</f>
        <v>162.92979162130376</v>
      </c>
      <c r="K116" s="202">
        <f t="shared" si="21"/>
        <v>159.15775287809294</v>
      </c>
      <c r="L116" s="32">
        <f t="shared" si="14"/>
        <v>3.7720387432108282</v>
      </c>
      <c r="N116" s="117"/>
      <c r="O116" s="117"/>
      <c r="P116" s="117"/>
      <c r="Q116" s="117"/>
      <c r="R116" s="108"/>
      <c r="S116" s="198">
        <f>$L116*Variables!$C$21/100</f>
        <v>0.20481658334176442</v>
      </c>
      <c r="T116" s="198">
        <f>$L116*Variables!$C$22/100</f>
        <v>0.35842902084808775</v>
      </c>
      <c r="U116" s="198">
        <f>$L116*Variables!$C$23/100</f>
        <v>0.37549706945990147</v>
      </c>
      <c r="V116" s="198">
        <f>$L116*Variables!$C$24/100</f>
        <v>2.7308877778901923</v>
      </c>
      <c r="W116" s="22">
        <f>S116*Variables!$E$25*Variables!$C$15+'Cost Calculations'!T116*Variables!$E$26*Variables!$C$15+'Cost Calculations'!U116*Variables!$E$27*Variables!$C$15+V116*Variables!$E$28*Variables!$C$15</f>
        <v>2530063.8079508618</v>
      </c>
      <c r="X116" s="20">
        <f>J116*Variables!$E$29*Variables!$C$15</f>
        <v>27851.218579745666</v>
      </c>
      <c r="Z116" s="33">
        <f>D116*(IF(D116&lt;50000,0,IF(D116&gt;Variables!$C$7,Variables!$C$37,IF(D116&gt;Variables!$C$6,Variables!$C$36,IF(D116&gt;Variables!$C$5,Variables!$C$35)))))</f>
        <v>90.516550900724312</v>
      </c>
      <c r="AA116" s="34">
        <f t="shared" si="20"/>
        <v>206</v>
      </c>
      <c r="AB116" s="35">
        <f t="shared" si="15"/>
        <v>0</v>
      </c>
      <c r="AC116" s="22">
        <f>AB116*Variables!$E$41</f>
        <v>0</v>
      </c>
      <c r="AD116" s="115">
        <f>ROUND(IF(D116&lt;50000,0,(H116/(3.14*Variables!$C$34^2))),0)</f>
        <v>1153</v>
      </c>
      <c r="AE116" s="116">
        <f t="shared" si="22"/>
        <v>1137</v>
      </c>
      <c r="AF116" s="117">
        <f t="shared" si="16"/>
        <v>16</v>
      </c>
      <c r="AG116" s="107">
        <f>AF116*Variables!$E$42*Variables!$C$15</f>
        <v>10840.704</v>
      </c>
      <c r="AH116" s="199">
        <f>ROUND((Z116)/Variables!$C$40,0)</f>
        <v>1</v>
      </c>
      <c r="AI116" s="33">
        <f t="shared" si="23"/>
        <v>1</v>
      </c>
      <c r="AJ116" s="199">
        <f t="shared" si="19"/>
        <v>0</v>
      </c>
      <c r="AK116" s="22">
        <f>AJ116*Variables!$E$43*Variables!$C$15</f>
        <v>0</v>
      </c>
      <c r="AL116" s="20">
        <f>Z116*Variables!$E$38*Variables!$C$15</f>
        <v>16046639.357669588</v>
      </c>
      <c r="AM116" s="98"/>
      <c r="AN116" s="200">
        <f t="shared" si="24"/>
        <v>0.14000000000000001</v>
      </c>
      <c r="AO116" s="201">
        <f t="shared" si="17"/>
        <v>38.779165189363418</v>
      </c>
      <c r="AP116" s="321">
        <f>VLOOKUP(A116,'Household Information'!H:Q,10,FALSE)</f>
        <v>91.707686482393044</v>
      </c>
      <c r="AQ116" s="122">
        <f>IF(12*(AO116-Variables!$C$3*AP116*F116)*(G116/5)&lt;0,0,12*(AO116-Variables!$C$3*AP116*F116)*(G116/5))</f>
        <v>0</v>
      </c>
      <c r="AS116" s="22"/>
    </row>
    <row r="117" spans="1:45" ht="14.25" customHeight="1" x14ac:dyDescent="0.35">
      <c r="A117" s="30">
        <v>30</v>
      </c>
      <c r="B117" s="28" t="s">
        <v>183</v>
      </c>
      <c r="C117" s="28">
        <v>2021</v>
      </c>
      <c r="D117" s="196">
        <f>Population!F31</f>
        <v>124201.22844200091</v>
      </c>
      <c r="E117" s="303" t="str">
        <f t="shared" si="18"/>
        <v>Medium</v>
      </c>
      <c r="F117" s="340">
        <f>VLOOKUP(A117,'Household Information'!$H$2:$M$49,6,FALSE)</f>
        <v>4.0765401369010581</v>
      </c>
      <c r="G117" s="196">
        <f t="shared" si="13"/>
        <v>30467</v>
      </c>
      <c r="H117" s="213">
        <f>Area!H31</f>
        <v>90.266339980397717</v>
      </c>
      <c r="I117" s="213"/>
      <c r="J117" s="32">
        <f>D117*Variables!$C$20</f>
        <v>111.78110559780082</v>
      </c>
      <c r="K117" s="202">
        <f t="shared" si="21"/>
        <v>109.19322613832256</v>
      </c>
      <c r="L117" s="32">
        <f t="shared" si="14"/>
        <v>2.587879459478259</v>
      </c>
      <c r="N117" s="117"/>
      <c r="O117" s="117"/>
      <c r="P117" s="117"/>
      <c r="Q117" s="117"/>
      <c r="R117" s="108"/>
      <c r="S117" s="198">
        <f>$L117*Variables!$C$21/100</f>
        <v>0.14051834169112717</v>
      </c>
      <c r="T117" s="198">
        <f>$L117*Variables!$C$22/100</f>
        <v>0.24590709795947258</v>
      </c>
      <c r="U117" s="198">
        <f>$L117*Variables!$C$23/100</f>
        <v>0.2576169597670665</v>
      </c>
      <c r="V117" s="198">
        <f>$L117*Variables!$C$24/100</f>
        <v>1.873577889215029</v>
      </c>
      <c r="W117" s="22">
        <f>S117*Variables!$E$25*Variables!$C$15+'Cost Calculations'!T117*Variables!$E$26*Variables!$C$15+'Cost Calculations'!U117*Variables!$E$27*Variables!$C$15+V117*Variables!$E$28*Variables!$C$15</f>
        <v>1735798.7564549851</v>
      </c>
      <c r="X117" s="20">
        <f>J117*Variables!$E$29*Variables!$C$15</f>
        <v>19107.862190888074</v>
      </c>
      <c r="Z117" s="33">
        <f>D117*(IF(D117&lt;50000,0,IF(D117&gt;Variables!$C$7,Variables!$C$37,IF(D117&gt;Variables!$C$6,Variables!$C$36,IF(D117&gt;Variables!$C$5,Variables!$C$35)))))</f>
        <v>62.100614221000455</v>
      </c>
      <c r="AA117" s="34">
        <f t="shared" si="20"/>
        <v>61</v>
      </c>
      <c r="AB117" s="35">
        <f t="shared" si="15"/>
        <v>1</v>
      </c>
      <c r="AC117" s="22">
        <f>AB117*Variables!$E$41</f>
        <v>369600.00000000006</v>
      </c>
      <c r="AD117" s="115">
        <f>ROUND(IF(D117&lt;50000,0,(H117/(3.14*Variables!$C$34^2))),0)</f>
        <v>115</v>
      </c>
      <c r="AE117" s="116">
        <f t="shared" si="22"/>
        <v>113</v>
      </c>
      <c r="AF117" s="117">
        <f t="shared" si="16"/>
        <v>2</v>
      </c>
      <c r="AG117" s="107">
        <f>AF117*Variables!$E$42*Variables!$C$15</f>
        <v>1355.088</v>
      </c>
      <c r="AH117" s="199">
        <f>ROUND((Z117)/Variables!$C$40,0)</f>
        <v>0</v>
      </c>
      <c r="AI117" s="33">
        <f t="shared" si="23"/>
        <v>21</v>
      </c>
      <c r="AJ117" s="199">
        <f t="shared" si="19"/>
        <v>0</v>
      </c>
      <c r="AK117" s="22">
        <f>AJ117*Variables!$E$43*Variables!$C$15</f>
        <v>0</v>
      </c>
      <c r="AL117" s="20">
        <f>Z117*Variables!$E$38*Variables!$C$15</f>
        <v>11009104.416573474</v>
      </c>
      <c r="AM117" s="98"/>
      <c r="AN117" s="200">
        <f t="shared" si="24"/>
        <v>0.25221875000000005</v>
      </c>
      <c r="AO117" s="201">
        <f t="shared" si="17"/>
        <v>61.690791459240835</v>
      </c>
      <c r="AP117" s="321">
        <f>VLOOKUP(A117,'Household Information'!H:Q,10,FALSE)</f>
        <v>60.413984601792251</v>
      </c>
      <c r="AQ117" s="122">
        <f>IF(12*(AO117-Variables!$C$3*AP117*F117)*(G117/5)&lt;0,0,12*(AO117-Variables!$C$3*AP117*F117)*(G117/5))</f>
        <v>1809651.0679341741</v>
      </c>
      <c r="AS117" s="22"/>
    </row>
    <row r="118" spans="1:45" ht="14.25" customHeight="1" x14ac:dyDescent="0.35">
      <c r="A118" s="30">
        <v>31</v>
      </c>
      <c r="B118" s="28" t="s">
        <v>184</v>
      </c>
      <c r="C118" s="28">
        <v>2021</v>
      </c>
      <c r="D118" s="196">
        <f>Population!F32</f>
        <v>214336.70092848552</v>
      </c>
      <c r="E118" s="303" t="str">
        <f t="shared" si="18"/>
        <v>Medium</v>
      </c>
      <c r="F118" s="340">
        <f>VLOOKUP(A118,'Household Information'!$H$2:$M$49,6,FALSE)</f>
        <v>3.6621172202306398</v>
      </c>
      <c r="G118" s="196">
        <f t="shared" si="13"/>
        <v>58528</v>
      </c>
      <c r="H118" s="213">
        <f>Area!H32</f>
        <v>681.85804508269655</v>
      </c>
      <c r="I118" s="213"/>
      <c r="J118" s="32">
        <f>D118*Variables!$C$20</f>
        <v>192.90303083563697</v>
      </c>
      <c r="K118" s="202">
        <f t="shared" si="21"/>
        <v>522.30024000000003</v>
      </c>
      <c r="L118" s="32">
        <f t="shared" si="14"/>
        <v>0</v>
      </c>
      <c r="N118" s="117"/>
      <c r="O118" s="117"/>
      <c r="P118" s="117"/>
      <c r="Q118" s="117"/>
      <c r="R118" s="108"/>
      <c r="S118" s="198">
        <f>$L118*Variables!$C$21/100</f>
        <v>0</v>
      </c>
      <c r="T118" s="198">
        <f>$L118*Variables!$C$22/100</f>
        <v>0</v>
      </c>
      <c r="U118" s="198">
        <f>$L118*Variables!$C$23/100</f>
        <v>0</v>
      </c>
      <c r="V118" s="198">
        <f>$L118*Variables!$C$24/100</f>
        <v>0</v>
      </c>
      <c r="W118" s="22">
        <f>S118*Variables!$E$25*Variables!$C$15+'Cost Calculations'!T118*Variables!$E$26*Variables!$C$15+'Cost Calculations'!U118*Variables!$E$27*Variables!$C$15+V118*Variables!$E$28*Variables!$C$15</f>
        <v>0</v>
      </c>
      <c r="X118" s="20">
        <f>J118*Variables!$E$29*Variables!$C$15</f>
        <v>32974.844091043786</v>
      </c>
      <c r="Z118" s="33">
        <f>D118*(IF(D118&lt;50000,0,IF(D118&gt;Variables!$C$7,Variables!$C$37,IF(D118&gt;Variables!$C$6,Variables!$C$36,IF(D118&gt;Variables!$C$5,Variables!$C$35)))))</f>
        <v>107.16835046424276</v>
      </c>
      <c r="AA118" s="34">
        <f t="shared" si="20"/>
        <v>3158</v>
      </c>
      <c r="AB118" s="35">
        <f t="shared" si="15"/>
        <v>0</v>
      </c>
      <c r="AC118" s="22">
        <f>AB118*Variables!$E$41</f>
        <v>0</v>
      </c>
      <c r="AD118" s="115">
        <f>ROUND(IF(D118&lt;50000,0,(H118/(3.14*Variables!$C$34^2))),0)</f>
        <v>869</v>
      </c>
      <c r="AE118" s="116">
        <f t="shared" si="22"/>
        <v>856</v>
      </c>
      <c r="AF118" s="117">
        <f t="shared" si="16"/>
        <v>13</v>
      </c>
      <c r="AG118" s="107">
        <f>AF118*Variables!$E$42*Variables!$C$15</f>
        <v>8808.0720000000001</v>
      </c>
      <c r="AH118" s="199">
        <f>ROUND((Z118)/Variables!$C$40,0)</f>
        <v>1</v>
      </c>
      <c r="AI118" s="33">
        <f t="shared" si="23"/>
        <v>27</v>
      </c>
      <c r="AJ118" s="199">
        <f t="shared" si="19"/>
        <v>0</v>
      </c>
      <c r="AK118" s="22">
        <f>AJ118*Variables!$E$43*Variables!$C$15</f>
        <v>0</v>
      </c>
      <c r="AL118" s="20">
        <f>Z118*Variables!$E$38*Variables!$C$15</f>
        <v>18998645.588497397</v>
      </c>
      <c r="AM118" s="98"/>
      <c r="AN118" s="200">
        <f t="shared" si="24"/>
        <v>0.14000000000000001</v>
      </c>
      <c r="AO118" s="201">
        <f t="shared" si="17"/>
        <v>30.761784649937375</v>
      </c>
      <c r="AP118" s="321">
        <f>VLOOKUP(A118,'Household Information'!H:Q,10,FALSE)</f>
        <v>118.33648870377382</v>
      </c>
      <c r="AQ118" s="122">
        <f>IF(12*(AO118-Variables!$C$3*AP118*F118)*(G118/5)&lt;0,0,12*(AO118-Variables!$C$3*AP118*F118)*(G118/5))</f>
        <v>0</v>
      </c>
      <c r="AS118" s="22"/>
    </row>
    <row r="119" spans="1:45" ht="14.25" customHeight="1" x14ac:dyDescent="0.35">
      <c r="A119" s="30">
        <v>32</v>
      </c>
      <c r="B119" s="28" t="s">
        <v>185</v>
      </c>
      <c r="C119" s="28">
        <v>2021</v>
      </c>
      <c r="D119" s="196">
        <f>Population!F33</f>
        <v>1492171.620228698</v>
      </c>
      <c r="E119" s="303" t="str">
        <f t="shared" si="18"/>
        <v>Large</v>
      </c>
      <c r="F119" s="340">
        <f>VLOOKUP(A119,'Household Information'!$H$2:$M$49,6,FALSE)</f>
        <v>6.457235996477583</v>
      </c>
      <c r="G119" s="196">
        <f t="shared" si="13"/>
        <v>231085</v>
      </c>
      <c r="H119" s="213">
        <f>Area!H33</f>
        <v>40.272674760485138</v>
      </c>
      <c r="I119" s="213"/>
      <c r="J119" s="32">
        <f>D119*Variables!$C$20</f>
        <v>1342.9544582058281</v>
      </c>
      <c r="K119" s="202">
        <f t="shared" si="21"/>
        <v>1311.8632980422271</v>
      </c>
      <c r="L119" s="32">
        <f t="shared" si="14"/>
        <v>31.091160163600989</v>
      </c>
      <c r="N119" s="117"/>
      <c r="O119" s="117"/>
      <c r="P119" s="117"/>
      <c r="Q119" s="117"/>
      <c r="R119" s="108"/>
      <c r="S119" s="198">
        <f>$L119*Variables!$C$21/100</f>
        <v>1.6882077916887415</v>
      </c>
      <c r="T119" s="198">
        <f>$L119*Variables!$C$22/100</f>
        <v>2.954363635455298</v>
      </c>
      <c r="U119" s="198">
        <f>$L119*Variables!$C$23/100</f>
        <v>3.095047618096026</v>
      </c>
      <c r="V119" s="198">
        <f>$L119*Variables!$C$24/100</f>
        <v>22.509437222516553</v>
      </c>
      <c r="W119" s="22">
        <f>S119*Variables!$E$25*Variables!$C$15+'Cost Calculations'!T119*Variables!$E$26*Variables!$C$15+'Cost Calculations'!U119*Variables!$E$27*Variables!$C$15+V119*Variables!$E$28*Variables!$C$15</f>
        <v>20854138.685270075</v>
      </c>
      <c r="X119" s="20">
        <f>J119*Variables!$E$29*Variables!$C$15</f>
        <v>229564.63508570424</v>
      </c>
      <c r="Z119" s="33">
        <f>D119*(IF(D119&lt;50000,0,IF(D119&gt;Variables!$C$7,Variables!$C$37,IF(D119&gt;Variables!$C$6,Variables!$C$36,IF(D119&gt;Variables!$C$5,Variables!$C$35)))))</f>
        <v>746.08581011434899</v>
      </c>
      <c r="AA119" s="34">
        <f t="shared" si="20"/>
        <v>729</v>
      </c>
      <c r="AB119" s="35">
        <f t="shared" si="15"/>
        <v>17</v>
      </c>
      <c r="AC119" s="22">
        <f>AB119*Variables!$E$41</f>
        <v>6283200.0000000009</v>
      </c>
      <c r="AD119" s="115">
        <f>ROUND(IF(D119&lt;50000,0,(H119/(3.14*Variables!$C$34^2))),0)</f>
        <v>51</v>
      </c>
      <c r="AE119" s="116">
        <f t="shared" si="22"/>
        <v>51</v>
      </c>
      <c r="AF119" s="117">
        <f t="shared" si="16"/>
        <v>0</v>
      </c>
      <c r="AG119" s="107">
        <f>AF119*Variables!$E$42*Variables!$C$15</f>
        <v>0</v>
      </c>
      <c r="AH119" s="199">
        <f>ROUND((Z119)/Variables!$C$40,0)</f>
        <v>6</v>
      </c>
      <c r="AI119" s="33">
        <f t="shared" si="23"/>
        <v>6</v>
      </c>
      <c r="AJ119" s="199">
        <f t="shared" si="19"/>
        <v>0</v>
      </c>
      <c r="AK119" s="22">
        <f>AJ119*Variables!$E$43*Variables!$C$15</f>
        <v>0</v>
      </c>
      <c r="AL119" s="20">
        <f>Z119*Variables!$E$38*Variables!$C$15</f>
        <v>132264981.43870296</v>
      </c>
      <c r="AM119" s="98"/>
      <c r="AN119" s="200">
        <f t="shared" si="24"/>
        <v>0.14000000000000001</v>
      </c>
      <c r="AO119" s="201">
        <f t="shared" si="17"/>
        <v>54.240782370411701</v>
      </c>
      <c r="AP119" s="321">
        <f>VLOOKUP(A119,'Household Information'!H:Q,10,FALSE)</f>
        <v>105.97627161428754</v>
      </c>
      <c r="AQ119" s="122">
        <f>IF(12*(AO119-Variables!$C$3*AP119*F119)*(G119/5)&lt;0,0,12*(AO119-Variables!$C$3*AP119*F119)*(G119/5))</f>
        <v>0</v>
      </c>
      <c r="AS119" s="22"/>
    </row>
    <row r="120" spans="1:45" ht="14.25" customHeight="1" x14ac:dyDescent="0.35">
      <c r="A120" s="30">
        <v>33</v>
      </c>
      <c r="B120" s="28" t="s">
        <v>186</v>
      </c>
      <c r="C120" s="28">
        <v>2021</v>
      </c>
      <c r="D120" s="196">
        <f>Population!F34</f>
        <v>939982.04631618678</v>
      </c>
      <c r="E120" s="303" t="str">
        <f t="shared" si="18"/>
        <v>Medium</v>
      </c>
      <c r="F120" s="340">
        <f>VLOOKUP(A120,'Household Information'!$H$2:$M$49,6,FALSE)</f>
        <v>3.9813857124502121</v>
      </c>
      <c r="G120" s="196">
        <f t="shared" si="13"/>
        <v>236094</v>
      </c>
      <c r="H120" s="213">
        <f>Area!H34</f>
        <v>336.06852731163451</v>
      </c>
      <c r="I120" s="213"/>
      <c r="J120" s="32">
        <f>D120*Variables!$C$20</f>
        <v>845.98384168456812</v>
      </c>
      <c r="K120" s="202">
        <f t="shared" si="21"/>
        <v>1137.8472300000001</v>
      </c>
      <c r="L120" s="32">
        <f t="shared" si="14"/>
        <v>0</v>
      </c>
      <c r="N120" s="117"/>
      <c r="O120" s="117"/>
      <c r="P120" s="117"/>
      <c r="Q120" s="117"/>
      <c r="R120" s="108"/>
      <c r="S120" s="198">
        <f>$L120*Variables!$C$21/100</f>
        <v>0</v>
      </c>
      <c r="T120" s="198">
        <f>$L120*Variables!$C$22/100</f>
        <v>0</v>
      </c>
      <c r="U120" s="198">
        <f>$L120*Variables!$C$23/100</f>
        <v>0</v>
      </c>
      <c r="V120" s="198">
        <f>$L120*Variables!$C$24/100</f>
        <v>0</v>
      </c>
      <c r="W120" s="22">
        <f>S120*Variables!$E$25*Variables!$C$15+'Cost Calculations'!T120*Variables!$E$26*Variables!$C$15+'Cost Calculations'!U120*Variables!$E$27*Variables!$C$15+V120*Variables!$E$28*Variables!$C$15</f>
        <v>0</v>
      </c>
      <c r="X120" s="20">
        <f>J120*Variables!$E$29*Variables!$C$15</f>
        <v>144612.47789756008</v>
      </c>
      <c r="Z120" s="33">
        <f>D120*(IF(D120&lt;50000,0,IF(D120&gt;Variables!$C$7,Variables!$C$37,IF(D120&gt;Variables!$C$6,Variables!$C$36,IF(D120&gt;Variables!$C$5,Variables!$C$35)))))</f>
        <v>469.99102315809341</v>
      </c>
      <c r="AA120" s="34">
        <f t="shared" si="20"/>
        <v>459</v>
      </c>
      <c r="AB120" s="35">
        <f t="shared" si="15"/>
        <v>11</v>
      </c>
      <c r="AC120" s="22">
        <f>AB120*Variables!$E$41</f>
        <v>4065600.0000000005</v>
      </c>
      <c r="AD120" s="115">
        <f>ROUND(IF(D120&lt;50000,0,(H120/(3.14*Variables!$C$34^2))),0)</f>
        <v>428</v>
      </c>
      <c r="AE120" s="116">
        <f t="shared" si="22"/>
        <v>422</v>
      </c>
      <c r="AF120" s="117">
        <f t="shared" si="16"/>
        <v>6</v>
      </c>
      <c r="AG120" s="107">
        <f>AF120*Variables!$E$42*Variables!$C$15</f>
        <v>4065.2640000000001</v>
      </c>
      <c r="AH120" s="199">
        <f>ROUND((Z120)/Variables!$C$40,0)</f>
        <v>4</v>
      </c>
      <c r="AI120" s="33">
        <f t="shared" si="23"/>
        <v>4</v>
      </c>
      <c r="AJ120" s="199">
        <f t="shared" si="19"/>
        <v>0</v>
      </c>
      <c r="AK120" s="22">
        <f>AJ120*Variables!$E$43*Variables!$C$15</f>
        <v>0</v>
      </c>
      <c r="AL120" s="20">
        <f>Z120*Variables!$E$38*Variables!$C$15</f>
        <v>83319308.733180121</v>
      </c>
      <c r="AM120" s="98"/>
      <c r="AN120" s="200">
        <f t="shared" si="24"/>
        <v>0.14000000000000001</v>
      </c>
      <c r="AO120" s="201">
        <f t="shared" si="17"/>
        <v>33.443639984581786</v>
      </c>
      <c r="AP120" s="321">
        <f>VLOOKUP(A120,'Household Information'!H:Q,10,FALSE)</f>
        <v>212.04089360090876</v>
      </c>
      <c r="AQ120" s="122">
        <f>IF(12*(AO120-Variables!$C$3*AP120*F120)*(G120/5)&lt;0,0,12*(AO120-Variables!$C$3*AP120*F120)*(G120/5))</f>
        <v>0</v>
      </c>
      <c r="AS120" s="22"/>
    </row>
    <row r="121" spans="1:45" ht="14.25" customHeight="1" x14ac:dyDescent="0.35">
      <c r="A121" s="30">
        <v>34</v>
      </c>
      <c r="B121" s="28" t="s">
        <v>187</v>
      </c>
      <c r="C121" s="28">
        <v>2021</v>
      </c>
      <c r="D121" s="196">
        <f>Population!F35</f>
        <v>543765.40266572009</v>
      </c>
      <c r="E121" s="303" t="str">
        <f t="shared" si="18"/>
        <v>Medium</v>
      </c>
      <c r="F121" s="340">
        <f>VLOOKUP(A121,'Household Information'!$H$2:$M$49,6,FALSE)</f>
        <v>4.3021399999999996</v>
      </c>
      <c r="G121" s="196">
        <f t="shared" si="13"/>
        <v>126394</v>
      </c>
      <c r="H121" s="213">
        <f>Area!H35</f>
        <v>102.23399471940137</v>
      </c>
      <c r="I121" s="213"/>
      <c r="J121" s="32">
        <f>D121*Variables!$C$20</f>
        <v>489.38886239914808</v>
      </c>
      <c r="K121" s="202">
        <f t="shared" si="21"/>
        <v>478.0588672454312</v>
      </c>
      <c r="L121" s="32">
        <f t="shared" si="14"/>
        <v>11.329995153716879</v>
      </c>
      <c r="N121" s="117"/>
      <c r="O121" s="117"/>
      <c r="P121" s="117"/>
      <c r="Q121" s="117"/>
      <c r="R121" s="108"/>
      <c r="S121" s="198">
        <f>$L121*Variables!$C$21/100</f>
        <v>0.61520335676290738</v>
      </c>
      <c r="T121" s="198">
        <f>$L121*Variables!$C$22/100</f>
        <v>1.0766058743350881</v>
      </c>
      <c r="U121" s="198">
        <f>$L121*Variables!$C$23/100</f>
        <v>1.127872820731997</v>
      </c>
      <c r="V121" s="198">
        <f>$L121*Variables!$C$24/100</f>
        <v>8.2027114235054324</v>
      </c>
      <c r="W121" s="22">
        <f>S121*Variables!$E$25*Variables!$C$15+'Cost Calculations'!T121*Variables!$E$26*Variables!$C$15+'Cost Calculations'!U121*Variables!$E$27*Variables!$C$15+V121*Variables!$E$28*Variables!$C$15</f>
        <v>7599500.5974612664</v>
      </c>
      <c r="X121" s="20">
        <f>J121*Variables!$E$29*Variables!$C$15</f>
        <v>83656.13213851038</v>
      </c>
      <c r="Z121" s="33">
        <f>D121*(IF(D121&lt;50000,0,IF(D121&gt;Variables!$C$7,Variables!$C$37,IF(D121&gt;Variables!$C$6,Variables!$C$36,IF(D121&gt;Variables!$C$5,Variables!$C$35)))))</f>
        <v>271.88270133286005</v>
      </c>
      <c r="AA121" s="34">
        <f t="shared" si="20"/>
        <v>1061</v>
      </c>
      <c r="AB121" s="35">
        <f t="shared" si="15"/>
        <v>0</v>
      </c>
      <c r="AC121" s="22">
        <f>AB121*Variables!$E$41</f>
        <v>0</v>
      </c>
      <c r="AD121" s="115">
        <f>ROUND(IF(D121&lt;50000,0,(H121/(3.14*Variables!$C$34^2))),0)</f>
        <v>130</v>
      </c>
      <c r="AE121" s="116">
        <f t="shared" si="22"/>
        <v>128</v>
      </c>
      <c r="AF121" s="117">
        <f t="shared" si="16"/>
        <v>2</v>
      </c>
      <c r="AG121" s="107">
        <f>AF121*Variables!$E$42*Variables!$C$15</f>
        <v>1355.088</v>
      </c>
      <c r="AH121" s="199">
        <f>ROUND((Z121)/Variables!$C$40,0)</f>
        <v>2</v>
      </c>
      <c r="AI121" s="33">
        <f t="shared" si="23"/>
        <v>2</v>
      </c>
      <c r="AJ121" s="199">
        <f t="shared" si="19"/>
        <v>0</v>
      </c>
      <c r="AK121" s="22">
        <f>AJ121*Variables!$E$43*Variables!$C$15</f>
        <v>0</v>
      </c>
      <c r="AL121" s="20">
        <f>Z121*Variables!$E$38*Variables!$C$15</f>
        <v>48198960.438322306</v>
      </c>
      <c r="AM121" s="98"/>
      <c r="AN121" s="200">
        <f t="shared" si="24"/>
        <v>0.21</v>
      </c>
      <c r="AO121" s="201">
        <f t="shared" si="17"/>
        <v>54.206963999999992</v>
      </c>
      <c r="AP121" s="321">
        <f>VLOOKUP(A121,'Household Information'!H:Q,10,FALSE)</f>
        <v>71.56380159030671</v>
      </c>
      <c r="AQ121" s="122">
        <f>IF(12*(AO121-Variables!$C$3*AP121*F121)*(G121/5)&lt;0,0,12*(AO121-Variables!$C$3*AP121*F121)*(G121/5))</f>
        <v>2434451.5756662367</v>
      </c>
      <c r="AS121" s="22"/>
    </row>
    <row r="122" spans="1:45" ht="14.25" customHeight="1" x14ac:dyDescent="0.35">
      <c r="A122" s="30">
        <v>35</v>
      </c>
      <c r="B122" s="28" t="s">
        <v>188</v>
      </c>
      <c r="C122" s="28">
        <v>2021</v>
      </c>
      <c r="D122" s="196">
        <f>Population!F36</f>
        <v>231657.75760755927</v>
      </c>
      <c r="E122" s="303" t="str">
        <f t="shared" si="18"/>
        <v>Medium</v>
      </c>
      <c r="F122" s="340">
        <f>VLOOKUP(A122,'Household Information'!$H$2:$M$49,6,FALSE)</f>
        <v>5.0911666666666671</v>
      </c>
      <c r="G122" s="196">
        <f t="shared" si="13"/>
        <v>45502</v>
      </c>
      <c r="H122" s="213">
        <f>Area!H36</f>
        <v>34.766651991985157</v>
      </c>
      <c r="I122" s="213"/>
      <c r="J122" s="32">
        <f>D122*Variables!$C$20</f>
        <v>208.49198184680333</v>
      </c>
      <c r="K122" s="202">
        <f t="shared" si="21"/>
        <v>203.66511853746539</v>
      </c>
      <c r="L122" s="32">
        <f t="shared" si="14"/>
        <v>4.8268633093379378</v>
      </c>
      <c r="N122" s="117"/>
      <c r="O122" s="117"/>
      <c r="P122" s="117"/>
      <c r="Q122" s="117"/>
      <c r="R122" s="108"/>
      <c r="S122" s="198">
        <f>$L122*Variables!$C$21/100</f>
        <v>0.26209212539391513</v>
      </c>
      <c r="T122" s="198">
        <f>$L122*Variables!$C$22/100</f>
        <v>0.45866121943935156</v>
      </c>
      <c r="U122" s="198">
        <f>$L122*Variables!$C$23/100</f>
        <v>0.4805022298888445</v>
      </c>
      <c r="V122" s="198">
        <f>$L122*Variables!$C$24/100</f>
        <v>3.494561671918869</v>
      </c>
      <c r="W122" s="22">
        <f>S122*Variables!$E$25*Variables!$C$15+'Cost Calculations'!T122*Variables!$E$26*Variables!$C$15+'Cost Calculations'!U122*Variables!$E$27*Variables!$C$15+V122*Variables!$E$28*Variables!$C$15</f>
        <v>3237578.6666725837</v>
      </c>
      <c r="X122" s="20">
        <f>J122*Variables!$E$29*Variables!$C$15</f>
        <v>35639.619376892566</v>
      </c>
      <c r="Z122" s="33">
        <f>D122*(IF(D122&lt;50000,0,IF(D122&gt;Variables!$C$7,Variables!$C$37,IF(D122&gt;Variables!$C$6,Variables!$C$36,IF(D122&gt;Variables!$C$5,Variables!$C$35)))))</f>
        <v>115.82887880377963</v>
      </c>
      <c r="AA122" s="34">
        <f t="shared" si="20"/>
        <v>113</v>
      </c>
      <c r="AB122" s="35">
        <f t="shared" si="15"/>
        <v>3</v>
      </c>
      <c r="AC122" s="22">
        <f>AB122*Variables!$E$41</f>
        <v>1108800.0000000002</v>
      </c>
      <c r="AD122" s="115">
        <f>ROUND(IF(D122&lt;50000,0,(H122/(3.14*Variables!$C$34^2))),0)</f>
        <v>44</v>
      </c>
      <c r="AE122" s="116">
        <f t="shared" si="22"/>
        <v>44</v>
      </c>
      <c r="AF122" s="117">
        <f t="shared" si="16"/>
        <v>0</v>
      </c>
      <c r="AG122" s="107">
        <f>AF122*Variables!$E$42*Variables!$C$15</f>
        <v>0</v>
      </c>
      <c r="AH122" s="199">
        <f>ROUND((Z122)/Variables!$C$40,0)</f>
        <v>1</v>
      </c>
      <c r="AI122" s="33">
        <f t="shared" si="23"/>
        <v>1</v>
      </c>
      <c r="AJ122" s="199">
        <f t="shared" si="19"/>
        <v>0</v>
      </c>
      <c r="AK122" s="22">
        <f>AJ122*Variables!$E$43*Variables!$C$15</f>
        <v>0</v>
      </c>
      <c r="AL122" s="20">
        <f>Z122*Variables!$E$38*Variables!$C$15</f>
        <v>20533971.156346813</v>
      </c>
      <c r="AM122" s="98"/>
      <c r="AN122" s="200">
        <f t="shared" si="24"/>
        <v>0.25221875000000005</v>
      </c>
      <c r="AO122" s="201">
        <f t="shared" si="17"/>
        <v>77.045261562500016</v>
      </c>
      <c r="AP122" s="321">
        <f>VLOOKUP(A122,'Household Information'!H:Q,10,FALSE)</f>
        <v>112.55837435314906</v>
      </c>
      <c r="AQ122" s="122">
        <f>IF(12*(AO122-Variables!$C$3*AP122*F122)*(G122/5)&lt;0,0,12*(AO122-Variables!$C$3*AP122*F122)*(G122/5))</f>
        <v>0</v>
      </c>
      <c r="AS122" s="22"/>
    </row>
    <row r="123" spans="1:45" ht="14.25" customHeight="1" x14ac:dyDescent="0.35">
      <c r="A123" s="30">
        <v>36</v>
      </c>
      <c r="B123" s="28" t="s">
        <v>189</v>
      </c>
      <c r="C123" s="28">
        <v>2021</v>
      </c>
      <c r="D123" s="196">
        <f>Population!F37</f>
        <v>1485278.0823472277</v>
      </c>
      <c r="E123" s="303" t="str">
        <f t="shared" si="18"/>
        <v>Large</v>
      </c>
      <c r="F123" s="340">
        <f>VLOOKUP(A123,'Household Information'!$H$2:$M$49,6,FALSE)</f>
        <v>4.8963166666666664</v>
      </c>
      <c r="G123" s="196">
        <f t="shared" si="13"/>
        <v>303346</v>
      </c>
      <c r="H123" s="213">
        <f>Area!H37</f>
        <v>65.110327547120136</v>
      </c>
      <c r="I123" s="213"/>
      <c r="J123" s="32">
        <f>D123*Variables!$C$20</f>
        <v>1336.7502741125049</v>
      </c>
      <c r="K123" s="202">
        <f t="shared" si="21"/>
        <v>1305.8027489621031</v>
      </c>
      <c r="L123" s="32">
        <f t="shared" si="14"/>
        <v>30.947525150401816</v>
      </c>
      <c r="N123" s="117"/>
      <c r="O123" s="117"/>
      <c r="P123" s="117"/>
      <c r="Q123" s="117"/>
      <c r="R123" s="108"/>
      <c r="S123" s="198">
        <f>$L123*Variables!$C$21/100</f>
        <v>1.6804086054516822</v>
      </c>
      <c r="T123" s="198">
        <f>$L123*Variables!$C$22/100</f>
        <v>2.9407150595404441</v>
      </c>
      <c r="U123" s="198">
        <f>$L123*Variables!$C$23/100</f>
        <v>3.080749109994751</v>
      </c>
      <c r="V123" s="198">
        <f>$L123*Variables!$C$24/100</f>
        <v>22.405448072689097</v>
      </c>
      <c r="W123" s="22">
        <f>S123*Variables!$E$25*Variables!$C$15+'Cost Calculations'!T123*Variables!$E$26*Variables!$C$15+'Cost Calculations'!U123*Variables!$E$27*Variables!$C$15+V123*Variables!$E$28*Variables!$C$15</f>
        <v>20757796.687430352</v>
      </c>
      <c r="X123" s="20">
        <f>J123*Variables!$E$29*Variables!$C$15</f>
        <v>228504.09185679158</v>
      </c>
      <c r="Z123" s="33">
        <f>D123*(IF(D123&lt;50000,0,IF(D123&gt;Variables!$C$7,Variables!$C$37,IF(D123&gt;Variables!$C$6,Variables!$C$36,IF(D123&gt;Variables!$C$5,Variables!$C$35)))))</f>
        <v>742.63904117361392</v>
      </c>
      <c r="AA123" s="34">
        <f t="shared" si="20"/>
        <v>725</v>
      </c>
      <c r="AB123" s="35">
        <f t="shared" si="15"/>
        <v>18</v>
      </c>
      <c r="AC123" s="22">
        <f>AB123*Variables!$E$41</f>
        <v>6652800.0000000009</v>
      </c>
      <c r="AD123" s="115">
        <f>ROUND(IF(D123&lt;50000,0,(H123/(3.14*Variables!$C$34^2))),0)</f>
        <v>83</v>
      </c>
      <c r="AE123" s="116">
        <f t="shared" si="22"/>
        <v>82</v>
      </c>
      <c r="AF123" s="117">
        <f t="shared" si="16"/>
        <v>1</v>
      </c>
      <c r="AG123" s="107">
        <f>AF123*Variables!$E$42*Variables!$C$15</f>
        <v>677.54399999999998</v>
      </c>
      <c r="AH123" s="199">
        <f>ROUND((Z123)/Variables!$C$40,0)</f>
        <v>6</v>
      </c>
      <c r="AI123" s="33">
        <f t="shared" si="23"/>
        <v>6</v>
      </c>
      <c r="AJ123" s="199">
        <f t="shared" si="19"/>
        <v>0</v>
      </c>
      <c r="AK123" s="22">
        <f>AJ123*Variables!$E$43*Variables!$C$15</f>
        <v>0</v>
      </c>
      <c r="AL123" s="20">
        <f>Z123*Variables!$E$38*Variables!$C$15</f>
        <v>131653943.37338987</v>
      </c>
      <c r="AM123" s="98"/>
      <c r="AN123" s="200">
        <f t="shared" si="24"/>
        <v>0.28000000000000003</v>
      </c>
      <c r="AO123" s="201">
        <f t="shared" si="17"/>
        <v>82.258120000000005</v>
      </c>
      <c r="AP123" s="321">
        <f>VLOOKUP(A123,'Household Information'!H:Q,10,FALSE)</f>
        <v>50.200681560015155</v>
      </c>
      <c r="AQ123" s="122">
        <f>IF(12*(AO123-Variables!$C$3*AP123*F123)*(G123/5)&lt;0,0,12*(AO123-Variables!$C$3*AP123*F123)*(G123/5))</f>
        <v>33044102.19499404</v>
      </c>
      <c r="AS123" s="22"/>
    </row>
    <row r="124" spans="1:45" ht="14.25" customHeight="1" x14ac:dyDescent="0.35">
      <c r="A124" s="30">
        <v>37</v>
      </c>
      <c r="B124" s="28" t="s">
        <v>190</v>
      </c>
      <c r="C124" s="28">
        <v>2021</v>
      </c>
      <c r="D124" s="196">
        <f>Population!F38</f>
        <v>247804.61247293922</v>
      </c>
      <c r="E124" s="303" t="str">
        <f t="shared" si="18"/>
        <v>Medium</v>
      </c>
      <c r="F124" s="340">
        <f>VLOOKUP(A124,'Household Information'!$H$2:$M$49,6,FALSE)</f>
        <v>5.027102564102564</v>
      </c>
      <c r="G124" s="196">
        <f t="shared" si="13"/>
        <v>49294</v>
      </c>
      <c r="H124" s="213">
        <f>Area!H38</f>
        <v>27.3607379581895</v>
      </c>
      <c r="I124" s="213"/>
      <c r="J124" s="32">
        <f>D124*Variables!$C$20</f>
        <v>223.02415122564528</v>
      </c>
      <c r="K124" s="202">
        <f t="shared" si="21"/>
        <v>217.86084910192952</v>
      </c>
      <c r="L124" s="32">
        <f t="shared" si="14"/>
        <v>5.1633021237157664</v>
      </c>
      <c r="N124" s="117"/>
      <c r="O124" s="117"/>
      <c r="P124" s="117"/>
      <c r="Q124" s="117"/>
      <c r="R124" s="108"/>
      <c r="S124" s="198">
        <f>$L124*Variables!$C$21/100</f>
        <v>0.2803602963103583</v>
      </c>
      <c r="T124" s="198">
        <f>$L124*Variables!$C$22/100</f>
        <v>0.49063051854312711</v>
      </c>
      <c r="U124" s="198">
        <f>$L124*Variables!$C$23/100</f>
        <v>0.51399387656899032</v>
      </c>
      <c r="V124" s="198">
        <f>$L124*Variables!$C$24/100</f>
        <v>3.7381372841381113</v>
      </c>
      <c r="W124" s="22">
        <f>S124*Variables!$E$25*Variables!$C$15+'Cost Calculations'!T124*Variables!$E$26*Variables!$C$15+'Cost Calculations'!U124*Variables!$E$27*Variables!$C$15+V124*Variables!$E$28*Variables!$C$15</f>
        <v>3463242.2204680769</v>
      </c>
      <c r="X124" s="20">
        <f>J124*Variables!$E$29*Variables!$C$15</f>
        <v>38123.748410511806</v>
      </c>
      <c r="Z124" s="33">
        <f>D124*(IF(D124&lt;50000,0,IF(D124&gt;Variables!$C$7,Variables!$C$37,IF(D124&gt;Variables!$C$6,Variables!$C$36,IF(D124&gt;Variables!$C$5,Variables!$C$35)))))</f>
        <v>123.90230623646961</v>
      </c>
      <c r="AA124" s="34">
        <f t="shared" si="20"/>
        <v>121</v>
      </c>
      <c r="AB124" s="35">
        <f t="shared" si="15"/>
        <v>3</v>
      </c>
      <c r="AC124" s="22">
        <f>AB124*Variables!$E$41</f>
        <v>1108800.0000000002</v>
      </c>
      <c r="AD124" s="115">
        <f>ROUND(IF(D124&lt;50000,0,(H124/(3.14*Variables!$C$34^2))),0)</f>
        <v>35</v>
      </c>
      <c r="AE124" s="116">
        <f t="shared" si="22"/>
        <v>34</v>
      </c>
      <c r="AF124" s="117">
        <f t="shared" si="16"/>
        <v>1</v>
      </c>
      <c r="AG124" s="107">
        <f>AF124*Variables!$E$42*Variables!$C$15</f>
        <v>677.54399999999998</v>
      </c>
      <c r="AH124" s="199">
        <f>ROUND((Z124)/Variables!$C$40,0)</f>
        <v>1</v>
      </c>
      <c r="AI124" s="33">
        <f t="shared" si="23"/>
        <v>1</v>
      </c>
      <c r="AJ124" s="199">
        <f t="shared" si="19"/>
        <v>0</v>
      </c>
      <c r="AK124" s="22">
        <f>AJ124*Variables!$E$43*Variables!$C$15</f>
        <v>0</v>
      </c>
      <c r="AL124" s="20">
        <f>Z124*Variables!$E$38*Variables!$C$15</f>
        <v>21965216.349668197</v>
      </c>
      <c r="AM124" s="98"/>
      <c r="AN124" s="200">
        <f t="shared" si="24"/>
        <v>0.14000000000000001</v>
      </c>
      <c r="AO124" s="201">
        <f t="shared" si="17"/>
        <v>42.22766153846154</v>
      </c>
      <c r="AP124" s="321">
        <f>VLOOKUP(A124,'Household Information'!H:Q,10,FALSE)</f>
        <v>74.965290925154619</v>
      </c>
      <c r="AQ124" s="122">
        <f>IF(12*(AO124-Variables!$C$3*AP124*F124)*(G124/5)&lt;0,0,12*(AO124-Variables!$C$3*AP124*F124)*(G124/5))</f>
        <v>0</v>
      </c>
      <c r="AS124" s="22"/>
    </row>
    <row r="125" spans="1:45" ht="14.25" customHeight="1" x14ac:dyDescent="0.35">
      <c r="A125" s="30">
        <v>38</v>
      </c>
      <c r="B125" s="28" t="s">
        <v>191</v>
      </c>
      <c r="C125" s="28">
        <v>2021</v>
      </c>
      <c r="D125" s="196">
        <f>Population!F39</f>
        <v>1089765.4542083084</v>
      </c>
      <c r="E125" s="303" t="str">
        <f t="shared" si="18"/>
        <v>Large</v>
      </c>
      <c r="F125" s="340">
        <f>VLOOKUP(A125,'Household Information'!$H$2:$M$49,6,FALSE)</f>
        <v>4.5378736842105267</v>
      </c>
      <c r="G125" s="196">
        <f t="shared" si="13"/>
        <v>240149</v>
      </c>
      <c r="H125" s="213">
        <f>Area!H39</f>
        <v>110.06011133557433</v>
      </c>
      <c r="I125" s="213"/>
      <c r="J125" s="32">
        <f>D125*Variables!$C$20</f>
        <v>980.78890878747745</v>
      </c>
      <c r="K125" s="202">
        <f t="shared" si="21"/>
        <v>958.08235692827714</v>
      </c>
      <c r="L125" s="32">
        <f t="shared" si="14"/>
        <v>22.706551859200317</v>
      </c>
      <c r="N125" s="117"/>
      <c r="O125" s="117"/>
      <c r="P125" s="117"/>
      <c r="Q125" s="117"/>
      <c r="R125" s="108"/>
      <c r="S125" s="198">
        <f>$L125*Variables!$C$21/100</f>
        <v>1.2329349425810125</v>
      </c>
      <c r="T125" s="198">
        <f>$L125*Variables!$C$22/100</f>
        <v>2.1576361495167724</v>
      </c>
      <c r="U125" s="198">
        <f>$L125*Variables!$C$23/100</f>
        <v>2.26038072806519</v>
      </c>
      <c r="V125" s="198">
        <f>$L125*Variables!$C$24/100</f>
        <v>16.439132567746835</v>
      </c>
      <c r="W125" s="22">
        <f>S125*Variables!$E$25*Variables!$C$15+'Cost Calculations'!T125*Variables!$E$26*Variables!$C$15+'Cost Calculations'!U125*Variables!$E$27*Variables!$C$15+V125*Variables!$E$28*Variables!$C$15</f>
        <v>15230231.97089975</v>
      </c>
      <c r="X125" s="20">
        <f>J125*Variables!$E$29*Variables!$C$15</f>
        <v>167656.05606813138</v>
      </c>
      <c r="Z125" s="33">
        <f>D125*(IF(D125&lt;50000,0,IF(D125&gt;Variables!$C$7,Variables!$C$37,IF(D125&gt;Variables!$C$6,Variables!$C$36,IF(D125&gt;Variables!$C$5,Variables!$C$35)))))</f>
        <v>544.88272710415424</v>
      </c>
      <c r="AA125" s="34">
        <f t="shared" si="20"/>
        <v>532</v>
      </c>
      <c r="AB125" s="35">
        <f t="shared" si="15"/>
        <v>13</v>
      </c>
      <c r="AC125" s="22">
        <f>AB125*Variables!$E$41</f>
        <v>4804800.0000000009</v>
      </c>
      <c r="AD125" s="115">
        <f>ROUND(IF(D125&lt;50000,0,(H125/(3.14*Variables!$C$34^2))),0)</f>
        <v>140</v>
      </c>
      <c r="AE125" s="116">
        <f t="shared" si="22"/>
        <v>138</v>
      </c>
      <c r="AF125" s="117">
        <f t="shared" si="16"/>
        <v>2</v>
      </c>
      <c r="AG125" s="107">
        <f>AF125*Variables!$E$42*Variables!$C$15</f>
        <v>1355.088</v>
      </c>
      <c r="AH125" s="199">
        <f>ROUND((Z125)/Variables!$C$40,0)</f>
        <v>4</v>
      </c>
      <c r="AI125" s="33">
        <f t="shared" si="23"/>
        <v>4</v>
      </c>
      <c r="AJ125" s="199">
        <f t="shared" si="19"/>
        <v>0</v>
      </c>
      <c r="AK125" s="22">
        <f>AJ125*Variables!$E$43*Variables!$C$15</f>
        <v>0</v>
      </c>
      <c r="AL125" s="20">
        <f>Z125*Variables!$E$38*Variables!$C$15</f>
        <v>96595998.489309356</v>
      </c>
      <c r="AM125" s="98"/>
      <c r="AN125" s="200">
        <f t="shared" si="24"/>
        <v>0.21</v>
      </c>
      <c r="AO125" s="201">
        <f t="shared" si="17"/>
        <v>57.177208421052633</v>
      </c>
      <c r="AP125" s="321">
        <f>VLOOKUP(A125,'Household Information'!H:Q,10,FALSE)</f>
        <v>100.71942446043167</v>
      </c>
      <c r="AQ125" s="122">
        <f>IF(12*(AO125-Variables!$C$3*AP125*F125)*(G125/5)&lt;0,0,12*(AO125-Variables!$C$3*AP125*F125)*(G125/5))</f>
        <v>0</v>
      </c>
      <c r="AS125" s="22"/>
    </row>
    <row r="126" spans="1:45" ht="14.25" customHeight="1" x14ac:dyDescent="0.35">
      <c r="A126" s="30">
        <v>39</v>
      </c>
      <c r="B126" s="28" t="s">
        <v>192</v>
      </c>
      <c r="C126" s="28">
        <v>2021</v>
      </c>
      <c r="D126" s="196">
        <f>Population!F40</f>
        <v>89714.579909563166</v>
      </c>
      <c r="E126" s="303" t="str">
        <f t="shared" si="18"/>
        <v>Small</v>
      </c>
      <c r="F126" s="340">
        <f>VLOOKUP(A126,'Household Information'!$H$2:$M$49,6,FALSE)</f>
        <v>3.6693548387096775</v>
      </c>
      <c r="G126" s="196">
        <f t="shared" si="13"/>
        <v>24450</v>
      </c>
      <c r="H126" s="213">
        <f>Area!H40</f>
        <v>26.229278869692944</v>
      </c>
      <c r="I126" s="213"/>
      <c r="J126" s="32">
        <f>D126*Variables!$C$20</f>
        <v>80.743121918606846</v>
      </c>
      <c r="K126" s="202">
        <f t="shared" si="21"/>
        <v>78.873812560913194</v>
      </c>
      <c r="L126" s="32">
        <f t="shared" si="14"/>
        <v>1.8693093576936519</v>
      </c>
      <c r="N126" s="117"/>
      <c r="O126" s="117"/>
      <c r="P126" s="117"/>
      <c r="Q126" s="117"/>
      <c r="R126" s="108"/>
      <c r="S126" s="198">
        <f>$L126*Variables!$C$21/100</f>
        <v>0.10150096059875033</v>
      </c>
      <c r="T126" s="198">
        <f>$L126*Variables!$C$22/100</f>
        <v>0.1776266810478131</v>
      </c>
      <c r="U126" s="198">
        <f>$L126*Variables!$C$23/100</f>
        <v>0.18608509443104229</v>
      </c>
      <c r="V126" s="198">
        <f>$L126*Variables!$C$24/100</f>
        <v>1.3533461413166712</v>
      </c>
      <c r="W126" s="22">
        <f>S126*Variables!$E$25*Variables!$C$15+'Cost Calculations'!T126*Variables!$E$26*Variables!$C$15+'Cost Calculations'!U126*Variables!$E$27*Variables!$C$15+V126*Variables!$E$28*Variables!$C$15</f>
        <v>1253823.8002663695</v>
      </c>
      <c r="X126" s="20">
        <f>J126*Variables!$E$29*Variables!$C$15</f>
        <v>13802.229260766655</v>
      </c>
      <c r="Z126" s="33">
        <f>D126*(IF(D126&lt;50000,0,IF(D126&gt;Variables!$C$7,Variables!$C$37,IF(D126&gt;Variables!$C$6,Variables!$C$36,IF(D126&gt;Variables!$C$5,Variables!$C$35)))))</f>
        <v>44.857289954781585</v>
      </c>
      <c r="AA126" s="34">
        <f t="shared" si="20"/>
        <v>44</v>
      </c>
      <c r="AB126" s="35">
        <f t="shared" si="15"/>
        <v>1</v>
      </c>
      <c r="AC126" s="22">
        <f>AB126*Variables!$E$41</f>
        <v>369600.00000000006</v>
      </c>
      <c r="AD126" s="115">
        <f>ROUND(IF(D126&lt;50000,0,(H126/(3.14*Variables!$C$34^2))),0)</f>
        <v>33</v>
      </c>
      <c r="AE126" s="116">
        <f t="shared" si="22"/>
        <v>33</v>
      </c>
      <c r="AF126" s="117">
        <f t="shared" si="16"/>
        <v>0</v>
      </c>
      <c r="AG126" s="107">
        <f>AF126*Variables!$E$42*Variables!$C$15</f>
        <v>0</v>
      </c>
      <c r="AH126" s="199">
        <f>ROUND((Z126)/Variables!$C$40,0)</f>
        <v>0</v>
      </c>
      <c r="AI126" s="33">
        <f t="shared" si="23"/>
        <v>0</v>
      </c>
      <c r="AJ126" s="199">
        <f t="shared" si="19"/>
        <v>0</v>
      </c>
      <c r="AK126" s="22">
        <f>AJ126*Variables!$E$43*Variables!$C$15</f>
        <v>0</v>
      </c>
      <c r="AL126" s="20">
        <f>Z126*Variables!$E$38*Variables!$C$15</f>
        <v>7952233.5672760922</v>
      </c>
      <c r="AM126" s="98"/>
      <c r="AN126" s="200">
        <f t="shared" si="24"/>
        <v>0.25221875000000005</v>
      </c>
      <c r="AO126" s="201">
        <f t="shared" si="17"/>
        <v>55.5288054435484</v>
      </c>
      <c r="AP126" s="321">
        <f>VLOOKUP(A126,'Household Information'!H:Q,10,FALSE)</f>
        <v>69.973494888299896</v>
      </c>
      <c r="AQ126" s="122">
        <f>IF(12*(AO126-Variables!$C$3*AP126*F126)*(G126/5)&lt;0,0,12*(AO126-Variables!$C$3*AP126*F126)*(G126/5))</f>
        <v>998450.06622499134</v>
      </c>
      <c r="AS126" s="22"/>
    </row>
    <row r="127" spans="1:45" ht="14.25" customHeight="1" x14ac:dyDescent="0.35">
      <c r="A127" s="30">
        <v>40</v>
      </c>
      <c r="B127" s="28" t="s">
        <v>193</v>
      </c>
      <c r="C127" s="28">
        <v>2021</v>
      </c>
      <c r="D127" s="196">
        <f>Population!F41</f>
        <v>160186.91179794868</v>
      </c>
      <c r="E127" s="303" t="str">
        <f t="shared" si="18"/>
        <v>Medium</v>
      </c>
      <c r="F127" s="340">
        <f>VLOOKUP(A127,'Household Information'!$H$2:$M$49,6,FALSE)</f>
        <v>4.2245333333333335</v>
      </c>
      <c r="G127" s="196">
        <f t="shared" si="13"/>
        <v>37918</v>
      </c>
      <c r="H127" s="213">
        <f>Area!H41</f>
        <v>36.61813050043407</v>
      </c>
      <c r="I127" s="213"/>
      <c r="J127" s="32">
        <f>D127*Variables!$C$20</f>
        <v>144.16822061815381</v>
      </c>
      <c r="K127" s="202">
        <f t="shared" si="21"/>
        <v>172.36096000000003</v>
      </c>
      <c r="L127" s="32">
        <f t="shared" si="14"/>
        <v>0</v>
      </c>
      <c r="N127" s="117"/>
      <c r="O127" s="117"/>
      <c r="P127" s="117"/>
      <c r="Q127" s="117"/>
      <c r="R127" s="108"/>
      <c r="S127" s="198">
        <f>$L127*Variables!$C$21/100</f>
        <v>0</v>
      </c>
      <c r="T127" s="198">
        <f>$L127*Variables!$C$22/100</f>
        <v>0</v>
      </c>
      <c r="U127" s="198">
        <f>$L127*Variables!$C$23/100</f>
        <v>0</v>
      </c>
      <c r="V127" s="198">
        <f>$L127*Variables!$C$24/100</f>
        <v>0</v>
      </c>
      <c r="W127" s="22">
        <f>S127*Variables!$E$25*Variables!$C$15+'Cost Calculations'!T127*Variables!$E$26*Variables!$C$15+'Cost Calculations'!U127*Variables!$E$27*Variables!$C$15+V127*Variables!$E$28*Variables!$C$15</f>
        <v>0</v>
      </c>
      <c r="X127" s="20">
        <f>J127*Variables!$E$29*Variables!$C$15</f>
        <v>24644.115632467212</v>
      </c>
      <c r="Z127" s="33">
        <f>D127*(IF(D127&lt;50000,0,IF(D127&gt;Variables!$C$7,Variables!$C$37,IF(D127&gt;Variables!$C$6,Variables!$C$36,IF(D127&gt;Variables!$C$5,Variables!$C$35)))))</f>
        <v>80.093455898974341</v>
      </c>
      <c r="AA127" s="34">
        <f t="shared" si="20"/>
        <v>78</v>
      </c>
      <c r="AB127" s="35">
        <f t="shared" si="15"/>
        <v>2</v>
      </c>
      <c r="AC127" s="22">
        <f>AB127*Variables!$E$41</f>
        <v>739200.00000000012</v>
      </c>
      <c r="AD127" s="115">
        <f>ROUND(IF(D127&lt;50000,0,(H127/(3.14*Variables!$C$34^2))),0)</f>
        <v>47</v>
      </c>
      <c r="AE127" s="116">
        <f t="shared" si="22"/>
        <v>46</v>
      </c>
      <c r="AF127" s="117">
        <f t="shared" si="16"/>
        <v>1</v>
      </c>
      <c r="AG127" s="107">
        <f>AF127*Variables!$E$42*Variables!$C$15</f>
        <v>677.54399999999998</v>
      </c>
      <c r="AH127" s="199">
        <f>ROUND((Z127)/Variables!$C$40,0)</f>
        <v>1</v>
      </c>
      <c r="AI127" s="33">
        <f t="shared" si="23"/>
        <v>1</v>
      </c>
      <c r="AJ127" s="199">
        <f t="shared" si="19"/>
        <v>0</v>
      </c>
      <c r="AK127" s="22">
        <f>AJ127*Variables!$E$43*Variables!$C$15</f>
        <v>0</v>
      </c>
      <c r="AL127" s="20">
        <f>Z127*Variables!$E$38*Variables!$C$15</f>
        <v>14198848.596538501</v>
      </c>
      <c r="AM127" s="98"/>
      <c r="AN127" s="200">
        <f t="shared" si="24"/>
        <v>0.28000000000000003</v>
      </c>
      <c r="AO127" s="201">
        <f t="shared" si="17"/>
        <v>70.972160000000002</v>
      </c>
      <c r="AP127" s="321">
        <f>VLOOKUP(A127,'Household Information'!H:Q,10,FALSE)</f>
        <v>73.754890824182766</v>
      </c>
      <c r="AQ127" s="122">
        <f>IF(12*(AO127-Variables!$C$3*AP127*F127)*(G127/5)&lt;0,0,12*(AO127-Variables!$C$3*AP127*F127)*(G127/5))</f>
        <v>2205477.183724904</v>
      </c>
      <c r="AS127" s="22"/>
    </row>
    <row r="128" spans="1:45" ht="14.25" customHeight="1" x14ac:dyDescent="0.35">
      <c r="A128" s="30">
        <v>41</v>
      </c>
      <c r="B128" s="28" t="s">
        <v>194</v>
      </c>
      <c r="C128" s="28">
        <v>2021</v>
      </c>
      <c r="D128" s="196">
        <f>Population!F42</f>
        <v>77100.442018644026</v>
      </c>
      <c r="E128" s="303" t="str">
        <f t="shared" si="18"/>
        <v>Small</v>
      </c>
      <c r="F128" s="340">
        <f>VLOOKUP(A128,'Household Information'!$H$2:$M$49,6,FALSE)</f>
        <v>6.1423824388279122</v>
      </c>
      <c r="G128" s="196">
        <f t="shared" si="13"/>
        <v>12552</v>
      </c>
      <c r="H128" s="213">
        <f>Area!H42</f>
        <v>14.606108233319206</v>
      </c>
      <c r="I128" s="213"/>
      <c r="J128" s="32">
        <f>D128*Variables!$C$20</f>
        <v>69.390397816779625</v>
      </c>
      <c r="K128" s="202">
        <f t="shared" si="21"/>
        <v>67.78391893795019</v>
      </c>
      <c r="L128" s="32">
        <f t="shared" si="14"/>
        <v>1.6064788788294351</v>
      </c>
      <c r="N128" s="117"/>
      <c r="O128" s="117"/>
      <c r="P128" s="117"/>
      <c r="Q128" s="117"/>
      <c r="R128" s="108"/>
      <c r="S128" s="198">
        <f>$L128*Variables!$C$21/100</f>
        <v>8.7229622379878829E-2</v>
      </c>
      <c r="T128" s="198">
        <f>$L128*Variables!$C$22/100</f>
        <v>0.15265183916478794</v>
      </c>
      <c r="U128" s="198">
        <f>$L128*Variables!$C$23/100</f>
        <v>0.15992097436311117</v>
      </c>
      <c r="V128" s="198">
        <f>$L128*Variables!$C$24/100</f>
        <v>1.1630616317317177</v>
      </c>
      <c r="W128" s="22">
        <f>S128*Variables!$E$25*Variables!$C$15+'Cost Calculations'!T128*Variables!$E$26*Variables!$C$15+'Cost Calculations'!U128*Variables!$E$27*Variables!$C$15+V128*Variables!$E$28*Variables!$C$15</f>
        <v>1077532.4290821201</v>
      </c>
      <c r="X128" s="20">
        <f>J128*Variables!$E$29*Variables!$C$15</f>
        <v>11861.594602800309</v>
      </c>
      <c r="Z128" s="33">
        <f>D128*(IF(D128&lt;50000,0,IF(D128&gt;Variables!$C$7,Variables!$C$37,IF(D128&gt;Variables!$C$6,Variables!$C$36,IF(D128&gt;Variables!$C$5,Variables!$C$35)))))</f>
        <v>38.550221009322016</v>
      </c>
      <c r="AA128" s="34">
        <f t="shared" si="20"/>
        <v>38</v>
      </c>
      <c r="AB128" s="35">
        <f t="shared" si="15"/>
        <v>1</v>
      </c>
      <c r="AC128" s="22">
        <f>AB128*Variables!$E$41</f>
        <v>369600.00000000006</v>
      </c>
      <c r="AD128" s="115">
        <f>ROUND(IF(D128&lt;50000,0,(H128/(3.14*Variables!$C$34^2))),0)</f>
        <v>19</v>
      </c>
      <c r="AE128" s="116">
        <f t="shared" si="22"/>
        <v>18</v>
      </c>
      <c r="AF128" s="117">
        <f t="shared" si="16"/>
        <v>1</v>
      </c>
      <c r="AG128" s="107">
        <f>AF128*Variables!$E$42*Variables!$C$15</f>
        <v>677.54399999999998</v>
      </c>
      <c r="AH128" s="199">
        <f>ROUND((Z128)/Variables!$C$40,0)</f>
        <v>0</v>
      </c>
      <c r="AI128" s="33">
        <f t="shared" si="23"/>
        <v>0</v>
      </c>
      <c r="AJ128" s="199">
        <f t="shared" si="19"/>
        <v>0</v>
      </c>
      <c r="AK128" s="22">
        <f>AJ128*Variables!$E$43*Variables!$C$15</f>
        <v>0</v>
      </c>
      <c r="AL128" s="20">
        <f>Z128*Variables!$E$38*Variables!$C$15</f>
        <v>6834125.7763291299</v>
      </c>
      <c r="AM128" s="98"/>
      <c r="AN128" s="200">
        <f t="shared" si="24"/>
        <v>0.25221875000000005</v>
      </c>
      <c r="AO128" s="201">
        <f t="shared" si="17"/>
        <v>92.953441244587665</v>
      </c>
      <c r="AP128" s="321">
        <f>VLOOKUP(A128,'Household Information'!H:Q,10,FALSE)</f>
        <v>110.04922377887165</v>
      </c>
      <c r="AQ128" s="122">
        <f>IF(12*(AO128-Variables!$C$3*AP128*F128)*(G128/5)&lt;0,0,12*(AO128-Variables!$C$3*AP128*F128)*(G128/5))</f>
        <v>0</v>
      </c>
      <c r="AS128" s="22"/>
    </row>
    <row r="129" spans="1:45" ht="14.25" customHeight="1" x14ac:dyDescent="0.35">
      <c r="A129" s="30">
        <v>42</v>
      </c>
      <c r="B129" s="28" t="s">
        <v>195</v>
      </c>
      <c r="C129" s="28">
        <v>2021</v>
      </c>
      <c r="D129" s="196">
        <f>Population!F43</f>
        <v>95478.153935874914</v>
      </c>
      <c r="E129" s="303" t="str">
        <f t="shared" si="18"/>
        <v>Small</v>
      </c>
      <c r="F129" s="340">
        <f>VLOOKUP(A129,'Household Information'!$H$2:$M$49,6,FALSE)</f>
        <v>4.2419137466307282</v>
      </c>
      <c r="G129" s="196">
        <f t="shared" si="13"/>
        <v>22508</v>
      </c>
      <c r="H129" s="213">
        <f>Area!H43</f>
        <v>15.428987570407614</v>
      </c>
      <c r="I129" s="213"/>
      <c r="J129" s="32">
        <f>D129*Variables!$C$20</f>
        <v>85.930338542287416</v>
      </c>
      <c r="K129" s="202">
        <f t="shared" si="21"/>
        <v>110.2884</v>
      </c>
      <c r="L129" s="32">
        <f t="shared" si="14"/>
        <v>0</v>
      </c>
      <c r="N129" s="117"/>
      <c r="O129" s="117"/>
      <c r="P129" s="117"/>
      <c r="Q129" s="117"/>
      <c r="R129" s="108"/>
      <c r="S129" s="198">
        <f>$L129*Variables!$C$21/100</f>
        <v>0</v>
      </c>
      <c r="T129" s="198">
        <f>$L129*Variables!$C$22/100</f>
        <v>0</v>
      </c>
      <c r="U129" s="198">
        <f>$L129*Variables!$C$23/100</f>
        <v>0</v>
      </c>
      <c r="V129" s="198">
        <f>$L129*Variables!$C$24/100</f>
        <v>0</v>
      </c>
      <c r="W129" s="22">
        <f>S129*Variables!$E$25*Variables!$C$15+'Cost Calculations'!T129*Variables!$E$26*Variables!$C$15+'Cost Calculations'!U129*Variables!$E$27*Variables!$C$15+V129*Variables!$E$28*Variables!$C$15</f>
        <v>0</v>
      </c>
      <c r="X129" s="20">
        <f>J129*Variables!$E$29*Variables!$C$15</f>
        <v>14688.932070418612</v>
      </c>
      <c r="Z129" s="33">
        <f>D129*(IF(D129&lt;50000,0,IF(D129&gt;Variables!$C$7,Variables!$C$37,IF(D129&gt;Variables!$C$6,Variables!$C$36,IF(D129&gt;Variables!$C$5,Variables!$C$35)))))</f>
        <v>47.739076967937457</v>
      </c>
      <c r="AA129" s="34">
        <f t="shared" si="20"/>
        <v>47</v>
      </c>
      <c r="AB129" s="35">
        <f t="shared" si="15"/>
        <v>1</v>
      </c>
      <c r="AC129" s="22">
        <f>AB129*Variables!$E$41</f>
        <v>369600.00000000006</v>
      </c>
      <c r="AD129" s="115">
        <f>ROUND(IF(D129&lt;50000,0,(H129/(3.14*Variables!$C$34^2))),0)</f>
        <v>20</v>
      </c>
      <c r="AE129" s="116">
        <f t="shared" si="22"/>
        <v>19</v>
      </c>
      <c r="AF129" s="117">
        <f t="shared" si="16"/>
        <v>1</v>
      </c>
      <c r="AG129" s="107">
        <f>AF129*Variables!$E$42*Variables!$C$15</f>
        <v>677.54399999999998</v>
      </c>
      <c r="AH129" s="199">
        <f>ROUND((Z129)/Variables!$C$40,0)</f>
        <v>0</v>
      </c>
      <c r="AI129" s="33">
        <f t="shared" si="23"/>
        <v>0</v>
      </c>
      <c r="AJ129" s="199">
        <f t="shared" si="19"/>
        <v>0</v>
      </c>
      <c r="AK129" s="22">
        <f>AJ129*Variables!$E$43*Variables!$C$15</f>
        <v>0</v>
      </c>
      <c r="AL129" s="20">
        <f>Z129*Variables!$E$38*Variables!$C$15</f>
        <v>8463112.4777688924</v>
      </c>
      <c r="AM129" s="98"/>
      <c r="AN129" s="200">
        <f t="shared" si="24"/>
        <v>0.25221875000000005</v>
      </c>
      <c r="AO129" s="201">
        <f t="shared" si="17"/>
        <v>64.193410966981148</v>
      </c>
      <c r="AP129" s="321">
        <f>VLOOKUP(A129,'Household Information'!H:Q,10,FALSE)</f>
        <v>81.833648870377388</v>
      </c>
      <c r="AQ129" s="122">
        <f>IF(12*(AO129-Variables!$C$3*AP129*F129)*(G129/5)&lt;0,0,12*(AO129-Variables!$C$3*AP129*F129)*(G129/5))</f>
        <v>654913.59897124849</v>
      </c>
      <c r="AS129" s="22"/>
    </row>
    <row r="130" spans="1:45" ht="14.25" customHeight="1" x14ac:dyDescent="0.35">
      <c r="A130" s="30">
        <v>1</v>
      </c>
      <c r="B130" s="28" t="s">
        <v>154</v>
      </c>
      <c r="C130" s="28">
        <v>2022</v>
      </c>
      <c r="D130" s="196">
        <f>Population!G2</f>
        <v>517564.01161777606</v>
      </c>
      <c r="E130" s="303" t="str">
        <f t="shared" si="18"/>
        <v>Medium</v>
      </c>
      <c r="F130" s="340">
        <f>VLOOKUP(A130,'Household Information'!$H$2:$M$49,6,FALSE)</f>
        <v>3.974207650273224</v>
      </c>
      <c r="G130" s="196">
        <f t="shared" si="13"/>
        <v>130231</v>
      </c>
      <c r="H130" s="213">
        <f>Area!I2</f>
        <v>107.04075266828251</v>
      </c>
      <c r="I130" s="213"/>
      <c r="J130" s="32">
        <f>D130*Variables!$C$20</f>
        <v>465.80761045599843</v>
      </c>
      <c r="K130" s="202">
        <f t="shared" si="21"/>
        <v>455.02355226726422</v>
      </c>
      <c r="L130" s="32">
        <f t="shared" si="14"/>
        <v>10.784058188734207</v>
      </c>
      <c r="N130" s="117"/>
      <c r="O130" s="117"/>
      <c r="P130" s="117"/>
      <c r="Q130" s="117"/>
      <c r="R130" s="108"/>
      <c r="S130" s="198">
        <f>$L130*Variables!$C$21/100</f>
        <v>0.58555972065525097</v>
      </c>
      <c r="T130" s="198">
        <f>$L130*Variables!$C$22/100</f>
        <v>1.0247295111466892</v>
      </c>
      <c r="U130" s="198">
        <f>$L130*Variables!$C$23/100</f>
        <v>1.0735261545346269</v>
      </c>
      <c r="V130" s="198">
        <f>$L130*Variables!$C$24/100</f>
        <v>7.8074629420700141</v>
      </c>
      <c r="W130" s="22">
        <f>S130*Variables!$E$25*Variables!$C$15+'Cost Calculations'!T130*Variables!$E$26*Variables!$C$15+'Cost Calculations'!U130*Variables!$E$27*Variables!$C$15+V130*Variables!$E$28*Variables!$C$15</f>
        <v>7233317.8908251598</v>
      </c>
      <c r="X130" s="20">
        <f>J130*Variables!$E$29*Variables!$C$15</f>
        <v>79625.152931348377</v>
      </c>
      <c r="Z130" s="33">
        <f>D130*(IF(D130&lt;50000,0,IF(D130&gt;Variables!$C$7,Variables!$C$37,IF(D130&gt;Variables!$C$6,Variables!$C$36,IF(D130&gt;Variables!$C$5,Variables!$C$35)))))</f>
        <v>258.78200580888802</v>
      </c>
      <c r="AA130" s="34">
        <f t="shared" si="20"/>
        <v>253</v>
      </c>
      <c r="AB130" s="35">
        <f t="shared" si="15"/>
        <v>6</v>
      </c>
      <c r="AC130" s="22">
        <f>AB130*Variables!$E$41</f>
        <v>2217600.0000000005</v>
      </c>
      <c r="AD130" s="115">
        <f>ROUND(IF(D130&lt;50000,0,(H130/(3.14*Variables!$C$34^2))),0)</f>
        <v>136</v>
      </c>
      <c r="AE130" s="116">
        <f>AE88+AF88</f>
        <v>134</v>
      </c>
      <c r="AF130" s="117">
        <f t="shared" si="16"/>
        <v>2</v>
      </c>
      <c r="AG130" s="107">
        <f>AF130*Variables!$E$42*Variables!$C$15</f>
        <v>1355.088</v>
      </c>
      <c r="AH130" s="199">
        <f>ROUND((Z130)/Variables!$C$40,0)</f>
        <v>2</v>
      </c>
      <c r="AI130" s="33">
        <f t="shared" si="23"/>
        <v>2</v>
      </c>
      <c r="AJ130" s="199">
        <f t="shared" si="19"/>
        <v>0</v>
      </c>
      <c r="AK130" s="22">
        <f>AJ130*Variables!$E$43*Variables!$C$15</f>
        <v>0</v>
      </c>
      <c r="AL130" s="20">
        <f>Z130*Variables!$E$38*Variables!$C$15</f>
        <v>45876488.643761985</v>
      </c>
      <c r="AM130" s="98"/>
      <c r="AN130" s="200">
        <f t="shared" si="24"/>
        <v>0.14000000000000001</v>
      </c>
      <c r="AO130" s="201">
        <f t="shared" si="17"/>
        <v>33.383344262295083</v>
      </c>
      <c r="AP130" s="321">
        <f>VLOOKUP(A130,'Household Information'!H:Q,10,FALSE)</f>
        <v>73.860911270983223</v>
      </c>
      <c r="AQ130" s="122">
        <f>IF(12*(AO130-Variables!$C$3*AP130*F130)*(G130/5)&lt;0,0,12*(AO130-Variables!$C$3*AP130*F130)*(G130/5))</f>
        <v>0</v>
      </c>
      <c r="AS130" s="22"/>
    </row>
    <row r="131" spans="1:45" ht="14.25" customHeight="1" x14ac:dyDescent="0.35">
      <c r="A131" s="30">
        <v>2</v>
      </c>
      <c r="B131" s="28" t="s">
        <v>155</v>
      </c>
      <c r="C131" s="28">
        <v>2022</v>
      </c>
      <c r="D131" s="196">
        <f>Population!G3</f>
        <v>379650.10858101764</v>
      </c>
      <c r="E131" s="303" t="str">
        <f t="shared" si="18"/>
        <v>Medium</v>
      </c>
      <c r="F131" s="340">
        <f>VLOOKUP(A131,'Household Information'!$H$2:$M$49,6,FALSE)</f>
        <v>4.8390533520244086</v>
      </c>
      <c r="G131" s="196">
        <f t="shared" si="13"/>
        <v>78455</v>
      </c>
      <c r="H131" s="213">
        <f>Area!I3</f>
        <v>643.6529469658567</v>
      </c>
      <c r="I131" s="213"/>
      <c r="J131" s="32">
        <f>D131*Variables!$C$20</f>
        <v>341.68509772291588</v>
      </c>
      <c r="K131" s="202">
        <f t="shared" si="21"/>
        <v>333.77463878374112</v>
      </c>
      <c r="L131" s="32">
        <f t="shared" si="14"/>
        <v>7.9104589391747595</v>
      </c>
      <c r="N131" s="117"/>
      <c r="O131" s="117"/>
      <c r="P131" s="117"/>
      <c r="Q131" s="117"/>
      <c r="R131" s="108"/>
      <c r="S131" s="198">
        <f>$L131*Variables!$C$21/100</f>
        <v>0.42952718221763397</v>
      </c>
      <c r="T131" s="198">
        <f>$L131*Variables!$C$22/100</f>
        <v>0.75167256888085943</v>
      </c>
      <c r="U131" s="198">
        <f>$L131*Variables!$C$23/100</f>
        <v>0.78746650073232904</v>
      </c>
      <c r="V131" s="198">
        <f>$L131*Variables!$C$24/100</f>
        <v>5.7270290962351202</v>
      </c>
      <c r="W131" s="22">
        <f>S131*Variables!$E$25*Variables!$C$15+'Cost Calculations'!T131*Variables!$E$26*Variables!$C$15+'Cost Calculations'!U131*Variables!$E$27*Variables!$C$15+V131*Variables!$E$28*Variables!$C$15</f>
        <v>5305874.9468864612</v>
      </c>
      <c r="X131" s="20">
        <f>J131*Variables!$E$29*Variables!$C$15</f>
        <v>58407.650604755247</v>
      </c>
      <c r="Z131" s="33">
        <f>D131*(IF(D131&lt;50000,0,IF(D131&gt;Variables!$C$7,Variables!$C$37,IF(D131&gt;Variables!$C$6,Variables!$C$36,IF(D131&gt;Variables!$C$5,Variables!$C$35)))))</f>
        <v>189.82505429050883</v>
      </c>
      <c r="AA131" s="34">
        <f t="shared" si="20"/>
        <v>262</v>
      </c>
      <c r="AB131" s="35">
        <f t="shared" si="15"/>
        <v>0</v>
      </c>
      <c r="AC131" s="22">
        <f>AB131*Variables!$E$41</f>
        <v>0</v>
      </c>
      <c r="AD131" s="115">
        <f>ROUND(IF(D131&lt;50000,0,(H131/(3.14*Variables!$C$34^2))),0)</f>
        <v>820</v>
      </c>
      <c r="AE131" s="116">
        <f t="shared" si="22"/>
        <v>808</v>
      </c>
      <c r="AF131" s="117">
        <f t="shared" si="16"/>
        <v>12</v>
      </c>
      <c r="AG131" s="107">
        <f>AF131*Variables!$E$42*Variables!$C$15</f>
        <v>8130.5280000000002</v>
      </c>
      <c r="AH131" s="199">
        <f>ROUND((Z131)/Variables!$C$40,0)</f>
        <v>2</v>
      </c>
      <c r="AI131" s="33">
        <f t="shared" si="23"/>
        <v>1</v>
      </c>
      <c r="AJ131" s="199">
        <f t="shared" si="19"/>
        <v>1</v>
      </c>
      <c r="AK131" s="22">
        <f>AJ131*Variables!$E$43*Variables!$C$15</f>
        <v>552717.39600000007</v>
      </c>
      <c r="AL131" s="20">
        <f>Z131*Variables!$E$38*Variables!$C$15</f>
        <v>33651902.960715562</v>
      </c>
      <c r="AM131" s="98"/>
      <c r="AN131" s="200">
        <f t="shared" si="24"/>
        <v>0.49</v>
      </c>
      <c r="AO131" s="201">
        <f t="shared" si="17"/>
        <v>142.26816854951761</v>
      </c>
      <c r="AP131" s="321">
        <f>VLOOKUP(A131,'Household Information'!H:Q,10,FALSE)</f>
        <v>166.27540073204597</v>
      </c>
      <c r="AQ131" s="122">
        <f>IF(12*(AO131-Variables!$C$3*AP131*F131)*(G131/5)&lt;0,0,12*(AO131-Variables!$C$3*AP131*F131)*(G131/5))</f>
        <v>4062557.7374215047</v>
      </c>
      <c r="AS131" s="22"/>
    </row>
    <row r="132" spans="1:45" ht="14.25" customHeight="1" x14ac:dyDescent="0.35">
      <c r="A132" s="30">
        <v>3</v>
      </c>
      <c r="B132" s="28" t="s">
        <v>156</v>
      </c>
      <c r="C132" s="28">
        <v>2022</v>
      </c>
      <c r="D132" s="196">
        <f>Population!G4</f>
        <v>10925246.512026692</v>
      </c>
      <c r="E132" s="303" t="str">
        <f t="shared" si="18"/>
        <v>Large</v>
      </c>
      <c r="F132" s="340">
        <f>VLOOKUP(A132,'Household Information'!$H$2:$M$49,6,FALSE)</f>
        <v>4.0172949204764796</v>
      </c>
      <c r="G132" s="196">
        <f t="shared" ref="G132:G195" si="25">ROUND(D132/F132,0)</f>
        <v>2719553</v>
      </c>
      <c r="H132" s="213">
        <f>Area!I4</f>
        <v>759.14428537110905</v>
      </c>
      <c r="I132" s="213"/>
      <c r="J132" s="32">
        <f>D132*Variables!$C$20</f>
        <v>9832.7218608240219</v>
      </c>
      <c r="K132" s="202">
        <f t="shared" si="21"/>
        <v>9710.2262499999997</v>
      </c>
      <c r="L132" s="32">
        <f t="shared" ref="L132:L195" si="26">IF(J132-K132&lt;0,0,J132-K132)</f>
        <v>122.49561082402215</v>
      </c>
      <c r="N132" s="117"/>
      <c r="O132" s="117"/>
      <c r="P132" s="117"/>
      <c r="Q132" s="117"/>
      <c r="R132" s="108"/>
      <c r="S132" s="198">
        <f>$L132*Variables!$C$21/100</f>
        <v>6.6513453841097991</v>
      </c>
      <c r="T132" s="198">
        <f>$L132*Variables!$C$22/100</f>
        <v>11.639854422192149</v>
      </c>
      <c r="U132" s="198">
        <f>$L132*Variables!$C$23/100</f>
        <v>12.1941332042013</v>
      </c>
      <c r="V132" s="198">
        <f>$L132*Variables!$C$24/100</f>
        <v>88.684605121463989</v>
      </c>
      <c r="W132" s="22">
        <f>S132*Variables!$E$25*Variables!$C$15+'Cost Calculations'!T132*Variables!$E$26*Variables!$C$15+'Cost Calculations'!U132*Variables!$E$27*Variables!$C$15+V132*Variables!$E$28*Variables!$C$15</f>
        <v>82162918.431447819</v>
      </c>
      <c r="X132" s="20">
        <f>J132*Variables!$E$29*Variables!$C$15</f>
        <v>1680805.4748892584</v>
      </c>
      <c r="Z132" s="33">
        <f>D132*(IF(D132&lt;50000,0,IF(D132&gt;Variables!$C$7,Variables!$C$37,IF(D132&gt;Variables!$C$6,Variables!$C$36,IF(D132&gt;Variables!$C$5,Variables!$C$35)))))</f>
        <v>5462.6232560133458</v>
      </c>
      <c r="AA132" s="34">
        <f t="shared" si="20"/>
        <v>5336</v>
      </c>
      <c r="AB132" s="35">
        <f t="shared" ref="AB132:AB195" si="27">IF(Z132-AA132&lt;0,0, ROUND(Z132-AA132,0))</f>
        <v>127</v>
      </c>
      <c r="AC132" s="22">
        <f>AB132*Variables!$E$41</f>
        <v>46939200.000000007</v>
      </c>
      <c r="AD132" s="115">
        <f>ROUND(IF(D132&lt;50000,0,(H132/(3.14*Variables!$C$34^2))),0)</f>
        <v>967</v>
      </c>
      <c r="AE132" s="116">
        <f t="shared" si="22"/>
        <v>954</v>
      </c>
      <c r="AF132" s="117">
        <f t="shared" ref="AF132:AF195" si="28">IF(AD132-AE132&lt;0,0,AD132-AE132)</f>
        <v>13</v>
      </c>
      <c r="AG132" s="107">
        <f>AF132*Variables!$E$42*Variables!$C$15</f>
        <v>8808.0720000000001</v>
      </c>
      <c r="AH132" s="199">
        <f>ROUND((Z132)/Variables!$C$40,0)</f>
        <v>44</v>
      </c>
      <c r="AI132" s="33">
        <f t="shared" si="23"/>
        <v>43</v>
      </c>
      <c r="AJ132" s="199">
        <f t="shared" si="19"/>
        <v>1</v>
      </c>
      <c r="AK132" s="22">
        <f>AJ132*Variables!$E$43*Variables!$C$15</f>
        <v>552717.39600000007</v>
      </c>
      <c r="AL132" s="20">
        <f>Z132*Variables!$E$38*Variables!$C$15</f>
        <v>968405716.56562674</v>
      </c>
      <c r="AM132" s="98"/>
      <c r="AN132" s="200">
        <f t="shared" si="24"/>
        <v>0.42</v>
      </c>
      <c r="AO132" s="201">
        <f t="shared" ref="AO132:AO195" si="29">AN132*2*30*F132</f>
        <v>101.23583199600728</v>
      </c>
      <c r="AP132" s="321">
        <f>VLOOKUP(A132,'Household Information'!H:Q,10,FALSE)</f>
        <v>132.525558500568</v>
      </c>
      <c r="AQ132" s="122">
        <f>IF(12*(AO132-Variables!$C$3*AP132*F132)*(G132/5)&lt;0,0,12*(AO132-Variables!$C$3*AP132*F132)*(G132/5))</f>
        <v>139524125.81727311</v>
      </c>
      <c r="AS132" s="22"/>
    </row>
    <row r="133" spans="1:45" ht="14.25" customHeight="1" x14ac:dyDescent="0.35">
      <c r="A133" s="30">
        <v>4</v>
      </c>
      <c r="B133" s="28" t="s">
        <v>157</v>
      </c>
      <c r="C133" s="28">
        <v>2022</v>
      </c>
      <c r="D133" s="196">
        <f>Population!G5</f>
        <v>2326709.0375178596</v>
      </c>
      <c r="E133" s="303" t="str">
        <f t="shared" ref="E133:E196" si="30">IF(D133&lt;100000,"Small",IF(D133&lt;1000000,"Medium","Large"))</f>
        <v>Large</v>
      </c>
      <c r="F133" s="340">
        <f>VLOOKUP(A133,'Household Information'!$H$2:$M$49,6,FALSE)</f>
        <v>4.6988894405393395</v>
      </c>
      <c r="G133" s="196">
        <f t="shared" si="25"/>
        <v>495161</v>
      </c>
      <c r="H133" s="213">
        <f>Area!I5</f>
        <v>419.71242493616046</v>
      </c>
      <c r="I133" s="213"/>
      <c r="J133" s="32">
        <f>D133*Variables!$C$20</f>
        <v>2094.0381337660738</v>
      </c>
      <c r="K133" s="202">
        <f t="shared" si="21"/>
        <v>2045.5583996933412</v>
      </c>
      <c r="L133" s="32">
        <f t="shared" si="26"/>
        <v>48.479734072732526</v>
      </c>
      <c r="N133" s="117"/>
      <c r="O133" s="117"/>
      <c r="P133" s="117"/>
      <c r="Q133" s="117"/>
      <c r="R133" s="108"/>
      <c r="S133" s="198">
        <f>$L133*Variables!$C$21/100</f>
        <v>2.6323837505556122</v>
      </c>
      <c r="T133" s="198">
        <f>$L133*Variables!$C$22/100</f>
        <v>4.6066715634723217</v>
      </c>
      <c r="U133" s="198">
        <f>$L133*Variables!$C$23/100</f>
        <v>4.8260368760186223</v>
      </c>
      <c r="V133" s="198">
        <f>$L133*Variables!$C$24/100</f>
        <v>35.098450007408161</v>
      </c>
      <c r="W133" s="22">
        <f>S133*Variables!$E$25*Variables!$C$15+'Cost Calculations'!T133*Variables!$E$26*Variables!$C$15+'Cost Calculations'!U133*Variables!$E$27*Variables!$C$15+V133*Variables!$E$28*Variables!$C$15</f>
        <v>32517380.90370065</v>
      </c>
      <c r="X133" s="20">
        <f>J133*Variables!$E$29*Variables!$C$15</f>
        <v>357954.87858597271</v>
      </c>
      <c r="Z133" s="33">
        <f>D133*(IF(D133&lt;50000,0,IF(D133&gt;Variables!$C$7,Variables!$C$37,IF(D133&gt;Variables!$C$6,Variables!$C$36,IF(D133&gt;Variables!$C$5,Variables!$C$35)))))</f>
        <v>1163.3545187589298</v>
      </c>
      <c r="AA133" s="34">
        <f t="shared" si="20"/>
        <v>1136</v>
      </c>
      <c r="AB133" s="35">
        <f t="shared" si="27"/>
        <v>27</v>
      </c>
      <c r="AC133" s="22">
        <f>AB133*Variables!$E$41</f>
        <v>9979200.0000000019</v>
      </c>
      <c r="AD133" s="115">
        <f>ROUND(IF(D133&lt;50000,0,(H133/(3.14*Variables!$C$34^2))),0)</f>
        <v>535</v>
      </c>
      <c r="AE133" s="116">
        <f t="shared" si="22"/>
        <v>527</v>
      </c>
      <c r="AF133" s="117">
        <f t="shared" si="28"/>
        <v>8</v>
      </c>
      <c r="AG133" s="107">
        <f>AF133*Variables!$E$42*Variables!$C$15</f>
        <v>5420.3519999999999</v>
      </c>
      <c r="AH133" s="199">
        <f>ROUND((Z133)/Variables!$C$40,0)</f>
        <v>9</v>
      </c>
      <c r="AI133" s="33">
        <f t="shared" si="23"/>
        <v>9</v>
      </c>
      <c r="AJ133" s="199">
        <f t="shared" ref="AJ133:AJ196" si="31">IF(AH133-AI133&lt;0,0,AH133-AI133)</f>
        <v>0</v>
      </c>
      <c r="AK133" s="22">
        <f>AJ133*Variables!$E$43*Variables!$C$15</f>
        <v>0</v>
      </c>
      <c r="AL133" s="20">
        <f>Z133*Variables!$E$38*Variables!$C$15</f>
        <v>206237756.76245332</v>
      </c>
      <c r="AM133" s="98"/>
      <c r="AN133" s="200">
        <f t="shared" si="24"/>
        <v>0.28000000000000003</v>
      </c>
      <c r="AO133" s="201">
        <f t="shared" si="29"/>
        <v>78.94134260106091</v>
      </c>
      <c r="AP133" s="321">
        <f>VLOOKUP(A133,'Household Information'!H:Q,10,FALSE)</f>
        <v>108.65462509082352</v>
      </c>
      <c r="AQ133" s="122">
        <f>IF(12*(AO133-Variables!$C$3*AP133*F133)*(G133/5)&lt;0,0,12*(AO133-Variables!$C$3*AP133*F133)*(G133/5))</f>
        <v>2802134.3509983416</v>
      </c>
      <c r="AS133" s="22"/>
    </row>
    <row r="134" spans="1:45" ht="14.25" customHeight="1" x14ac:dyDescent="0.35">
      <c r="A134" s="30">
        <v>5</v>
      </c>
      <c r="B134" s="28" t="s">
        <v>158</v>
      </c>
      <c r="C134" s="28">
        <v>2022</v>
      </c>
      <c r="D134" s="196">
        <f>Population!G6</f>
        <v>1091275.3935622033</v>
      </c>
      <c r="E134" s="303" t="str">
        <f t="shared" si="30"/>
        <v>Large</v>
      </c>
      <c r="F134" s="340">
        <f>VLOOKUP(A134,'Household Information'!$H$2:$M$49,6,FALSE)</f>
        <v>4.2814892277702192</v>
      </c>
      <c r="G134" s="196">
        <f t="shared" si="25"/>
        <v>254882</v>
      </c>
      <c r="H134" s="213">
        <f>Area!I6</f>
        <v>190.13817908181767</v>
      </c>
      <c r="I134" s="213"/>
      <c r="J134" s="32">
        <f>D134*Variables!$C$20</f>
        <v>982.14785420598287</v>
      </c>
      <c r="K134" s="202">
        <f t="shared" si="21"/>
        <v>2378.3936399999998</v>
      </c>
      <c r="L134" s="32">
        <f t="shared" si="26"/>
        <v>0</v>
      </c>
      <c r="N134" s="117"/>
      <c r="O134" s="117"/>
      <c r="P134" s="117"/>
      <c r="Q134" s="117"/>
      <c r="R134" s="108"/>
      <c r="S134" s="198">
        <f>$L134*Variables!$C$21/100</f>
        <v>0</v>
      </c>
      <c r="T134" s="198">
        <f>$L134*Variables!$C$22/100</f>
        <v>0</v>
      </c>
      <c r="U134" s="198">
        <f>$L134*Variables!$C$23/100</f>
        <v>0</v>
      </c>
      <c r="V134" s="198">
        <f>$L134*Variables!$C$24/100</f>
        <v>0</v>
      </c>
      <c r="W134" s="22">
        <f>S134*Variables!$E$25*Variables!$C$15+'Cost Calculations'!T134*Variables!$E$26*Variables!$C$15+'Cost Calculations'!U134*Variables!$E$27*Variables!$C$15+V134*Variables!$E$28*Variables!$C$15</f>
        <v>0</v>
      </c>
      <c r="X134" s="20">
        <f>J134*Variables!$E$29*Variables!$C$15</f>
        <v>167888.35419797074</v>
      </c>
      <c r="Z134" s="33">
        <f>D134*(IF(D134&lt;50000,0,IF(D134&gt;Variables!$C$7,Variables!$C$37,IF(D134&gt;Variables!$C$6,Variables!$C$36,IF(D134&gt;Variables!$C$5,Variables!$C$35)))))</f>
        <v>545.63769678110168</v>
      </c>
      <c r="AA134" s="34">
        <f t="shared" si="20"/>
        <v>533</v>
      </c>
      <c r="AB134" s="35">
        <f t="shared" si="27"/>
        <v>13</v>
      </c>
      <c r="AC134" s="22">
        <f>AB134*Variables!$E$41</f>
        <v>4804800.0000000009</v>
      </c>
      <c r="AD134" s="115">
        <f>ROUND(IF(D134&lt;50000,0,(H134/(3.14*Variables!$C$34^2))),0)</f>
        <v>242</v>
      </c>
      <c r="AE134" s="116">
        <f t="shared" si="22"/>
        <v>239</v>
      </c>
      <c r="AF134" s="117">
        <f t="shared" si="28"/>
        <v>3</v>
      </c>
      <c r="AG134" s="107">
        <f>AF134*Variables!$E$42*Variables!$C$15</f>
        <v>2032.6320000000001</v>
      </c>
      <c r="AH134" s="199">
        <f>ROUND((Z134)/Variables!$C$40,0)</f>
        <v>4</v>
      </c>
      <c r="AI134" s="33">
        <f t="shared" si="23"/>
        <v>4</v>
      </c>
      <c r="AJ134" s="199">
        <f t="shared" si="31"/>
        <v>0</v>
      </c>
      <c r="AK134" s="22">
        <f>AJ134*Variables!$E$43*Variables!$C$15</f>
        <v>0</v>
      </c>
      <c r="AL134" s="20">
        <f>Z134*Variables!$E$38*Variables!$C$15</f>
        <v>96729838.389431491</v>
      </c>
      <c r="AM134" s="98"/>
      <c r="AN134" s="200">
        <f t="shared" si="24"/>
        <v>0.28000000000000003</v>
      </c>
      <c r="AO134" s="201">
        <f t="shared" si="29"/>
        <v>71.929019026539692</v>
      </c>
      <c r="AP134" s="321">
        <f>VLOOKUP(A134,'Household Information'!H:Q,10,FALSE)</f>
        <v>70.680297866969596</v>
      </c>
      <c r="AQ134" s="122">
        <f>IF(12*(AO134-Variables!$C$3*AP134*F134)*(G134/5)&lt;0,0,12*(AO134-Variables!$C$3*AP134*F134)*(G134/5))</f>
        <v>16232809.978356149</v>
      </c>
      <c r="AS134" s="22"/>
    </row>
    <row r="135" spans="1:45" ht="14.25" customHeight="1" x14ac:dyDescent="0.35">
      <c r="A135" s="30">
        <v>6</v>
      </c>
      <c r="B135" s="28" t="s">
        <v>159</v>
      </c>
      <c r="C135" s="28">
        <v>2022</v>
      </c>
      <c r="D135" s="196">
        <f>Population!G7</f>
        <v>1244194.6211525444</v>
      </c>
      <c r="E135" s="303" t="str">
        <f t="shared" si="30"/>
        <v>Large</v>
      </c>
      <c r="F135" s="340">
        <f>VLOOKUP(A135,'Household Information'!$H$2:$M$49,6,FALSE)</f>
        <v>4.4091899104485828</v>
      </c>
      <c r="G135" s="196">
        <f t="shared" si="25"/>
        <v>282182</v>
      </c>
      <c r="H135" s="213">
        <f>Area!I7</f>
        <v>163.78303235659197</v>
      </c>
      <c r="I135" s="213"/>
      <c r="J135" s="32">
        <f>D135*Variables!$C$20</f>
        <v>1119.77515903729</v>
      </c>
      <c r="K135" s="202">
        <f t="shared" si="21"/>
        <v>1093.8508928761257</v>
      </c>
      <c r="L135" s="32">
        <f t="shared" si="26"/>
        <v>25.924266161164269</v>
      </c>
      <c r="N135" s="117"/>
      <c r="O135" s="117"/>
      <c r="P135" s="117"/>
      <c r="Q135" s="117"/>
      <c r="R135" s="108"/>
      <c r="S135" s="198">
        <f>$L135*Variables!$C$21/100</f>
        <v>1.4076524612396886</v>
      </c>
      <c r="T135" s="198">
        <f>$L135*Variables!$C$22/100</f>
        <v>2.4633918071694554</v>
      </c>
      <c r="U135" s="198">
        <f>$L135*Variables!$C$23/100</f>
        <v>2.5806961789394296</v>
      </c>
      <c r="V135" s="198">
        <f>$L135*Variables!$C$24/100</f>
        <v>18.768699483195849</v>
      </c>
      <c r="W135" s="22">
        <f>S135*Variables!$E$25*Variables!$C$15+'Cost Calculations'!T135*Variables!$E$26*Variables!$C$15+'Cost Calculations'!U135*Variables!$E$27*Variables!$C$15+V135*Variables!$E$28*Variables!$C$15</f>
        <v>17388487.241839804</v>
      </c>
      <c r="X135" s="20">
        <f>J135*Variables!$E$29*Variables!$C$15</f>
        <v>191414.36568583435</v>
      </c>
      <c r="Z135" s="33">
        <f>D135*(IF(D135&lt;50000,0,IF(D135&gt;Variables!$C$7,Variables!$C$37,IF(D135&gt;Variables!$C$6,Variables!$C$36,IF(D135&gt;Variables!$C$5,Variables!$C$35)))))</f>
        <v>622.09731057627221</v>
      </c>
      <c r="AA135" s="34">
        <f t="shared" si="20"/>
        <v>608</v>
      </c>
      <c r="AB135" s="35">
        <f t="shared" si="27"/>
        <v>14</v>
      </c>
      <c r="AC135" s="22">
        <f>AB135*Variables!$E$41</f>
        <v>5174400.0000000009</v>
      </c>
      <c r="AD135" s="115">
        <f>ROUND(IF(D135&lt;50000,0,(H135/(3.14*Variables!$C$34^2))),0)</f>
        <v>209</v>
      </c>
      <c r="AE135" s="116">
        <f t="shared" si="22"/>
        <v>206</v>
      </c>
      <c r="AF135" s="117">
        <f t="shared" si="28"/>
        <v>3</v>
      </c>
      <c r="AG135" s="107">
        <f>AF135*Variables!$E$42*Variables!$C$15</f>
        <v>2032.6320000000001</v>
      </c>
      <c r="AH135" s="199">
        <f>ROUND((Z135)/Variables!$C$40,0)</f>
        <v>5</v>
      </c>
      <c r="AI135" s="33">
        <f t="shared" si="23"/>
        <v>5</v>
      </c>
      <c r="AJ135" s="199">
        <f t="shared" si="31"/>
        <v>0</v>
      </c>
      <c r="AK135" s="22">
        <f>AJ135*Variables!$E$43*Variables!$C$15</f>
        <v>0</v>
      </c>
      <c r="AL135" s="20">
        <f>Z135*Variables!$E$38*Variables!$C$15</f>
        <v>110284484.86887421</v>
      </c>
      <c r="AM135" s="98"/>
      <c r="AN135" s="200">
        <f t="shared" si="24"/>
        <v>0.28000000000000003</v>
      </c>
      <c r="AO135" s="201">
        <f t="shared" si="29"/>
        <v>74.074390495536193</v>
      </c>
      <c r="AP135" s="321">
        <f>VLOOKUP(A135,'Household Information'!H:Q,10,FALSE)</f>
        <v>228.82746434431402</v>
      </c>
      <c r="AQ135" s="122">
        <f>IF(12*(AO135-Variables!$C$3*AP135*F135)*(G135/5)&lt;0,0,12*(AO135-Variables!$C$3*AP135*F135)*(G135/5))</f>
        <v>0</v>
      </c>
      <c r="AS135" s="22"/>
    </row>
    <row r="136" spans="1:45" ht="14.25" customHeight="1" x14ac:dyDescent="0.35">
      <c r="A136" s="30">
        <v>7</v>
      </c>
      <c r="B136" s="28" t="s">
        <v>160</v>
      </c>
      <c r="C136" s="28">
        <v>2022</v>
      </c>
      <c r="D136" s="196">
        <f>Population!G8</f>
        <v>6012393.0131515982</v>
      </c>
      <c r="E136" s="303" t="str">
        <f t="shared" si="30"/>
        <v>Large</v>
      </c>
      <c r="F136" s="340">
        <f>VLOOKUP(A136,'Household Information'!$H$2:$M$49,6,FALSE)</f>
        <v>4.0232072880789485</v>
      </c>
      <c r="G136" s="196">
        <f t="shared" si="25"/>
        <v>1494428</v>
      </c>
      <c r="H136" s="213">
        <f>Area!I8</f>
        <v>1109.8435934553504</v>
      </c>
      <c r="I136" s="213"/>
      <c r="J136" s="32">
        <f>D136*Variables!$C$20</f>
        <v>5411.1537118364386</v>
      </c>
      <c r="K136" s="202">
        <f t="shared" si="21"/>
        <v>5285.8783939009845</v>
      </c>
      <c r="L136" s="32">
        <f t="shared" si="26"/>
        <v>125.27531793545404</v>
      </c>
      <c r="N136" s="117"/>
      <c r="O136" s="117"/>
      <c r="P136" s="117"/>
      <c r="Q136" s="117"/>
      <c r="R136" s="108"/>
      <c r="S136" s="198">
        <f>$L136*Variables!$C$21/100</f>
        <v>6.802279706902481</v>
      </c>
      <c r="T136" s="198">
        <f>$L136*Variables!$C$22/100</f>
        <v>11.903989487079343</v>
      </c>
      <c r="U136" s="198">
        <f>$L136*Variables!$C$23/100</f>
        <v>12.470846129321217</v>
      </c>
      <c r="V136" s="198">
        <f>$L136*Variables!$C$24/100</f>
        <v>90.697062758699758</v>
      </c>
      <c r="W136" s="22">
        <f>S136*Variables!$E$25*Variables!$C$15+'Cost Calculations'!T136*Variables!$E$26*Variables!$C$15+'Cost Calculations'!U136*Variables!$E$27*Variables!$C$15+V136*Variables!$E$28*Variables!$C$15</f>
        <v>84027383.999834582</v>
      </c>
      <c r="X136" s="20">
        <f>J136*Variables!$E$29*Variables!$C$15</f>
        <v>924982.6155013208</v>
      </c>
      <c r="Z136" s="33">
        <f>D136*(IF(D136&lt;50000,0,IF(D136&gt;Variables!$C$7,Variables!$C$37,IF(D136&gt;Variables!$C$6,Variables!$C$36,IF(D136&gt;Variables!$C$5,Variables!$C$35)))))</f>
        <v>3006.196506575799</v>
      </c>
      <c r="AA136" s="34">
        <f t="shared" si="20"/>
        <v>4599</v>
      </c>
      <c r="AB136" s="35">
        <f t="shared" si="27"/>
        <v>0</v>
      </c>
      <c r="AC136" s="22">
        <f>AB136*Variables!$E$41</f>
        <v>0</v>
      </c>
      <c r="AD136" s="115">
        <f>ROUND(IF(D136&lt;50000,0,(H136/(3.14*Variables!$C$34^2))),0)</f>
        <v>1414</v>
      </c>
      <c r="AE136" s="116">
        <f t="shared" si="22"/>
        <v>1394</v>
      </c>
      <c r="AF136" s="117">
        <f t="shared" si="28"/>
        <v>20</v>
      </c>
      <c r="AG136" s="107">
        <f>AF136*Variables!$E$42*Variables!$C$15</f>
        <v>13550.880000000001</v>
      </c>
      <c r="AH136" s="199">
        <f>ROUND((Z136)/Variables!$C$40,0)</f>
        <v>24</v>
      </c>
      <c r="AI136" s="33">
        <f t="shared" si="23"/>
        <v>23</v>
      </c>
      <c r="AJ136" s="199">
        <f t="shared" si="31"/>
        <v>1</v>
      </c>
      <c r="AK136" s="22">
        <f>AJ136*Variables!$E$43*Variables!$C$15</f>
        <v>552717.39600000007</v>
      </c>
      <c r="AL136" s="20">
        <f>Z136*Variables!$E$38*Variables!$C$15</f>
        <v>532934040.23111135</v>
      </c>
      <c r="AM136" s="98"/>
      <c r="AN136" s="200">
        <f t="shared" si="24"/>
        <v>0.28000000000000003</v>
      </c>
      <c r="AO136" s="201">
        <f t="shared" si="29"/>
        <v>67.589882439726338</v>
      </c>
      <c r="AP136" s="321">
        <f>VLOOKUP(A136,'Household Information'!H:Q,10,FALSE)</f>
        <v>141.36059573393919</v>
      </c>
      <c r="AQ136" s="122">
        <f>IF(12*(AO136-Variables!$C$3*AP136*F136)*(G136/5)&lt;0,0,12*(AO136-Variables!$C$3*AP136*F136)*(G136/5))</f>
        <v>0</v>
      </c>
      <c r="AS136" s="22"/>
    </row>
    <row r="137" spans="1:45" ht="14.25" customHeight="1" x14ac:dyDescent="0.35">
      <c r="A137" s="30">
        <v>8</v>
      </c>
      <c r="B137" s="28" t="s">
        <v>161</v>
      </c>
      <c r="C137" s="28">
        <v>2022</v>
      </c>
      <c r="D137" s="196">
        <f>Population!G9</f>
        <v>57296.350942636469</v>
      </c>
      <c r="E137" s="303" t="str">
        <f t="shared" si="30"/>
        <v>Small</v>
      </c>
      <c r="F137" s="340">
        <f>VLOOKUP(A137,'Household Information'!$H$2:$M$49,6,FALSE)</f>
        <v>4.332028957151242</v>
      </c>
      <c r="G137" s="196">
        <f t="shared" si="25"/>
        <v>13226</v>
      </c>
      <c r="H137" s="213">
        <f>Area!I9</f>
        <v>156.3358361339389</v>
      </c>
      <c r="I137" s="213"/>
      <c r="J137" s="32">
        <f>D137*Variables!$C$20</f>
        <v>51.566715848372823</v>
      </c>
      <c r="K137" s="202">
        <f t="shared" si="21"/>
        <v>50.372878624961231</v>
      </c>
      <c r="L137" s="32">
        <f t="shared" si="26"/>
        <v>1.1938372234115917</v>
      </c>
      <c r="N137" s="117"/>
      <c r="O137" s="117"/>
      <c r="P137" s="117"/>
      <c r="Q137" s="117"/>
      <c r="R137" s="108"/>
      <c r="S137" s="198">
        <f>$L137*Variables!$C$21/100</f>
        <v>6.4823740637733482E-2</v>
      </c>
      <c r="T137" s="198">
        <f>$L137*Variables!$C$22/100</f>
        <v>0.11344154611603359</v>
      </c>
      <c r="U137" s="198">
        <f>$L137*Variables!$C$23/100</f>
        <v>0.1188435245025114</v>
      </c>
      <c r="V137" s="198">
        <f>$L137*Variables!$C$24/100</f>
        <v>0.86431654183644657</v>
      </c>
      <c r="W137" s="22">
        <f>S137*Variables!$E$25*Variables!$C$15+'Cost Calculations'!T137*Variables!$E$26*Variables!$C$15+'Cost Calculations'!U137*Variables!$E$27*Variables!$C$15+V137*Variables!$E$28*Variables!$C$15</f>
        <v>800756.44953930774</v>
      </c>
      <c r="X137" s="20">
        <f>J137*Variables!$E$29*Variables!$C$15</f>
        <v>8814.8144071208517</v>
      </c>
      <c r="Z137" s="33">
        <f>D137*(IF(D137&lt;50000,0,IF(D137&gt;Variables!$C$7,Variables!$C$37,IF(D137&gt;Variables!$C$6,Variables!$C$36,IF(D137&gt;Variables!$C$5,Variables!$C$35)))))</f>
        <v>28.648175471318236</v>
      </c>
      <c r="AA137" s="34">
        <f t="shared" si="20"/>
        <v>28</v>
      </c>
      <c r="AB137" s="35">
        <f t="shared" si="27"/>
        <v>1</v>
      </c>
      <c r="AC137" s="22">
        <f>AB137*Variables!$E$41</f>
        <v>369600.00000000006</v>
      </c>
      <c r="AD137" s="115">
        <f>ROUND(IF(D137&lt;50000,0,(H137/(3.14*Variables!$C$34^2))),0)</f>
        <v>199</v>
      </c>
      <c r="AE137" s="116">
        <f t="shared" si="22"/>
        <v>196</v>
      </c>
      <c r="AF137" s="117">
        <f t="shared" si="28"/>
        <v>3</v>
      </c>
      <c r="AG137" s="107">
        <f>AF137*Variables!$E$42*Variables!$C$15</f>
        <v>2032.6320000000001</v>
      </c>
      <c r="AH137" s="199">
        <f>ROUND((Z137)/Variables!$C$40,0)</f>
        <v>0</v>
      </c>
      <c r="AI137" s="33">
        <f t="shared" si="23"/>
        <v>0</v>
      </c>
      <c r="AJ137" s="199">
        <f t="shared" si="31"/>
        <v>0</v>
      </c>
      <c r="AK137" s="22">
        <f>AJ137*Variables!$E$43*Variables!$C$15</f>
        <v>0</v>
      </c>
      <c r="AL137" s="20">
        <f>Z137*Variables!$E$38*Variables!$C$15</f>
        <v>5078705.8882487891</v>
      </c>
      <c r="AM137" s="98"/>
      <c r="AN137" s="200">
        <f t="shared" si="24"/>
        <v>0.25221875000000005</v>
      </c>
      <c r="AO137" s="201">
        <f t="shared" si="29"/>
        <v>65.557135712189407</v>
      </c>
      <c r="AP137" s="321">
        <f>VLOOKUP(A137,'Household Information'!H:Q,10,FALSE)</f>
        <v>39.775337624637132</v>
      </c>
      <c r="AQ137" s="122">
        <f>IF(12*(AO137-Variables!$C$3*AP137*F137)*(G137/5)&lt;0,0,12*(AO137-Variables!$C$3*AP137*F137)*(G137/5))</f>
        <v>1260520.8134639754</v>
      </c>
      <c r="AS137" s="22"/>
    </row>
    <row r="138" spans="1:45" ht="14.25" customHeight="1" x14ac:dyDescent="0.35">
      <c r="A138" s="30">
        <v>9</v>
      </c>
      <c r="B138" s="28" t="s">
        <v>162</v>
      </c>
      <c r="C138" s="28">
        <v>2022</v>
      </c>
      <c r="D138" s="196">
        <f>Population!G10</f>
        <v>736975.31676990644</v>
      </c>
      <c r="E138" s="303" t="str">
        <f t="shared" si="30"/>
        <v>Medium</v>
      </c>
      <c r="F138" s="340">
        <f>VLOOKUP(A138,'Household Information'!$H$2:$M$49,6,FALSE)</f>
        <v>4.5911864516077028</v>
      </c>
      <c r="G138" s="196">
        <f t="shared" si="25"/>
        <v>160520</v>
      </c>
      <c r="H138" s="213">
        <f>Area!I10</f>
        <v>422.52928684848365</v>
      </c>
      <c r="I138" s="213"/>
      <c r="J138" s="32">
        <f>D138*Variables!$C$20</f>
        <v>663.27778509291579</v>
      </c>
      <c r="K138" s="202">
        <f t="shared" si="21"/>
        <v>694.88516000000004</v>
      </c>
      <c r="L138" s="32">
        <f t="shared" si="26"/>
        <v>0</v>
      </c>
      <c r="N138" s="117"/>
      <c r="O138" s="117"/>
      <c r="P138" s="117"/>
      <c r="Q138" s="117"/>
      <c r="R138" s="108"/>
      <c r="S138" s="198">
        <f>$L138*Variables!$C$21/100</f>
        <v>0</v>
      </c>
      <c r="T138" s="198">
        <f>$L138*Variables!$C$22/100</f>
        <v>0</v>
      </c>
      <c r="U138" s="198">
        <f>$L138*Variables!$C$23/100</f>
        <v>0</v>
      </c>
      <c r="V138" s="198">
        <f>$L138*Variables!$C$24/100</f>
        <v>0</v>
      </c>
      <c r="W138" s="22">
        <f>S138*Variables!$E$25*Variables!$C$15+'Cost Calculations'!T138*Variables!$E$26*Variables!$C$15+'Cost Calculations'!U138*Variables!$E$27*Variables!$C$15+V138*Variables!$E$28*Variables!$C$15</f>
        <v>0</v>
      </c>
      <c r="X138" s="20">
        <f>J138*Variables!$E$29*Variables!$C$15</f>
        <v>113380.70458378304</v>
      </c>
      <c r="Z138" s="33">
        <f>D138*(IF(D138&lt;50000,0,IF(D138&gt;Variables!$C$7,Variables!$C$37,IF(D138&gt;Variables!$C$6,Variables!$C$36,IF(D138&gt;Variables!$C$5,Variables!$C$35)))))</f>
        <v>368.48765838495325</v>
      </c>
      <c r="AA138" s="34">
        <f t="shared" si="20"/>
        <v>430</v>
      </c>
      <c r="AB138" s="35">
        <f t="shared" si="27"/>
        <v>0</v>
      </c>
      <c r="AC138" s="22">
        <f>AB138*Variables!$E$41</f>
        <v>0</v>
      </c>
      <c r="AD138" s="115">
        <f>ROUND(IF(D138&lt;50000,0,(H138/(3.14*Variables!$C$34^2))),0)</f>
        <v>538</v>
      </c>
      <c r="AE138" s="116">
        <f t="shared" si="22"/>
        <v>531</v>
      </c>
      <c r="AF138" s="117">
        <f t="shared" si="28"/>
        <v>7</v>
      </c>
      <c r="AG138" s="107">
        <f>AF138*Variables!$E$42*Variables!$C$15</f>
        <v>4742.808</v>
      </c>
      <c r="AH138" s="199">
        <f>ROUND((Z138)/Variables!$C$40,0)</f>
        <v>3</v>
      </c>
      <c r="AI138" s="33">
        <f t="shared" si="23"/>
        <v>3</v>
      </c>
      <c r="AJ138" s="199">
        <f t="shared" si="31"/>
        <v>0</v>
      </c>
      <c r="AK138" s="22">
        <f>AJ138*Variables!$E$43*Variables!$C$15</f>
        <v>0</v>
      </c>
      <c r="AL138" s="20">
        <f>Z138*Variables!$E$38*Variables!$C$15</f>
        <v>65324943.37240795</v>
      </c>
      <c r="AM138" s="98"/>
      <c r="AN138" s="200">
        <f t="shared" si="24"/>
        <v>0.19600000000000001</v>
      </c>
      <c r="AO138" s="201">
        <f t="shared" si="29"/>
        <v>53.992352670906584</v>
      </c>
      <c r="AP138" s="321">
        <f>VLOOKUP(A138,'Household Information'!H:Q,10,FALSE)</f>
        <v>137.82658084059071</v>
      </c>
      <c r="AQ138" s="122">
        <f>IF(12*(AO138-Variables!$C$3*AP138*F138)*(G138/5)&lt;0,0,12*(AO138-Variables!$C$3*AP138*F138)*(G138/5))</f>
        <v>0</v>
      </c>
      <c r="AS138" s="22"/>
    </row>
    <row r="139" spans="1:45" ht="14.25" customHeight="1" x14ac:dyDescent="0.35">
      <c r="A139" s="30">
        <v>10</v>
      </c>
      <c r="B139" s="28" t="s">
        <v>163</v>
      </c>
      <c r="C139" s="28">
        <v>2022</v>
      </c>
      <c r="D139" s="196">
        <f>Population!G11</f>
        <v>683906.12762054021</v>
      </c>
      <c r="E139" s="303" t="str">
        <f t="shared" si="30"/>
        <v>Medium</v>
      </c>
      <c r="F139" s="340">
        <f>VLOOKUP(A139,'Household Information'!$H$2:$M$49,6,FALSE)</f>
        <v>4.0714439771379274</v>
      </c>
      <c r="G139" s="196">
        <f t="shared" si="25"/>
        <v>167976</v>
      </c>
      <c r="H139" s="213">
        <f>Area!I11</f>
        <v>125.1844833298792</v>
      </c>
      <c r="I139" s="213"/>
      <c r="J139" s="32">
        <f>D139*Variables!$C$20</f>
        <v>615.5155148584862</v>
      </c>
      <c r="K139" s="202">
        <f t="shared" si="21"/>
        <v>718.84568000000002</v>
      </c>
      <c r="L139" s="32">
        <f t="shared" si="26"/>
        <v>0</v>
      </c>
      <c r="N139" s="117"/>
      <c r="O139" s="117"/>
      <c r="P139" s="117"/>
      <c r="Q139" s="117"/>
      <c r="R139" s="108"/>
      <c r="S139" s="198">
        <f>$L139*Variables!$C$21/100</f>
        <v>0</v>
      </c>
      <c r="T139" s="198">
        <f>$L139*Variables!$C$22/100</f>
        <v>0</v>
      </c>
      <c r="U139" s="198">
        <f>$L139*Variables!$C$23/100</f>
        <v>0</v>
      </c>
      <c r="V139" s="198">
        <f>$L139*Variables!$C$24/100</f>
        <v>0</v>
      </c>
      <c r="W139" s="22">
        <f>S139*Variables!$E$25*Variables!$C$15+'Cost Calculations'!T139*Variables!$E$26*Variables!$C$15+'Cost Calculations'!U139*Variables!$E$27*Variables!$C$15+V139*Variables!$E$28*Variables!$C$15</f>
        <v>0</v>
      </c>
      <c r="X139" s="20">
        <f>J139*Variables!$E$29*Variables!$C$15</f>
        <v>105216.22210990964</v>
      </c>
      <c r="Z139" s="33">
        <f>D139*(IF(D139&lt;50000,0,IF(D139&gt;Variables!$C$7,Variables!$C$37,IF(D139&gt;Variables!$C$6,Variables!$C$36,IF(D139&gt;Variables!$C$5,Variables!$C$35)))))</f>
        <v>341.95306381027012</v>
      </c>
      <c r="AA139" s="34">
        <f t="shared" si="20"/>
        <v>334</v>
      </c>
      <c r="AB139" s="35">
        <f t="shared" si="27"/>
        <v>8</v>
      </c>
      <c r="AC139" s="22">
        <f>AB139*Variables!$E$41</f>
        <v>2956800.0000000005</v>
      </c>
      <c r="AD139" s="115">
        <f>ROUND(IF(D139&lt;50000,0,(H139/(3.14*Variables!$C$34^2))),0)</f>
        <v>159</v>
      </c>
      <c r="AE139" s="116">
        <f t="shared" si="22"/>
        <v>157</v>
      </c>
      <c r="AF139" s="117">
        <f t="shared" si="28"/>
        <v>2</v>
      </c>
      <c r="AG139" s="107">
        <f>AF139*Variables!$E$42*Variables!$C$15</f>
        <v>1355.088</v>
      </c>
      <c r="AH139" s="199">
        <f>ROUND((Z139)/Variables!$C$40,0)</f>
        <v>3</v>
      </c>
      <c r="AI139" s="33">
        <f t="shared" si="23"/>
        <v>3</v>
      </c>
      <c r="AJ139" s="199">
        <f t="shared" si="31"/>
        <v>0</v>
      </c>
      <c r="AK139" s="22">
        <f>AJ139*Variables!$E$43*Variables!$C$15</f>
        <v>0</v>
      </c>
      <c r="AL139" s="20">
        <f>Z139*Variables!$E$38*Variables!$C$15</f>
        <v>60620929.958232343</v>
      </c>
      <c r="AM139" s="98"/>
      <c r="AN139" s="200">
        <f t="shared" si="24"/>
        <v>0.25221875000000005</v>
      </c>
      <c r="AO139" s="201">
        <f t="shared" si="29"/>
        <v>61.613670636525413</v>
      </c>
      <c r="AP139" s="321">
        <f>VLOOKUP(A139,'Household Information'!H:Q,10,FALSE)</f>
        <v>39.775337624637132</v>
      </c>
      <c r="AQ139" s="122">
        <f>IF(12*(AO139-Variables!$C$3*AP139*F139)*(G139/5)&lt;0,0,12*(AO139-Variables!$C$3*AP139*F139)*(G139/5))</f>
        <v>15046166.044390097</v>
      </c>
      <c r="AS139" s="22"/>
    </row>
    <row r="140" spans="1:45" ht="14.25" customHeight="1" x14ac:dyDescent="0.35">
      <c r="A140" s="30">
        <v>11</v>
      </c>
      <c r="B140" s="28" t="s">
        <v>164</v>
      </c>
      <c r="C140" s="28">
        <v>2022</v>
      </c>
      <c r="D140" s="196">
        <f>Population!G12</f>
        <v>266758.8813691914</v>
      </c>
      <c r="E140" s="303" t="str">
        <f t="shared" si="30"/>
        <v>Medium</v>
      </c>
      <c r="F140" s="340">
        <f>VLOOKUP(A140,'Household Information'!$H$2:$M$49,6,FALSE)</f>
        <v>4.5669760538732476</v>
      </c>
      <c r="G140" s="196">
        <f t="shared" si="25"/>
        <v>58410</v>
      </c>
      <c r="H140" s="213">
        <f>Area!I12</f>
        <v>160.56112900242377</v>
      </c>
      <c r="I140" s="213"/>
      <c r="J140" s="32">
        <f>D140*Variables!$C$20</f>
        <v>240.08299323227226</v>
      </c>
      <c r="K140" s="202">
        <f t="shared" si="21"/>
        <v>234.52475650314761</v>
      </c>
      <c r="L140" s="32">
        <f t="shared" si="26"/>
        <v>5.5582367291246442</v>
      </c>
      <c r="N140" s="117"/>
      <c r="O140" s="117"/>
      <c r="P140" s="117"/>
      <c r="Q140" s="117"/>
      <c r="R140" s="108"/>
      <c r="S140" s="198">
        <f>$L140*Variables!$C$21/100</f>
        <v>0.30180470927373632</v>
      </c>
      <c r="T140" s="198">
        <f>$L140*Variables!$C$22/100</f>
        <v>0.52815824122903854</v>
      </c>
      <c r="U140" s="198">
        <f>$L140*Variables!$C$23/100</f>
        <v>0.55330863366851657</v>
      </c>
      <c r="V140" s="198">
        <f>$L140*Variables!$C$24/100</f>
        <v>4.0240627903164849</v>
      </c>
      <c r="W140" s="22">
        <f>S140*Variables!$E$25*Variables!$C$15+'Cost Calculations'!T140*Variables!$E$26*Variables!$C$15+'Cost Calculations'!U140*Variables!$E$27*Variables!$C$15+V140*Variables!$E$28*Variables!$C$15</f>
        <v>3728141.3425809667</v>
      </c>
      <c r="X140" s="20">
        <f>J140*Variables!$E$29*Variables!$C$15</f>
        <v>41039.786863124624</v>
      </c>
      <c r="Z140" s="33">
        <f>D140*(IF(D140&lt;50000,0,IF(D140&gt;Variables!$C$7,Variables!$C$37,IF(D140&gt;Variables!$C$6,Variables!$C$36,IF(D140&gt;Variables!$C$5,Variables!$C$35)))))</f>
        <v>133.37944068459569</v>
      </c>
      <c r="AA140" s="34">
        <f t="shared" si="20"/>
        <v>130</v>
      </c>
      <c r="AB140" s="35">
        <f t="shared" si="27"/>
        <v>3</v>
      </c>
      <c r="AC140" s="22">
        <f>AB140*Variables!$E$41</f>
        <v>1108800.0000000002</v>
      </c>
      <c r="AD140" s="115">
        <f>ROUND(IF(D140&lt;50000,0,(H140/(3.14*Variables!$C$34^2))),0)</f>
        <v>205</v>
      </c>
      <c r="AE140" s="116">
        <f t="shared" si="22"/>
        <v>202</v>
      </c>
      <c r="AF140" s="117">
        <f t="shared" si="28"/>
        <v>3</v>
      </c>
      <c r="AG140" s="107">
        <f>AF140*Variables!$E$42*Variables!$C$15</f>
        <v>2032.6320000000001</v>
      </c>
      <c r="AH140" s="199">
        <f>ROUND((Z140)/Variables!$C$40,0)</f>
        <v>1</v>
      </c>
      <c r="AI140" s="33">
        <f t="shared" si="23"/>
        <v>1</v>
      </c>
      <c r="AJ140" s="199">
        <f t="shared" si="31"/>
        <v>0</v>
      </c>
      <c r="AK140" s="22">
        <f>AJ140*Variables!$E$43*Variables!$C$15</f>
        <v>0</v>
      </c>
      <c r="AL140" s="20">
        <f>Z140*Variables!$E$38*Variables!$C$15</f>
        <v>23645308.632459871</v>
      </c>
      <c r="AM140" s="98"/>
      <c r="AN140" s="200">
        <f t="shared" si="24"/>
        <v>0.315</v>
      </c>
      <c r="AO140" s="201">
        <f t="shared" si="29"/>
        <v>86.31584741820437</v>
      </c>
      <c r="AP140" s="321">
        <f>VLOOKUP(A140,'Household Information'!H:Q,10,FALSE)</f>
        <v>93.297993184399843</v>
      </c>
      <c r="AQ140" s="122">
        <f>IF(12*(AO140-Variables!$C$3*AP140*F140)*(G140/5)&lt;0,0,12*(AO140-Variables!$C$3*AP140*F140)*(G140/5))</f>
        <v>3140456.9630336743</v>
      </c>
      <c r="AS140" s="22"/>
    </row>
    <row r="141" spans="1:45" ht="14.25" customHeight="1" x14ac:dyDescent="0.35">
      <c r="A141" s="30">
        <v>12</v>
      </c>
      <c r="B141" s="28" t="s">
        <v>165</v>
      </c>
      <c r="C141" s="28">
        <v>2022</v>
      </c>
      <c r="D141" s="196">
        <f>Population!G13</f>
        <v>129759.76357511496</v>
      </c>
      <c r="E141" s="303" t="str">
        <f t="shared" si="30"/>
        <v>Medium</v>
      </c>
      <c r="F141" s="340">
        <f>VLOOKUP(A141,'Household Information'!$H$2:$M$49,6,FALSE)</f>
        <v>4.2184831531569431</v>
      </c>
      <c r="G141" s="196">
        <f t="shared" si="25"/>
        <v>30760</v>
      </c>
      <c r="H141" s="213">
        <f>Area!I13</f>
        <v>26.760188167070634</v>
      </c>
      <c r="I141" s="213"/>
      <c r="J141" s="32">
        <f>D141*Variables!$C$20</f>
        <v>116.78378721760346</v>
      </c>
      <c r="K141" s="202">
        <f t="shared" si="21"/>
        <v>114.08008910579609</v>
      </c>
      <c r="L141" s="32">
        <f t="shared" si="26"/>
        <v>2.7036981118073697</v>
      </c>
      <c r="N141" s="117"/>
      <c r="O141" s="117"/>
      <c r="P141" s="117"/>
      <c r="Q141" s="117"/>
      <c r="R141" s="108"/>
      <c r="S141" s="198">
        <f>$L141*Variables!$C$21/100</f>
        <v>0.14680713729270786</v>
      </c>
      <c r="T141" s="198">
        <f>$L141*Variables!$C$22/100</f>
        <v>0.25691249026223878</v>
      </c>
      <c r="U141" s="198">
        <f>$L141*Variables!$C$23/100</f>
        <v>0.26914641836996439</v>
      </c>
      <c r="V141" s="198">
        <f>$L141*Variables!$C$24/100</f>
        <v>1.9574284972361047</v>
      </c>
      <c r="W141" s="22">
        <f>S141*Variables!$E$25*Variables!$C$15+'Cost Calculations'!T141*Variables!$E$26*Variables!$C$15+'Cost Calculations'!U141*Variables!$E$27*Variables!$C$15+V141*Variables!$E$28*Variables!$C$15</f>
        <v>1813483.1601666226</v>
      </c>
      <c r="X141" s="20">
        <f>J141*Variables!$E$29*Variables!$C$15</f>
        <v>19963.020586977138</v>
      </c>
      <c r="Z141" s="33">
        <f>D141*(IF(D141&lt;50000,0,IF(D141&gt;Variables!$C$7,Variables!$C$37,IF(D141&gt;Variables!$C$6,Variables!$C$36,IF(D141&gt;Variables!$C$5,Variables!$C$35)))))</f>
        <v>64.87988178755748</v>
      </c>
      <c r="AA141" s="34">
        <f t="shared" si="20"/>
        <v>63</v>
      </c>
      <c r="AB141" s="35">
        <f t="shared" si="27"/>
        <v>2</v>
      </c>
      <c r="AC141" s="22">
        <f>AB141*Variables!$E$41</f>
        <v>739200.00000000012</v>
      </c>
      <c r="AD141" s="115">
        <f>ROUND(IF(D141&lt;50000,0,(H141/(3.14*Variables!$C$34^2))),0)</f>
        <v>34</v>
      </c>
      <c r="AE141" s="116">
        <f t="shared" si="22"/>
        <v>34</v>
      </c>
      <c r="AF141" s="117">
        <f t="shared" si="28"/>
        <v>0</v>
      </c>
      <c r="AG141" s="107">
        <f>AF141*Variables!$E$42*Variables!$C$15</f>
        <v>0</v>
      </c>
      <c r="AH141" s="199">
        <f>ROUND((Z141)/Variables!$C$40,0)</f>
        <v>1</v>
      </c>
      <c r="AI141" s="33">
        <f t="shared" si="23"/>
        <v>1</v>
      </c>
      <c r="AJ141" s="199">
        <f t="shared" si="31"/>
        <v>0</v>
      </c>
      <c r="AK141" s="22">
        <f>AJ141*Variables!$E$43*Variables!$C$15</f>
        <v>0</v>
      </c>
      <c r="AL141" s="20">
        <f>Z141*Variables!$E$38*Variables!$C$15</f>
        <v>11501808.832232462</v>
      </c>
      <c r="AM141" s="98"/>
      <c r="AN141" s="200">
        <f t="shared" si="24"/>
        <v>0.28000000000000003</v>
      </c>
      <c r="AO141" s="201">
        <f t="shared" si="29"/>
        <v>70.870516973036644</v>
      </c>
      <c r="AP141" s="321">
        <f>VLOOKUP(A141,'Household Information'!H:Q,10,FALSE)</f>
        <v>108.65462509082352</v>
      </c>
      <c r="AQ141" s="122">
        <f>IF(12*(AO141-Variables!$C$3*AP141*F141)*(G141/5)&lt;0,0,12*(AO141-Variables!$C$3*AP141*F141)*(G141/5))</f>
        <v>156275.15785528216</v>
      </c>
      <c r="AS141" s="22"/>
    </row>
    <row r="142" spans="1:45" ht="14.25" customHeight="1" x14ac:dyDescent="0.35">
      <c r="A142" s="30">
        <v>13</v>
      </c>
      <c r="B142" s="28" t="s">
        <v>166</v>
      </c>
      <c r="C142" s="28">
        <v>2022</v>
      </c>
      <c r="D142" s="196">
        <f>Population!G14</f>
        <v>8710243.4919861518</v>
      </c>
      <c r="E142" s="303" t="str">
        <f t="shared" si="30"/>
        <v>Large</v>
      </c>
      <c r="F142" s="340">
        <f>VLOOKUP(A142,'Household Information'!$H$2:$M$49,6,FALSE)</f>
        <v>4.33</v>
      </c>
      <c r="G142" s="196">
        <f t="shared" si="25"/>
        <v>2011604</v>
      </c>
      <c r="H142" s="213">
        <f>Area!I14</f>
        <v>875.60421267776258</v>
      </c>
      <c r="I142" s="213"/>
      <c r="J142" s="32">
        <f>D142*Variables!$C$20</f>
        <v>7839.2191427875368</v>
      </c>
      <c r="K142" s="202">
        <f t="shared" si="21"/>
        <v>7657.7309199839165</v>
      </c>
      <c r="L142" s="32">
        <f t="shared" si="26"/>
        <v>181.48822280362037</v>
      </c>
      <c r="N142" s="117"/>
      <c r="O142" s="117"/>
      <c r="P142" s="117"/>
      <c r="Q142" s="117"/>
      <c r="R142" s="108"/>
      <c r="S142" s="198">
        <f>$L142*Variables!$C$21/100</f>
        <v>9.8545641341332324</v>
      </c>
      <c r="T142" s="198">
        <f>$L142*Variables!$C$22/100</f>
        <v>17.245487234733158</v>
      </c>
      <c r="U142" s="198">
        <f>$L142*Variables!$C$23/100</f>
        <v>18.066700912577595</v>
      </c>
      <c r="V142" s="198">
        <f>$L142*Variables!$C$24/100</f>
        <v>131.39418845510977</v>
      </c>
      <c r="W142" s="22">
        <f>S142*Variables!$E$25*Variables!$C$15+'Cost Calculations'!T142*Variables!$E$26*Variables!$C$15+'Cost Calculations'!U142*Variables!$E$27*Variables!$C$15+V142*Variables!$E$28*Variables!$C$15</f>
        <v>121731725.29344237</v>
      </c>
      <c r="X142" s="20">
        <f>J142*Variables!$E$29*Variables!$C$15</f>
        <v>1340036.1202681016</v>
      </c>
      <c r="Z142" s="33">
        <f>D142*(IF(D142&lt;50000,0,IF(D142&gt;Variables!$C$7,Variables!$C$37,IF(D142&gt;Variables!$C$6,Variables!$C$36,IF(D142&gt;Variables!$C$5,Variables!$C$35)))))</f>
        <v>4355.1217459930758</v>
      </c>
      <c r="AA142" s="34">
        <f t="shared" si="20"/>
        <v>4254</v>
      </c>
      <c r="AB142" s="35">
        <f t="shared" si="27"/>
        <v>101</v>
      </c>
      <c r="AC142" s="22">
        <f>AB142*Variables!$E$41</f>
        <v>37329600.000000007</v>
      </c>
      <c r="AD142" s="115">
        <f>ROUND(IF(D142&lt;50000,0,(H142/(3.14*Variables!$C$34^2))),0)</f>
        <v>1115</v>
      </c>
      <c r="AE142" s="116">
        <f t="shared" si="22"/>
        <v>1104</v>
      </c>
      <c r="AF142" s="117">
        <f t="shared" si="28"/>
        <v>11</v>
      </c>
      <c r="AG142" s="107">
        <f>AF142*Variables!$E$42*Variables!$C$15</f>
        <v>7452.9840000000004</v>
      </c>
      <c r="AH142" s="199">
        <f>ROUND((Z142)/Variables!$C$40,0)</f>
        <v>35</v>
      </c>
      <c r="AI142" s="33">
        <f t="shared" si="23"/>
        <v>34</v>
      </c>
      <c r="AJ142" s="199">
        <f t="shared" si="31"/>
        <v>1</v>
      </c>
      <c r="AK142" s="22">
        <f>AJ142*Variables!$E$43*Variables!$C$15</f>
        <v>552717.39600000007</v>
      </c>
      <c r="AL142" s="20">
        <f>Z142*Variables!$E$38*Variables!$C$15</f>
        <v>772069498.02299607</v>
      </c>
      <c r="AM142" s="98"/>
      <c r="AN142" s="200">
        <f t="shared" si="24"/>
        <v>0.28000000000000003</v>
      </c>
      <c r="AO142" s="201">
        <f t="shared" si="29"/>
        <v>72.744</v>
      </c>
      <c r="AP142" s="321">
        <f>VLOOKUP(A142,'Household Information'!H:Q,10,FALSE)</f>
        <v>139.85863940426606</v>
      </c>
      <c r="AQ142" s="122">
        <f>IF(12*(AO142-Variables!$C$3*AP142*F142)*(G142/5)&lt;0,0,12*(AO142-Variables!$C$3*AP142*F142)*(G142/5))</f>
        <v>0</v>
      </c>
      <c r="AS142" s="22"/>
    </row>
    <row r="143" spans="1:45" ht="14.25" customHeight="1" x14ac:dyDescent="0.35">
      <c r="A143" s="30">
        <v>14</v>
      </c>
      <c r="B143" s="28" t="s">
        <v>167</v>
      </c>
      <c r="C143" s="28">
        <v>2022</v>
      </c>
      <c r="D143" s="196">
        <f>Population!G15</f>
        <v>347078.83713259641</v>
      </c>
      <c r="E143" s="303" t="str">
        <f t="shared" si="30"/>
        <v>Medium</v>
      </c>
      <c r="F143" s="340">
        <f>VLOOKUP(A143,'Household Information'!$H$2:$M$49,6,FALSE)</f>
        <v>4.6437746693442286</v>
      </c>
      <c r="G143" s="196">
        <f t="shared" si="25"/>
        <v>74741</v>
      </c>
      <c r="H143" s="213">
        <f>Area!I15</f>
        <v>42.252928684848364</v>
      </c>
      <c r="I143" s="213"/>
      <c r="J143" s="32">
        <f>D143*Variables!$C$20</f>
        <v>312.37095341933679</v>
      </c>
      <c r="K143" s="202">
        <f t="shared" si="21"/>
        <v>305.13915543551502</v>
      </c>
      <c r="L143" s="32">
        <f t="shared" si="26"/>
        <v>7.2317979838217639</v>
      </c>
      <c r="N143" s="117"/>
      <c r="O143" s="117"/>
      <c r="P143" s="117"/>
      <c r="Q143" s="117"/>
      <c r="R143" s="108"/>
      <c r="S143" s="198">
        <f>$L143*Variables!$C$21/100</f>
        <v>0.39267681360118167</v>
      </c>
      <c r="T143" s="198">
        <f>$L143*Variables!$C$22/100</f>
        <v>0.68718442380206812</v>
      </c>
      <c r="U143" s="198">
        <f>$L143*Variables!$C$23/100</f>
        <v>0.71990749160216649</v>
      </c>
      <c r="V143" s="198">
        <f>$L143*Variables!$C$24/100</f>
        <v>5.2356908480157562</v>
      </c>
      <c r="W143" s="22">
        <f>S143*Variables!$E$25*Variables!$C$15+'Cost Calculations'!T143*Variables!$E$26*Variables!$C$15+'Cost Calculations'!U143*Variables!$E$27*Variables!$C$15+V143*Variables!$E$28*Variables!$C$15</f>
        <v>4850668.7207843447</v>
      </c>
      <c r="X143" s="20">
        <f>J143*Variables!$E$29*Variables!$C$15</f>
        <v>53396.690777501433</v>
      </c>
      <c r="Z143" s="33">
        <f>D143*(IF(D143&lt;50000,0,IF(D143&gt;Variables!$C$7,Variables!$C$37,IF(D143&gt;Variables!$C$6,Variables!$C$36,IF(D143&gt;Variables!$C$5,Variables!$C$35)))))</f>
        <v>173.5394185662982</v>
      </c>
      <c r="AA143" s="34">
        <f t="shared" si="20"/>
        <v>170</v>
      </c>
      <c r="AB143" s="35">
        <f t="shared" si="27"/>
        <v>4</v>
      </c>
      <c r="AC143" s="22">
        <f>AB143*Variables!$E$41</f>
        <v>1478400.0000000002</v>
      </c>
      <c r="AD143" s="115">
        <f>ROUND(IF(D143&lt;50000,0,(H143/(3.14*Variables!$C$34^2))),0)</f>
        <v>54</v>
      </c>
      <c r="AE143" s="116">
        <f t="shared" si="22"/>
        <v>53</v>
      </c>
      <c r="AF143" s="117">
        <f t="shared" si="28"/>
        <v>1</v>
      </c>
      <c r="AG143" s="107">
        <f>AF143*Variables!$E$42*Variables!$C$15</f>
        <v>677.54399999999998</v>
      </c>
      <c r="AH143" s="199">
        <f>ROUND((Z143)/Variables!$C$40,0)</f>
        <v>1</v>
      </c>
      <c r="AI143" s="33">
        <f t="shared" si="23"/>
        <v>1</v>
      </c>
      <c r="AJ143" s="199">
        <f t="shared" si="31"/>
        <v>0</v>
      </c>
      <c r="AK143" s="22">
        <f>AJ143*Variables!$E$43*Variables!$C$15</f>
        <v>0</v>
      </c>
      <c r="AL143" s="20">
        <f>Z143*Variables!$E$38*Variables!$C$15</f>
        <v>30764809.710074514</v>
      </c>
      <c r="AM143" s="98"/>
      <c r="AN143" s="200">
        <f t="shared" si="24"/>
        <v>0.21</v>
      </c>
      <c r="AO143" s="201">
        <f t="shared" si="29"/>
        <v>58.511560833737278</v>
      </c>
      <c r="AP143" s="321">
        <f>VLOOKUP(A143,'Household Information'!H:Q,10,FALSE)</f>
        <v>108.65462509082352</v>
      </c>
      <c r="AQ143" s="122">
        <f>IF(12*(AO143-Variables!$C$3*AP143*F143)*(G143/5)&lt;0,0,12*(AO143-Variables!$C$3*AP143*F143)*(G143/5))</f>
        <v>0</v>
      </c>
      <c r="AS143" s="22"/>
    </row>
    <row r="144" spans="1:45" ht="14.25" customHeight="1" x14ac:dyDescent="0.35">
      <c r="A144" s="30">
        <v>15</v>
      </c>
      <c r="B144" s="28" t="s">
        <v>168</v>
      </c>
      <c r="C144" s="28">
        <v>2022</v>
      </c>
      <c r="D144" s="196">
        <f>Population!G16</f>
        <v>76973.937888474858</v>
      </c>
      <c r="E144" s="303" t="str">
        <f t="shared" si="30"/>
        <v>Small</v>
      </c>
      <c r="F144" s="340">
        <f>VLOOKUP(A144,'Household Information'!$H$2:$M$49,6,FALSE)</f>
        <v>4.4181210545859635</v>
      </c>
      <c r="G144" s="196">
        <f t="shared" si="25"/>
        <v>17422</v>
      </c>
      <c r="H144" s="213">
        <f>Area!I16</f>
        <v>235.20796967898917</v>
      </c>
      <c r="I144" s="213"/>
      <c r="J144" s="32">
        <f>D144*Variables!$C$20</f>
        <v>69.276544099627372</v>
      </c>
      <c r="K144" s="202">
        <f t="shared" si="21"/>
        <v>67.672701083938023</v>
      </c>
      <c r="L144" s="32">
        <f t="shared" si="26"/>
        <v>1.6038430156893497</v>
      </c>
      <c r="N144" s="117"/>
      <c r="O144" s="117"/>
      <c r="P144" s="117"/>
      <c r="Q144" s="117"/>
      <c r="R144" s="108"/>
      <c r="S144" s="198">
        <f>$L144*Variables!$C$21/100</f>
        <v>8.7086498589466946E-2</v>
      </c>
      <c r="T144" s="198">
        <f>$L144*Variables!$C$22/100</f>
        <v>0.15240137253156719</v>
      </c>
      <c r="U144" s="198">
        <f>$L144*Variables!$C$23/100</f>
        <v>0.15965858074735609</v>
      </c>
      <c r="V144" s="198">
        <f>$L144*Variables!$C$24/100</f>
        <v>1.1611533145262261</v>
      </c>
      <c r="W144" s="22">
        <f>S144*Variables!$E$25*Variables!$C$15+'Cost Calculations'!T144*Variables!$E$26*Variables!$C$15+'Cost Calculations'!U144*Variables!$E$27*Variables!$C$15+V144*Variables!$E$28*Variables!$C$15</f>
        <v>1075764.4456685232</v>
      </c>
      <c r="X144" s="20">
        <f>J144*Variables!$E$29*Variables!$C$15</f>
        <v>11842.132448390303</v>
      </c>
      <c r="Z144" s="33">
        <f>D144*(IF(D144&lt;50000,0,IF(D144&gt;Variables!$C$7,Variables!$C$37,IF(D144&gt;Variables!$C$6,Variables!$C$36,IF(D144&gt;Variables!$C$5,Variables!$C$35)))))</f>
        <v>38.486968944237432</v>
      </c>
      <c r="AA144" s="34">
        <f t="shared" si="20"/>
        <v>38</v>
      </c>
      <c r="AB144" s="35">
        <f t="shared" si="27"/>
        <v>0</v>
      </c>
      <c r="AC144" s="22">
        <f>AB144*Variables!$E$41</f>
        <v>0</v>
      </c>
      <c r="AD144" s="115">
        <f>ROUND(IF(D144&lt;50000,0,(H144/(3.14*Variables!$C$34^2))),0)</f>
        <v>300</v>
      </c>
      <c r="AE144" s="116">
        <f t="shared" si="22"/>
        <v>295</v>
      </c>
      <c r="AF144" s="117">
        <f t="shared" si="28"/>
        <v>5</v>
      </c>
      <c r="AG144" s="107">
        <f>AF144*Variables!$E$42*Variables!$C$15</f>
        <v>3387.7200000000003</v>
      </c>
      <c r="AH144" s="199">
        <f>ROUND((Z144)/Variables!$C$40,0)</f>
        <v>0</v>
      </c>
      <c r="AI144" s="33">
        <f t="shared" si="23"/>
        <v>0</v>
      </c>
      <c r="AJ144" s="199">
        <f t="shared" si="31"/>
        <v>0</v>
      </c>
      <c r="AK144" s="22">
        <f>AJ144*Variables!$E$43*Variables!$C$15</f>
        <v>0</v>
      </c>
      <c r="AL144" s="20">
        <f>Z144*Variables!$E$38*Variables!$C$15</f>
        <v>6822912.5444180584</v>
      </c>
      <c r="AM144" s="98"/>
      <c r="AN144" s="200">
        <f t="shared" si="24"/>
        <v>0.28000000000000003</v>
      </c>
      <c r="AO144" s="201">
        <f t="shared" si="29"/>
        <v>74.224433717044192</v>
      </c>
      <c r="AP144" s="321">
        <f>VLOOKUP(A144,'Household Information'!H:Q,10,FALSE)</f>
        <v>119.4497033951786</v>
      </c>
      <c r="AQ144" s="122">
        <f>IF(12*(AO144-Variables!$C$3*AP144*F144)*(G144/5)&lt;0,0,12*(AO144-Variables!$C$3*AP144*F144)*(G144/5))</f>
        <v>0</v>
      </c>
      <c r="AS144" s="22"/>
    </row>
    <row r="145" spans="1:45" ht="14.25" customHeight="1" x14ac:dyDescent="0.35">
      <c r="A145" s="30">
        <v>16</v>
      </c>
      <c r="B145" s="28" t="s">
        <v>169</v>
      </c>
      <c r="C145" s="28">
        <v>2022</v>
      </c>
      <c r="D145" s="196">
        <f>Population!G17</f>
        <v>3941421.4415896828</v>
      </c>
      <c r="E145" s="303" t="str">
        <f t="shared" si="30"/>
        <v>Large</v>
      </c>
      <c r="F145" s="340">
        <f>VLOOKUP(A145,'Household Information'!$H$2:$M$49,6,FALSE)</f>
        <v>5.0811133147736394</v>
      </c>
      <c r="G145" s="196">
        <f t="shared" si="25"/>
        <v>775700</v>
      </c>
      <c r="H145" s="213">
        <f>Area!I17</f>
        <v>400.66325707534907</v>
      </c>
      <c r="I145" s="213"/>
      <c r="J145" s="32">
        <f>D145*Variables!$C$20</f>
        <v>3547.2792974307145</v>
      </c>
      <c r="K145" s="202">
        <f t="shared" si="21"/>
        <v>3465.1551210615553</v>
      </c>
      <c r="L145" s="32">
        <f t="shared" si="26"/>
        <v>82.124176369159159</v>
      </c>
      <c r="N145" s="117"/>
      <c r="O145" s="117"/>
      <c r="P145" s="117"/>
      <c r="Q145" s="117"/>
      <c r="R145" s="108"/>
      <c r="S145" s="198">
        <f>$L145*Variables!$C$21/100</f>
        <v>4.4592312960629403</v>
      </c>
      <c r="T145" s="198">
        <f>$L145*Variables!$C$22/100</f>
        <v>7.8036547681101469</v>
      </c>
      <c r="U145" s="198">
        <f>$L145*Variables!$C$23/100</f>
        <v>8.1752573761153915</v>
      </c>
      <c r="V145" s="198">
        <f>$L145*Variables!$C$24/100</f>
        <v>59.456417280839204</v>
      </c>
      <c r="W145" s="22">
        <f>S145*Variables!$E$25*Variables!$C$15+'Cost Calculations'!T145*Variables!$E$26*Variables!$C$15+'Cost Calculations'!U145*Variables!$E$27*Variables!$C$15+V145*Variables!$E$28*Variables!$C$15</f>
        <v>55084112.474549338</v>
      </c>
      <c r="X145" s="20">
        <f>J145*Variables!$E$29*Variables!$C$15</f>
        <v>606371.92310280632</v>
      </c>
      <c r="Z145" s="33">
        <f>D145*(IF(D145&lt;50000,0,IF(D145&gt;Variables!$C$7,Variables!$C$37,IF(D145&gt;Variables!$C$6,Variables!$C$36,IF(D145&gt;Variables!$C$5,Variables!$C$35)))))</f>
        <v>1970.7107207948416</v>
      </c>
      <c r="AA145" s="34">
        <f t="shared" si="20"/>
        <v>3249</v>
      </c>
      <c r="AB145" s="35">
        <f t="shared" si="27"/>
        <v>0</v>
      </c>
      <c r="AC145" s="22">
        <f>AB145*Variables!$E$41</f>
        <v>0</v>
      </c>
      <c r="AD145" s="115">
        <f>ROUND(IF(D145&lt;50000,0,(H145/(3.14*Variables!$C$34^2))),0)</f>
        <v>510</v>
      </c>
      <c r="AE145" s="116">
        <f t="shared" si="22"/>
        <v>566</v>
      </c>
      <c r="AF145" s="117">
        <f t="shared" si="28"/>
        <v>0</v>
      </c>
      <c r="AG145" s="107">
        <f>AF145*Variables!$E$42*Variables!$C$15</f>
        <v>0</v>
      </c>
      <c r="AH145" s="199">
        <f>ROUND((Z145)/Variables!$C$40,0)</f>
        <v>16</v>
      </c>
      <c r="AI145" s="33">
        <f t="shared" si="23"/>
        <v>15</v>
      </c>
      <c r="AJ145" s="199">
        <f t="shared" si="31"/>
        <v>1</v>
      </c>
      <c r="AK145" s="22">
        <f>AJ145*Variables!$E$43*Variables!$C$15</f>
        <v>552717.39600000007</v>
      </c>
      <c r="AL145" s="20">
        <f>Z145*Variables!$E$38*Variables!$C$15</f>
        <v>349364662.04474944</v>
      </c>
      <c r="AM145" s="98"/>
      <c r="AN145" s="200">
        <f t="shared" si="24"/>
        <v>0.21</v>
      </c>
      <c r="AO145" s="201">
        <f t="shared" si="29"/>
        <v>64.022027766147858</v>
      </c>
      <c r="AP145" s="321">
        <f>VLOOKUP(A145,'Household Information'!H:Q,10,FALSE)</f>
        <v>125.45752871387103</v>
      </c>
      <c r="AQ145" s="122">
        <f>IF(12*(AO145-Variables!$C$3*AP145*F145)*(G145/5)&lt;0,0,12*(AO145-Variables!$C$3*AP145*F145)*(G145/5))</f>
        <v>0</v>
      </c>
      <c r="AS145" s="22"/>
    </row>
    <row r="146" spans="1:45" ht="14.25" customHeight="1" x14ac:dyDescent="0.35">
      <c r="A146" s="30">
        <v>17</v>
      </c>
      <c r="B146" s="28" t="s">
        <v>170</v>
      </c>
      <c r="C146" s="28">
        <v>2022</v>
      </c>
      <c r="D146" s="196">
        <f>Population!G18</f>
        <v>14504.586379724376</v>
      </c>
      <c r="E146" s="303" t="str">
        <f t="shared" si="30"/>
        <v>Small</v>
      </c>
      <c r="F146" s="340">
        <f>VLOOKUP(A146,'Household Information'!$H$2:$M$49,6,FALSE)</f>
        <v>4.9910952804986639</v>
      </c>
      <c r="G146" s="196">
        <f t="shared" si="25"/>
        <v>2906</v>
      </c>
      <c r="H146" s="213">
        <f>Area!I18</f>
        <v>2.7227625124248731</v>
      </c>
      <c r="I146" s="213"/>
      <c r="J146" s="32">
        <f>D146*Variables!$C$20</f>
        <v>13.054127741751939</v>
      </c>
      <c r="K146" s="202">
        <f t="shared" si="21"/>
        <v>12.751907533214748</v>
      </c>
      <c r="L146" s="32">
        <f t="shared" si="26"/>
        <v>0.30222020853719123</v>
      </c>
      <c r="N146" s="117"/>
      <c r="O146" s="117"/>
      <c r="P146" s="117"/>
      <c r="Q146" s="117"/>
      <c r="R146" s="108"/>
      <c r="S146" s="198">
        <f>$L146*Variables!$C$21/100</f>
        <v>1.6410147069892734E-2</v>
      </c>
      <c r="T146" s="198">
        <f>$L146*Variables!$C$22/100</f>
        <v>2.8717757372312289E-2</v>
      </c>
      <c r="U146" s="198">
        <f>$L146*Variables!$C$23/100</f>
        <v>3.0085269628136683E-2</v>
      </c>
      <c r="V146" s="198">
        <f>$L146*Variables!$C$24/100</f>
        <v>0.21880196093190313</v>
      </c>
      <c r="W146" s="22">
        <f>S146*Variables!$E$25*Variables!$C$15+'Cost Calculations'!T146*Variables!$E$26*Variables!$C$15+'Cost Calculations'!U146*Variables!$E$27*Variables!$C$15+V146*Variables!$E$28*Variables!$C$15</f>
        <v>202711.7067733077</v>
      </c>
      <c r="X146" s="20">
        <f>J146*Variables!$E$29*Variables!$C$15</f>
        <v>2231.4725961750769</v>
      </c>
      <c r="Z146" s="33">
        <f>D146*(IF(D146&lt;50000,0,IF(D146&gt;Variables!$C$7,Variables!$C$37,IF(D146&gt;Variables!$C$6,Variables!$C$36,IF(D146&gt;Variables!$C$5,Variables!$C$35)))))</f>
        <v>0</v>
      </c>
      <c r="AA146" s="34">
        <f t="shared" si="20"/>
        <v>0</v>
      </c>
      <c r="AB146" s="35">
        <f t="shared" si="27"/>
        <v>0</v>
      </c>
      <c r="AC146" s="22">
        <f>AB146*Variables!$E$41</f>
        <v>0</v>
      </c>
      <c r="AD146" s="115">
        <f>ROUND(IF(D146&lt;50000,0,(H146/(3.14*Variables!$C$34^2))),0)</f>
        <v>0</v>
      </c>
      <c r="AE146" s="116">
        <f t="shared" si="22"/>
        <v>0</v>
      </c>
      <c r="AF146" s="117">
        <f t="shared" si="28"/>
        <v>0</v>
      </c>
      <c r="AG146" s="107">
        <f>AF146*Variables!$E$42*Variables!$C$15</f>
        <v>0</v>
      </c>
      <c r="AH146" s="199">
        <f>ROUND((Z146)/Variables!$C$40,0)</f>
        <v>0</v>
      </c>
      <c r="AI146" s="33">
        <f t="shared" si="23"/>
        <v>0</v>
      </c>
      <c r="AJ146" s="199">
        <f t="shared" si="31"/>
        <v>0</v>
      </c>
      <c r="AK146" s="22">
        <f>AJ146*Variables!$E$43*Variables!$C$15</f>
        <v>0</v>
      </c>
      <c r="AL146" s="20">
        <f>Z146*Variables!$E$38*Variables!$C$15</f>
        <v>0</v>
      </c>
      <c r="AM146" s="98"/>
      <c r="AN146" s="200">
        <f t="shared" si="24"/>
        <v>0.25221875000000005</v>
      </c>
      <c r="AO146" s="201">
        <f t="shared" si="29"/>
        <v>75.530868766696358</v>
      </c>
      <c r="AP146" s="321">
        <f>VLOOKUP(A146,'Household Information'!H:Q,10,FALSE)</f>
        <v>108.65462509082352</v>
      </c>
      <c r="AQ146" s="122">
        <f>IF(12*(AO146-Variables!$C$3*AP146*F146)*(G146/5)&lt;0,0,12*(AO146-Variables!$C$3*AP146*F146)*(G146/5))</f>
        <v>0</v>
      </c>
      <c r="AS146" s="22"/>
    </row>
    <row r="147" spans="1:45" ht="14.25" customHeight="1" x14ac:dyDescent="0.35">
      <c r="A147" s="30">
        <v>18</v>
      </c>
      <c r="B147" s="28" t="s">
        <v>171</v>
      </c>
      <c r="C147" s="28">
        <v>2022</v>
      </c>
      <c r="D147" s="196">
        <f>Population!G19</f>
        <v>128146.27390379326</v>
      </c>
      <c r="E147" s="303" t="str">
        <f t="shared" si="30"/>
        <v>Medium</v>
      </c>
      <c r="F147" s="340">
        <f>VLOOKUP(A147,'Household Information'!$H$2:$M$49,6,FALSE)</f>
        <v>4.4388221584797423</v>
      </c>
      <c r="G147" s="196">
        <f t="shared" si="25"/>
        <v>28869</v>
      </c>
      <c r="H147" s="213">
        <f>Area!I19</f>
        <v>28.168619123232247</v>
      </c>
      <c r="I147" s="213"/>
      <c r="J147" s="32">
        <f>D147*Variables!$C$20</f>
        <v>115.33164651341393</v>
      </c>
      <c r="K147" s="202">
        <f t="shared" si="21"/>
        <v>112.66156736682028</v>
      </c>
      <c r="L147" s="32">
        <f t="shared" si="26"/>
        <v>2.6700791465936504</v>
      </c>
      <c r="N147" s="117"/>
      <c r="O147" s="117"/>
      <c r="P147" s="117"/>
      <c r="Q147" s="117"/>
      <c r="R147" s="108"/>
      <c r="S147" s="198">
        <f>$L147*Variables!$C$21/100</f>
        <v>0.14498167311820725</v>
      </c>
      <c r="T147" s="198">
        <f>$L147*Variables!$C$22/100</f>
        <v>0.25371792795686271</v>
      </c>
      <c r="U147" s="198">
        <f>$L147*Variables!$C$23/100</f>
        <v>0.26579973405004664</v>
      </c>
      <c r="V147" s="198">
        <f>$L147*Variables!$C$24/100</f>
        <v>1.9330889749094302</v>
      </c>
      <c r="W147" s="22">
        <f>S147*Variables!$E$25*Variables!$C$15+'Cost Calculations'!T147*Variables!$E$26*Variables!$C$15+'Cost Calculations'!U147*Variables!$E$27*Variables!$C$15+V147*Variables!$E$28*Variables!$C$15</f>
        <v>1790933.5171384104</v>
      </c>
      <c r="X147" s="20">
        <f>J147*Variables!$E$29*Variables!$C$15</f>
        <v>19714.791655002977</v>
      </c>
      <c r="Z147" s="33">
        <f>D147*(IF(D147&lt;50000,0,IF(D147&gt;Variables!$C$7,Variables!$C$37,IF(D147&gt;Variables!$C$6,Variables!$C$36,IF(D147&gt;Variables!$C$5,Variables!$C$35)))))</f>
        <v>64.073136951896629</v>
      </c>
      <c r="AA147" s="34">
        <f t="shared" si="20"/>
        <v>94</v>
      </c>
      <c r="AB147" s="35">
        <f t="shared" si="27"/>
        <v>0</v>
      </c>
      <c r="AC147" s="22">
        <f>AB147*Variables!$E$41</f>
        <v>0</v>
      </c>
      <c r="AD147" s="115">
        <f>ROUND(IF(D147&lt;50000,0,(H147/(3.14*Variables!$C$34^2))),0)</f>
        <v>36</v>
      </c>
      <c r="AE147" s="116">
        <f t="shared" si="22"/>
        <v>35</v>
      </c>
      <c r="AF147" s="117">
        <f t="shared" si="28"/>
        <v>1</v>
      </c>
      <c r="AG147" s="107">
        <f>AF147*Variables!$E$42*Variables!$C$15</f>
        <v>677.54399999999998</v>
      </c>
      <c r="AH147" s="199">
        <f>ROUND((Z147)/Variables!$C$40,0)</f>
        <v>1</v>
      </c>
      <c r="AI147" s="33">
        <f t="shared" si="23"/>
        <v>1</v>
      </c>
      <c r="AJ147" s="199">
        <f t="shared" si="31"/>
        <v>0</v>
      </c>
      <c r="AK147" s="22">
        <f>AJ147*Variables!$E$43*Variables!$C$15</f>
        <v>0</v>
      </c>
      <c r="AL147" s="20">
        <f>Z147*Variables!$E$38*Variables!$C$15</f>
        <v>11358790.309070768</v>
      </c>
      <c r="AM147" s="98"/>
      <c r="AN147" s="200">
        <f t="shared" si="24"/>
        <v>0.25221875000000005</v>
      </c>
      <c r="AO147" s="201">
        <f t="shared" si="29"/>
        <v>67.17325057704376</v>
      </c>
      <c r="AP147" s="321">
        <f>VLOOKUP(A147,'Household Information'!H:Q,10,FALSE)</f>
        <v>98.76688123185663</v>
      </c>
      <c r="AQ147" s="122">
        <f>IF(12*(AO147-Variables!$C$3*AP147*F147)*(G147/5)&lt;0,0,12*(AO147-Variables!$C$3*AP147*F147)*(G147/5))</f>
        <v>97828.318173342021</v>
      </c>
      <c r="AS147" s="22"/>
    </row>
    <row r="148" spans="1:45" ht="14.25" customHeight="1" x14ac:dyDescent="0.35">
      <c r="A148" s="30">
        <v>19</v>
      </c>
      <c r="B148" s="28" t="s">
        <v>172</v>
      </c>
      <c r="C148" s="28">
        <v>2022</v>
      </c>
      <c r="D148" s="196">
        <f>Population!G20</f>
        <v>5818259.2815511441</v>
      </c>
      <c r="E148" s="303" t="str">
        <f t="shared" si="30"/>
        <v>Large</v>
      </c>
      <c r="F148" s="340">
        <f>VLOOKUP(A148,'Household Information'!$H$2:$M$49,6,FALSE)</f>
        <v>4.3873267195354213</v>
      </c>
      <c r="G148" s="196">
        <f t="shared" si="25"/>
        <v>1326151</v>
      </c>
      <c r="H148" s="213">
        <f>Area!I20</f>
        <v>1122.4040918320663</v>
      </c>
      <c r="I148" s="213"/>
      <c r="J148" s="32">
        <f>D148*Variables!$C$20</f>
        <v>5236.4333533960298</v>
      </c>
      <c r="K148" s="202">
        <f t="shared" si="21"/>
        <v>5115.2030413168204</v>
      </c>
      <c r="L148" s="32">
        <f t="shared" si="26"/>
        <v>121.2303120792094</v>
      </c>
      <c r="N148" s="117"/>
      <c r="O148" s="117"/>
      <c r="P148" s="117"/>
      <c r="Q148" s="117"/>
      <c r="R148" s="108"/>
      <c r="S148" s="198">
        <f>$L148*Variables!$C$21/100</f>
        <v>6.5826413798665726</v>
      </c>
      <c r="T148" s="198">
        <f>$L148*Variables!$C$22/100</f>
        <v>11.519622414766504</v>
      </c>
      <c r="U148" s="198">
        <f>$L148*Variables!$C$23/100</f>
        <v>12.068175863088719</v>
      </c>
      <c r="V148" s="198">
        <f>$L148*Variables!$C$24/100</f>
        <v>87.768551731554311</v>
      </c>
      <c r="W148" s="22">
        <f>S148*Variables!$E$25*Variables!$C$15+'Cost Calculations'!T148*Variables!$E$26*Variables!$C$15+'Cost Calculations'!U148*Variables!$E$27*Variables!$C$15+V148*Variables!$E$28*Variables!$C$15</f>
        <v>81314229.757117987</v>
      </c>
      <c r="X148" s="20">
        <f>J148*Variables!$E$29*Variables!$C$15</f>
        <v>895115.91742951737</v>
      </c>
      <c r="Z148" s="33">
        <f>D148*(IF(D148&lt;50000,0,IF(D148&gt;Variables!$C$7,Variables!$C$37,IF(D148&gt;Variables!$C$6,Variables!$C$36,IF(D148&gt;Variables!$C$5,Variables!$C$35)))))</f>
        <v>2909.1296407755722</v>
      </c>
      <c r="AA148" s="34">
        <f t="shared" si="20"/>
        <v>5267</v>
      </c>
      <c r="AB148" s="35">
        <f t="shared" si="27"/>
        <v>0</v>
      </c>
      <c r="AC148" s="22">
        <f>AB148*Variables!$E$41</f>
        <v>0</v>
      </c>
      <c r="AD148" s="115">
        <f>ROUND(IF(D148&lt;50000,0,(H148/(3.14*Variables!$C$34^2))),0)</f>
        <v>1430</v>
      </c>
      <c r="AE148" s="116">
        <f t="shared" si="22"/>
        <v>1469</v>
      </c>
      <c r="AF148" s="117">
        <f t="shared" si="28"/>
        <v>0</v>
      </c>
      <c r="AG148" s="107">
        <f>AF148*Variables!$E$42*Variables!$C$15</f>
        <v>0</v>
      </c>
      <c r="AH148" s="199">
        <f>ROUND((Z148)/Variables!$C$40,0)</f>
        <v>23</v>
      </c>
      <c r="AI148" s="33">
        <f t="shared" si="23"/>
        <v>23</v>
      </c>
      <c r="AJ148" s="199">
        <f t="shared" si="31"/>
        <v>0</v>
      </c>
      <c r="AK148" s="22">
        <f>AJ148*Variables!$E$43*Variables!$C$15</f>
        <v>0</v>
      </c>
      <c r="AL148" s="20">
        <f>Z148*Variables!$E$38*Variables!$C$15</f>
        <v>515726170.80197364</v>
      </c>
      <c r="AM148" s="98"/>
      <c r="AN148" s="200">
        <f t="shared" si="24"/>
        <v>0.14000000000000001</v>
      </c>
      <c r="AO148" s="201">
        <f t="shared" si="29"/>
        <v>36.853544444097544</v>
      </c>
      <c r="AP148" s="321">
        <f>VLOOKUP(A148,'Household Information'!H:Q,10,FALSE)</f>
        <v>155.49665530733307</v>
      </c>
      <c r="AQ148" s="122">
        <f>IF(12*(AO148-Variables!$C$3*AP148*F148)*(G148/5)&lt;0,0,12*(AO148-Variables!$C$3*AP148*F148)*(G148/5))</f>
        <v>0</v>
      </c>
      <c r="AS148" s="22"/>
    </row>
    <row r="149" spans="1:45" ht="14.25" customHeight="1" x14ac:dyDescent="0.35">
      <c r="A149" s="30">
        <v>20</v>
      </c>
      <c r="B149" s="28" t="s">
        <v>173</v>
      </c>
      <c r="C149" s="28">
        <v>2022</v>
      </c>
      <c r="D149" s="196">
        <f>Population!G21</f>
        <v>3645043.9619316179</v>
      </c>
      <c r="E149" s="303" t="str">
        <f t="shared" si="30"/>
        <v>Large</v>
      </c>
      <c r="F149" s="340">
        <f>VLOOKUP(A149,'Household Information'!$H$2:$M$49,6,FALSE)</f>
        <v>5.2348048588773741</v>
      </c>
      <c r="G149" s="196">
        <f t="shared" si="25"/>
        <v>696309</v>
      </c>
      <c r="H149" s="213">
        <f>Area!I21</f>
        <v>474.64123222646322</v>
      </c>
      <c r="I149" s="213"/>
      <c r="J149" s="32">
        <f>D149*Variables!$C$20</f>
        <v>3280.5395657384561</v>
      </c>
      <c r="K149" s="202">
        <f t="shared" si="21"/>
        <v>3267.8417999999997</v>
      </c>
      <c r="L149" s="32">
        <f t="shared" si="26"/>
        <v>12.697765738456383</v>
      </c>
      <c r="N149" s="117"/>
      <c r="O149" s="117"/>
      <c r="P149" s="117"/>
      <c r="Q149" s="117"/>
      <c r="R149" s="108"/>
      <c r="S149" s="198">
        <f>$L149*Variables!$C$21/100</f>
        <v>0.68947144281211126</v>
      </c>
      <c r="T149" s="198">
        <f>$L149*Variables!$C$22/100</f>
        <v>1.2065750249211948</v>
      </c>
      <c r="U149" s="198">
        <f>$L149*Variables!$C$23/100</f>
        <v>1.2640309784888708</v>
      </c>
      <c r="V149" s="198">
        <f>$L149*Variables!$C$24/100</f>
        <v>9.192952570828151</v>
      </c>
      <c r="W149" s="22">
        <f>S149*Variables!$E$25*Variables!$C$15+'Cost Calculations'!T149*Variables!$E$26*Variables!$C$15+'Cost Calculations'!U149*Variables!$E$27*Variables!$C$15+V149*Variables!$E$28*Variables!$C$15</f>
        <v>8516921.4114064388</v>
      </c>
      <c r="X149" s="20">
        <f>J149*Variables!$E$29*Variables!$C$15</f>
        <v>560775.43336733175</v>
      </c>
      <c r="Z149" s="33">
        <f>D149*(IF(D149&lt;50000,0,IF(D149&gt;Variables!$C$7,Variables!$C$37,IF(D149&gt;Variables!$C$6,Variables!$C$36,IF(D149&gt;Variables!$C$5,Variables!$C$35)))))</f>
        <v>1822.521980965809</v>
      </c>
      <c r="AA149" s="34">
        <f t="shared" si="20"/>
        <v>3353</v>
      </c>
      <c r="AB149" s="35">
        <f t="shared" si="27"/>
        <v>0</v>
      </c>
      <c r="AC149" s="22">
        <f>AB149*Variables!$E$41</f>
        <v>0</v>
      </c>
      <c r="AD149" s="115">
        <f>ROUND(IF(D149&lt;50000,0,(H149/(3.14*Variables!$C$34^2))),0)</f>
        <v>605</v>
      </c>
      <c r="AE149" s="116">
        <f t="shared" si="22"/>
        <v>596</v>
      </c>
      <c r="AF149" s="117">
        <f t="shared" si="28"/>
        <v>9</v>
      </c>
      <c r="AG149" s="107">
        <f>AF149*Variables!$E$42*Variables!$C$15</f>
        <v>6097.8960000000006</v>
      </c>
      <c r="AH149" s="199">
        <f>ROUND((Z149)/Variables!$C$40,0)</f>
        <v>15</v>
      </c>
      <c r="AI149" s="33">
        <f t="shared" si="23"/>
        <v>14</v>
      </c>
      <c r="AJ149" s="199">
        <f t="shared" si="31"/>
        <v>1</v>
      </c>
      <c r="AK149" s="22">
        <f>AJ149*Variables!$E$43*Variables!$C$15</f>
        <v>552717.39600000007</v>
      </c>
      <c r="AL149" s="20">
        <f>Z149*Variables!$E$38*Variables!$C$15</f>
        <v>323093982.91213369</v>
      </c>
      <c r="AM149" s="98"/>
      <c r="AN149" s="200">
        <f t="shared" si="24"/>
        <v>0.56000000000000005</v>
      </c>
      <c r="AO149" s="201">
        <f t="shared" si="29"/>
        <v>175.88944325827978</v>
      </c>
      <c r="AP149" s="321">
        <f>VLOOKUP(A149,'Household Information'!H:Q,10,FALSE)</f>
        <v>92.944591695065014</v>
      </c>
      <c r="AQ149" s="122">
        <f>IF(12*(AO149-Variables!$C$3*AP149*F149)*(G149/5)&lt;0,0,12*(AO149-Variables!$C$3*AP149*F149)*(G149/5))</f>
        <v>171972875.90265179</v>
      </c>
      <c r="AS149" s="22"/>
    </row>
    <row r="150" spans="1:45" ht="14.25" customHeight="1" x14ac:dyDescent="0.35">
      <c r="A150" s="30">
        <v>21</v>
      </c>
      <c r="B150" s="30" t="s">
        <v>174</v>
      </c>
      <c r="C150" s="28">
        <v>2022</v>
      </c>
      <c r="D150" s="196">
        <f>Population!G22</f>
        <v>16099150.218309574</v>
      </c>
      <c r="E150" s="303" t="str">
        <f t="shared" si="30"/>
        <v>Large</v>
      </c>
      <c r="F150" s="340">
        <f>VLOOKUP(A150,'Household Information'!$H$2:$M$49,6,FALSE)</f>
        <v>4.4756737410071938</v>
      </c>
      <c r="G150" s="196">
        <f t="shared" si="25"/>
        <v>3597034</v>
      </c>
      <c r="H150" s="213">
        <f>Area!I22</f>
        <v>761.06230499999947</v>
      </c>
      <c r="I150" s="213"/>
      <c r="J150" s="32">
        <f>D150*Variables!$C$20</f>
        <v>14489.235196478616</v>
      </c>
      <c r="K150" s="202">
        <f t="shared" si="21"/>
        <v>14153.790364832093</v>
      </c>
      <c r="L150" s="32">
        <f t="shared" si="26"/>
        <v>335.44483164652229</v>
      </c>
      <c r="N150" s="117"/>
      <c r="O150" s="117"/>
      <c r="P150" s="117"/>
      <c r="Q150" s="117"/>
      <c r="R150" s="108"/>
      <c r="S150" s="198">
        <f>$L150*Variables!$C$21/100</f>
        <v>18.214199003431073</v>
      </c>
      <c r="T150" s="198">
        <f>$L150*Variables!$C$22/100</f>
        <v>31.87484825600438</v>
      </c>
      <c r="U150" s="198">
        <f>$L150*Variables!$C$23/100</f>
        <v>33.392698172956969</v>
      </c>
      <c r="V150" s="198">
        <f>$L150*Variables!$C$24/100</f>
        <v>242.85598671241431</v>
      </c>
      <c r="W150" s="22">
        <f>S150*Variables!$E$25*Variables!$C$15+'Cost Calculations'!T150*Variables!$E$26*Variables!$C$15+'Cost Calculations'!U150*Variables!$E$27*Variables!$C$15+V150*Variables!$E$28*Variables!$C$15</f>
        <v>224996848.09456903</v>
      </c>
      <c r="X150" s="20">
        <f>J150*Variables!$E$29*Variables!$C$15</f>
        <v>2476789.864486055</v>
      </c>
      <c r="Z150" s="33">
        <f>D150*(IF(D150&lt;50000,0,IF(D150&gt;Variables!$C$7,Variables!$C$37,IF(D150&gt;Variables!$C$6,Variables!$C$36,IF(D150&gt;Variables!$C$5,Variables!$C$35)))))</f>
        <v>8049.5751091547872</v>
      </c>
      <c r="AA150" s="34">
        <f t="shared" si="20"/>
        <v>7863</v>
      </c>
      <c r="AB150" s="35">
        <f t="shared" si="27"/>
        <v>187</v>
      </c>
      <c r="AC150" s="22">
        <f>AB150*Variables!$E$41</f>
        <v>69115200.000000015</v>
      </c>
      <c r="AD150" s="115">
        <f>ROUND(IF(D150&lt;50000,0,(H150/(3.14*Variables!$C$34^2))),0)</f>
        <v>970</v>
      </c>
      <c r="AE150" s="116">
        <f t="shared" si="22"/>
        <v>1087</v>
      </c>
      <c r="AF150" s="117">
        <f t="shared" si="28"/>
        <v>0</v>
      </c>
      <c r="AG150" s="107">
        <f>AF150*Variables!$E$42*Variables!$C$15</f>
        <v>0</v>
      </c>
      <c r="AH150" s="199">
        <f>ROUND((Z150)/Variables!$C$40,0)</f>
        <v>64</v>
      </c>
      <c r="AI150" s="33">
        <f t="shared" si="23"/>
        <v>63</v>
      </c>
      <c r="AJ150" s="199">
        <f t="shared" si="31"/>
        <v>1</v>
      </c>
      <c r="AK150" s="22">
        <f>AJ150*Variables!$E$43*Variables!$C$15</f>
        <v>552717.39600000007</v>
      </c>
      <c r="AL150" s="20">
        <f>Z150*Variables!$E$38*Variables!$C$15</f>
        <v>1427016688.9229879</v>
      </c>
      <c r="AM150" s="98"/>
      <c r="AN150" s="200">
        <f t="shared" si="24"/>
        <v>0.28000000000000003</v>
      </c>
      <c r="AO150" s="201">
        <f t="shared" si="29"/>
        <v>75.191318848920858</v>
      </c>
      <c r="AP150" s="321">
        <f>VLOOKUP(A150,'Household Information'!H:Q,10,FALSE)</f>
        <v>254.44907232109051</v>
      </c>
      <c r="AQ150" s="122">
        <f>IF(12*(AO150-Variables!$C$3*AP150*F150)*(G150/5)&lt;0,0,12*(AO150-Variables!$C$3*AP150*F150)*(G150/5))</f>
        <v>0</v>
      </c>
      <c r="AS150" s="22"/>
    </row>
    <row r="151" spans="1:45" ht="14.25" customHeight="1" x14ac:dyDescent="0.35">
      <c r="A151" s="30">
        <v>22</v>
      </c>
      <c r="B151" s="28" t="s">
        <v>175</v>
      </c>
      <c r="C151" s="28">
        <v>2022</v>
      </c>
      <c r="D151" s="196">
        <f>Population!G23</f>
        <v>14277578.604756424</v>
      </c>
      <c r="E151" s="303" t="str">
        <f t="shared" si="30"/>
        <v>Large</v>
      </c>
      <c r="F151" s="340">
        <f>VLOOKUP(A151,'Household Information'!$H$2:$M$49,6,FALSE)</f>
        <v>4.7768636363636361</v>
      </c>
      <c r="G151" s="196">
        <f t="shared" si="25"/>
        <v>2988902</v>
      </c>
      <c r="H151" s="213">
        <f>Area!I23</f>
        <v>1101.3930077183807</v>
      </c>
      <c r="I151" s="213"/>
      <c r="J151" s="32">
        <f>D151*Variables!$C$20</f>
        <v>12849.820744280782</v>
      </c>
      <c r="K151" s="202">
        <f t="shared" si="21"/>
        <v>19972.544550000002</v>
      </c>
      <c r="L151" s="32">
        <f t="shared" si="26"/>
        <v>0</v>
      </c>
      <c r="N151" s="117"/>
      <c r="O151" s="117"/>
      <c r="P151" s="117"/>
      <c r="Q151" s="117"/>
      <c r="R151" s="108"/>
      <c r="S151" s="198">
        <f>$L151*Variables!$C$21/100</f>
        <v>0</v>
      </c>
      <c r="T151" s="198">
        <f>$L151*Variables!$C$22/100</f>
        <v>0</v>
      </c>
      <c r="U151" s="198">
        <f>$L151*Variables!$C$23/100</f>
        <v>0</v>
      </c>
      <c r="V151" s="198">
        <f>$L151*Variables!$C$24/100</f>
        <v>0</v>
      </c>
      <c r="W151" s="22">
        <f>S151*Variables!$E$25*Variables!$C$15+'Cost Calculations'!T151*Variables!$E$26*Variables!$C$15+'Cost Calculations'!U151*Variables!$E$27*Variables!$C$15+V151*Variables!$E$28*Variables!$C$15</f>
        <v>0</v>
      </c>
      <c r="X151" s="20">
        <f>J151*Variables!$E$29*Variables!$C$15</f>
        <v>2196548.3580273571</v>
      </c>
      <c r="Z151" s="33">
        <f>D151*(IF(D151&lt;50000,0,IF(D151&gt;Variables!$C$7,Variables!$C$37,IF(D151&gt;Variables!$C$6,Variables!$C$36,IF(D151&gt;Variables!$C$5,Variables!$C$35)))))</f>
        <v>7138.7893023782126</v>
      </c>
      <c r="AA151" s="34">
        <f t="shared" si="20"/>
        <v>6974</v>
      </c>
      <c r="AB151" s="35">
        <f t="shared" si="27"/>
        <v>165</v>
      </c>
      <c r="AC151" s="22">
        <f>AB151*Variables!$E$41</f>
        <v>60984000.000000007</v>
      </c>
      <c r="AD151" s="115">
        <f>ROUND(IF(D151&lt;50000,0,(H151/(3.14*Variables!$C$34^2))),0)</f>
        <v>1403</v>
      </c>
      <c r="AE151" s="116">
        <f t="shared" si="22"/>
        <v>1383</v>
      </c>
      <c r="AF151" s="117">
        <f t="shared" si="28"/>
        <v>20</v>
      </c>
      <c r="AG151" s="107">
        <f>AF151*Variables!$E$42*Variables!$C$15</f>
        <v>13550.880000000001</v>
      </c>
      <c r="AH151" s="199">
        <f>ROUND((Z151)/Variables!$C$40,0)</f>
        <v>57</v>
      </c>
      <c r="AI151" s="33">
        <f t="shared" si="23"/>
        <v>69</v>
      </c>
      <c r="AJ151" s="199">
        <f t="shared" si="31"/>
        <v>0</v>
      </c>
      <c r="AK151" s="22">
        <f>AJ151*Variables!$E$43*Variables!$C$15</f>
        <v>0</v>
      </c>
      <c r="AL151" s="20">
        <f>Z151*Variables!$E$38*Variables!$C$15</f>
        <v>1265553937.3267944</v>
      </c>
      <c r="AM151" s="98"/>
      <c r="AN151" s="200">
        <f t="shared" si="24"/>
        <v>0.42</v>
      </c>
      <c r="AO151" s="201">
        <f t="shared" si="29"/>
        <v>120.37696363636363</v>
      </c>
      <c r="AP151" s="321">
        <f>VLOOKUP(A151,'Household Information'!H:Q,10,FALSE)</f>
        <v>150.91303799066011</v>
      </c>
      <c r="AQ151" s="122">
        <f>IF(12*(AO151-Variables!$C$3*AP151*F151)*(G151/5)&lt;0,0,12*(AO151-Variables!$C$3*AP151*F151)*(G151/5))</f>
        <v>87825751.382949501</v>
      </c>
      <c r="AS151" s="22"/>
    </row>
    <row r="152" spans="1:45" ht="14.25" customHeight="1" x14ac:dyDescent="0.35">
      <c r="A152" s="30">
        <v>23</v>
      </c>
      <c r="B152" s="28" t="s">
        <v>176</v>
      </c>
      <c r="C152" s="28">
        <v>2022</v>
      </c>
      <c r="D152" s="196">
        <f>Population!G24</f>
        <v>51777.879853472827</v>
      </c>
      <c r="E152" s="303" t="str">
        <f t="shared" si="30"/>
        <v>Small</v>
      </c>
      <c r="F152" s="340">
        <f>VLOOKUP(A152,'Household Information'!$H$2:$M$49,6,FALSE)</f>
        <v>3.9394565859421147</v>
      </c>
      <c r="G152" s="196">
        <f t="shared" si="25"/>
        <v>13143</v>
      </c>
      <c r="H152" s="213">
        <f>Area!I24</f>
        <v>104.49917900824568</v>
      </c>
      <c r="I152" s="213"/>
      <c r="J152" s="32">
        <f>D152*Variables!$C$20</f>
        <v>46.600091868125546</v>
      </c>
      <c r="K152" s="202">
        <f t="shared" si="21"/>
        <v>53.622780000000006</v>
      </c>
      <c r="L152" s="32">
        <f t="shared" si="26"/>
        <v>0</v>
      </c>
      <c r="N152" s="117"/>
      <c r="O152" s="117"/>
      <c r="P152" s="117"/>
      <c r="Q152" s="117"/>
      <c r="R152" s="108"/>
      <c r="S152" s="198">
        <f>$L152*Variables!$C$21/100</f>
        <v>0</v>
      </c>
      <c r="T152" s="198">
        <f>$L152*Variables!$C$22/100</f>
        <v>0</v>
      </c>
      <c r="U152" s="198">
        <f>$L152*Variables!$C$23/100</f>
        <v>0</v>
      </c>
      <c r="V152" s="198">
        <f>$L152*Variables!$C$24/100</f>
        <v>0</v>
      </c>
      <c r="W152" s="22">
        <f>S152*Variables!$E$25*Variables!$C$15+'Cost Calculations'!T152*Variables!$E$26*Variables!$C$15+'Cost Calculations'!U152*Variables!$E$27*Variables!$C$15+V152*Variables!$E$28*Variables!$C$15</f>
        <v>0</v>
      </c>
      <c r="X152" s="20">
        <f>J152*Variables!$E$29*Variables!$C$15</f>
        <v>7965.8197039373808</v>
      </c>
      <c r="Z152" s="33">
        <f>D152*(IF(D152&lt;50000,0,IF(D152&gt;Variables!$C$7,Variables!$C$37,IF(D152&gt;Variables!$C$6,Variables!$C$36,IF(D152&gt;Variables!$C$5,Variables!$C$35)))))</f>
        <v>25.888939926736413</v>
      </c>
      <c r="AA152" s="34">
        <f t="shared" si="20"/>
        <v>374.4</v>
      </c>
      <c r="AB152" s="35">
        <f t="shared" si="27"/>
        <v>0</v>
      </c>
      <c r="AC152" s="22">
        <f>AB152*Variables!$E$41</f>
        <v>0</v>
      </c>
      <c r="AD152" s="115">
        <f>ROUND(IF(D152&lt;50000,0,(H152/(3.14*Variables!$C$34^2))),0)</f>
        <v>133</v>
      </c>
      <c r="AE152" s="116">
        <f t="shared" si="22"/>
        <v>131</v>
      </c>
      <c r="AF152" s="117">
        <f t="shared" si="28"/>
        <v>2</v>
      </c>
      <c r="AG152" s="107">
        <f>AF152*Variables!$E$42*Variables!$C$15</f>
        <v>1355.088</v>
      </c>
      <c r="AH152" s="199">
        <f>ROUND((Z152)/Variables!$C$40,0)</f>
        <v>0</v>
      </c>
      <c r="AI152" s="33">
        <f t="shared" si="23"/>
        <v>1</v>
      </c>
      <c r="AJ152" s="199">
        <f t="shared" si="31"/>
        <v>0</v>
      </c>
      <c r="AK152" s="22">
        <f>AJ152*Variables!$E$43*Variables!$C$15</f>
        <v>0</v>
      </c>
      <c r="AL152" s="20">
        <f>Z152*Variables!$E$38*Variables!$C$15</f>
        <v>4589552.7196163628</v>
      </c>
      <c r="AM152" s="98"/>
      <c r="AN152" s="200">
        <f t="shared" si="24"/>
        <v>0.42</v>
      </c>
      <c r="AO152" s="201">
        <f t="shared" si="29"/>
        <v>99.274305965741291</v>
      </c>
      <c r="AP152" s="321">
        <f>VLOOKUP(A152,'Household Information'!H:Q,10,FALSE)</f>
        <v>127.00366022971097</v>
      </c>
      <c r="AQ152" s="122">
        <f>IF(12*(AO152-Variables!$C$3*AP152*F152)*(G152/5)&lt;0,0,12*(AO152-Variables!$C$3*AP152*F152)*(G152/5))</f>
        <v>764149.63723192806</v>
      </c>
      <c r="AS152" s="22"/>
    </row>
    <row r="153" spans="1:45" ht="14.25" customHeight="1" x14ac:dyDescent="0.35">
      <c r="A153" s="30">
        <v>24</v>
      </c>
      <c r="B153" s="28" t="s">
        <v>177</v>
      </c>
      <c r="C153" s="28">
        <v>2022</v>
      </c>
      <c r="D153" s="196">
        <f>Population!G25</f>
        <v>2179209.9448378365</v>
      </c>
      <c r="E153" s="303" t="str">
        <f t="shared" si="30"/>
        <v>Large</v>
      </c>
      <c r="F153" s="340">
        <f>VLOOKUP(A153,'Household Information'!$H$2:$M$49,6,FALSE)</f>
        <v>5.7167460931666056</v>
      </c>
      <c r="G153" s="196">
        <f t="shared" si="25"/>
        <v>381198</v>
      </c>
      <c r="H153" s="213">
        <f>Area!I25</f>
        <v>107.04075266828254</v>
      </c>
      <c r="I153" s="213"/>
      <c r="J153" s="32">
        <f>D153*Variables!$C$20</f>
        <v>1961.2889503540528</v>
      </c>
      <c r="K153" s="202">
        <f t="shared" si="21"/>
        <v>1915.8825342913478</v>
      </c>
      <c r="L153" s="32">
        <f t="shared" si="26"/>
        <v>45.40641606270492</v>
      </c>
      <c r="N153" s="117"/>
      <c r="O153" s="117"/>
      <c r="P153" s="117"/>
      <c r="Q153" s="117"/>
      <c r="R153" s="108"/>
      <c r="S153" s="198">
        <f>$L153*Variables!$C$21/100</f>
        <v>2.4655067545360136</v>
      </c>
      <c r="T153" s="198">
        <f>$L153*Variables!$C$22/100</f>
        <v>4.3146368204380243</v>
      </c>
      <c r="U153" s="198">
        <f>$L153*Variables!$C$23/100</f>
        <v>4.5200957166493589</v>
      </c>
      <c r="V153" s="198">
        <f>$L153*Variables!$C$24/100</f>
        <v>32.873423393813518</v>
      </c>
      <c r="W153" s="22">
        <f>S153*Variables!$E$25*Variables!$C$15+'Cost Calculations'!T153*Variables!$E$26*Variables!$C$15+'Cost Calculations'!U153*Variables!$E$27*Variables!$C$15+V153*Variables!$E$28*Variables!$C$15</f>
        <v>30455978.252020672</v>
      </c>
      <c r="X153" s="20">
        <f>J153*Variables!$E$29*Variables!$C$15</f>
        <v>335262.73317352182</v>
      </c>
      <c r="Z153" s="33">
        <f>D153*(IF(D153&lt;50000,0,IF(D153&gt;Variables!$C$7,Variables!$C$37,IF(D153&gt;Variables!$C$6,Variables!$C$36,IF(D153&gt;Variables!$C$5,Variables!$C$35)))))</f>
        <v>1089.6049724189184</v>
      </c>
      <c r="AA153" s="34">
        <f t="shared" si="20"/>
        <v>1064.5999999999999</v>
      </c>
      <c r="AB153" s="35">
        <f t="shared" si="27"/>
        <v>25</v>
      </c>
      <c r="AC153" s="22">
        <f>AB153*Variables!$E$41</f>
        <v>9240000.0000000019</v>
      </c>
      <c r="AD153" s="115">
        <f>ROUND(IF(D153&lt;50000,0,(H153/(3.14*Variables!$C$34^2))),0)</f>
        <v>136</v>
      </c>
      <c r="AE153" s="116">
        <f t="shared" si="22"/>
        <v>134</v>
      </c>
      <c r="AF153" s="117">
        <f t="shared" si="28"/>
        <v>2</v>
      </c>
      <c r="AG153" s="107">
        <f>AF153*Variables!$E$42*Variables!$C$15</f>
        <v>1355.088</v>
      </c>
      <c r="AH153" s="199">
        <f>ROUND((Z153)/Variables!$C$40,0)</f>
        <v>9</v>
      </c>
      <c r="AI153" s="33">
        <f t="shared" si="23"/>
        <v>9</v>
      </c>
      <c r="AJ153" s="199">
        <f t="shared" si="31"/>
        <v>0</v>
      </c>
      <c r="AK153" s="22">
        <f>AJ153*Variables!$E$43*Variables!$C$15</f>
        <v>0</v>
      </c>
      <c r="AL153" s="20">
        <f>Z153*Variables!$E$38*Variables!$C$15</f>
        <v>193163547.0059652</v>
      </c>
      <c r="AM153" s="98"/>
      <c r="AN153" s="200">
        <f t="shared" si="24"/>
        <v>0.14000000000000001</v>
      </c>
      <c r="AO153" s="201">
        <f t="shared" si="29"/>
        <v>48.020667182599489</v>
      </c>
      <c r="AP153" s="321">
        <f>VLOOKUP(A153,'Household Information'!H:Q,10,FALSE)</f>
        <v>84.816357440363504</v>
      </c>
      <c r="AQ153" s="122">
        <f>IF(12*(AO153-Variables!$C$3*AP153*F153)*(G153/5)&lt;0,0,12*(AO153-Variables!$C$3*AP153*F153)*(G153/5))</f>
        <v>0</v>
      </c>
      <c r="AS153" s="22"/>
    </row>
    <row r="154" spans="1:45" ht="14.25" customHeight="1" x14ac:dyDescent="0.35">
      <c r="A154" s="30">
        <v>25</v>
      </c>
      <c r="B154" s="28" t="s">
        <v>178</v>
      </c>
      <c r="C154" s="28">
        <v>2022</v>
      </c>
      <c r="D154" s="196">
        <f>Population!G26</f>
        <v>312829.38115834986</v>
      </c>
      <c r="E154" s="303" t="str">
        <f t="shared" si="30"/>
        <v>Medium</v>
      </c>
      <c r="F154" s="340">
        <f>VLOOKUP(A154,'Household Information'!$H$2:$M$49,6,FALSE)</f>
        <v>4.4000000000000004</v>
      </c>
      <c r="G154" s="196">
        <f t="shared" si="25"/>
        <v>71098</v>
      </c>
      <c r="H154" s="213">
        <f>Area!I26</f>
        <v>190.13817908181764</v>
      </c>
      <c r="I154" s="213"/>
      <c r="J154" s="32">
        <f>D154*Variables!$C$20</f>
        <v>281.54644304251485</v>
      </c>
      <c r="K154" s="202">
        <f t="shared" si="21"/>
        <v>275.02827297305345</v>
      </c>
      <c r="L154" s="32">
        <f t="shared" si="26"/>
        <v>6.5181700694614051</v>
      </c>
      <c r="N154" s="117"/>
      <c r="O154" s="117"/>
      <c r="P154" s="117"/>
      <c r="Q154" s="117"/>
      <c r="R154" s="108"/>
      <c r="S154" s="198">
        <f>$L154*Variables!$C$21/100</f>
        <v>0.35392778657708979</v>
      </c>
      <c r="T154" s="198">
        <f>$L154*Variables!$C$22/100</f>
        <v>0.61937362650990724</v>
      </c>
      <c r="U154" s="198">
        <f>$L154*Variables!$C$23/100</f>
        <v>0.64886760872466487</v>
      </c>
      <c r="V154" s="198">
        <f>$L154*Variables!$C$24/100</f>
        <v>4.7190371543611978</v>
      </c>
      <c r="W154" s="22">
        <f>S154*Variables!$E$25*Variables!$C$15+'Cost Calculations'!T154*Variables!$E$26*Variables!$C$15+'Cost Calculations'!U154*Variables!$E$27*Variables!$C$15+V154*Variables!$E$28*Variables!$C$15</f>
        <v>4372008.6959592272</v>
      </c>
      <c r="X154" s="20">
        <f>J154*Variables!$E$29*Variables!$C$15</f>
        <v>48127.548973687488</v>
      </c>
      <c r="Z154" s="33">
        <f>D154*(IF(D154&lt;50000,0,IF(D154&gt;Variables!$C$7,Variables!$C$37,IF(D154&gt;Variables!$C$6,Variables!$C$36,IF(D154&gt;Variables!$C$5,Variables!$C$35)))))</f>
        <v>156.41469057917493</v>
      </c>
      <c r="AA154" s="34">
        <f t="shared" si="20"/>
        <v>153</v>
      </c>
      <c r="AB154" s="35">
        <f t="shared" si="27"/>
        <v>3</v>
      </c>
      <c r="AC154" s="22">
        <f>AB154*Variables!$E$41</f>
        <v>1108800.0000000002</v>
      </c>
      <c r="AD154" s="115">
        <f>ROUND(IF(D154&lt;50000,0,(H154/(3.14*Variables!$C$34^2))),0)</f>
        <v>242</v>
      </c>
      <c r="AE154" s="116">
        <f t="shared" si="22"/>
        <v>239</v>
      </c>
      <c r="AF154" s="117">
        <f t="shared" si="28"/>
        <v>3</v>
      </c>
      <c r="AG154" s="107">
        <f>AF154*Variables!$E$42*Variables!$C$15</f>
        <v>2032.6320000000001</v>
      </c>
      <c r="AH154" s="199">
        <f>ROUND((Z154)/Variables!$C$40,0)</f>
        <v>1</v>
      </c>
      <c r="AI154" s="33">
        <f t="shared" si="23"/>
        <v>1</v>
      </c>
      <c r="AJ154" s="199">
        <f t="shared" si="31"/>
        <v>0</v>
      </c>
      <c r="AK154" s="22">
        <f>AJ154*Variables!$E$43*Variables!$C$15</f>
        <v>0</v>
      </c>
      <c r="AL154" s="20">
        <f>Z154*Variables!$E$38*Variables!$C$15</f>
        <v>27728963.432536345</v>
      </c>
      <c r="AM154" s="98"/>
      <c r="AN154" s="200">
        <f t="shared" si="24"/>
        <v>0.14000000000000001</v>
      </c>
      <c r="AO154" s="201">
        <f t="shared" si="29"/>
        <v>36.960000000000008</v>
      </c>
      <c r="AP154" s="321">
        <f>VLOOKUP(A154,'Household Information'!H:Q,10,FALSE)</f>
        <v>100.80777483276538</v>
      </c>
      <c r="AQ154" s="122">
        <f>IF(12*(AO154-Variables!$C$3*AP154*F154)*(G154/5)&lt;0,0,12*(AO154-Variables!$C$3*AP154*F154)*(G154/5))</f>
        <v>0</v>
      </c>
      <c r="AS154" s="22"/>
    </row>
    <row r="155" spans="1:45" ht="14.25" customHeight="1" x14ac:dyDescent="0.35">
      <c r="A155" s="30">
        <v>26</v>
      </c>
      <c r="B155" s="28" t="s">
        <v>179</v>
      </c>
      <c r="C155" s="28">
        <v>2022</v>
      </c>
      <c r="D155" s="196">
        <f>Population!G27</f>
        <v>129630.37386610762</v>
      </c>
      <c r="E155" s="303" t="str">
        <f t="shared" si="30"/>
        <v>Medium</v>
      </c>
      <c r="F155" s="340">
        <f>VLOOKUP(A155,'Household Information'!$H$2:$M$49,6,FALSE)</f>
        <v>3.9948981478058339</v>
      </c>
      <c r="G155" s="196">
        <f t="shared" si="25"/>
        <v>32449</v>
      </c>
      <c r="H155" s="213">
        <f>Area!I27</f>
        <v>678.86372086989718</v>
      </c>
      <c r="I155" s="213"/>
      <c r="J155" s="32">
        <f>D155*Variables!$C$20</f>
        <v>116.66733647949685</v>
      </c>
      <c r="K155" s="202">
        <f t="shared" si="21"/>
        <v>113.96633435527679</v>
      </c>
      <c r="L155" s="32">
        <f t="shared" si="26"/>
        <v>2.7010021242200679</v>
      </c>
      <c r="N155" s="117"/>
      <c r="O155" s="117"/>
      <c r="P155" s="117"/>
      <c r="Q155" s="117"/>
      <c r="R155" s="108"/>
      <c r="S155" s="198">
        <f>$L155*Variables!$C$21/100</f>
        <v>0.14666074882642902</v>
      </c>
      <c r="T155" s="198">
        <f>$L155*Variables!$C$22/100</f>
        <v>0.25665631044625081</v>
      </c>
      <c r="U155" s="198">
        <f>$L155*Variables!$C$23/100</f>
        <v>0.26887803951511985</v>
      </c>
      <c r="V155" s="198">
        <f>$L155*Variables!$C$24/100</f>
        <v>1.9554766510190535</v>
      </c>
      <c r="W155" s="22">
        <f>S155*Variables!$E$25*Variables!$C$15+'Cost Calculations'!T155*Variables!$E$26*Variables!$C$15+'Cost Calculations'!U155*Variables!$E$27*Variables!$C$15+V155*Variables!$E$28*Variables!$C$15</f>
        <v>1811674.8487770339</v>
      </c>
      <c r="X155" s="20">
        <f>J155*Variables!$E$29*Variables!$C$15</f>
        <v>19943.114497805193</v>
      </c>
      <c r="Z155" s="33">
        <f>D155*(IF(D155&lt;50000,0,IF(D155&gt;Variables!$C$7,Variables!$C$37,IF(D155&gt;Variables!$C$6,Variables!$C$36,IF(D155&gt;Variables!$C$5,Variables!$C$35)))))</f>
        <v>64.815186933053809</v>
      </c>
      <c r="AA155" s="34">
        <f t="shared" si="20"/>
        <v>139</v>
      </c>
      <c r="AB155" s="35">
        <f t="shared" si="27"/>
        <v>0</v>
      </c>
      <c r="AC155" s="22">
        <f>AB155*Variables!$E$41</f>
        <v>0</v>
      </c>
      <c r="AD155" s="115">
        <f>ROUND(IF(D155&lt;50000,0,(H155/(3.14*Variables!$C$34^2))),0)</f>
        <v>865</v>
      </c>
      <c r="AE155" s="116">
        <f t="shared" si="22"/>
        <v>853</v>
      </c>
      <c r="AF155" s="117">
        <f t="shared" si="28"/>
        <v>12</v>
      </c>
      <c r="AG155" s="107">
        <f>AF155*Variables!$E$42*Variables!$C$15</f>
        <v>8130.5280000000002</v>
      </c>
      <c r="AH155" s="199">
        <f>ROUND((Z155)/Variables!$C$40,0)</f>
        <v>1</v>
      </c>
      <c r="AI155" s="33">
        <f t="shared" si="23"/>
        <v>1</v>
      </c>
      <c r="AJ155" s="199">
        <f t="shared" si="31"/>
        <v>0</v>
      </c>
      <c r="AK155" s="22">
        <f>AJ155*Variables!$E$43*Variables!$C$15</f>
        <v>0</v>
      </c>
      <c r="AL155" s="20">
        <f>Z155*Variables!$E$38*Variables!$C$15</f>
        <v>11490339.824761599</v>
      </c>
      <c r="AM155" s="98"/>
      <c r="AN155" s="200">
        <f t="shared" si="24"/>
        <v>0.25221875000000005</v>
      </c>
      <c r="AO155" s="201">
        <f t="shared" si="29"/>
        <v>60.455293033014172</v>
      </c>
      <c r="AP155" s="321">
        <f>VLOOKUP(A155,'Household Information'!H:Q,10,FALSE)</f>
        <v>108.65462509082352</v>
      </c>
      <c r="AQ155" s="122">
        <f>IF(12*(AO155-Variables!$C$3*AP155*F155)*(G155/5)&lt;0,0,12*(AO155-Variables!$C$3*AP155*F155)*(G155/5))</f>
        <v>0</v>
      </c>
      <c r="AS155" s="22"/>
    </row>
    <row r="156" spans="1:45" ht="14.25" customHeight="1" x14ac:dyDescent="0.35">
      <c r="A156" s="30">
        <v>27</v>
      </c>
      <c r="B156" s="28" t="s">
        <v>180</v>
      </c>
      <c r="C156" s="28">
        <v>2022</v>
      </c>
      <c r="D156" s="196">
        <f>Population!G28</f>
        <v>1307396.3184142767</v>
      </c>
      <c r="E156" s="303" t="str">
        <f t="shared" si="30"/>
        <v>Large</v>
      </c>
      <c r="F156" s="340">
        <f>VLOOKUP(A156,'Household Information'!$H$2:$M$49,6,FALSE)</f>
        <v>4.6947316089524085</v>
      </c>
      <c r="G156" s="196">
        <f t="shared" si="25"/>
        <v>278482</v>
      </c>
      <c r="H156" s="213">
        <f>Area!I28</f>
        <v>126.75683853713566</v>
      </c>
      <c r="I156" s="213"/>
      <c r="J156" s="32">
        <f>D156*Variables!$C$20</f>
        <v>1176.6566865728489</v>
      </c>
      <c r="K156" s="202">
        <f t="shared" si="21"/>
        <v>2162.4648561170238</v>
      </c>
      <c r="L156" s="32">
        <f t="shared" si="26"/>
        <v>0</v>
      </c>
      <c r="N156" s="117"/>
      <c r="O156" s="117"/>
      <c r="P156" s="117"/>
      <c r="Q156" s="117"/>
      <c r="R156" s="108"/>
      <c r="S156" s="198">
        <f>$L156*Variables!$C$21/100</f>
        <v>0</v>
      </c>
      <c r="T156" s="198">
        <f>$L156*Variables!$C$22/100</f>
        <v>0</v>
      </c>
      <c r="U156" s="198">
        <f>$L156*Variables!$C$23/100</f>
        <v>0</v>
      </c>
      <c r="V156" s="198">
        <f>$L156*Variables!$C$24/100</f>
        <v>0</v>
      </c>
      <c r="W156" s="22">
        <f>S156*Variables!$E$25*Variables!$C$15+'Cost Calculations'!T156*Variables!$E$26*Variables!$C$15+'Cost Calculations'!U156*Variables!$E$27*Variables!$C$15+V156*Variables!$E$28*Variables!$C$15</f>
        <v>0</v>
      </c>
      <c r="X156" s="20">
        <f>J156*Variables!$E$29*Variables!$C$15</f>
        <v>201137.69400276279</v>
      </c>
      <c r="Z156" s="33">
        <f>D156*(IF(D156&lt;50000,0,IF(D156&gt;Variables!$C$7,Variables!$C$37,IF(D156&gt;Variables!$C$6,Variables!$C$36,IF(D156&gt;Variables!$C$5,Variables!$C$35)))))</f>
        <v>653.69815920713836</v>
      </c>
      <c r="AA156" s="34">
        <f t="shared" si="20"/>
        <v>639</v>
      </c>
      <c r="AB156" s="35">
        <f t="shared" si="27"/>
        <v>15</v>
      </c>
      <c r="AC156" s="22">
        <f>AB156*Variables!$E$41</f>
        <v>5544000.0000000009</v>
      </c>
      <c r="AD156" s="115">
        <f>ROUND(IF(D156&lt;50000,0,(H156/(3.14*Variables!$C$34^2))),0)</f>
        <v>161</v>
      </c>
      <c r="AE156" s="116">
        <f t="shared" si="22"/>
        <v>159</v>
      </c>
      <c r="AF156" s="117">
        <f t="shared" si="28"/>
        <v>2</v>
      </c>
      <c r="AG156" s="107">
        <f>AF156*Variables!$E$42*Variables!$C$15</f>
        <v>1355.088</v>
      </c>
      <c r="AH156" s="199">
        <f>ROUND((Z156)/Variables!$C$40,0)</f>
        <v>5</v>
      </c>
      <c r="AI156" s="33">
        <f t="shared" si="23"/>
        <v>110</v>
      </c>
      <c r="AJ156" s="199">
        <f t="shared" si="31"/>
        <v>0</v>
      </c>
      <c r="AK156" s="22">
        <f>AJ156*Variables!$E$43*Variables!$C$15</f>
        <v>0</v>
      </c>
      <c r="AL156" s="20">
        <f>Z156*Variables!$E$38*Variables!$C$15</f>
        <v>115886636.25809333</v>
      </c>
      <c r="AM156" s="98"/>
      <c r="AN156" s="200">
        <f t="shared" si="24"/>
        <v>0.14000000000000001</v>
      </c>
      <c r="AO156" s="201">
        <f t="shared" si="29"/>
        <v>39.435745515200232</v>
      </c>
      <c r="AP156" s="321">
        <f>VLOOKUP(A156,'Household Information'!H:Q,10,FALSE)</f>
        <v>58.94736842105263</v>
      </c>
      <c r="AQ156" s="122">
        <f>IF(12*(AO156-Variables!$C$3*AP156*F156)*(G156/5)&lt;0,0,12*(AO156-Variables!$C$3*AP156*F156)*(G156/5))</f>
        <v>0</v>
      </c>
      <c r="AS156" s="22"/>
    </row>
    <row r="157" spans="1:45" ht="14.25" customHeight="1" x14ac:dyDescent="0.35">
      <c r="A157" s="30">
        <v>28</v>
      </c>
      <c r="B157" s="28" t="s">
        <v>181</v>
      </c>
      <c r="C157" s="28">
        <v>2022</v>
      </c>
      <c r="D157" s="196">
        <f>Population!G29</f>
        <v>1388904.0717063691</v>
      </c>
      <c r="E157" s="303" t="str">
        <f t="shared" si="30"/>
        <v>Large</v>
      </c>
      <c r="F157" s="340">
        <f>VLOOKUP(A157,'Household Information'!$H$2:$M$49,6,FALSE)</f>
        <v>3.2903489815623708</v>
      </c>
      <c r="G157" s="196">
        <f t="shared" si="25"/>
        <v>422115</v>
      </c>
      <c r="H157" s="213">
        <f>Area!I29</f>
        <v>163.37799091474696</v>
      </c>
      <c r="I157" s="213"/>
      <c r="J157" s="32">
        <f>D157*Variables!$C$20</f>
        <v>1250.013664535732</v>
      </c>
      <c r="K157" s="202">
        <f t="shared" si="21"/>
        <v>1221.0742058569231</v>
      </c>
      <c r="L157" s="32">
        <f t="shared" si="26"/>
        <v>28.939458678808933</v>
      </c>
      <c r="N157" s="117"/>
      <c r="O157" s="117"/>
      <c r="P157" s="117"/>
      <c r="Q157" s="117"/>
      <c r="R157" s="108"/>
      <c r="S157" s="198">
        <f>$L157*Variables!$C$21/100</f>
        <v>1.5713733219262767</v>
      </c>
      <c r="T157" s="198">
        <f>$L157*Variables!$C$22/100</f>
        <v>2.7499033133709845</v>
      </c>
      <c r="U157" s="198">
        <f>$L157*Variables!$C$23/100</f>
        <v>2.8808510901981741</v>
      </c>
      <c r="V157" s="198">
        <f>$L157*Variables!$C$24/100</f>
        <v>20.951644292350355</v>
      </c>
      <c r="W157" s="22">
        <f>S157*Variables!$E$25*Variables!$C$15+'Cost Calculations'!T157*Variables!$E$26*Variables!$C$15+'Cost Calculations'!U157*Variables!$E$27*Variables!$C$15+V157*Variables!$E$28*Variables!$C$15</f>
        <v>19410902.69995977</v>
      </c>
      <c r="X157" s="20">
        <f>J157*Variables!$E$29*Variables!$C$15</f>
        <v>213677.33581573804</v>
      </c>
      <c r="Z157" s="33">
        <f>D157*(IF(D157&lt;50000,0,IF(D157&gt;Variables!$C$7,Variables!$C$37,IF(D157&gt;Variables!$C$6,Variables!$C$36,IF(D157&gt;Variables!$C$5,Variables!$C$35)))))</f>
        <v>694.4520358531845</v>
      </c>
      <c r="AA157" s="34">
        <f t="shared" si="20"/>
        <v>678</v>
      </c>
      <c r="AB157" s="35">
        <f t="shared" si="27"/>
        <v>16</v>
      </c>
      <c r="AC157" s="22">
        <f>AB157*Variables!$E$41</f>
        <v>5913600.0000000009</v>
      </c>
      <c r="AD157" s="115">
        <f>ROUND(IF(D157&lt;50000,0,(H157/(3.14*Variables!$C$34^2))),0)</f>
        <v>208</v>
      </c>
      <c r="AE157" s="116">
        <f t="shared" si="22"/>
        <v>205</v>
      </c>
      <c r="AF157" s="117">
        <f t="shared" si="28"/>
        <v>3</v>
      </c>
      <c r="AG157" s="107">
        <f>AF157*Variables!$E$42*Variables!$C$15</f>
        <v>2032.6320000000001</v>
      </c>
      <c r="AH157" s="199">
        <f>ROUND((Z157)/Variables!$C$40,0)</f>
        <v>6</v>
      </c>
      <c r="AI157" s="33">
        <f t="shared" si="23"/>
        <v>5</v>
      </c>
      <c r="AJ157" s="199">
        <f t="shared" si="31"/>
        <v>1</v>
      </c>
      <c r="AK157" s="22">
        <f>AJ157*Variables!$E$43*Variables!$C$15</f>
        <v>552717.39600000007</v>
      </c>
      <c r="AL157" s="20">
        <f>Z157*Variables!$E$38*Variables!$C$15</f>
        <v>123111422.8242905</v>
      </c>
      <c r="AM157" s="98"/>
      <c r="AN157" s="200">
        <f t="shared" si="24"/>
        <v>0.21</v>
      </c>
      <c r="AO157" s="201">
        <f t="shared" si="29"/>
        <v>41.458397167685874</v>
      </c>
      <c r="AP157" s="321">
        <f>VLOOKUP(A157,'Household Information'!H:Q,10,FALSE)</f>
        <v>53.01022340022719</v>
      </c>
      <c r="AQ157" s="122">
        <f>IF(12*(AO157-Variables!$C$3*AP157*F157)*(G157/5)&lt;0,0,12*(AO157-Variables!$C$3*AP157*F157)*(G157/5))</f>
        <v>15495075.40769086</v>
      </c>
      <c r="AS157" s="22"/>
    </row>
    <row r="158" spans="1:45" ht="14.25" customHeight="1" x14ac:dyDescent="0.35">
      <c r="A158" s="30">
        <v>29</v>
      </c>
      <c r="B158" s="28" t="s">
        <v>182</v>
      </c>
      <c r="C158" s="28">
        <v>2022</v>
      </c>
      <c r="D158" s="196">
        <f>Population!G30</f>
        <v>185323.58631414297</v>
      </c>
      <c r="E158" s="303" t="str">
        <f t="shared" si="30"/>
        <v>Medium</v>
      </c>
      <c r="F158" s="340">
        <f>VLOOKUP(A158,'Household Information'!$H$2:$M$49,6,FALSE)</f>
        <v>4.6165672844480259</v>
      </c>
      <c r="G158" s="196">
        <f t="shared" si="25"/>
        <v>40143</v>
      </c>
      <c r="H158" s="213">
        <f>Area!I30</f>
        <v>918.29698341737105</v>
      </c>
      <c r="I158" s="213"/>
      <c r="J158" s="32">
        <f>D158*Variables!$C$20</f>
        <v>166.79122768272867</v>
      </c>
      <c r="K158" s="202">
        <f t="shared" si="21"/>
        <v>162.92979162130376</v>
      </c>
      <c r="L158" s="32">
        <f t="shared" si="26"/>
        <v>3.8614360614249108</v>
      </c>
      <c r="N158" s="117"/>
      <c r="O158" s="117"/>
      <c r="P158" s="117"/>
      <c r="Q158" s="117"/>
      <c r="R158" s="108"/>
      <c r="S158" s="198">
        <f>$L158*Variables!$C$21/100</f>
        <v>0.20967073636696346</v>
      </c>
      <c r="T158" s="198">
        <f>$L158*Variables!$C$22/100</f>
        <v>0.36692378864218611</v>
      </c>
      <c r="U158" s="198">
        <f>$L158*Variables!$C$23/100</f>
        <v>0.38439635000609973</v>
      </c>
      <c r="V158" s="198">
        <f>$L158*Variables!$C$24/100</f>
        <v>2.7956098182261799</v>
      </c>
      <c r="W158" s="22">
        <f>S158*Variables!$E$25*Variables!$C$15+'Cost Calculations'!T158*Variables!$E$26*Variables!$C$15+'Cost Calculations'!U158*Variables!$E$27*Variables!$C$15+V158*Variables!$E$28*Variables!$C$15</f>
        <v>2590026.3201992875</v>
      </c>
      <c r="X158" s="20">
        <f>J158*Variables!$E$29*Variables!$C$15</f>
        <v>28511.292460085642</v>
      </c>
      <c r="Z158" s="33">
        <f>D158*(IF(D158&lt;50000,0,IF(D158&gt;Variables!$C$7,Variables!$C$37,IF(D158&gt;Variables!$C$6,Variables!$C$36,IF(D158&gt;Variables!$C$5,Variables!$C$35)))))</f>
        <v>92.661793157071486</v>
      </c>
      <c r="AA158" s="34">
        <f t="shared" si="20"/>
        <v>206</v>
      </c>
      <c r="AB158" s="35">
        <f t="shared" si="27"/>
        <v>0</v>
      </c>
      <c r="AC158" s="22">
        <f>AB158*Variables!$E$41</f>
        <v>0</v>
      </c>
      <c r="AD158" s="115">
        <f>ROUND(IF(D158&lt;50000,0,(H158/(3.14*Variables!$C$34^2))),0)</f>
        <v>1170</v>
      </c>
      <c r="AE158" s="116">
        <f t="shared" si="22"/>
        <v>1153</v>
      </c>
      <c r="AF158" s="117">
        <f t="shared" si="28"/>
        <v>17</v>
      </c>
      <c r="AG158" s="107">
        <f>AF158*Variables!$E$42*Variables!$C$15</f>
        <v>11518.248</v>
      </c>
      <c r="AH158" s="199">
        <f>ROUND((Z158)/Variables!$C$40,0)</f>
        <v>1</v>
      </c>
      <c r="AI158" s="33">
        <f t="shared" si="23"/>
        <v>1</v>
      </c>
      <c r="AJ158" s="199">
        <f t="shared" si="31"/>
        <v>0</v>
      </c>
      <c r="AK158" s="22">
        <f>AJ158*Variables!$E$43*Variables!$C$15</f>
        <v>0</v>
      </c>
      <c r="AL158" s="20">
        <f>Z158*Variables!$E$38*Variables!$C$15</f>
        <v>16426944.71044636</v>
      </c>
      <c r="AM158" s="98"/>
      <c r="AN158" s="200">
        <f t="shared" si="24"/>
        <v>0.14000000000000001</v>
      </c>
      <c r="AO158" s="201">
        <f t="shared" si="29"/>
        <v>38.779165189363418</v>
      </c>
      <c r="AP158" s="321">
        <f>VLOOKUP(A158,'Household Information'!H:Q,10,FALSE)</f>
        <v>91.707686482393044</v>
      </c>
      <c r="AQ158" s="122">
        <f>IF(12*(AO158-Variables!$C$3*AP158*F158)*(G158/5)&lt;0,0,12*(AO158-Variables!$C$3*AP158*F158)*(G158/5))</f>
        <v>0</v>
      </c>
      <c r="AS158" s="22"/>
    </row>
    <row r="159" spans="1:45" ht="14.25" customHeight="1" x14ac:dyDescent="0.35">
      <c r="A159" s="30">
        <v>30</v>
      </c>
      <c r="B159" s="28" t="s">
        <v>183</v>
      </c>
      <c r="C159" s="28">
        <v>2022</v>
      </c>
      <c r="D159" s="196">
        <f>Population!G31</f>
        <v>127144.79755607634</v>
      </c>
      <c r="E159" s="303" t="str">
        <f t="shared" si="30"/>
        <v>Medium</v>
      </c>
      <c r="F159" s="340">
        <f>VLOOKUP(A159,'Household Information'!$H$2:$M$49,6,FALSE)</f>
        <v>4.0765401369010581</v>
      </c>
      <c r="G159" s="196">
        <f t="shared" si="25"/>
        <v>31189</v>
      </c>
      <c r="H159" s="213">
        <f>Area!I31</f>
        <v>91.548012150504789</v>
      </c>
      <c r="I159" s="213"/>
      <c r="J159" s="32">
        <f>D159*Variables!$C$20</f>
        <v>114.4303178004687</v>
      </c>
      <c r="K159" s="202">
        <f t="shared" si="21"/>
        <v>111.78110559780082</v>
      </c>
      <c r="L159" s="32">
        <f t="shared" si="26"/>
        <v>2.6492122026678828</v>
      </c>
      <c r="N159" s="117"/>
      <c r="O159" s="117"/>
      <c r="P159" s="117"/>
      <c r="Q159" s="117"/>
      <c r="R159" s="108"/>
      <c r="S159" s="198">
        <f>$L159*Variables!$C$21/100</f>
        <v>0.14384862638920629</v>
      </c>
      <c r="T159" s="198">
        <f>$L159*Variables!$C$22/100</f>
        <v>0.25173509618111106</v>
      </c>
      <c r="U159" s="198">
        <f>$L159*Variables!$C$23/100</f>
        <v>0.2637224817135449</v>
      </c>
      <c r="V159" s="198">
        <f>$L159*Variables!$C$24/100</f>
        <v>1.9179816851894174</v>
      </c>
      <c r="W159" s="22">
        <f>S159*Variables!$E$25*Variables!$C$15+'Cost Calculations'!T159*Variables!$E$26*Variables!$C$15+'Cost Calculations'!U159*Variables!$E$27*Variables!$C$15+V159*Variables!$E$28*Variables!$C$15</f>
        <v>1776937.1869829614</v>
      </c>
      <c r="X159" s="20">
        <f>J159*Variables!$E$29*Variables!$C$15</f>
        <v>19560.71852481212</v>
      </c>
      <c r="Z159" s="33">
        <f>D159*(IF(D159&lt;50000,0,IF(D159&gt;Variables!$C$7,Variables!$C$37,IF(D159&gt;Variables!$C$6,Variables!$C$36,IF(D159&gt;Variables!$C$5,Variables!$C$35)))))</f>
        <v>63.572398778038171</v>
      </c>
      <c r="AA159" s="34">
        <f t="shared" si="20"/>
        <v>62</v>
      </c>
      <c r="AB159" s="35">
        <f t="shared" si="27"/>
        <v>2</v>
      </c>
      <c r="AC159" s="22">
        <f>AB159*Variables!$E$41</f>
        <v>739200.00000000012</v>
      </c>
      <c r="AD159" s="115">
        <f>ROUND(IF(D159&lt;50000,0,(H159/(3.14*Variables!$C$34^2))),0)</f>
        <v>117</v>
      </c>
      <c r="AE159" s="116">
        <f t="shared" si="22"/>
        <v>115</v>
      </c>
      <c r="AF159" s="117">
        <f t="shared" si="28"/>
        <v>2</v>
      </c>
      <c r="AG159" s="107">
        <f>AF159*Variables!$E$42*Variables!$C$15</f>
        <v>1355.088</v>
      </c>
      <c r="AH159" s="199">
        <f>ROUND((Z159)/Variables!$C$40,0)</f>
        <v>1</v>
      </c>
      <c r="AI159" s="33">
        <f t="shared" si="23"/>
        <v>21</v>
      </c>
      <c r="AJ159" s="199">
        <f t="shared" si="31"/>
        <v>0</v>
      </c>
      <c r="AK159" s="22">
        <f>AJ159*Variables!$E$43*Variables!$C$15</f>
        <v>0</v>
      </c>
      <c r="AL159" s="20">
        <f>Z159*Variables!$E$38*Variables!$C$15</f>
        <v>11270020.191246266</v>
      </c>
      <c r="AM159" s="98"/>
      <c r="AN159" s="200">
        <f t="shared" si="24"/>
        <v>0.25221875000000005</v>
      </c>
      <c r="AO159" s="201">
        <f t="shared" si="29"/>
        <v>61.690791459240835</v>
      </c>
      <c r="AP159" s="321">
        <f>VLOOKUP(A159,'Household Information'!H:Q,10,FALSE)</f>
        <v>60.413984601792251</v>
      </c>
      <c r="AQ159" s="122">
        <f>IF(12*(AO159-Variables!$C$3*AP159*F159)*(G159/5)&lt;0,0,12*(AO159-Variables!$C$3*AP159*F159)*(G159/5))</f>
        <v>1852535.7651819661</v>
      </c>
      <c r="AS159" s="22"/>
    </row>
    <row r="160" spans="1:45" ht="14.25" customHeight="1" x14ac:dyDescent="0.35">
      <c r="A160" s="30">
        <v>31</v>
      </c>
      <c r="B160" s="28" t="s">
        <v>184</v>
      </c>
      <c r="C160" s="28">
        <v>2022</v>
      </c>
      <c r="D160" s="196">
        <f>Population!G32</f>
        <v>219416.48074049066</v>
      </c>
      <c r="E160" s="303" t="str">
        <f t="shared" si="30"/>
        <v>Medium</v>
      </c>
      <c r="F160" s="340">
        <f>VLOOKUP(A160,'Household Information'!$H$2:$M$49,6,FALSE)</f>
        <v>3.6621172202306398</v>
      </c>
      <c r="G160" s="196">
        <f t="shared" si="25"/>
        <v>59915</v>
      </c>
      <c r="H160" s="213">
        <f>Area!I32</f>
        <v>691.53959947535145</v>
      </c>
      <c r="I160" s="213"/>
      <c r="J160" s="32">
        <f>D160*Variables!$C$20</f>
        <v>197.47483266644159</v>
      </c>
      <c r="K160" s="202">
        <f t="shared" si="21"/>
        <v>522.30024000000003</v>
      </c>
      <c r="L160" s="32">
        <f t="shared" si="26"/>
        <v>0</v>
      </c>
      <c r="N160" s="117"/>
      <c r="O160" s="117"/>
      <c r="P160" s="117"/>
      <c r="Q160" s="117"/>
      <c r="R160" s="108"/>
      <c r="S160" s="198">
        <f>$L160*Variables!$C$21/100</f>
        <v>0</v>
      </c>
      <c r="T160" s="198">
        <f>$L160*Variables!$C$22/100</f>
        <v>0</v>
      </c>
      <c r="U160" s="198">
        <f>$L160*Variables!$C$23/100</f>
        <v>0</v>
      </c>
      <c r="V160" s="198">
        <f>$L160*Variables!$C$24/100</f>
        <v>0</v>
      </c>
      <c r="W160" s="22">
        <f>S160*Variables!$E$25*Variables!$C$15+'Cost Calculations'!T160*Variables!$E$26*Variables!$C$15+'Cost Calculations'!U160*Variables!$E$27*Variables!$C$15+V160*Variables!$E$28*Variables!$C$15</f>
        <v>0</v>
      </c>
      <c r="X160" s="20">
        <f>J160*Variables!$E$29*Variables!$C$15</f>
        <v>33756.347896001527</v>
      </c>
      <c r="Z160" s="33">
        <f>D160*(IF(D160&lt;50000,0,IF(D160&gt;Variables!$C$7,Variables!$C$37,IF(D160&gt;Variables!$C$6,Variables!$C$36,IF(D160&gt;Variables!$C$5,Variables!$C$35)))))</f>
        <v>109.70824037024533</v>
      </c>
      <c r="AA160" s="34">
        <f t="shared" si="20"/>
        <v>3158</v>
      </c>
      <c r="AB160" s="35">
        <f t="shared" si="27"/>
        <v>0</v>
      </c>
      <c r="AC160" s="22">
        <f>AB160*Variables!$E$41</f>
        <v>0</v>
      </c>
      <c r="AD160" s="115">
        <f>ROUND(IF(D160&lt;50000,0,(H160/(3.14*Variables!$C$34^2))),0)</f>
        <v>881</v>
      </c>
      <c r="AE160" s="116">
        <f t="shared" si="22"/>
        <v>869</v>
      </c>
      <c r="AF160" s="117">
        <f t="shared" si="28"/>
        <v>12</v>
      </c>
      <c r="AG160" s="107">
        <f>AF160*Variables!$E$42*Variables!$C$15</f>
        <v>8130.5280000000002</v>
      </c>
      <c r="AH160" s="199">
        <f>ROUND((Z160)/Variables!$C$40,0)</f>
        <v>1</v>
      </c>
      <c r="AI160" s="33">
        <f t="shared" si="23"/>
        <v>27</v>
      </c>
      <c r="AJ160" s="199">
        <f t="shared" si="31"/>
        <v>0</v>
      </c>
      <c r="AK160" s="22">
        <f>AJ160*Variables!$E$43*Variables!$C$15</f>
        <v>0</v>
      </c>
      <c r="AL160" s="20">
        <f>Z160*Variables!$E$38*Variables!$C$15</f>
        <v>19448913.488944788</v>
      </c>
      <c r="AM160" s="98"/>
      <c r="AN160" s="200">
        <f t="shared" si="24"/>
        <v>0.14000000000000001</v>
      </c>
      <c r="AO160" s="201">
        <f t="shared" si="29"/>
        <v>30.761784649937375</v>
      </c>
      <c r="AP160" s="321">
        <f>VLOOKUP(A160,'Household Information'!H:Q,10,FALSE)</f>
        <v>118.33648870377382</v>
      </c>
      <c r="AQ160" s="122">
        <f>IF(12*(AO160-Variables!$C$3*AP160*F160)*(G160/5)&lt;0,0,12*(AO160-Variables!$C$3*AP160*F160)*(G160/5))</f>
        <v>0</v>
      </c>
      <c r="AS160" s="22"/>
    </row>
    <row r="161" spans="1:45" ht="14.25" customHeight="1" x14ac:dyDescent="0.35">
      <c r="A161" s="30">
        <v>32</v>
      </c>
      <c r="B161" s="28" t="s">
        <v>185</v>
      </c>
      <c r="C161" s="28">
        <v>2022</v>
      </c>
      <c r="D161" s="196">
        <f>Population!G33</f>
        <v>1527536.0876281185</v>
      </c>
      <c r="E161" s="303" t="str">
        <f t="shared" si="30"/>
        <v>Large</v>
      </c>
      <c r="F161" s="340">
        <f>VLOOKUP(A161,'Household Information'!$H$2:$M$49,6,FALSE)</f>
        <v>6.457235996477583</v>
      </c>
      <c r="G161" s="196">
        <f t="shared" si="25"/>
        <v>236562</v>
      </c>
      <c r="H161" s="213">
        <f>Area!I33</f>
        <v>40.844497728686754</v>
      </c>
      <c r="I161" s="213"/>
      <c r="J161" s="32">
        <f>D161*Variables!$C$20</f>
        <v>1374.7824788653065</v>
      </c>
      <c r="K161" s="202">
        <f t="shared" si="21"/>
        <v>1342.9544582058281</v>
      </c>
      <c r="L161" s="32">
        <f t="shared" si="26"/>
        <v>31.828020659478398</v>
      </c>
      <c r="N161" s="117"/>
      <c r="O161" s="117"/>
      <c r="P161" s="117"/>
      <c r="Q161" s="117"/>
      <c r="R161" s="108"/>
      <c r="S161" s="198">
        <f>$L161*Variables!$C$21/100</f>
        <v>1.7282183163517681</v>
      </c>
      <c r="T161" s="198">
        <f>$L161*Variables!$C$22/100</f>
        <v>3.0243820536155943</v>
      </c>
      <c r="U161" s="198">
        <f>$L161*Variables!$C$23/100</f>
        <v>3.1684002466449086</v>
      </c>
      <c r="V161" s="198">
        <f>$L161*Variables!$C$24/100</f>
        <v>23.04291088469024</v>
      </c>
      <c r="W161" s="22">
        <f>S161*Variables!$E$25*Variables!$C$15+'Cost Calculations'!T161*Variables!$E$26*Variables!$C$15+'Cost Calculations'!U161*Variables!$E$27*Variables!$C$15+V161*Variables!$E$28*Variables!$C$15</f>
        <v>21348381.772111021</v>
      </c>
      <c r="X161" s="20">
        <f>J161*Variables!$E$29*Variables!$C$15</f>
        <v>235005.3169372355</v>
      </c>
      <c r="Z161" s="33">
        <f>D161*(IF(D161&lt;50000,0,IF(D161&gt;Variables!$C$7,Variables!$C$37,IF(D161&gt;Variables!$C$6,Variables!$C$36,IF(D161&gt;Variables!$C$5,Variables!$C$35)))))</f>
        <v>763.7680438140593</v>
      </c>
      <c r="AA161" s="34">
        <f t="shared" si="20"/>
        <v>746</v>
      </c>
      <c r="AB161" s="35">
        <f t="shared" si="27"/>
        <v>18</v>
      </c>
      <c r="AC161" s="22">
        <f>AB161*Variables!$E$41</f>
        <v>6652800.0000000009</v>
      </c>
      <c r="AD161" s="115">
        <f>ROUND(IF(D161&lt;50000,0,(H161/(3.14*Variables!$C$34^2))),0)</f>
        <v>52</v>
      </c>
      <c r="AE161" s="116">
        <f t="shared" si="22"/>
        <v>51</v>
      </c>
      <c r="AF161" s="117">
        <f t="shared" si="28"/>
        <v>1</v>
      </c>
      <c r="AG161" s="107">
        <f>AF161*Variables!$E$42*Variables!$C$15</f>
        <v>677.54399999999998</v>
      </c>
      <c r="AH161" s="199">
        <f>ROUND((Z161)/Variables!$C$40,0)</f>
        <v>6</v>
      </c>
      <c r="AI161" s="33">
        <f t="shared" si="23"/>
        <v>6</v>
      </c>
      <c r="AJ161" s="199">
        <f t="shared" si="31"/>
        <v>0</v>
      </c>
      <c r="AK161" s="22">
        <f>AJ161*Variables!$E$43*Variables!$C$15</f>
        <v>0</v>
      </c>
      <c r="AL161" s="20">
        <f>Z161*Variables!$E$38*Variables!$C$15</f>
        <v>135399661.49880025</v>
      </c>
      <c r="AM161" s="98"/>
      <c r="AN161" s="200">
        <f t="shared" si="24"/>
        <v>0.14000000000000001</v>
      </c>
      <c r="AO161" s="201">
        <f t="shared" si="29"/>
        <v>54.240782370411701</v>
      </c>
      <c r="AP161" s="321">
        <f>VLOOKUP(A161,'Household Information'!H:Q,10,FALSE)</f>
        <v>105.97627161428754</v>
      </c>
      <c r="AQ161" s="122">
        <f>IF(12*(AO161-Variables!$C$3*AP161*F161)*(G161/5)&lt;0,0,12*(AO161-Variables!$C$3*AP161*F161)*(G161/5))</f>
        <v>0</v>
      </c>
      <c r="AS161" s="22"/>
    </row>
    <row r="162" spans="1:45" ht="14.25" customHeight="1" x14ac:dyDescent="0.35">
      <c r="A162" s="30">
        <v>33</v>
      </c>
      <c r="B162" s="28" t="s">
        <v>186</v>
      </c>
      <c r="C162" s="28">
        <v>2022</v>
      </c>
      <c r="D162" s="196">
        <f>Population!G34</f>
        <v>962259.62081388058</v>
      </c>
      <c r="E162" s="303" t="str">
        <f t="shared" si="30"/>
        <v>Medium</v>
      </c>
      <c r="F162" s="340">
        <f>VLOOKUP(A162,'Household Information'!$H$2:$M$49,6,FALSE)</f>
        <v>3.9813857124502121</v>
      </c>
      <c r="G162" s="196">
        <f t="shared" si="25"/>
        <v>241690</v>
      </c>
      <c r="H162" s="213">
        <f>Area!I34</f>
        <v>340.84029139111004</v>
      </c>
      <c r="I162" s="213"/>
      <c r="J162" s="32">
        <f>D162*Variables!$C$20</f>
        <v>866.03365873249254</v>
      </c>
      <c r="K162" s="202">
        <f t="shared" si="21"/>
        <v>1137.8472300000001</v>
      </c>
      <c r="L162" s="32">
        <f t="shared" si="26"/>
        <v>0</v>
      </c>
      <c r="N162" s="117"/>
      <c r="O162" s="117"/>
      <c r="P162" s="117"/>
      <c r="Q162" s="117"/>
      <c r="R162" s="108"/>
      <c r="S162" s="198">
        <f>$L162*Variables!$C$21/100</f>
        <v>0</v>
      </c>
      <c r="T162" s="198">
        <f>$L162*Variables!$C$22/100</f>
        <v>0</v>
      </c>
      <c r="U162" s="198">
        <f>$L162*Variables!$C$23/100</f>
        <v>0</v>
      </c>
      <c r="V162" s="198">
        <f>$L162*Variables!$C$24/100</f>
        <v>0</v>
      </c>
      <c r="W162" s="22">
        <f>S162*Variables!$E$25*Variables!$C$15+'Cost Calculations'!T162*Variables!$E$26*Variables!$C$15+'Cost Calculations'!U162*Variables!$E$27*Variables!$C$15+V162*Variables!$E$28*Variables!$C$15</f>
        <v>0</v>
      </c>
      <c r="X162" s="20">
        <f>J162*Variables!$E$29*Variables!$C$15</f>
        <v>148039.79362373229</v>
      </c>
      <c r="Z162" s="33">
        <f>D162*(IF(D162&lt;50000,0,IF(D162&gt;Variables!$C$7,Variables!$C$37,IF(D162&gt;Variables!$C$6,Variables!$C$36,IF(D162&gt;Variables!$C$5,Variables!$C$35)))))</f>
        <v>481.12981040694029</v>
      </c>
      <c r="AA162" s="34">
        <f t="shared" si="20"/>
        <v>470</v>
      </c>
      <c r="AB162" s="35">
        <f t="shared" si="27"/>
        <v>11</v>
      </c>
      <c r="AC162" s="22">
        <f>AB162*Variables!$E$41</f>
        <v>4065600.0000000005</v>
      </c>
      <c r="AD162" s="115">
        <f>ROUND(IF(D162&lt;50000,0,(H162/(3.14*Variables!$C$34^2))),0)</f>
        <v>434</v>
      </c>
      <c r="AE162" s="116">
        <f t="shared" si="22"/>
        <v>428</v>
      </c>
      <c r="AF162" s="117">
        <f t="shared" si="28"/>
        <v>6</v>
      </c>
      <c r="AG162" s="107">
        <f>AF162*Variables!$E$42*Variables!$C$15</f>
        <v>4065.2640000000001</v>
      </c>
      <c r="AH162" s="199">
        <f>ROUND((Z162)/Variables!$C$40,0)</f>
        <v>4</v>
      </c>
      <c r="AI162" s="33">
        <f t="shared" si="23"/>
        <v>4</v>
      </c>
      <c r="AJ162" s="199">
        <f t="shared" si="31"/>
        <v>0</v>
      </c>
      <c r="AK162" s="22">
        <f>AJ162*Variables!$E$43*Variables!$C$15</f>
        <v>0</v>
      </c>
      <c r="AL162" s="20">
        <f>Z162*Variables!$E$38*Variables!$C$15</f>
        <v>85293976.350156501</v>
      </c>
      <c r="AM162" s="98"/>
      <c r="AN162" s="200">
        <f t="shared" si="24"/>
        <v>0.14000000000000001</v>
      </c>
      <c r="AO162" s="201">
        <f t="shared" si="29"/>
        <v>33.443639984581786</v>
      </c>
      <c r="AP162" s="321">
        <f>VLOOKUP(A162,'Household Information'!H:Q,10,FALSE)</f>
        <v>212.04089360090876</v>
      </c>
      <c r="AQ162" s="122">
        <f>IF(12*(AO162-Variables!$C$3*AP162*F162)*(G162/5)&lt;0,0,12*(AO162-Variables!$C$3*AP162*F162)*(G162/5))</f>
        <v>0</v>
      </c>
      <c r="AS162" s="22"/>
    </row>
    <row r="163" spans="1:45" ht="14.25" customHeight="1" x14ac:dyDescent="0.35">
      <c r="A163" s="30">
        <v>34</v>
      </c>
      <c r="B163" s="28" t="s">
        <v>187</v>
      </c>
      <c r="C163" s="28">
        <v>2022</v>
      </c>
      <c r="D163" s="196">
        <f>Population!G35</f>
        <v>556652.64270889771</v>
      </c>
      <c r="E163" s="303" t="str">
        <f t="shared" si="30"/>
        <v>Medium</v>
      </c>
      <c r="F163" s="340">
        <f>VLOOKUP(A163,'Household Information'!$H$2:$M$49,6,FALSE)</f>
        <v>4.3021399999999996</v>
      </c>
      <c r="G163" s="196">
        <f t="shared" si="25"/>
        <v>129390</v>
      </c>
      <c r="H163" s="213">
        <f>Area!I35</f>
        <v>103.68559302170523</v>
      </c>
      <c r="I163" s="213"/>
      <c r="J163" s="32">
        <f>D163*Variables!$C$20</f>
        <v>500.98737843800791</v>
      </c>
      <c r="K163" s="202">
        <f t="shared" si="21"/>
        <v>489.38886239914808</v>
      </c>
      <c r="L163" s="32">
        <f t="shared" si="26"/>
        <v>11.598516038859827</v>
      </c>
      <c r="N163" s="117"/>
      <c r="O163" s="117"/>
      <c r="P163" s="117"/>
      <c r="Q163" s="117"/>
      <c r="R163" s="108"/>
      <c r="S163" s="198">
        <f>$L163*Variables!$C$21/100</f>
        <v>0.62978367631818055</v>
      </c>
      <c r="T163" s="198">
        <f>$L163*Variables!$C$22/100</f>
        <v>1.1021214335568161</v>
      </c>
      <c r="U163" s="198">
        <f>$L163*Variables!$C$23/100</f>
        <v>1.1546034065833313</v>
      </c>
      <c r="V163" s="198">
        <f>$L163*Variables!$C$24/100</f>
        <v>8.3971156842424097</v>
      </c>
      <c r="W163" s="22">
        <f>S163*Variables!$E$25*Variables!$C$15+'Cost Calculations'!T163*Variables!$E$26*Variables!$C$15+'Cost Calculations'!U163*Variables!$E$27*Variables!$C$15+V163*Variables!$E$28*Variables!$C$15</f>
        <v>7779608.761621004</v>
      </c>
      <c r="X163" s="20">
        <f>J163*Variables!$E$29*Variables!$C$15</f>
        <v>85638.78247019308</v>
      </c>
      <c r="Z163" s="33">
        <f>D163*(IF(D163&lt;50000,0,IF(D163&gt;Variables!$C$7,Variables!$C$37,IF(D163&gt;Variables!$C$6,Variables!$C$36,IF(D163&gt;Variables!$C$5,Variables!$C$35)))))</f>
        <v>278.32632135444885</v>
      </c>
      <c r="AA163" s="34">
        <f t="shared" si="20"/>
        <v>1061</v>
      </c>
      <c r="AB163" s="35">
        <f t="shared" si="27"/>
        <v>0</v>
      </c>
      <c r="AC163" s="22">
        <f>AB163*Variables!$E$41</f>
        <v>0</v>
      </c>
      <c r="AD163" s="115">
        <f>ROUND(IF(D163&lt;50000,0,(H163/(3.14*Variables!$C$34^2))),0)</f>
        <v>132</v>
      </c>
      <c r="AE163" s="116">
        <f t="shared" si="22"/>
        <v>130</v>
      </c>
      <c r="AF163" s="117">
        <f t="shared" si="28"/>
        <v>2</v>
      </c>
      <c r="AG163" s="107">
        <f>AF163*Variables!$E$42*Variables!$C$15</f>
        <v>1355.088</v>
      </c>
      <c r="AH163" s="199">
        <f>ROUND((Z163)/Variables!$C$40,0)</f>
        <v>2</v>
      </c>
      <c r="AI163" s="33">
        <f t="shared" si="23"/>
        <v>2</v>
      </c>
      <c r="AJ163" s="199">
        <f t="shared" si="31"/>
        <v>0</v>
      </c>
      <c r="AK163" s="22">
        <f>AJ163*Variables!$E$43*Variables!$C$15</f>
        <v>0</v>
      </c>
      <c r="AL163" s="20">
        <f>Z163*Variables!$E$38*Variables!$C$15</f>
        <v>49341275.800710551</v>
      </c>
      <c r="AM163" s="98"/>
      <c r="AN163" s="200">
        <f t="shared" si="24"/>
        <v>0.21</v>
      </c>
      <c r="AO163" s="201">
        <f t="shared" si="29"/>
        <v>54.206963999999992</v>
      </c>
      <c r="AP163" s="321">
        <f>VLOOKUP(A163,'Household Information'!H:Q,10,FALSE)</f>
        <v>71.56380159030671</v>
      </c>
      <c r="AQ163" s="122">
        <f>IF(12*(AO163-Variables!$C$3*AP163*F163)*(G163/5)&lt;0,0,12*(AO163-Variables!$C$3*AP163*F163)*(G163/5))</f>
        <v>2492156.9803586751</v>
      </c>
      <c r="AS163" s="22"/>
    </row>
    <row r="164" spans="1:45" ht="14.25" customHeight="1" x14ac:dyDescent="0.35">
      <c r="A164" s="30">
        <v>35</v>
      </c>
      <c r="B164" s="28" t="s">
        <v>188</v>
      </c>
      <c r="C164" s="28">
        <v>2022</v>
      </c>
      <c r="D164" s="196">
        <f>Population!G36</f>
        <v>237148.04646285845</v>
      </c>
      <c r="E164" s="303" t="str">
        <f t="shared" si="30"/>
        <v>Medium</v>
      </c>
      <c r="F164" s="340">
        <f>VLOOKUP(A164,'Household Information'!$H$2:$M$49,6,FALSE)</f>
        <v>5.0911666666666671</v>
      </c>
      <c r="G164" s="196">
        <f t="shared" si="25"/>
        <v>46580</v>
      </c>
      <c r="H164" s="213">
        <f>Area!I36</f>
        <v>35.260296137915979</v>
      </c>
      <c r="I164" s="213"/>
      <c r="J164" s="32">
        <f>D164*Variables!$C$20</f>
        <v>213.4332418165726</v>
      </c>
      <c r="K164" s="202">
        <f t="shared" si="21"/>
        <v>208.49198184680333</v>
      </c>
      <c r="L164" s="32">
        <f t="shared" si="26"/>
        <v>4.9412599697692769</v>
      </c>
      <c r="N164" s="117"/>
      <c r="O164" s="117"/>
      <c r="P164" s="117"/>
      <c r="Q164" s="117"/>
      <c r="R164" s="108"/>
      <c r="S164" s="198">
        <f>$L164*Variables!$C$21/100</f>
        <v>0.26830370876575255</v>
      </c>
      <c r="T164" s="198">
        <f>$L164*Variables!$C$22/100</f>
        <v>0.46953149034006708</v>
      </c>
      <c r="U164" s="198">
        <f>$L164*Variables!$C$23/100</f>
        <v>0.4918901327372131</v>
      </c>
      <c r="V164" s="198">
        <f>$L164*Variables!$C$24/100</f>
        <v>3.577382783543368</v>
      </c>
      <c r="W164" s="22">
        <f>S164*Variables!$E$25*Variables!$C$15+'Cost Calculations'!T164*Variables!$E$26*Variables!$C$15+'Cost Calculations'!U164*Variables!$E$27*Variables!$C$15+V164*Variables!$E$28*Variables!$C$15</f>
        <v>3314309.2810727437</v>
      </c>
      <c r="X164" s="20">
        <f>J164*Variables!$E$29*Variables!$C$15</f>
        <v>36484.278356124923</v>
      </c>
      <c r="Z164" s="33">
        <f>D164*(IF(D164&lt;50000,0,IF(D164&gt;Variables!$C$7,Variables!$C$37,IF(D164&gt;Variables!$C$6,Variables!$C$36,IF(D164&gt;Variables!$C$5,Variables!$C$35)))))</f>
        <v>118.57402323142922</v>
      </c>
      <c r="AA164" s="34">
        <f t="shared" si="20"/>
        <v>116</v>
      </c>
      <c r="AB164" s="35">
        <f t="shared" si="27"/>
        <v>3</v>
      </c>
      <c r="AC164" s="22">
        <f>AB164*Variables!$E$41</f>
        <v>1108800.0000000002</v>
      </c>
      <c r="AD164" s="115">
        <f>ROUND(IF(D164&lt;50000,0,(H164/(3.14*Variables!$C$34^2))),0)</f>
        <v>45</v>
      </c>
      <c r="AE164" s="116">
        <f t="shared" si="22"/>
        <v>44</v>
      </c>
      <c r="AF164" s="117">
        <f t="shared" si="28"/>
        <v>1</v>
      </c>
      <c r="AG164" s="107">
        <f>AF164*Variables!$E$42*Variables!$C$15</f>
        <v>677.54399999999998</v>
      </c>
      <c r="AH164" s="199">
        <f>ROUND((Z164)/Variables!$C$40,0)</f>
        <v>1</v>
      </c>
      <c r="AI164" s="33">
        <f t="shared" si="23"/>
        <v>1</v>
      </c>
      <c r="AJ164" s="199">
        <f t="shared" si="31"/>
        <v>0</v>
      </c>
      <c r="AK164" s="22">
        <f>AJ164*Variables!$E$43*Variables!$C$15</f>
        <v>0</v>
      </c>
      <c r="AL164" s="20">
        <f>Z164*Variables!$E$38*Variables!$C$15</f>
        <v>21020626.272752233</v>
      </c>
      <c r="AM164" s="98"/>
      <c r="AN164" s="200">
        <f t="shared" si="24"/>
        <v>0.25221875000000005</v>
      </c>
      <c r="AO164" s="201">
        <f t="shared" si="29"/>
        <v>77.045261562500016</v>
      </c>
      <c r="AP164" s="321">
        <f>VLOOKUP(A164,'Household Information'!H:Q,10,FALSE)</f>
        <v>112.55837435314906</v>
      </c>
      <c r="AQ164" s="122">
        <f>IF(12*(AO164-Variables!$C$3*AP164*F164)*(G164/5)&lt;0,0,12*(AO164-Variables!$C$3*AP164*F164)*(G164/5))</f>
        <v>0</v>
      </c>
      <c r="AS164" s="22"/>
    </row>
    <row r="165" spans="1:45" ht="14.25" customHeight="1" x14ac:dyDescent="0.35">
      <c r="A165" s="30">
        <v>36</v>
      </c>
      <c r="B165" s="28" t="s">
        <v>189</v>
      </c>
      <c r="C165" s="28">
        <v>2022</v>
      </c>
      <c r="D165" s="196">
        <f>Population!G37</f>
        <v>1520479.1728988574</v>
      </c>
      <c r="E165" s="303" t="str">
        <f t="shared" si="30"/>
        <v>Large</v>
      </c>
      <c r="F165" s="340">
        <f>VLOOKUP(A165,'Household Information'!$H$2:$M$49,6,FALSE)</f>
        <v>4.8963166666666664</v>
      </c>
      <c r="G165" s="196">
        <f t="shared" si="25"/>
        <v>310535</v>
      </c>
      <c r="H165" s="213">
        <f>Area!I37</f>
        <v>66.034814956511298</v>
      </c>
      <c r="I165" s="213"/>
      <c r="J165" s="32">
        <f>D165*Variables!$C$20</f>
        <v>1368.4312556089717</v>
      </c>
      <c r="K165" s="202">
        <f t="shared" si="21"/>
        <v>1336.7502741125049</v>
      </c>
      <c r="L165" s="32">
        <f t="shared" si="26"/>
        <v>31.680981496466757</v>
      </c>
      <c r="N165" s="117"/>
      <c r="O165" s="117"/>
      <c r="P165" s="117"/>
      <c r="Q165" s="117"/>
      <c r="R165" s="108"/>
      <c r="S165" s="198">
        <f>$L165*Variables!$C$21/100</f>
        <v>1.7202342894009097</v>
      </c>
      <c r="T165" s="198">
        <f>$L165*Variables!$C$22/100</f>
        <v>3.010410006451592</v>
      </c>
      <c r="U165" s="198">
        <f>$L165*Variables!$C$23/100</f>
        <v>3.1537628639016679</v>
      </c>
      <c r="V165" s="198">
        <f>$L165*Variables!$C$24/100</f>
        <v>22.936457192012131</v>
      </c>
      <c r="W165" s="22">
        <f>S165*Variables!$E$25*Variables!$C$15+'Cost Calculations'!T165*Variables!$E$26*Variables!$C$15+'Cost Calculations'!U165*Variables!$E$27*Variables!$C$15+V165*Variables!$E$28*Variables!$C$15</f>
        <v>21249756.468922731</v>
      </c>
      <c r="X165" s="20">
        <f>J165*Variables!$E$29*Variables!$C$15</f>
        <v>233919.63883379762</v>
      </c>
      <c r="Z165" s="33">
        <f>D165*(IF(D165&lt;50000,0,IF(D165&gt;Variables!$C$7,Variables!$C$37,IF(D165&gt;Variables!$C$6,Variables!$C$36,IF(D165&gt;Variables!$C$5,Variables!$C$35)))))</f>
        <v>760.23958644942866</v>
      </c>
      <c r="AA165" s="34">
        <f t="shared" si="20"/>
        <v>743</v>
      </c>
      <c r="AB165" s="35">
        <f t="shared" si="27"/>
        <v>17</v>
      </c>
      <c r="AC165" s="22">
        <f>AB165*Variables!$E$41</f>
        <v>6283200.0000000009</v>
      </c>
      <c r="AD165" s="115">
        <f>ROUND(IF(D165&lt;50000,0,(H165/(3.14*Variables!$C$34^2))),0)</f>
        <v>84</v>
      </c>
      <c r="AE165" s="116">
        <f t="shared" si="22"/>
        <v>83</v>
      </c>
      <c r="AF165" s="117">
        <f t="shared" si="28"/>
        <v>1</v>
      </c>
      <c r="AG165" s="107">
        <f>AF165*Variables!$E$42*Variables!$C$15</f>
        <v>677.54399999999998</v>
      </c>
      <c r="AH165" s="199">
        <f>ROUND((Z165)/Variables!$C$40,0)</f>
        <v>6</v>
      </c>
      <c r="AI165" s="33">
        <f t="shared" si="23"/>
        <v>6</v>
      </c>
      <c r="AJ165" s="199">
        <f t="shared" si="31"/>
        <v>0</v>
      </c>
      <c r="AK165" s="22">
        <f>AJ165*Variables!$E$43*Variables!$C$15</f>
        <v>0</v>
      </c>
      <c r="AL165" s="20">
        <f>Z165*Variables!$E$38*Variables!$C$15</f>
        <v>134774141.83133921</v>
      </c>
      <c r="AM165" s="98"/>
      <c r="AN165" s="200">
        <f t="shared" si="24"/>
        <v>0.28000000000000003</v>
      </c>
      <c r="AO165" s="201">
        <f t="shared" si="29"/>
        <v>82.258120000000005</v>
      </c>
      <c r="AP165" s="321">
        <f>VLOOKUP(A165,'Household Information'!H:Q,10,FALSE)</f>
        <v>50.200681560015155</v>
      </c>
      <c r="AQ165" s="122">
        <f>IF(12*(AO165-Variables!$C$3*AP165*F165)*(G165/5)&lt;0,0,12*(AO165-Variables!$C$3*AP165*F165)*(G165/5))</f>
        <v>33827214.71561344</v>
      </c>
      <c r="AS165" s="22"/>
    </row>
    <row r="166" spans="1:45" ht="14.25" customHeight="1" x14ac:dyDescent="0.35">
      <c r="A166" s="30">
        <v>37</v>
      </c>
      <c r="B166" s="28" t="s">
        <v>190</v>
      </c>
      <c r="C166" s="28">
        <v>2022</v>
      </c>
      <c r="D166" s="196">
        <f>Population!G38</f>
        <v>253677.58178854792</v>
      </c>
      <c r="E166" s="303" t="str">
        <f t="shared" si="30"/>
        <v>Medium</v>
      </c>
      <c r="F166" s="340">
        <f>VLOOKUP(A166,'Household Information'!$H$2:$M$49,6,FALSE)</f>
        <v>5.027102564102564</v>
      </c>
      <c r="G166" s="196">
        <f t="shared" si="25"/>
        <v>50462</v>
      </c>
      <c r="H166" s="213">
        <f>Area!I38</f>
        <v>27.749227138123228</v>
      </c>
      <c r="I166" s="213"/>
      <c r="J166" s="32">
        <f>D166*Variables!$C$20</f>
        <v>228.30982360969313</v>
      </c>
      <c r="K166" s="202">
        <f t="shared" si="21"/>
        <v>223.02415122564528</v>
      </c>
      <c r="L166" s="32">
        <f t="shared" si="26"/>
        <v>5.2856723840478423</v>
      </c>
      <c r="N166" s="117"/>
      <c r="O166" s="117"/>
      <c r="P166" s="117"/>
      <c r="Q166" s="117"/>
      <c r="R166" s="108"/>
      <c r="S166" s="198">
        <f>$L166*Variables!$C$21/100</f>
        <v>0.28700483533291449</v>
      </c>
      <c r="T166" s="198">
        <f>$L166*Variables!$C$22/100</f>
        <v>0.50225846183260037</v>
      </c>
      <c r="U166" s="198">
        <f>$L166*Variables!$C$23/100</f>
        <v>0.52617553144367657</v>
      </c>
      <c r="V166" s="198">
        <f>$L166*Variables!$C$24/100</f>
        <v>3.8267311377721933</v>
      </c>
      <c r="W166" s="22">
        <f>S166*Variables!$E$25*Variables!$C$15+'Cost Calculations'!T166*Variables!$E$26*Variables!$C$15+'Cost Calculations'!U166*Variables!$E$27*Variables!$C$15+V166*Variables!$E$28*Variables!$C$15</f>
        <v>3545321.0610931786</v>
      </c>
      <c r="X166" s="20">
        <f>J166*Variables!$E$29*Variables!$C$15</f>
        <v>39027.28124784094</v>
      </c>
      <c r="Z166" s="33">
        <f>D166*(IF(D166&lt;50000,0,IF(D166&gt;Variables!$C$7,Variables!$C$37,IF(D166&gt;Variables!$C$6,Variables!$C$36,IF(D166&gt;Variables!$C$5,Variables!$C$35)))))</f>
        <v>126.83879089427396</v>
      </c>
      <c r="AA166" s="34">
        <f t="shared" si="20"/>
        <v>124</v>
      </c>
      <c r="AB166" s="35">
        <f t="shared" si="27"/>
        <v>3</v>
      </c>
      <c r="AC166" s="22">
        <f>AB166*Variables!$E$41</f>
        <v>1108800.0000000002</v>
      </c>
      <c r="AD166" s="115">
        <f>ROUND(IF(D166&lt;50000,0,(H166/(3.14*Variables!$C$34^2))),0)</f>
        <v>35</v>
      </c>
      <c r="AE166" s="116">
        <f t="shared" si="22"/>
        <v>35</v>
      </c>
      <c r="AF166" s="117">
        <f t="shared" si="28"/>
        <v>0</v>
      </c>
      <c r="AG166" s="107">
        <f>AF166*Variables!$E$42*Variables!$C$15</f>
        <v>0</v>
      </c>
      <c r="AH166" s="199">
        <f>ROUND((Z166)/Variables!$C$40,0)</f>
        <v>1</v>
      </c>
      <c r="AI166" s="33">
        <f t="shared" si="23"/>
        <v>1</v>
      </c>
      <c r="AJ166" s="199">
        <f t="shared" si="31"/>
        <v>0</v>
      </c>
      <c r="AK166" s="22">
        <f>AJ166*Variables!$E$43*Variables!$C$15</f>
        <v>0</v>
      </c>
      <c r="AL166" s="20">
        <f>Z166*Variables!$E$38*Variables!$C$15</f>
        <v>22485791.977155339</v>
      </c>
      <c r="AM166" s="98"/>
      <c r="AN166" s="200">
        <f t="shared" si="24"/>
        <v>0.14000000000000001</v>
      </c>
      <c r="AO166" s="201">
        <f t="shared" si="29"/>
        <v>42.22766153846154</v>
      </c>
      <c r="AP166" s="321">
        <f>VLOOKUP(A166,'Household Information'!H:Q,10,FALSE)</f>
        <v>74.965290925154619</v>
      </c>
      <c r="AQ166" s="122">
        <f>IF(12*(AO166-Variables!$C$3*AP166*F166)*(G166/5)&lt;0,0,12*(AO166-Variables!$C$3*AP166*F166)*(G166/5))</f>
        <v>0</v>
      </c>
      <c r="AS166" s="22"/>
    </row>
    <row r="167" spans="1:45" ht="14.25" customHeight="1" x14ac:dyDescent="0.35">
      <c r="A167" s="30">
        <v>38</v>
      </c>
      <c r="B167" s="28" t="s">
        <v>191</v>
      </c>
      <c r="C167" s="28">
        <v>2022</v>
      </c>
      <c r="D167" s="196">
        <f>Population!G39</f>
        <v>1115592.8954730453</v>
      </c>
      <c r="E167" s="303" t="str">
        <f t="shared" si="30"/>
        <v>Large</v>
      </c>
      <c r="F167" s="340">
        <f>VLOOKUP(A167,'Household Information'!$H$2:$M$49,6,FALSE)</f>
        <v>4.5378736842105267</v>
      </c>
      <c r="G167" s="196">
        <f t="shared" si="25"/>
        <v>245840</v>
      </c>
      <c r="H167" s="213">
        <f>Area!I39</f>
        <v>111.62283096914231</v>
      </c>
      <c r="I167" s="213"/>
      <c r="J167" s="32">
        <f>D167*Variables!$C$20</f>
        <v>1004.0336059257407</v>
      </c>
      <c r="K167" s="202">
        <f t="shared" si="21"/>
        <v>980.78890878747745</v>
      </c>
      <c r="L167" s="32">
        <f t="shared" si="26"/>
        <v>23.244697138263291</v>
      </c>
      <c r="N167" s="117"/>
      <c r="O167" s="117"/>
      <c r="P167" s="117"/>
      <c r="Q167" s="117"/>
      <c r="R167" s="108"/>
      <c r="S167" s="198">
        <f>$L167*Variables!$C$21/100</f>
        <v>1.2621555007201786</v>
      </c>
      <c r="T167" s="198">
        <f>$L167*Variables!$C$22/100</f>
        <v>2.2087721262603126</v>
      </c>
      <c r="U167" s="198">
        <f>$L167*Variables!$C$23/100</f>
        <v>2.3139517513203276</v>
      </c>
      <c r="V167" s="198">
        <f>$L167*Variables!$C$24/100</f>
        <v>16.828740009602381</v>
      </c>
      <c r="W167" s="22">
        <f>S167*Variables!$E$25*Variables!$C$15+'Cost Calculations'!T167*Variables!$E$26*Variables!$C$15+'Cost Calculations'!U167*Variables!$E$27*Variables!$C$15+V167*Variables!$E$28*Variables!$C$15</f>
        <v>15591188.468610024</v>
      </c>
      <c r="X167" s="20">
        <f>J167*Variables!$E$29*Variables!$C$15</f>
        <v>171629.50459694612</v>
      </c>
      <c r="Z167" s="33">
        <f>D167*(IF(D167&lt;50000,0,IF(D167&gt;Variables!$C$7,Variables!$C$37,IF(D167&gt;Variables!$C$6,Variables!$C$36,IF(D167&gt;Variables!$C$5,Variables!$C$35)))))</f>
        <v>557.79644773652262</v>
      </c>
      <c r="AA167" s="34">
        <f t="shared" si="20"/>
        <v>545</v>
      </c>
      <c r="AB167" s="35">
        <f t="shared" si="27"/>
        <v>13</v>
      </c>
      <c r="AC167" s="22">
        <f>AB167*Variables!$E$41</f>
        <v>4804800.0000000009</v>
      </c>
      <c r="AD167" s="115">
        <f>ROUND(IF(D167&lt;50000,0,(H167/(3.14*Variables!$C$34^2))),0)</f>
        <v>142</v>
      </c>
      <c r="AE167" s="116">
        <f t="shared" si="22"/>
        <v>140</v>
      </c>
      <c r="AF167" s="117">
        <f t="shared" si="28"/>
        <v>2</v>
      </c>
      <c r="AG167" s="107">
        <f>AF167*Variables!$E$42*Variables!$C$15</f>
        <v>1355.088</v>
      </c>
      <c r="AH167" s="199">
        <f>ROUND((Z167)/Variables!$C$40,0)</f>
        <v>4</v>
      </c>
      <c r="AI167" s="33">
        <f t="shared" si="23"/>
        <v>4</v>
      </c>
      <c r="AJ167" s="199">
        <f t="shared" si="31"/>
        <v>0</v>
      </c>
      <c r="AK167" s="22">
        <f>AJ167*Variables!$E$43*Variables!$C$15</f>
        <v>0</v>
      </c>
      <c r="AL167" s="20">
        <f>Z167*Variables!$E$38*Variables!$C$15</f>
        <v>98885323.653505981</v>
      </c>
      <c r="AM167" s="98"/>
      <c r="AN167" s="200">
        <f t="shared" si="24"/>
        <v>0.21</v>
      </c>
      <c r="AO167" s="201">
        <f t="shared" si="29"/>
        <v>57.177208421052633</v>
      </c>
      <c r="AP167" s="321">
        <f>VLOOKUP(A167,'Household Information'!H:Q,10,FALSE)</f>
        <v>100.71942446043167</v>
      </c>
      <c r="AQ167" s="122">
        <f>IF(12*(AO167-Variables!$C$3*AP167*F167)*(G167/5)&lt;0,0,12*(AO167-Variables!$C$3*AP167*F167)*(G167/5))</f>
        <v>0</v>
      </c>
      <c r="AS167" s="22"/>
    </row>
    <row r="168" spans="1:45" ht="14.25" customHeight="1" x14ac:dyDescent="0.35">
      <c r="A168" s="30">
        <v>39</v>
      </c>
      <c r="B168" s="28" t="s">
        <v>192</v>
      </c>
      <c r="C168" s="28">
        <v>2022</v>
      </c>
      <c r="D168" s="196">
        <f>Population!G40</f>
        <v>91840.815453419826</v>
      </c>
      <c r="E168" s="303" t="str">
        <f t="shared" si="30"/>
        <v>Small</v>
      </c>
      <c r="F168" s="340">
        <f>VLOOKUP(A168,'Household Information'!$H$2:$M$49,6,FALSE)</f>
        <v>3.6693548387096775</v>
      </c>
      <c r="G168" s="196">
        <f t="shared" si="25"/>
        <v>25029</v>
      </c>
      <c r="H168" s="213">
        <f>Area!I40</f>
        <v>26.601702707599337</v>
      </c>
      <c r="I168" s="213"/>
      <c r="J168" s="32">
        <f>D168*Variables!$C$20</f>
        <v>82.65673390807784</v>
      </c>
      <c r="K168" s="202">
        <f t="shared" si="21"/>
        <v>80.743121918606846</v>
      </c>
      <c r="L168" s="32">
        <f t="shared" si="26"/>
        <v>1.9136119894709935</v>
      </c>
      <c r="N168" s="117"/>
      <c r="O168" s="117"/>
      <c r="P168" s="117"/>
      <c r="Q168" s="117"/>
      <c r="R168" s="108"/>
      <c r="S168" s="198">
        <f>$L168*Variables!$C$21/100</f>
        <v>0.10390653336494081</v>
      </c>
      <c r="T168" s="198">
        <f>$L168*Variables!$C$22/100</f>
        <v>0.18183643338864644</v>
      </c>
      <c r="U168" s="198">
        <f>$L168*Variables!$C$23/100</f>
        <v>0.19049531116905818</v>
      </c>
      <c r="V168" s="198">
        <f>$L168*Variables!$C$24/100</f>
        <v>1.3854204448658778</v>
      </c>
      <c r="W168" s="22">
        <f>S168*Variables!$E$25*Variables!$C$15+'Cost Calculations'!T168*Variables!$E$26*Variables!$C$15+'Cost Calculations'!U168*Variables!$E$27*Variables!$C$15+V168*Variables!$E$28*Variables!$C$15</f>
        <v>1283539.4243326837</v>
      </c>
      <c r="X168" s="20">
        <f>J168*Variables!$E$29*Variables!$C$15</f>
        <v>14129.342094246827</v>
      </c>
      <c r="Z168" s="33">
        <f>D168*(IF(D168&lt;50000,0,IF(D168&gt;Variables!$C$7,Variables!$C$37,IF(D168&gt;Variables!$C$6,Variables!$C$36,IF(D168&gt;Variables!$C$5,Variables!$C$35)))))</f>
        <v>45.920407726709911</v>
      </c>
      <c r="AA168" s="34">
        <f t="shared" si="20"/>
        <v>45</v>
      </c>
      <c r="AB168" s="35">
        <f t="shared" si="27"/>
        <v>1</v>
      </c>
      <c r="AC168" s="22">
        <f>AB168*Variables!$E$41</f>
        <v>369600.00000000006</v>
      </c>
      <c r="AD168" s="115">
        <f>ROUND(IF(D168&lt;50000,0,(H168/(3.14*Variables!$C$34^2))),0)</f>
        <v>34</v>
      </c>
      <c r="AE168" s="116">
        <f t="shared" si="22"/>
        <v>33</v>
      </c>
      <c r="AF168" s="117">
        <f t="shared" si="28"/>
        <v>1</v>
      </c>
      <c r="AG168" s="107">
        <f>AF168*Variables!$E$42*Variables!$C$15</f>
        <v>677.54399999999998</v>
      </c>
      <c r="AH168" s="199">
        <f>ROUND((Z168)/Variables!$C$40,0)</f>
        <v>0</v>
      </c>
      <c r="AI168" s="33">
        <f t="shared" si="23"/>
        <v>0</v>
      </c>
      <c r="AJ168" s="199">
        <f t="shared" si="31"/>
        <v>0</v>
      </c>
      <c r="AK168" s="22">
        <f>AJ168*Variables!$E$43*Variables!$C$15</f>
        <v>0</v>
      </c>
      <c r="AL168" s="20">
        <f>Z168*Variables!$E$38*Variables!$C$15</f>
        <v>8140701.5028205356</v>
      </c>
      <c r="AM168" s="98"/>
      <c r="AN168" s="200">
        <f t="shared" si="24"/>
        <v>0.25221875000000005</v>
      </c>
      <c r="AO168" s="201">
        <f t="shared" si="29"/>
        <v>55.5288054435484</v>
      </c>
      <c r="AP168" s="321">
        <f>VLOOKUP(A168,'Household Information'!H:Q,10,FALSE)</f>
        <v>69.973494888299896</v>
      </c>
      <c r="AQ168" s="122">
        <f>IF(12*(AO168-Variables!$C$3*AP168*F168)*(G168/5)&lt;0,0,12*(AO168-Variables!$C$3*AP168*F168)*(G168/5))</f>
        <v>1022094.3438668838</v>
      </c>
      <c r="AS168" s="22"/>
    </row>
    <row r="169" spans="1:45" ht="14.25" customHeight="1" x14ac:dyDescent="0.35">
      <c r="A169" s="30">
        <v>40</v>
      </c>
      <c r="B169" s="28" t="s">
        <v>193</v>
      </c>
      <c r="C169" s="28">
        <v>2022</v>
      </c>
      <c r="D169" s="196">
        <f>Population!G41</f>
        <v>163983.34160756008</v>
      </c>
      <c r="E169" s="303" t="str">
        <f t="shared" si="30"/>
        <v>Medium</v>
      </c>
      <c r="F169" s="340">
        <f>VLOOKUP(A169,'Household Information'!$H$2:$M$49,6,FALSE)</f>
        <v>4.2245333333333335</v>
      </c>
      <c r="G169" s="196">
        <f t="shared" si="25"/>
        <v>38817</v>
      </c>
      <c r="H169" s="213">
        <f>Area!I41</f>
        <v>37.138063387864165</v>
      </c>
      <c r="I169" s="213"/>
      <c r="J169" s="32">
        <f>D169*Variables!$C$20</f>
        <v>147.58500744680407</v>
      </c>
      <c r="K169" s="202">
        <f t="shared" si="21"/>
        <v>172.36096000000003</v>
      </c>
      <c r="L169" s="32">
        <f t="shared" si="26"/>
        <v>0</v>
      </c>
      <c r="N169" s="117"/>
      <c r="O169" s="117"/>
      <c r="P169" s="117"/>
      <c r="Q169" s="117"/>
      <c r="R169" s="108"/>
      <c r="S169" s="198">
        <f>$L169*Variables!$C$21/100</f>
        <v>0</v>
      </c>
      <c r="T169" s="198">
        <f>$L169*Variables!$C$22/100</f>
        <v>0</v>
      </c>
      <c r="U169" s="198">
        <f>$L169*Variables!$C$23/100</f>
        <v>0</v>
      </c>
      <c r="V169" s="198">
        <f>$L169*Variables!$C$24/100</f>
        <v>0</v>
      </c>
      <c r="W169" s="22">
        <f>S169*Variables!$E$25*Variables!$C$15+'Cost Calculations'!T169*Variables!$E$26*Variables!$C$15+'Cost Calculations'!U169*Variables!$E$27*Variables!$C$15+V169*Variables!$E$28*Variables!$C$15</f>
        <v>0</v>
      </c>
      <c r="X169" s="20">
        <f>J169*Variables!$E$29*Variables!$C$15</f>
        <v>25228.181172956691</v>
      </c>
      <c r="Z169" s="33">
        <f>D169*(IF(D169&lt;50000,0,IF(D169&gt;Variables!$C$7,Variables!$C$37,IF(D169&gt;Variables!$C$6,Variables!$C$36,IF(D169&gt;Variables!$C$5,Variables!$C$35)))))</f>
        <v>81.991670803780039</v>
      </c>
      <c r="AA169" s="34">
        <f t="shared" si="20"/>
        <v>80</v>
      </c>
      <c r="AB169" s="35">
        <f t="shared" si="27"/>
        <v>2</v>
      </c>
      <c r="AC169" s="22">
        <f>AB169*Variables!$E$41</f>
        <v>739200.00000000012</v>
      </c>
      <c r="AD169" s="115">
        <f>ROUND(IF(D169&lt;50000,0,(H169/(3.14*Variables!$C$34^2))),0)</f>
        <v>47</v>
      </c>
      <c r="AE169" s="116">
        <f t="shared" si="22"/>
        <v>47</v>
      </c>
      <c r="AF169" s="117">
        <f t="shared" si="28"/>
        <v>0</v>
      </c>
      <c r="AG169" s="107">
        <f>AF169*Variables!$E$42*Variables!$C$15</f>
        <v>0</v>
      </c>
      <c r="AH169" s="199">
        <f>ROUND((Z169)/Variables!$C$40,0)</f>
        <v>1</v>
      </c>
      <c r="AI169" s="33">
        <f t="shared" si="23"/>
        <v>1</v>
      </c>
      <c r="AJ169" s="199">
        <f t="shared" si="31"/>
        <v>0</v>
      </c>
      <c r="AK169" s="22">
        <f>AJ169*Variables!$E$43*Variables!$C$15</f>
        <v>0</v>
      </c>
      <c r="AL169" s="20">
        <f>Z169*Variables!$E$38*Variables!$C$15</f>
        <v>14535361.308276465</v>
      </c>
      <c r="AM169" s="98"/>
      <c r="AN169" s="200">
        <f t="shared" si="24"/>
        <v>0.28000000000000003</v>
      </c>
      <c r="AO169" s="201">
        <f t="shared" si="29"/>
        <v>70.972160000000002</v>
      </c>
      <c r="AP169" s="321">
        <f>VLOOKUP(A169,'Household Information'!H:Q,10,FALSE)</f>
        <v>73.754890824182766</v>
      </c>
      <c r="AQ169" s="122">
        <f>IF(12*(AO169-Variables!$C$3*AP169*F169)*(G169/5)&lt;0,0,12*(AO169-Variables!$C$3*AP169*F169)*(G169/5))</f>
        <v>2257766.9666292942</v>
      </c>
      <c r="AS169" s="22"/>
    </row>
    <row r="170" spans="1:45" ht="14.25" customHeight="1" x14ac:dyDescent="0.35">
      <c r="A170" s="30">
        <v>41</v>
      </c>
      <c r="B170" s="28" t="s">
        <v>194</v>
      </c>
      <c r="C170" s="28">
        <v>2022</v>
      </c>
      <c r="D170" s="196">
        <f>Population!G42</f>
        <v>78927.722494485904</v>
      </c>
      <c r="E170" s="303" t="str">
        <f t="shared" si="30"/>
        <v>Small</v>
      </c>
      <c r="F170" s="340">
        <f>VLOOKUP(A170,'Household Information'!$H$2:$M$49,6,FALSE)</f>
        <v>6.1423824388279122</v>
      </c>
      <c r="G170" s="196">
        <f t="shared" si="25"/>
        <v>12850</v>
      </c>
      <c r="H170" s="213">
        <f>Area!I42</f>
        <v>14.813497194035707</v>
      </c>
      <c r="I170" s="213"/>
      <c r="J170" s="32">
        <f>D170*Variables!$C$20</f>
        <v>71.034950245037308</v>
      </c>
      <c r="K170" s="202">
        <f t="shared" si="21"/>
        <v>69.390397816779625</v>
      </c>
      <c r="L170" s="32">
        <f t="shared" si="26"/>
        <v>1.6445524282576827</v>
      </c>
      <c r="N170" s="117"/>
      <c r="O170" s="117"/>
      <c r="P170" s="117"/>
      <c r="Q170" s="117"/>
      <c r="R170" s="108"/>
      <c r="S170" s="198">
        <f>$L170*Variables!$C$21/100</f>
        <v>8.92969644302814E-2</v>
      </c>
      <c r="T170" s="198">
        <f>$L170*Variables!$C$22/100</f>
        <v>0.15626968775299246</v>
      </c>
      <c r="U170" s="198">
        <f>$L170*Variables!$C$23/100</f>
        <v>0.16371110145551593</v>
      </c>
      <c r="V170" s="198">
        <f>$L170*Variables!$C$24/100</f>
        <v>1.1906261924037522</v>
      </c>
      <c r="W170" s="22">
        <f>S170*Variables!$E$25*Variables!$C$15+'Cost Calculations'!T170*Variables!$E$26*Variables!$C$15+'Cost Calculations'!U170*Variables!$E$27*Variables!$C$15+V170*Variables!$E$28*Variables!$C$15</f>
        <v>1103069.9476513597</v>
      </c>
      <c r="X170" s="20">
        <f>J170*Variables!$E$29*Variables!$C$15</f>
        <v>12142.714394886678</v>
      </c>
      <c r="Z170" s="33">
        <f>D170*(IF(D170&lt;50000,0,IF(D170&gt;Variables!$C$7,Variables!$C$37,IF(D170&gt;Variables!$C$6,Variables!$C$36,IF(D170&gt;Variables!$C$5,Variables!$C$35)))))</f>
        <v>39.463861247242953</v>
      </c>
      <c r="AA170" s="34">
        <f t="shared" si="20"/>
        <v>39</v>
      </c>
      <c r="AB170" s="35">
        <f t="shared" si="27"/>
        <v>0</v>
      </c>
      <c r="AC170" s="22">
        <f>AB170*Variables!$E$41</f>
        <v>0</v>
      </c>
      <c r="AD170" s="115">
        <f>ROUND(IF(D170&lt;50000,0,(H170/(3.14*Variables!$C$34^2))),0)</f>
        <v>19</v>
      </c>
      <c r="AE170" s="116">
        <f t="shared" si="22"/>
        <v>19</v>
      </c>
      <c r="AF170" s="117">
        <f t="shared" si="28"/>
        <v>0</v>
      </c>
      <c r="AG170" s="107">
        <f>AF170*Variables!$E$42*Variables!$C$15</f>
        <v>0</v>
      </c>
      <c r="AH170" s="199">
        <f>ROUND((Z170)/Variables!$C$40,0)</f>
        <v>0</v>
      </c>
      <c r="AI170" s="33">
        <f t="shared" si="23"/>
        <v>0</v>
      </c>
      <c r="AJ170" s="199">
        <f t="shared" si="31"/>
        <v>0</v>
      </c>
      <c r="AK170" s="22">
        <f>AJ170*Variables!$E$43*Variables!$C$15</f>
        <v>0</v>
      </c>
      <c r="AL170" s="20">
        <f>Z170*Variables!$E$38*Variables!$C$15</f>
        <v>6996094.5572281312</v>
      </c>
      <c r="AM170" s="98"/>
      <c r="AN170" s="200">
        <f t="shared" si="24"/>
        <v>0.25221875000000005</v>
      </c>
      <c r="AO170" s="201">
        <f t="shared" si="29"/>
        <v>92.953441244587665</v>
      </c>
      <c r="AP170" s="321">
        <f>VLOOKUP(A170,'Household Information'!H:Q,10,FALSE)</f>
        <v>110.04922377887165</v>
      </c>
      <c r="AQ170" s="122">
        <f>IF(12*(AO170-Variables!$C$3*AP170*F170)*(G170/5)&lt;0,0,12*(AO170-Variables!$C$3*AP170*F170)*(G170/5))</f>
        <v>0</v>
      </c>
      <c r="AS170" s="22"/>
    </row>
    <row r="171" spans="1:45" ht="14.25" customHeight="1" x14ac:dyDescent="0.35">
      <c r="A171" s="30">
        <v>42</v>
      </c>
      <c r="B171" s="28" t="s">
        <v>195</v>
      </c>
      <c r="C171" s="28">
        <v>2022</v>
      </c>
      <c r="D171" s="196">
        <f>Population!G43</f>
        <v>97740.986184155161</v>
      </c>
      <c r="E171" s="303" t="str">
        <f t="shared" si="30"/>
        <v>Small</v>
      </c>
      <c r="F171" s="340">
        <f>VLOOKUP(A171,'Household Information'!$H$2:$M$49,6,FALSE)</f>
        <v>4.2419137466307282</v>
      </c>
      <c r="G171" s="196">
        <f t="shared" si="25"/>
        <v>23042</v>
      </c>
      <c r="H171" s="213">
        <f>Area!I43</f>
        <v>15.648060416234902</v>
      </c>
      <c r="I171" s="213"/>
      <c r="J171" s="32">
        <f>D171*Variables!$C$20</f>
        <v>87.96688756573964</v>
      </c>
      <c r="K171" s="202">
        <f t="shared" si="21"/>
        <v>110.2884</v>
      </c>
      <c r="L171" s="32">
        <f t="shared" si="26"/>
        <v>0</v>
      </c>
      <c r="N171" s="117"/>
      <c r="O171" s="117"/>
      <c r="P171" s="117"/>
      <c r="Q171" s="117"/>
      <c r="R171" s="108"/>
      <c r="S171" s="198">
        <f>$L171*Variables!$C$21/100</f>
        <v>0</v>
      </c>
      <c r="T171" s="198">
        <f>$L171*Variables!$C$22/100</f>
        <v>0</v>
      </c>
      <c r="U171" s="198">
        <f>$L171*Variables!$C$23/100</f>
        <v>0</v>
      </c>
      <c r="V171" s="198">
        <f>$L171*Variables!$C$24/100</f>
        <v>0</v>
      </c>
      <c r="W171" s="22">
        <f>S171*Variables!$E$25*Variables!$C$15+'Cost Calculations'!T171*Variables!$E$26*Variables!$C$15+'Cost Calculations'!U171*Variables!$E$27*Variables!$C$15+V171*Variables!$E$28*Variables!$C$15</f>
        <v>0</v>
      </c>
      <c r="X171" s="20">
        <f>J171*Variables!$E$29*Variables!$C$15</f>
        <v>15037.059760487535</v>
      </c>
      <c r="Z171" s="33">
        <f>D171*(IF(D171&lt;50000,0,IF(D171&gt;Variables!$C$7,Variables!$C$37,IF(D171&gt;Variables!$C$6,Variables!$C$36,IF(D171&gt;Variables!$C$5,Variables!$C$35)))))</f>
        <v>48.870493092077581</v>
      </c>
      <c r="AA171" s="34">
        <f t="shared" si="20"/>
        <v>48</v>
      </c>
      <c r="AB171" s="35">
        <f t="shared" si="27"/>
        <v>1</v>
      </c>
      <c r="AC171" s="22">
        <f>AB171*Variables!$E$41</f>
        <v>369600.00000000006</v>
      </c>
      <c r="AD171" s="115">
        <f>ROUND(IF(D171&lt;50000,0,(H171/(3.14*Variables!$C$34^2))),0)</f>
        <v>20</v>
      </c>
      <c r="AE171" s="116">
        <f t="shared" si="22"/>
        <v>20</v>
      </c>
      <c r="AF171" s="117">
        <f t="shared" si="28"/>
        <v>0</v>
      </c>
      <c r="AG171" s="107">
        <f>AF171*Variables!$E$42*Variables!$C$15</f>
        <v>0</v>
      </c>
      <c r="AH171" s="199">
        <f>ROUND((Z171)/Variables!$C$40,0)</f>
        <v>0</v>
      </c>
      <c r="AI171" s="33">
        <f t="shared" si="23"/>
        <v>0</v>
      </c>
      <c r="AJ171" s="199">
        <f t="shared" si="31"/>
        <v>0</v>
      </c>
      <c r="AK171" s="22">
        <f>AJ171*Variables!$E$43*Variables!$C$15</f>
        <v>0</v>
      </c>
      <c r="AL171" s="20">
        <f>Z171*Variables!$E$38*Variables!$C$15</f>
        <v>8663688.2434920166</v>
      </c>
      <c r="AM171" s="98"/>
      <c r="AN171" s="200">
        <f t="shared" si="24"/>
        <v>0.25221875000000005</v>
      </c>
      <c r="AO171" s="201">
        <f t="shared" si="29"/>
        <v>64.193410966981148</v>
      </c>
      <c r="AP171" s="321">
        <f>VLOOKUP(A171,'Household Information'!H:Q,10,FALSE)</f>
        <v>81.833648870377388</v>
      </c>
      <c r="AQ171" s="122">
        <f>IF(12*(AO171-Variables!$C$3*AP171*F171)*(G171/5)&lt;0,0,12*(AO171-Variables!$C$3*AP171*F171)*(G171/5))</f>
        <v>670451.35718391265</v>
      </c>
      <c r="AS171" s="22"/>
    </row>
    <row r="172" spans="1:45" ht="14.25" customHeight="1" x14ac:dyDescent="0.35">
      <c r="A172" s="30">
        <v>1</v>
      </c>
      <c r="B172" s="28" t="s">
        <v>154</v>
      </c>
      <c r="C172" s="28">
        <v>2023</v>
      </c>
      <c r="D172" s="196">
        <f>Population!H2</f>
        <v>529830.27869311743</v>
      </c>
      <c r="E172" s="303" t="str">
        <f t="shared" si="30"/>
        <v>Medium</v>
      </c>
      <c r="F172" s="340">
        <f>VLOOKUP(A172,'Household Information'!$H$2:$M$49,6,FALSE)</f>
        <v>3.974207650273224</v>
      </c>
      <c r="G172" s="196">
        <f t="shared" si="25"/>
        <v>133317</v>
      </c>
      <c r="H172" s="213">
        <f>Area!J2</f>
        <v>108.56060108345082</v>
      </c>
      <c r="I172" s="213"/>
      <c r="J172" s="32">
        <f>D172*Variables!$C$20</f>
        <v>476.84725082380567</v>
      </c>
      <c r="K172" s="202">
        <f t="shared" si="21"/>
        <v>465.80761045599843</v>
      </c>
      <c r="L172" s="32">
        <f t="shared" si="26"/>
        <v>11.039640367807237</v>
      </c>
      <c r="N172" s="117"/>
      <c r="O172" s="117"/>
      <c r="P172" s="117"/>
      <c r="Q172" s="117"/>
      <c r="R172" s="108"/>
      <c r="S172" s="198">
        <f>$L172*Variables!$C$21/100</f>
        <v>0.59943748603478209</v>
      </c>
      <c r="T172" s="198">
        <f>$L172*Variables!$C$22/100</f>
        <v>1.0490156005608686</v>
      </c>
      <c r="U172" s="198">
        <f>$L172*Variables!$C$23/100</f>
        <v>1.0989687243971005</v>
      </c>
      <c r="V172" s="198">
        <f>$L172*Variables!$C$24/100</f>
        <v>7.9924998137970951</v>
      </c>
      <c r="W172" s="22">
        <f>S172*Variables!$E$25*Variables!$C$15+'Cost Calculations'!T172*Variables!$E$26*Variables!$C$15+'Cost Calculations'!U172*Variables!$E$27*Variables!$C$15+V172*Variables!$E$28*Variables!$C$15</f>
        <v>7404747.524837736</v>
      </c>
      <c r="X172" s="20">
        <f>J172*Variables!$E$29*Variables!$C$15</f>
        <v>81512.269055821351</v>
      </c>
      <c r="Z172" s="33">
        <f>D172*(IF(D172&lt;50000,0,IF(D172&gt;Variables!$C$7,Variables!$C$37,IF(D172&gt;Variables!$C$6,Variables!$C$36,IF(D172&gt;Variables!$C$5,Variables!$C$35)))))</f>
        <v>264.9151393465587</v>
      </c>
      <c r="AA172" s="34">
        <f t="shared" si="20"/>
        <v>259</v>
      </c>
      <c r="AB172" s="35">
        <f t="shared" si="27"/>
        <v>6</v>
      </c>
      <c r="AC172" s="22">
        <f>AB172*Variables!$E$41</f>
        <v>2217600.0000000005</v>
      </c>
      <c r="AD172" s="115">
        <f>ROUND(IF(D172&lt;50000,0,(H172/(3.14*Variables!$C$34^2))),0)</f>
        <v>138</v>
      </c>
      <c r="AE172" s="116">
        <f>AE130+AF130</f>
        <v>136</v>
      </c>
      <c r="AF172" s="117">
        <f t="shared" si="28"/>
        <v>2</v>
      </c>
      <c r="AG172" s="107">
        <f>AF172*Variables!$E$42*Variables!$C$15</f>
        <v>1355.088</v>
      </c>
      <c r="AH172" s="199">
        <f>ROUND((Z172)/Variables!$C$40,0)</f>
        <v>2</v>
      </c>
      <c r="AI172" s="33">
        <f t="shared" si="23"/>
        <v>2</v>
      </c>
      <c r="AJ172" s="199">
        <f t="shared" si="31"/>
        <v>0</v>
      </c>
      <c r="AK172" s="22">
        <f>AJ172*Variables!$E$43*Variables!$C$15</f>
        <v>0</v>
      </c>
      <c r="AL172" s="20">
        <f>Z172*Variables!$E$38*Variables!$C$15</f>
        <v>46963761.424619153</v>
      </c>
      <c r="AM172" s="98"/>
      <c r="AN172" s="200">
        <f t="shared" si="24"/>
        <v>0.14000000000000001</v>
      </c>
      <c r="AO172" s="201">
        <f t="shared" si="29"/>
        <v>33.383344262295083</v>
      </c>
      <c r="AP172" s="321">
        <f>VLOOKUP(A172,'Household Information'!H:Q,10,FALSE)</f>
        <v>73.860911270983223</v>
      </c>
      <c r="AQ172" s="122">
        <f>IF(12*(AO172-Variables!$C$3*AP172*F172)*(G172/5)&lt;0,0,12*(AO172-Variables!$C$3*AP172*F172)*(G172/5))</f>
        <v>0</v>
      </c>
      <c r="AS172" s="22"/>
    </row>
    <row r="173" spans="1:45" ht="14.25" customHeight="1" x14ac:dyDescent="0.35">
      <c r="A173" s="30">
        <v>2</v>
      </c>
      <c r="B173" s="28" t="s">
        <v>155</v>
      </c>
      <c r="C173" s="28">
        <v>2023</v>
      </c>
      <c r="D173" s="196">
        <f>Population!H3</f>
        <v>388647.81615438784</v>
      </c>
      <c r="E173" s="303" t="str">
        <f t="shared" si="30"/>
        <v>Medium</v>
      </c>
      <c r="F173" s="340">
        <f>VLOOKUP(A173,'Household Information'!$H$2:$M$49,6,FALSE)</f>
        <v>4.8390533520244086</v>
      </c>
      <c r="G173" s="196">
        <f t="shared" si="25"/>
        <v>80315</v>
      </c>
      <c r="H173" s="213">
        <f>Area!J3</f>
        <v>652.79203546232918</v>
      </c>
      <c r="I173" s="213"/>
      <c r="J173" s="32">
        <f>D173*Variables!$C$20</f>
        <v>349.78303453894904</v>
      </c>
      <c r="K173" s="202">
        <f t="shared" si="21"/>
        <v>341.68509772291588</v>
      </c>
      <c r="L173" s="32">
        <f t="shared" si="26"/>
        <v>8.0979368160331546</v>
      </c>
      <c r="N173" s="117"/>
      <c r="O173" s="117"/>
      <c r="P173" s="117"/>
      <c r="Q173" s="117"/>
      <c r="R173" s="108"/>
      <c r="S173" s="198">
        <f>$L173*Variables!$C$21/100</f>
        <v>0.43970697643618933</v>
      </c>
      <c r="T173" s="198">
        <f>$L173*Variables!$C$22/100</f>
        <v>0.76948720876333143</v>
      </c>
      <c r="U173" s="198">
        <f>$L173*Variables!$C$23/100</f>
        <v>0.80612945679968051</v>
      </c>
      <c r="V173" s="198">
        <f>$L173*Variables!$C$24/100</f>
        <v>5.8627596858158588</v>
      </c>
      <c r="W173" s="22">
        <f>S173*Variables!$E$25*Variables!$C$15+'Cost Calculations'!T173*Variables!$E$26*Variables!$C$15+'Cost Calculations'!U173*Variables!$E$27*Variables!$C$15+V173*Variables!$E$28*Variables!$C$15</f>
        <v>5431624.183127638</v>
      </c>
      <c r="X173" s="20">
        <f>J173*Variables!$E$29*Variables!$C$15</f>
        <v>59791.911924087952</v>
      </c>
      <c r="Z173" s="33">
        <f>D173*(IF(D173&lt;50000,0,IF(D173&gt;Variables!$C$7,Variables!$C$37,IF(D173&gt;Variables!$C$6,Variables!$C$36,IF(D173&gt;Variables!$C$5,Variables!$C$35)))))</f>
        <v>194.32390807719392</v>
      </c>
      <c r="AA173" s="34">
        <f t="shared" si="20"/>
        <v>262</v>
      </c>
      <c r="AB173" s="35">
        <f t="shared" si="27"/>
        <v>0</v>
      </c>
      <c r="AC173" s="22">
        <f>AB173*Variables!$E$41</f>
        <v>0</v>
      </c>
      <c r="AD173" s="115">
        <f>ROUND(IF(D173&lt;50000,0,(H173/(3.14*Variables!$C$34^2))),0)</f>
        <v>832</v>
      </c>
      <c r="AE173" s="116">
        <f t="shared" si="22"/>
        <v>820</v>
      </c>
      <c r="AF173" s="117">
        <f t="shared" si="28"/>
        <v>12</v>
      </c>
      <c r="AG173" s="107">
        <f>AF173*Variables!$E$42*Variables!$C$15</f>
        <v>8130.5280000000002</v>
      </c>
      <c r="AH173" s="199">
        <f>ROUND((Z173)/Variables!$C$40,0)</f>
        <v>2</v>
      </c>
      <c r="AI173" s="33">
        <f t="shared" si="23"/>
        <v>2</v>
      </c>
      <c r="AJ173" s="199">
        <f t="shared" si="31"/>
        <v>0</v>
      </c>
      <c r="AK173" s="22">
        <f>AJ173*Variables!$E$43*Variables!$C$15</f>
        <v>0</v>
      </c>
      <c r="AL173" s="20">
        <f>Z173*Variables!$E$38*Variables!$C$15</f>
        <v>34449453.060884528</v>
      </c>
      <c r="AM173" s="98"/>
      <c r="AN173" s="200">
        <f t="shared" si="24"/>
        <v>0.49</v>
      </c>
      <c r="AO173" s="201">
        <f t="shared" si="29"/>
        <v>142.26816854951761</v>
      </c>
      <c r="AP173" s="321">
        <f>VLOOKUP(A173,'Household Information'!H:Q,10,FALSE)</f>
        <v>166.27540073204597</v>
      </c>
      <c r="AQ173" s="122">
        <f>IF(12*(AO173-Variables!$C$3*AP173*F173)*(G173/5)&lt;0,0,12*(AO173-Variables!$C$3*AP173*F173)*(G173/5))</f>
        <v>4158872.2794086821</v>
      </c>
      <c r="AS173" s="22"/>
    </row>
    <row r="174" spans="1:45" ht="14.25" customHeight="1" x14ac:dyDescent="0.35">
      <c r="A174" s="30">
        <v>3</v>
      </c>
      <c r="B174" s="28" t="s">
        <v>156</v>
      </c>
      <c r="C174" s="28">
        <v>2023</v>
      </c>
      <c r="D174" s="196">
        <f>Population!H4</f>
        <v>11184174.854361728</v>
      </c>
      <c r="E174" s="303" t="str">
        <f t="shared" si="30"/>
        <v>Large</v>
      </c>
      <c r="F174" s="340">
        <f>VLOOKUP(A174,'Household Information'!$H$2:$M$49,6,FALSE)</f>
        <v>4.0172949204764796</v>
      </c>
      <c r="G174" s="196">
        <f t="shared" si="25"/>
        <v>2784006</v>
      </c>
      <c r="H174" s="213">
        <f>Area!J4</f>
        <v>769.92321031552638</v>
      </c>
      <c r="I174" s="213"/>
      <c r="J174" s="32">
        <f>D174*Variables!$C$20</f>
        <v>10065.757368925555</v>
      </c>
      <c r="K174" s="202">
        <f t="shared" si="21"/>
        <v>9832.7218608240219</v>
      </c>
      <c r="L174" s="32">
        <f t="shared" si="26"/>
        <v>233.0355081015332</v>
      </c>
      <c r="N174" s="117"/>
      <c r="O174" s="117"/>
      <c r="P174" s="117"/>
      <c r="Q174" s="117"/>
      <c r="R174" s="108"/>
      <c r="S174" s="198">
        <f>$L174*Variables!$C$21/100</f>
        <v>12.653511752119448</v>
      </c>
      <c r="T174" s="198">
        <f>$L174*Variables!$C$22/100</f>
        <v>22.143645566209038</v>
      </c>
      <c r="U174" s="198">
        <f>$L174*Variables!$C$23/100</f>
        <v>23.198104878885655</v>
      </c>
      <c r="V174" s="198">
        <f>$L174*Variables!$C$24/100</f>
        <v>168.71349002825934</v>
      </c>
      <c r="W174" s="22">
        <f>S174*Variables!$E$25*Variables!$C$15+'Cost Calculations'!T174*Variables!$E$26*Variables!$C$15+'Cost Calculations'!U174*Variables!$E$27*Variables!$C$15+V174*Variables!$E$28*Variables!$C$15</f>
        <v>156306640.82555398</v>
      </c>
      <c r="X174" s="20">
        <f>J174*Variables!$E$29*Variables!$C$15</f>
        <v>1720640.5646441344</v>
      </c>
      <c r="Z174" s="33">
        <f>D174*(IF(D174&lt;50000,0,IF(D174&gt;Variables!$C$7,Variables!$C$37,IF(D174&gt;Variables!$C$6,Variables!$C$36,IF(D174&gt;Variables!$C$5,Variables!$C$35)))))</f>
        <v>5592.0874271808643</v>
      </c>
      <c r="AA174" s="34">
        <f t="shared" ref="AA174:AA237" si="32">AA132+AB132</f>
        <v>5463</v>
      </c>
      <c r="AB174" s="35">
        <f t="shared" si="27"/>
        <v>129</v>
      </c>
      <c r="AC174" s="22">
        <f>AB174*Variables!$E$41</f>
        <v>47678400.000000007</v>
      </c>
      <c r="AD174" s="115">
        <f>ROUND(IF(D174&lt;50000,0,(H174/(3.14*Variables!$C$34^2))),0)</f>
        <v>981</v>
      </c>
      <c r="AE174" s="116">
        <f t="shared" si="22"/>
        <v>967</v>
      </c>
      <c r="AF174" s="117">
        <f t="shared" si="28"/>
        <v>14</v>
      </c>
      <c r="AG174" s="107">
        <f>AF174*Variables!$E$42*Variables!$C$15</f>
        <v>9485.616</v>
      </c>
      <c r="AH174" s="199">
        <f>ROUND((Z174)/Variables!$C$40,0)</f>
        <v>45</v>
      </c>
      <c r="AI174" s="33">
        <f t="shared" si="23"/>
        <v>44</v>
      </c>
      <c r="AJ174" s="199">
        <f t="shared" si="31"/>
        <v>1</v>
      </c>
      <c r="AK174" s="22">
        <f>AJ174*Variables!$E$43*Variables!$C$15</f>
        <v>552717.39600000007</v>
      </c>
      <c r="AL174" s="20">
        <f>Z174*Variables!$E$38*Variables!$C$15</f>
        <v>991356932.04823244</v>
      </c>
      <c r="AM174" s="98"/>
      <c r="AN174" s="200">
        <f t="shared" si="24"/>
        <v>0.42</v>
      </c>
      <c r="AO174" s="201">
        <f t="shared" si="29"/>
        <v>101.23583199600728</v>
      </c>
      <c r="AP174" s="321">
        <f>VLOOKUP(A174,'Household Information'!H:Q,10,FALSE)</f>
        <v>132.525558500568</v>
      </c>
      <c r="AQ174" s="122">
        <f>IF(12*(AO174-Variables!$C$3*AP174*F174)*(G174/5)&lt;0,0,12*(AO174-Variables!$C$3*AP174*F174)*(G174/5))</f>
        <v>142830826.76456141</v>
      </c>
      <c r="AS174" s="22"/>
    </row>
    <row r="175" spans="1:45" ht="14.25" customHeight="1" x14ac:dyDescent="0.35">
      <c r="A175" s="30">
        <v>4</v>
      </c>
      <c r="B175" s="28" t="s">
        <v>157</v>
      </c>
      <c r="C175" s="28">
        <v>2023</v>
      </c>
      <c r="D175" s="196">
        <f>Population!H5</f>
        <v>2381852.0417070338</v>
      </c>
      <c r="E175" s="303" t="str">
        <f t="shared" si="30"/>
        <v>Large</v>
      </c>
      <c r="F175" s="340">
        <f>VLOOKUP(A175,'Household Information'!$H$2:$M$49,6,FALSE)</f>
        <v>4.6988894405393395</v>
      </c>
      <c r="G175" s="196">
        <f t="shared" si="25"/>
        <v>506897</v>
      </c>
      <c r="H175" s="213">
        <f>Area!J5</f>
        <v>425.6718305640573</v>
      </c>
      <c r="I175" s="213"/>
      <c r="J175" s="32">
        <f>D175*Variables!$C$20</f>
        <v>2143.6668375363301</v>
      </c>
      <c r="K175" s="202">
        <f t="shared" ref="K175:K238" si="33">K133+L133</f>
        <v>2094.0381337660738</v>
      </c>
      <c r="L175" s="32">
        <f t="shared" si="26"/>
        <v>49.628703770256379</v>
      </c>
      <c r="N175" s="117"/>
      <c r="O175" s="117"/>
      <c r="P175" s="117"/>
      <c r="Q175" s="117"/>
      <c r="R175" s="108"/>
      <c r="S175" s="198">
        <f>$L175*Variables!$C$21/100</f>
        <v>2.6947712454437851</v>
      </c>
      <c r="T175" s="198">
        <f>$L175*Variables!$C$22/100</f>
        <v>4.7158496795266247</v>
      </c>
      <c r="U175" s="198">
        <f>$L175*Variables!$C$23/100</f>
        <v>4.9404139499802735</v>
      </c>
      <c r="V175" s="198">
        <f>$L175*Variables!$C$24/100</f>
        <v>35.9302832725838</v>
      </c>
      <c r="W175" s="22">
        <f>S175*Variables!$E$25*Variables!$C$15+'Cost Calculations'!T175*Variables!$E$26*Variables!$C$15+'Cost Calculations'!U175*Variables!$E$27*Variables!$C$15+V175*Variables!$E$28*Variables!$C$15</f>
        <v>33288042.831118412</v>
      </c>
      <c r="X175" s="20">
        <f>J175*Variables!$E$29*Variables!$C$15</f>
        <v>366438.4092084603</v>
      </c>
      <c r="Z175" s="33">
        <f>D175*(IF(D175&lt;50000,0,IF(D175&gt;Variables!$C$7,Variables!$C$37,IF(D175&gt;Variables!$C$6,Variables!$C$36,IF(D175&gt;Variables!$C$5,Variables!$C$35)))))</f>
        <v>1190.926020853517</v>
      </c>
      <c r="AA175" s="34">
        <f t="shared" si="32"/>
        <v>1163</v>
      </c>
      <c r="AB175" s="35">
        <f t="shared" si="27"/>
        <v>28</v>
      </c>
      <c r="AC175" s="22">
        <f>AB175*Variables!$E$41</f>
        <v>10348800.000000002</v>
      </c>
      <c r="AD175" s="115">
        <f>ROUND(IF(D175&lt;50000,0,(H175/(3.14*Variables!$C$34^2))),0)</f>
        <v>542</v>
      </c>
      <c r="AE175" s="116">
        <f t="shared" ref="AE175:AE238" si="34">AE133+AF133</f>
        <v>535</v>
      </c>
      <c r="AF175" s="117">
        <f t="shared" si="28"/>
        <v>7</v>
      </c>
      <c r="AG175" s="107">
        <f>AF175*Variables!$E$42*Variables!$C$15</f>
        <v>4742.808</v>
      </c>
      <c r="AH175" s="199">
        <f>ROUND((Z175)/Variables!$C$40,0)</f>
        <v>10</v>
      </c>
      <c r="AI175" s="33">
        <f t="shared" ref="AI175:AI238" si="35">AI133+AJ133</f>
        <v>9</v>
      </c>
      <c r="AJ175" s="199">
        <f t="shared" si="31"/>
        <v>1</v>
      </c>
      <c r="AK175" s="22">
        <f>AJ175*Variables!$E$43*Variables!$C$15</f>
        <v>552717.39600000007</v>
      </c>
      <c r="AL175" s="20">
        <f>Z175*Variables!$E$38*Variables!$C$15</f>
        <v>211125591.5977236</v>
      </c>
      <c r="AM175" s="98"/>
      <c r="AN175" s="200">
        <f t="shared" ref="AN175:AN238" si="36">AN133</f>
        <v>0.28000000000000003</v>
      </c>
      <c r="AO175" s="201">
        <f t="shared" si="29"/>
        <v>78.94134260106091</v>
      </c>
      <c r="AP175" s="321">
        <f>VLOOKUP(A175,'Household Information'!H:Q,10,FALSE)</f>
        <v>108.65462509082352</v>
      </c>
      <c r="AQ175" s="122">
        <f>IF(12*(AO175-Variables!$C$3*AP175*F175)*(G175/5)&lt;0,0,12*(AO175-Variables!$C$3*AP175*F175)*(G175/5))</f>
        <v>2868548.8075959259</v>
      </c>
      <c r="AS175" s="22"/>
    </row>
    <row r="176" spans="1:45" ht="14.25" customHeight="1" x14ac:dyDescent="0.35">
      <c r="A176" s="30">
        <v>5</v>
      </c>
      <c r="B176" s="28" t="s">
        <v>158</v>
      </c>
      <c r="C176" s="28">
        <v>2023</v>
      </c>
      <c r="D176" s="196">
        <f>Population!H6</f>
        <v>1117138.6203896278</v>
      </c>
      <c r="E176" s="303" t="str">
        <f t="shared" si="30"/>
        <v>Large</v>
      </c>
      <c r="F176" s="340">
        <f>VLOOKUP(A176,'Household Information'!$H$2:$M$49,6,FALSE)</f>
        <v>4.2814892277702192</v>
      </c>
      <c r="G176" s="196">
        <f t="shared" si="25"/>
        <v>260923</v>
      </c>
      <c r="H176" s="213">
        <f>Area!J6</f>
        <v>192.83790981928769</v>
      </c>
      <c r="I176" s="213"/>
      <c r="J176" s="32">
        <f>D176*Variables!$C$20</f>
        <v>1005.424758350665</v>
      </c>
      <c r="K176" s="202">
        <f t="shared" si="33"/>
        <v>2378.3936399999998</v>
      </c>
      <c r="L176" s="32">
        <f t="shared" si="26"/>
        <v>0</v>
      </c>
      <c r="N176" s="117"/>
      <c r="O176" s="117"/>
      <c r="P176" s="117"/>
      <c r="Q176" s="117"/>
      <c r="R176" s="108"/>
      <c r="S176" s="198">
        <f>$L176*Variables!$C$21/100</f>
        <v>0</v>
      </c>
      <c r="T176" s="198">
        <f>$L176*Variables!$C$22/100</f>
        <v>0</v>
      </c>
      <c r="U176" s="198">
        <f>$L176*Variables!$C$23/100</f>
        <v>0</v>
      </c>
      <c r="V176" s="198">
        <f>$L176*Variables!$C$24/100</f>
        <v>0</v>
      </c>
      <c r="W176" s="22">
        <f>S176*Variables!$E$25*Variables!$C$15+'Cost Calculations'!T176*Variables!$E$26*Variables!$C$15+'Cost Calculations'!U176*Variables!$E$27*Variables!$C$15+V176*Variables!$E$28*Variables!$C$15</f>
        <v>0</v>
      </c>
      <c r="X176" s="20">
        <f>J176*Variables!$E$29*Variables!$C$15</f>
        <v>171867.30819246269</v>
      </c>
      <c r="Z176" s="33">
        <f>D176*(IF(D176&lt;50000,0,IF(D176&gt;Variables!$C$7,Variables!$C$37,IF(D176&gt;Variables!$C$6,Variables!$C$36,IF(D176&gt;Variables!$C$5,Variables!$C$35)))))</f>
        <v>558.56931019481385</v>
      </c>
      <c r="AA176" s="34">
        <f t="shared" si="32"/>
        <v>546</v>
      </c>
      <c r="AB176" s="35">
        <f t="shared" si="27"/>
        <v>13</v>
      </c>
      <c r="AC176" s="22">
        <f>AB176*Variables!$E$41</f>
        <v>4804800.0000000009</v>
      </c>
      <c r="AD176" s="115">
        <f>ROUND(IF(D176&lt;50000,0,(H176/(3.14*Variables!$C$34^2))),0)</f>
        <v>246</v>
      </c>
      <c r="AE176" s="116">
        <f t="shared" si="34"/>
        <v>242</v>
      </c>
      <c r="AF176" s="117">
        <f t="shared" si="28"/>
        <v>4</v>
      </c>
      <c r="AG176" s="107">
        <f>AF176*Variables!$E$42*Variables!$C$15</f>
        <v>2710.1759999999999</v>
      </c>
      <c r="AH176" s="199">
        <f>ROUND((Z176)/Variables!$C$40,0)</f>
        <v>4</v>
      </c>
      <c r="AI176" s="33">
        <f t="shared" si="35"/>
        <v>4</v>
      </c>
      <c r="AJ176" s="199">
        <f t="shared" si="31"/>
        <v>0</v>
      </c>
      <c r="AK176" s="22">
        <f>AJ176*Variables!$E$43*Variables!$C$15</f>
        <v>0</v>
      </c>
      <c r="AL176" s="20">
        <f>Z176*Variables!$E$38*Variables!$C$15</f>
        <v>99022335.559261024</v>
      </c>
      <c r="AM176" s="98"/>
      <c r="AN176" s="200">
        <f t="shared" si="36"/>
        <v>0.28000000000000003</v>
      </c>
      <c r="AO176" s="201">
        <f t="shared" si="29"/>
        <v>71.929019026539692</v>
      </c>
      <c r="AP176" s="321">
        <f>VLOOKUP(A176,'Household Information'!H:Q,10,FALSE)</f>
        <v>70.680297866969596</v>
      </c>
      <c r="AQ176" s="122">
        <f>IF(12*(AO176-Variables!$C$3*AP176*F176)*(G176/5)&lt;0,0,12*(AO176-Variables!$C$3*AP176*F176)*(G176/5))</f>
        <v>16617546.464570355</v>
      </c>
      <c r="AS176" s="22"/>
    </row>
    <row r="177" spans="1:45" ht="14.25" customHeight="1" x14ac:dyDescent="0.35">
      <c r="A177" s="30">
        <v>6</v>
      </c>
      <c r="B177" s="28" t="s">
        <v>159</v>
      </c>
      <c r="C177" s="28">
        <v>2023</v>
      </c>
      <c r="D177" s="196">
        <f>Population!H7</f>
        <v>1273682.0336738601</v>
      </c>
      <c r="E177" s="303" t="str">
        <f t="shared" si="30"/>
        <v>Large</v>
      </c>
      <c r="F177" s="340">
        <f>VLOOKUP(A177,'Household Information'!$H$2:$M$49,6,FALSE)</f>
        <v>4.4091899104485828</v>
      </c>
      <c r="G177" s="196">
        <f t="shared" si="25"/>
        <v>288870</v>
      </c>
      <c r="H177" s="213">
        <f>Area!J7</f>
        <v>166.10855208579306</v>
      </c>
      <c r="I177" s="213"/>
      <c r="J177" s="32">
        <f>D177*Variables!$C$20</f>
        <v>1146.3138303064741</v>
      </c>
      <c r="K177" s="202">
        <f t="shared" si="33"/>
        <v>1119.77515903729</v>
      </c>
      <c r="L177" s="32">
        <f t="shared" si="26"/>
        <v>26.538671269184078</v>
      </c>
      <c r="N177" s="117"/>
      <c r="O177" s="117"/>
      <c r="P177" s="117"/>
      <c r="Q177" s="117"/>
      <c r="R177" s="108"/>
      <c r="S177" s="198">
        <f>$L177*Variables!$C$21/100</f>
        <v>1.4410138245710808</v>
      </c>
      <c r="T177" s="198">
        <f>$L177*Variables!$C$22/100</f>
        <v>2.5217741929993922</v>
      </c>
      <c r="U177" s="198">
        <f>$L177*Variables!$C$23/100</f>
        <v>2.6418586783803151</v>
      </c>
      <c r="V177" s="198">
        <f>$L177*Variables!$C$24/100</f>
        <v>19.213517660947748</v>
      </c>
      <c r="W177" s="22">
        <f>S177*Variables!$E$25*Variables!$C$15+'Cost Calculations'!T177*Variables!$E$26*Variables!$C$15+'Cost Calculations'!U177*Variables!$E$27*Variables!$C$15+V177*Variables!$E$28*Variables!$C$15</f>
        <v>17800594.38947155</v>
      </c>
      <c r="X177" s="20">
        <f>J177*Variables!$E$29*Variables!$C$15</f>
        <v>195950.8861525887</v>
      </c>
      <c r="Z177" s="33">
        <f>D177*(IF(D177&lt;50000,0,IF(D177&gt;Variables!$C$7,Variables!$C$37,IF(D177&gt;Variables!$C$6,Variables!$C$36,IF(D177&gt;Variables!$C$5,Variables!$C$35)))))</f>
        <v>636.84101683693007</v>
      </c>
      <c r="AA177" s="34">
        <f t="shared" si="32"/>
        <v>622</v>
      </c>
      <c r="AB177" s="35">
        <f t="shared" si="27"/>
        <v>15</v>
      </c>
      <c r="AC177" s="22">
        <f>AB177*Variables!$E$41</f>
        <v>5544000.0000000009</v>
      </c>
      <c r="AD177" s="115">
        <f>ROUND(IF(D177&lt;50000,0,(H177/(3.14*Variables!$C$34^2))),0)</f>
        <v>212</v>
      </c>
      <c r="AE177" s="116">
        <f t="shared" si="34"/>
        <v>209</v>
      </c>
      <c r="AF177" s="117">
        <f t="shared" si="28"/>
        <v>3</v>
      </c>
      <c r="AG177" s="107">
        <f>AF177*Variables!$E$42*Variables!$C$15</f>
        <v>2032.6320000000001</v>
      </c>
      <c r="AH177" s="199">
        <f>ROUND((Z177)/Variables!$C$40,0)</f>
        <v>5</v>
      </c>
      <c r="AI177" s="33">
        <f t="shared" si="35"/>
        <v>5</v>
      </c>
      <c r="AJ177" s="199">
        <f t="shared" si="31"/>
        <v>0</v>
      </c>
      <c r="AK177" s="22">
        <f>AJ177*Variables!$E$43*Variables!$C$15</f>
        <v>0</v>
      </c>
      <c r="AL177" s="20">
        <f>Z177*Variables!$E$38*Variables!$C$15</f>
        <v>112898227.16026655</v>
      </c>
      <c r="AM177" s="98"/>
      <c r="AN177" s="200">
        <f t="shared" si="36"/>
        <v>0.28000000000000003</v>
      </c>
      <c r="AO177" s="201">
        <f t="shared" si="29"/>
        <v>74.074390495536193</v>
      </c>
      <c r="AP177" s="321">
        <f>VLOOKUP(A177,'Household Information'!H:Q,10,FALSE)</f>
        <v>228.82746434431402</v>
      </c>
      <c r="AQ177" s="122">
        <f>IF(12*(AO177-Variables!$C$3*AP177*F177)*(G177/5)&lt;0,0,12*(AO177-Variables!$C$3*AP177*F177)*(G177/5))</f>
        <v>0</v>
      </c>
      <c r="AS177" s="22"/>
    </row>
    <row r="178" spans="1:45" ht="14.25" customHeight="1" x14ac:dyDescent="0.35">
      <c r="A178" s="30">
        <v>7</v>
      </c>
      <c r="B178" s="28" t="s">
        <v>160</v>
      </c>
      <c r="C178" s="28">
        <v>2023</v>
      </c>
      <c r="D178" s="196">
        <f>Population!H8</f>
        <v>6154886.7275632918</v>
      </c>
      <c r="E178" s="303" t="str">
        <f t="shared" si="30"/>
        <v>Large</v>
      </c>
      <c r="F178" s="340">
        <f>VLOOKUP(A178,'Household Information'!$H$2:$M$49,6,FALSE)</f>
        <v>4.0232072880789485</v>
      </c>
      <c r="G178" s="196">
        <f t="shared" si="25"/>
        <v>1529846</v>
      </c>
      <c r="H178" s="213">
        <f>Area!J8</f>
        <v>1125.6020217599903</v>
      </c>
      <c r="I178" s="213"/>
      <c r="J178" s="32">
        <f>D178*Variables!$C$20</f>
        <v>5539.3980548069621</v>
      </c>
      <c r="K178" s="202">
        <f t="shared" si="33"/>
        <v>5411.1537118364386</v>
      </c>
      <c r="L178" s="32">
        <f t="shared" si="26"/>
        <v>128.24434297052358</v>
      </c>
      <c r="N178" s="117"/>
      <c r="O178" s="117"/>
      <c r="P178" s="117"/>
      <c r="Q178" s="117"/>
      <c r="R178" s="108"/>
      <c r="S178" s="198">
        <f>$L178*Variables!$C$21/100</f>
        <v>6.9634937359560309</v>
      </c>
      <c r="T178" s="198">
        <f>$L178*Variables!$C$22/100</f>
        <v>12.186114037923055</v>
      </c>
      <c r="U178" s="198">
        <f>$L178*Variables!$C$23/100</f>
        <v>12.766405182586057</v>
      </c>
      <c r="V178" s="198">
        <f>$L178*Variables!$C$24/100</f>
        <v>92.846583146080405</v>
      </c>
      <c r="W178" s="22">
        <f>S178*Variables!$E$25*Variables!$C$15+'Cost Calculations'!T178*Variables!$E$26*Variables!$C$15+'Cost Calculations'!U178*Variables!$E$27*Variables!$C$15+V178*Variables!$E$28*Variables!$C$15</f>
        <v>86018833.00063017</v>
      </c>
      <c r="X178" s="20">
        <f>J178*Variables!$E$29*Variables!$C$15</f>
        <v>946904.70348870219</v>
      </c>
      <c r="Z178" s="33">
        <f>D178*(IF(D178&lt;50000,0,IF(D178&gt;Variables!$C$7,Variables!$C$37,IF(D178&gt;Variables!$C$6,Variables!$C$36,IF(D178&gt;Variables!$C$5,Variables!$C$35)))))</f>
        <v>3077.443363781646</v>
      </c>
      <c r="AA178" s="34">
        <f t="shared" si="32"/>
        <v>4599</v>
      </c>
      <c r="AB178" s="35">
        <f t="shared" si="27"/>
        <v>0</v>
      </c>
      <c r="AC178" s="22">
        <f>AB178*Variables!$E$41</f>
        <v>0</v>
      </c>
      <c r="AD178" s="115">
        <f>ROUND(IF(D178&lt;50000,0,(H178/(3.14*Variables!$C$34^2))),0)</f>
        <v>1434</v>
      </c>
      <c r="AE178" s="116">
        <f t="shared" si="34"/>
        <v>1414</v>
      </c>
      <c r="AF178" s="117">
        <f t="shared" si="28"/>
        <v>20</v>
      </c>
      <c r="AG178" s="107">
        <f>AF178*Variables!$E$42*Variables!$C$15</f>
        <v>13550.880000000001</v>
      </c>
      <c r="AH178" s="199">
        <f>ROUND((Z178)/Variables!$C$40,0)</f>
        <v>25</v>
      </c>
      <c r="AI178" s="33">
        <f t="shared" si="35"/>
        <v>24</v>
      </c>
      <c r="AJ178" s="199">
        <f t="shared" si="31"/>
        <v>1</v>
      </c>
      <c r="AK178" s="22">
        <f>AJ178*Variables!$E$43*Variables!$C$15</f>
        <v>552717.39600000007</v>
      </c>
      <c r="AL178" s="20">
        <f>Z178*Variables!$E$38*Variables!$C$15</f>
        <v>545564576.98458874</v>
      </c>
      <c r="AM178" s="98"/>
      <c r="AN178" s="200">
        <f t="shared" si="36"/>
        <v>0.28000000000000003</v>
      </c>
      <c r="AO178" s="201">
        <f t="shared" si="29"/>
        <v>67.589882439726338</v>
      </c>
      <c r="AP178" s="321">
        <f>VLOOKUP(A178,'Household Information'!H:Q,10,FALSE)</f>
        <v>141.36059573393919</v>
      </c>
      <c r="AQ178" s="122">
        <f>IF(12*(AO178-Variables!$C$3*AP178*F178)*(G178/5)&lt;0,0,12*(AO178-Variables!$C$3*AP178*F178)*(G178/5))</f>
        <v>0</v>
      </c>
      <c r="AS178" s="22"/>
    </row>
    <row r="179" spans="1:45" ht="14.25" customHeight="1" x14ac:dyDescent="0.35">
      <c r="A179" s="30">
        <v>8</v>
      </c>
      <c r="B179" s="28" t="s">
        <v>161</v>
      </c>
      <c r="C179" s="28">
        <v>2023</v>
      </c>
      <c r="D179" s="196">
        <f>Population!H9</f>
        <v>58654.274459976965</v>
      </c>
      <c r="E179" s="303" t="str">
        <f t="shared" si="30"/>
        <v>Small</v>
      </c>
      <c r="F179" s="340">
        <f>VLOOKUP(A179,'Household Information'!$H$2:$M$49,6,FALSE)</f>
        <v>4.332028957151242</v>
      </c>
      <c r="G179" s="196">
        <f t="shared" si="25"/>
        <v>13540</v>
      </c>
      <c r="H179" s="213">
        <f>Area!J9</f>
        <v>158.55561474030316</v>
      </c>
      <c r="I179" s="213"/>
      <c r="J179" s="32">
        <f>D179*Variables!$C$20</f>
        <v>52.788847013979264</v>
      </c>
      <c r="K179" s="202">
        <f t="shared" si="33"/>
        <v>51.566715848372823</v>
      </c>
      <c r="L179" s="32">
        <f t="shared" si="26"/>
        <v>1.2221311656064415</v>
      </c>
      <c r="N179" s="117"/>
      <c r="O179" s="117"/>
      <c r="P179" s="117"/>
      <c r="Q179" s="117"/>
      <c r="R179" s="108"/>
      <c r="S179" s="198">
        <f>$L179*Variables!$C$21/100</f>
        <v>6.6360063290847496E-2</v>
      </c>
      <c r="T179" s="198">
        <f>$L179*Variables!$C$22/100</f>
        <v>0.11613011075898313</v>
      </c>
      <c r="U179" s="198">
        <f>$L179*Variables!$C$23/100</f>
        <v>0.12166011603322043</v>
      </c>
      <c r="V179" s="198">
        <f>$L179*Variables!$C$24/100</f>
        <v>0.88480084387796665</v>
      </c>
      <c r="W179" s="22">
        <f>S179*Variables!$E$25*Variables!$C$15+'Cost Calculations'!T179*Variables!$E$26*Variables!$C$15+'Cost Calculations'!U179*Variables!$E$27*Variables!$C$15+V179*Variables!$E$28*Variables!$C$15</f>
        <v>819734.37739338598</v>
      </c>
      <c r="X179" s="20">
        <f>J179*Variables!$E$29*Variables!$C$15</f>
        <v>9023.7255085696161</v>
      </c>
      <c r="Z179" s="33">
        <f>D179*(IF(D179&lt;50000,0,IF(D179&gt;Variables!$C$7,Variables!$C$37,IF(D179&gt;Variables!$C$6,Variables!$C$36,IF(D179&gt;Variables!$C$5,Variables!$C$35)))))</f>
        <v>29.327137229988484</v>
      </c>
      <c r="AA179" s="34">
        <f t="shared" si="32"/>
        <v>29</v>
      </c>
      <c r="AB179" s="35">
        <f t="shared" si="27"/>
        <v>0</v>
      </c>
      <c r="AC179" s="22">
        <f>AB179*Variables!$E$41</f>
        <v>0</v>
      </c>
      <c r="AD179" s="115">
        <f>ROUND(IF(D179&lt;50000,0,(H179/(3.14*Variables!$C$34^2))),0)</f>
        <v>202</v>
      </c>
      <c r="AE179" s="116">
        <f t="shared" si="34"/>
        <v>199</v>
      </c>
      <c r="AF179" s="117">
        <f t="shared" si="28"/>
        <v>3</v>
      </c>
      <c r="AG179" s="107">
        <f>AF179*Variables!$E$42*Variables!$C$15</f>
        <v>2032.6320000000001</v>
      </c>
      <c r="AH179" s="199">
        <f>ROUND((Z179)/Variables!$C$40,0)</f>
        <v>0</v>
      </c>
      <c r="AI179" s="33">
        <f t="shared" si="35"/>
        <v>0</v>
      </c>
      <c r="AJ179" s="199">
        <f t="shared" si="31"/>
        <v>0</v>
      </c>
      <c r="AK179" s="22">
        <f>AJ179*Variables!$E$43*Variables!$C$15</f>
        <v>0</v>
      </c>
      <c r="AL179" s="20">
        <f>Z179*Variables!$E$38*Variables!$C$15</f>
        <v>5199071.2178002857</v>
      </c>
      <c r="AM179" s="98"/>
      <c r="AN179" s="200">
        <f t="shared" si="36"/>
        <v>0.25221875000000005</v>
      </c>
      <c r="AO179" s="201">
        <f t="shared" si="29"/>
        <v>65.557135712189407</v>
      </c>
      <c r="AP179" s="321">
        <f>VLOOKUP(A179,'Household Information'!H:Q,10,FALSE)</f>
        <v>39.775337624637132</v>
      </c>
      <c r="AQ179" s="122">
        <f>IF(12*(AO179-Variables!$C$3*AP179*F179)*(G179/5)&lt;0,0,12*(AO179-Variables!$C$3*AP179*F179)*(G179/5))</f>
        <v>1290446.9842962518</v>
      </c>
      <c r="AS179" s="22"/>
    </row>
    <row r="180" spans="1:45" ht="14.25" customHeight="1" x14ac:dyDescent="0.35">
      <c r="A180" s="30">
        <v>9</v>
      </c>
      <c r="B180" s="28" t="s">
        <v>162</v>
      </c>
      <c r="C180" s="28">
        <v>2023</v>
      </c>
      <c r="D180" s="196">
        <f>Population!H10</f>
        <v>754441.63177735335</v>
      </c>
      <c r="E180" s="303" t="str">
        <f t="shared" si="30"/>
        <v>Medium</v>
      </c>
      <c r="F180" s="340">
        <f>VLOOKUP(A180,'Household Information'!$H$2:$M$49,6,FALSE)</f>
        <v>4.5911864516077028</v>
      </c>
      <c r="G180" s="196">
        <f t="shared" si="25"/>
        <v>164324</v>
      </c>
      <c r="H180" s="213">
        <f>Area!J10</f>
        <v>428.52868848730594</v>
      </c>
      <c r="I180" s="213"/>
      <c r="J180" s="32">
        <f>D180*Variables!$C$20</f>
        <v>678.99746859961795</v>
      </c>
      <c r="K180" s="202">
        <f t="shared" si="33"/>
        <v>694.88516000000004</v>
      </c>
      <c r="L180" s="32">
        <f t="shared" si="26"/>
        <v>0</v>
      </c>
      <c r="N180" s="117"/>
      <c r="O180" s="117"/>
      <c r="P180" s="117"/>
      <c r="Q180" s="117"/>
      <c r="R180" s="108"/>
      <c r="S180" s="198">
        <f>$L180*Variables!$C$21/100</f>
        <v>0</v>
      </c>
      <c r="T180" s="198">
        <f>$L180*Variables!$C$22/100</f>
        <v>0</v>
      </c>
      <c r="U180" s="198">
        <f>$L180*Variables!$C$23/100</f>
        <v>0</v>
      </c>
      <c r="V180" s="198">
        <f>$L180*Variables!$C$24/100</f>
        <v>0</v>
      </c>
      <c r="W180" s="22">
        <f>S180*Variables!$E$25*Variables!$C$15+'Cost Calculations'!T180*Variables!$E$26*Variables!$C$15+'Cost Calculations'!U180*Variables!$E$27*Variables!$C$15+V180*Variables!$E$28*Variables!$C$15</f>
        <v>0</v>
      </c>
      <c r="X180" s="20">
        <f>J180*Variables!$E$29*Variables!$C$15</f>
        <v>116067.82728241869</v>
      </c>
      <c r="Z180" s="33">
        <f>D180*(IF(D180&lt;50000,0,IF(D180&gt;Variables!$C$7,Variables!$C$37,IF(D180&gt;Variables!$C$6,Variables!$C$36,IF(D180&gt;Variables!$C$5,Variables!$C$35)))))</f>
        <v>377.22081588867667</v>
      </c>
      <c r="AA180" s="34">
        <f t="shared" si="32"/>
        <v>430</v>
      </c>
      <c r="AB180" s="35">
        <f t="shared" si="27"/>
        <v>0</v>
      </c>
      <c r="AC180" s="22">
        <f>AB180*Variables!$E$41</f>
        <v>0</v>
      </c>
      <c r="AD180" s="115">
        <f>ROUND(IF(D180&lt;50000,0,(H180/(3.14*Variables!$C$34^2))),0)</f>
        <v>546</v>
      </c>
      <c r="AE180" s="116">
        <f t="shared" si="34"/>
        <v>538</v>
      </c>
      <c r="AF180" s="117">
        <f t="shared" si="28"/>
        <v>8</v>
      </c>
      <c r="AG180" s="107">
        <f>AF180*Variables!$E$42*Variables!$C$15</f>
        <v>5420.3519999999999</v>
      </c>
      <c r="AH180" s="199">
        <f>ROUND((Z180)/Variables!$C$40,0)</f>
        <v>3</v>
      </c>
      <c r="AI180" s="33">
        <f t="shared" si="35"/>
        <v>3</v>
      </c>
      <c r="AJ180" s="199">
        <f t="shared" si="31"/>
        <v>0</v>
      </c>
      <c r="AK180" s="22">
        <f>AJ180*Variables!$E$43*Variables!$C$15</f>
        <v>0</v>
      </c>
      <c r="AL180" s="20">
        <f>Z180*Variables!$E$38*Variables!$C$15</f>
        <v>66873144.530334018</v>
      </c>
      <c r="AM180" s="98"/>
      <c r="AN180" s="200">
        <f t="shared" si="36"/>
        <v>0.19600000000000001</v>
      </c>
      <c r="AO180" s="201">
        <f t="shared" si="29"/>
        <v>53.992352670906584</v>
      </c>
      <c r="AP180" s="321">
        <f>VLOOKUP(A180,'Household Information'!H:Q,10,FALSE)</f>
        <v>137.82658084059071</v>
      </c>
      <c r="AQ180" s="122">
        <f>IF(12*(AO180-Variables!$C$3*AP180*F180)*(G180/5)&lt;0,0,12*(AO180-Variables!$C$3*AP180*F180)*(G180/5))</f>
        <v>0</v>
      </c>
      <c r="AS180" s="22"/>
    </row>
    <row r="181" spans="1:45" ht="14.25" customHeight="1" x14ac:dyDescent="0.35">
      <c r="A181" s="30">
        <v>10</v>
      </c>
      <c r="B181" s="28" t="s">
        <v>163</v>
      </c>
      <c r="C181" s="28">
        <v>2023</v>
      </c>
      <c r="D181" s="196">
        <f>Population!H11</f>
        <v>700114.70284514711</v>
      </c>
      <c r="E181" s="303" t="str">
        <f t="shared" si="30"/>
        <v>Medium</v>
      </c>
      <c r="F181" s="340">
        <f>VLOOKUP(A181,'Household Information'!$H$2:$M$49,6,FALSE)</f>
        <v>4.0714439771379274</v>
      </c>
      <c r="G181" s="196">
        <f t="shared" si="25"/>
        <v>171957</v>
      </c>
      <c r="H181" s="213">
        <f>Area!J11</f>
        <v>126.9619506388227</v>
      </c>
      <c r="I181" s="213"/>
      <c r="J181" s="32">
        <f>D181*Variables!$C$20</f>
        <v>630.10323256063236</v>
      </c>
      <c r="K181" s="202">
        <f t="shared" si="33"/>
        <v>718.84568000000002</v>
      </c>
      <c r="L181" s="32">
        <f t="shared" si="26"/>
        <v>0</v>
      </c>
      <c r="N181" s="117"/>
      <c r="O181" s="117"/>
      <c r="P181" s="117"/>
      <c r="Q181" s="117"/>
      <c r="R181" s="108"/>
      <c r="S181" s="198">
        <f>$L181*Variables!$C$21/100</f>
        <v>0</v>
      </c>
      <c r="T181" s="198">
        <f>$L181*Variables!$C$22/100</f>
        <v>0</v>
      </c>
      <c r="U181" s="198">
        <f>$L181*Variables!$C$23/100</f>
        <v>0</v>
      </c>
      <c r="V181" s="198">
        <f>$L181*Variables!$C$24/100</f>
        <v>0</v>
      </c>
      <c r="W181" s="22">
        <f>S181*Variables!$E$25*Variables!$C$15+'Cost Calculations'!T181*Variables!$E$26*Variables!$C$15+'Cost Calculations'!U181*Variables!$E$27*Variables!$C$15+V181*Variables!$E$28*Variables!$C$15</f>
        <v>0</v>
      </c>
      <c r="X181" s="20">
        <f>J181*Variables!$E$29*Variables!$C$15</f>
        <v>107709.8465739145</v>
      </c>
      <c r="Z181" s="33">
        <f>D181*(IF(D181&lt;50000,0,IF(D181&gt;Variables!$C$7,Variables!$C$37,IF(D181&gt;Variables!$C$6,Variables!$C$36,IF(D181&gt;Variables!$C$5,Variables!$C$35)))))</f>
        <v>350.05735142257356</v>
      </c>
      <c r="AA181" s="34">
        <f t="shared" si="32"/>
        <v>342</v>
      </c>
      <c r="AB181" s="35">
        <f t="shared" si="27"/>
        <v>8</v>
      </c>
      <c r="AC181" s="22">
        <f>AB181*Variables!$E$41</f>
        <v>2956800.0000000005</v>
      </c>
      <c r="AD181" s="115">
        <f>ROUND(IF(D181&lt;50000,0,(H181/(3.14*Variables!$C$34^2))),0)</f>
        <v>162</v>
      </c>
      <c r="AE181" s="116">
        <f t="shared" si="34"/>
        <v>159</v>
      </c>
      <c r="AF181" s="117">
        <f t="shared" si="28"/>
        <v>3</v>
      </c>
      <c r="AG181" s="107">
        <f>AF181*Variables!$E$42*Variables!$C$15</f>
        <v>2032.6320000000001</v>
      </c>
      <c r="AH181" s="199">
        <f>ROUND((Z181)/Variables!$C$40,0)</f>
        <v>3</v>
      </c>
      <c r="AI181" s="33">
        <f t="shared" si="35"/>
        <v>3</v>
      </c>
      <c r="AJ181" s="199">
        <f t="shared" si="31"/>
        <v>0</v>
      </c>
      <c r="AK181" s="22">
        <f>AJ181*Variables!$E$43*Variables!$C$15</f>
        <v>0</v>
      </c>
      <c r="AL181" s="20">
        <f>Z181*Variables!$E$38*Variables!$C$15</f>
        <v>62057645.998242453</v>
      </c>
      <c r="AM181" s="98"/>
      <c r="AN181" s="200">
        <f t="shared" si="36"/>
        <v>0.25221875000000005</v>
      </c>
      <c r="AO181" s="201">
        <f t="shared" si="29"/>
        <v>61.613670636525413</v>
      </c>
      <c r="AP181" s="321">
        <f>VLOOKUP(A181,'Household Information'!H:Q,10,FALSE)</f>
        <v>39.775337624637132</v>
      </c>
      <c r="AQ181" s="122">
        <f>IF(12*(AO181-Variables!$C$3*AP181*F181)*(G181/5)&lt;0,0,12*(AO181-Variables!$C$3*AP181*F181)*(G181/5))</f>
        <v>15402757.384954924</v>
      </c>
      <c r="AS181" s="22"/>
    </row>
    <row r="182" spans="1:45" ht="14.25" customHeight="1" x14ac:dyDescent="0.35">
      <c r="A182" s="30">
        <v>11</v>
      </c>
      <c r="B182" s="28" t="s">
        <v>164</v>
      </c>
      <c r="C182" s="28">
        <v>2023</v>
      </c>
      <c r="D182" s="196">
        <f>Population!H12</f>
        <v>273081.06685764127</v>
      </c>
      <c r="E182" s="303" t="str">
        <f t="shared" si="30"/>
        <v>Medium</v>
      </c>
      <c r="F182" s="340">
        <f>VLOOKUP(A182,'Household Information'!$H$2:$M$49,6,FALSE)</f>
        <v>4.5669760538732476</v>
      </c>
      <c r="G182" s="196">
        <f t="shared" si="25"/>
        <v>59795</v>
      </c>
      <c r="H182" s="213">
        <f>Area!J12</f>
        <v>162.84090162517623</v>
      </c>
      <c r="I182" s="213"/>
      <c r="J182" s="32">
        <f>D182*Variables!$C$20</f>
        <v>245.77296017187714</v>
      </c>
      <c r="K182" s="202">
        <f t="shared" si="33"/>
        <v>240.08299323227226</v>
      </c>
      <c r="L182" s="32">
        <f t="shared" si="26"/>
        <v>5.6899669396048864</v>
      </c>
      <c r="N182" s="117"/>
      <c r="O182" s="117"/>
      <c r="P182" s="117"/>
      <c r="Q182" s="117"/>
      <c r="R182" s="108"/>
      <c r="S182" s="198">
        <f>$L182*Variables!$C$21/100</f>
        <v>0.30895748088352321</v>
      </c>
      <c r="T182" s="198">
        <f>$L182*Variables!$C$22/100</f>
        <v>0.54067559154616562</v>
      </c>
      <c r="U182" s="198">
        <f>$L182*Variables!$C$23/100</f>
        <v>0.56642204828645926</v>
      </c>
      <c r="V182" s="198">
        <f>$L182*Variables!$C$24/100</f>
        <v>4.1194330784469768</v>
      </c>
      <c r="W182" s="22">
        <f>S182*Variables!$E$25*Variables!$C$15+'Cost Calculations'!T182*Variables!$E$26*Variables!$C$15+'Cost Calculations'!U182*Variables!$E$27*Variables!$C$15+V182*Variables!$E$28*Variables!$C$15</f>
        <v>3816498.2924001273</v>
      </c>
      <c r="X182" s="20">
        <f>J182*Variables!$E$29*Variables!$C$15</f>
        <v>42012.429811780683</v>
      </c>
      <c r="Z182" s="33">
        <f>D182*(IF(D182&lt;50000,0,IF(D182&gt;Variables!$C$7,Variables!$C$37,IF(D182&gt;Variables!$C$6,Variables!$C$36,IF(D182&gt;Variables!$C$5,Variables!$C$35)))))</f>
        <v>136.54053342882065</v>
      </c>
      <c r="AA182" s="34">
        <f t="shared" si="32"/>
        <v>133</v>
      </c>
      <c r="AB182" s="35">
        <f t="shared" si="27"/>
        <v>4</v>
      </c>
      <c r="AC182" s="22">
        <f>AB182*Variables!$E$41</f>
        <v>1478400.0000000002</v>
      </c>
      <c r="AD182" s="115">
        <f>ROUND(IF(D182&lt;50000,0,(H182/(3.14*Variables!$C$34^2))),0)</f>
        <v>207</v>
      </c>
      <c r="AE182" s="116">
        <f t="shared" si="34"/>
        <v>205</v>
      </c>
      <c r="AF182" s="117">
        <f t="shared" si="28"/>
        <v>2</v>
      </c>
      <c r="AG182" s="107">
        <f>AF182*Variables!$E$42*Variables!$C$15</f>
        <v>1355.088</v>
      </c>
      <c r="AH182" s="199">
        <f>ROUND((Z182)/Variables!$C$40,0)</f>
        <v>1</v>
      </c>
      <c r="AI182" s="33">
        <f t="shared" si="35"/>
        <v>1</v>
      </c>
      <c r="AJ182" s="199">
        <f t="shared" si="31"/>
        <v>0</v>
      </c>
      <c r="AK182" s="22">
        <f>AJ182*Variables!$E$43*Variables!$C$15</f>
        <v>0</v>
      </c>
      <c r="AL182" s="20">
        <f>Z182*Variables!$E$38*Variables!$C$15</f>
        <v>24205702.447049174</v>
      </c>
      <c r="AM182" s="98"/>
      <c r="AN182" s="200">
        <f t="shared" si="36"/>
        <v>0.315</v>
      </c>
      <c r="AO182" s="201">
        <f t="shared" si="29"/>
        <v>86.31584741820437</v>
      </c>
      <c r="AP182" s="321">
        <f>VLOOKUP(A182,'Household Information'!H:Q,10,FALSE)</f>
        <v>93.297993184399843</v>
      </c>
      <c r="AQ182" s="122">
        <f>IF(12*(AO182-Variables!$C$3*AP182*F182)*(G182/5)&lt;0,0,12*(AO182-Variables!$C$3*AP182*F182)*(G182/5))</f>
        <v>3214922.5150590404</v>
      </c>
      <c r="AS182" s="22"/>
    </row>
    <row r="183" spans="1:45" ht="14.25" customHeight="1" x14ac:dyDescent="0.35">
      <c r="A183" s="30">
        <v>12</v>
      </c>
      <c r="B183" s="28" t="s">
        <v>165</v>
      </c>
      <c r="C183" s="28">
        <v>2023</v>
      </c>
      <c r="D183" s="196">
        <f>Population!H13</f>
        <v>132835.06997184522</v>
      </c>
      <c r="E183" s="303" t="str">
        <f t="shared" si="30"/>
        <v>Medium</v>
      </c>
      <c r="F183" s="340">
        <f>VLOOKUP(A183,'Household Information'!$H$2:$M$49,6,FALSE)</f>
        <v>4.2184831531569431</v>
      </c>
      <c r="G183" s="196">
        <f t="shared" si="25"/>
        <v>31489</v>
      </c>
      <c r="H183" s="213">
        <f>Area!J13</f>
        <v>27.140150270862708</v>
      </c>
      <c r="I183" s="213"/>
      <c r="J183" s="32">
        <f>D183*Variables!$C$20</f>
        <v>119.5515629746607</v>
      </c>
      <c r="K183" s="202">
        <f t="shared" si="33"/>
        <v>116.78378721760346</v>
      </c>
      <c r="L183" s="32">
        <f t="shared" si="26"/>
        <v>2.7677757570572368</v>
      </c>
      <c r="N183" s="117"/>
      <c r="O183" s="117"/>
      <c r="P183" s="117"/>
      <c r="Q183" s="117"/>
      <c r="R183" s="108"/>
      <c r="S183" s="198">
        <f>$L183*Variables!$C$21/100</f>
        <v>0.15028646644654678</v>
      </c>
      <c r="T183" s="198">
        <f>$L183*Variables!$C$22/100</f>
        <v>0.2630013162814569</v>
      </c>
      <c r="U183" s="198">
        <f>$L183*Variables!$C$23/100</f>
        <v>0.2755251884853358</v>
      </c>
      <c r="V183" s="198">
        <f>$L183*Variables!$C$24/100</f>
        <v>2.0038195526206239</v>
      </c>
      <c r="W183" s="22">
        <f>S183*Variables!$E$25*Variables!$C$15+'Cost Calculations'!T183*Variables!$E$26*Variables!$C$15+'Cost Calculations'!U183*Variables!$E$27*Variables!$C$15+V183*Variables!$E$28*Variables!$C$15</f>
        <v>1856462.7110625934</v>
      </c>
      <c r="X183" s="20">
        <f>J183*Variables!$E$29*Variables!$C$15</f>
        <v>20436.144174888501</v>
      </c>
      <c r="Z183" s="33">
        <f>D183*(IF(D183&lt;50000,0,IF(D183&gt;Variables!$C$7,Variables!$C$37,IF(D183&gt;Variables!$C$6,Variables!$C$36,IF(D183&gt;Variables!$C$5,Variables!$C$35)))))</f>
        <v>66.417534985922615</v>
      </c>
      <c r="AA183" s="34">
        <f t="shared" si="32"/>
        <v>65</v>
      </c>
      <c r="AB183" s="35">
        <f t="shared" si="27"/>
        <v>1</v>
      </c>
      <c r="AC183" s="22">
        <f>AB183*Variables!$E$41</f>
        <v>369600.00000000006</v>
      </c>
      <c r="AD183" s="115">
        <f>ROUND(IF(D183&lt;50000,0,(H183/(3.14*Variables!$C$34^2))),0)</f>
        <v>35</v>
      </c>
      <c r="AE183" s="116">
        <f t="shared" si="34"/>
        <v>34</v>
      </c>
      <c r="AF183" s="117">
        <f t="shared" si="28"/>
        <v>1</v>
      </c>
      <c r="AG183" s="107">
        <f>AF183*Variables!$E$42*Variables!$C$15</f>
        <v>677.54399999999998</v>
      </c>
      <c r="AH183" s="199">
        <f>ROUND((Z183)/Variables!$C$40,0)</f>
        <v>1</v>
      </c>
      <c r="AI183" s="33">
        <f t="shared" si="35"/>
        <v>1</v>
      </c>
      <c r="AJ183" s="199">
        <f t="shared" si="31"/>
        <v>0</v>
      </c>
      <c r="AK183" s="22">
        <f>AJ183*Variables!$E$43*Variables!$C$15</f>
        <v>0</v>
      </c>
      <c r="AL183" s="20">
        <f>Z183*Variables!$E$38*Variables!$C$15</f>
        <v>11774401.701556377</v>
      </c>
      <c r="AM183" s="98"/>
      <c r="AN183" s="200">
        <f t="shared" si="36"/>
        <v>0.28000000000000003</v>
      </c>
      <c r="AO183" s="201">
        <f t="shared" si="29"/>
        <v>70.870516973036644</v>
      </c>
      <c r="AP183" s="321">
        <f>VLOOKUP(A183,'Household Information'!H:Q,10,FALSE)</f>
        <v>108.65462509082352</v>
      </c>
      <c r="AQ183" s="122">
        <f>IF(12*(AO183-Variables!$C$3*AP183*F183)*(G183/5)&lt;0,0,12*(AO183-Variables!$C$3*AP183*F183)*(G183/5))</f>
        <v>159978.81813085111</v>
      </c>
      <c r="AS183" s="22"/>
    </row>
    <row r="184" spans="1:45" ht="14.25" customHeight="1" x14ac:dyDescent="0.35">
      <c r="A184" s="30">
        <v>13</v>
      </c>
      <c r="B184" s="28" t="s">
        <v>166</v>
      </c>
      <c r="C184" s="28">
        <v>2023</v>
      </c>
      <c r="D184" s="196">
        <f>Population!H14</f>
        <v>8916676.262746226</v>
      </c>
      <c r="E184" s="303" t="str">
        <f t="shared" si="30"/>
        <v>Large</v>
      </c>
      <c r="F184" s="340">
        <f>VLOOKUP(A184,'Household Information'!$H$2:$M$49,6,FALSE)</f>
        <v>4.33</v>
      </c>
      <c r="G184" s="196">
        <f t="shared" si="25"/>
        <v>2059279</v>
      </c>
      <c r="H184" s="213">
        <f>Area!J14</f>
        <v>884.44869967450757</v>
      </c>
      <c r="I184" s="213"/>
      <c r="J184" s="32">
        <f>D184*Variables!$C$20</f>
        <v>8025.0086364716035</v>
      </c>
      <c r="K184" s="202">
        <f t="shared" si="33"/>
        <v>7839.2191427875368</v>
      </c>
      <c r="L184" s="32">
        <f t="shared" si="26"/>
        <v>185.78949368406666</v>
      </c>
      <c r="N184" s="117"/>
      <c r="O184" s="117"/>
      <c r="P184" s="117"/>
      <c r="Q184" s="117"/>
      <c r="R184" s="108"/>
      <c r="S184" s="198">
        <f>$L184*Variables!$C$21/100</f>
        <v>10.088117304112215</v>
      </c>
      <c r="T184" s="198">
        <f>$L184*Variables!$C$22/100</f>
        <v>17.654205282196379</v>
      </c>
      <c r="U184" s="198">
        <f>$L184*Variables!$C$23/100</f>
        <v>18.494881724205733</v>
      </c>
      <c r="V184" s="198">
        <f>$L184*Variables!$C$24/100</f>
        <v>134.50823072149623</v>
      </c>
      <c r="W184" s="22">
        <f>S184*Variables!$E$25*Variables!$C$15+'Cost Calculations'!T184*Variables!$E$26*Variables!$C$15+'Cost Calculations'!U184*Variables!$E$27*Variables!$C$15+V184*Variables!$E$28*Variables!$C$15</f>
        <v>124616767.1828973</v>
      </c>
      <c r="X184" s="20">
        <f>J184*Variables!$E$29*Variables!$C$15</f>
        <v>1371794.976318456</v>
      </c>
      <c r="Z184" s="33">
        <f>D184*(IF(D184&lt;50000,0,IF(D184&gt;Variables!$C$7,Variables!$C$37,IF(D184&gt;Variables!$C$6,Variables!$C$36,IF(D184&gt;Variables!$C$5,Variables!$C$35)))))</f>
        <v>4458.3381313731134</v>
      </c>
      <c r="AA184" s="34">
        <f t="shared" si="32"/>
        <v>4355</v>
      </c>
      <c r="AB184" s="35">
        <f t="shared" si="27"/>
        <v>103</v>
      </c>
      <c r="AC184" s="22">
        <f>AB184*Variables!$E$41</f>
        <v>38068800.000000007</v>
      </c>
      <c r="AD184" s="115">
        <f>ROUND(IF(D184&lt;50000,0,(H184/(3.14*Variables!$C$34^2))),0)</f>
        <v>1127</v>
      </c>
      <c r="AE184" s="116">
        <f t="shared" si="34"/>
        <v>1115</v>
      </c>
      <c r="AF184" s="117">
        <f t="shared" si="28"/>
        <v>12</v>
      </c>
      <c r="AG184" s="107">
        <f>AF184*Variables!$E$42*Variables!$C$15</f>
        <v>8130.5280000000002</v>
      </c>
      <c r="AH184" s="199">
        <f>ROUND((Z184)/Variables!$C$40,0)</f>
        <v>36</v>
      </c>
      <c r="AI184" s="33">
        <f t="shared" si="35"/>
        <v>35</v>
      </c>
      <c r="AJ184" s="199">
        <f t="shared" si="31"/>
        <v>1</v>
      </c>
      <c r="AK184" s="22">
        <f>AJ184*Variables!$E$43*Variables!$C$15</f>
        <v>552717.39600000007</v>
      </c>
      <c r="AL184" s="20">
        <f>Z184*Variables!$E$38*Variables!$C$15</f>
        <v>790367545.12614131</v>
      </c>
      <c r="AM184" s="98"/>
      <c r="AN184" s="200">
        <f t="shared" si="36"/>
        <v>0.28000000000000003</v>
      </c>
      <c r="AO184" s="201">
        <f t="shared" si="29"/>
        <v>72.744</v>
      </c>
      <c r="AP184" s="321">
        <f>VLOOKUP(A184,'Household Information'!H:Q,10,FALSE)</f>
        <v>139.85863940426606</v>
      </c>
      <c r="AQ184" s="122">
        <f>IF(12*(AO184-Variables!$C$3*AP184*F184)*(G184/5)&lt;0,0,12*(AO184-Variables!$C$3*AP184*F184)*(G184/5))</f>
        <v>0</v>
      </c>
      <c r="AS184" s="22"/>
    </row>
    <row r="185" spans="1:45" ht="14.25" customHeight="1" x14ac:dyDescent="0.35">
      <c r="A185" s="30">
        <v>14</v>
      </c>
      <c r="B185" s="28" t="s">
        <v>167</v>
      </c>
      <c r="C185" s="28">
        <v>2023</v>
      </c>
      <c r="D185" s="196">
        <f>Population!H15</f>
        <v>355304.60557263903</v>
      </c>
      <c r="E185" s="303" t="str">
        <f t="shared" si="30"/>
        <v>Medium</v>
      </c>
      <c r="F185" s="340">
        <f>VLOOKUP(A185,'Household Information'!$H$2:$M$49,6,FALSE)</f>
        <v>4.6437746693442286</v>
      </c>
      <c r="G185" s="196">
        <f t="shared" si="25"/>
        <v>76512</v>
      </c>
      <c r="H185" s="213">
        <f>Area!J15</f>
        <v>42.852868848730594</v>
      </c>
      <c r="I185" s="213"/>
      <c r="J185" s="32">
        <f>D185*Variables!$C$20</f>
        <v>319.7741450153751</v>
      </c>
      <c r="K185" s="202">
        <f t="shared" si="33"/>
        <v>312.37095341933679</v>
      </c>
      <c r="L185" s="32">
        <f t="shared" si="26"/>
        <v>7.4031915960383117</v>
      </c>
      <c r="N185" s="117"/>
      <c r="O185" s="117"/>
      <c r="P185" s="117"/>
      <c r="Q185" s="117"/>
      <c r="R185" s="108"/>
      <c r="S185" s="198">
        <f>$L185*Variables!$C$21/100</f>
        <v>0.4019832540835282</v>
      </c>
      <c r="T185" s="198">
        <f>$L185*Variables!$C$22/100</f>
        <v>0.70347069464617451</v>
      </c>
      <c r="U185" s="198">
        <f>$L185*Variables!$C$23/100</f>
        <v>0.73696929915313503</v>
      </c>
      <c r="V185" s="198">
        <f>$L185*Variables!$C$24/100</f>
        <v>5.3597767211137102</v>
      </c>
      <c r="W185" s="22">
        <f>S185*Variables!$E$25*Variables!$C$15+'Cost Calculations'!T185*Variables!$E$26*Variables!$C$15+'Cost Calculations'!U185*Variables!$E$27*Variables!$C$15+V185*Variables!$E$28*Variables!$C$15</f>
        <v>4965629.569466915</v>
      </c>
      <c r="X185" s="20">
        <f>J185*Variables!$E$29*Variables!$C$15</f>
        <v>54662.192348928227</v>
      </c>
      <c r="Z185" s="33">
        <f>D185*(IF(D185&lt;50000,0,IF(D185&gt;Variables!$C$7,Variables!$C$37,IF(D185&gt;Variables!$C$6,Variables!$C$36,IF(D185&gt;Variables!$C$5,Variables!$C$35)))))</f>
        <v>177.65230278631952</v>
      </c>
      <c r="AA185" s="34">
        <f t="shared" si="32"/>
        <v>174</v>
      </c>
      <c r="AB185" s="35">
        <f t="shared" si="27"/>
        <v>4</v>
      </c>
      <c r="AC185" s="22">
        <f>AB185*Variables!$E$41</f>
        <v>1478400.0000000002</v>
      </c>
      <c r="AD185" s="115">
        <f>ROUND(IF(D185&lt;50000,0,(H185/(3.14*Variables!$C$34^2))),0)</f>
        <v>55</v>
      </c>
      <c r="AE185" s="116">
        <f t="shared" si="34"/>
        <v>54</v>
      </c>
      <c r="AF185" s="117">
        <f t="shared" si="28"/>
        <v>1</v>
      </c>
      <c r="AG185" s="107">
        <f>AF185*Variables!$E$42*Variables!$C$15</f>
        <v>677.54399999999998</v>
      </c>
      <c r="AH185" s="199">
        <f>ROUND((Z185)/Variables!$C$40,0)</f>
        <v>1</v>
      </c>
      <c r="AI185" s="33">
        <f t="shared" si="35"/>
        <v>1</v>
      </c>
      <c r="AJ185" s="199">
        <f t="shared" si="31"/>
        <v>0</v>
      </c>
      <c r="AK185" s="22">
        <f>AJ185*Variables!$E$43*Variables!$C$15</f>
        <v>0</v>
      </c>
      <c r="AL185" s="20">
        <f>Z185*Variables!$E$38*Variables!$C$15</f>
        <v>31493935.700203292</v>
      </c>
      <c r="AM185" s="98"/>
      <c r="AN185" s="200">
        <f t="shared" si="36"/>
        <v>0.21</v>
      </c>
      <c r="AO185" s="201">
        <f t="shared" si="29"/>
        <v>58.511560833737278</v>
      </c>
      <c r="AP185" s="321">
        <f>VLOOKUP(A185,'Household Information'!H:Q,10,FALSE)</f>
        <v>108.65462509082352</v>
      </c>
      <c r="AQ185" s="122">
        <f>IF(12*(AO185-Variables!$C$3*AP185*F185)*(G185/5)&lt;0,0,12*(AO185-Variables!$C$3*AP185*F185)*(G185/5))</f>
        <v>0</v>
      </c>
      <c r="AS185" s="22"/>
    </row>
    <row r="186" spans="1:45" ht="14.25" customHeight="1" x14ac:dyDescent="0.35">
      <c r="A186" s="30">
        <v>15</v>
      </c>
      <c r="B186" s="28" t="s">
        <v>168</v>
      </c>
      <c r="C186" s="28">
        <v>2023</v>
      </c>
      <c r="D186" s="196">
        <f>Population!H16</f>
        <v>78798.220216431728</v>
      </c>
      <c r="E186" s="303" t="str">
        <f t="shared" si="30"/>
        <v>Small</v>
      </c>
      <c r="F186" s="340">
        <f>VLOOKUP(A186,'Household Information'!$H$2:$M$49,6,FALSE)</f>
        <v>4.4181210545859635</v>
      </c>
      <c r="G186" s="196">
        <f t="shared" si="25"/>
        <v>17835</v>
      </c>
      <c r="H186" s="213">
        <f>Area!J16</f>
        <v>238.54763659126692</v>
      </c>
      <c r="I186" s="213"/>
      <c r="J186" s="32">
        <f>D186*Variables!$C$20</f>
        <v>70.918398194788551</v>
      </c>
      <c r="K186" s="202">
        <f t="shared" si="33"/>
        <v>69.276544099627372</v>
      </c>
      <c r="L186" s="32">
        <f t="shared" si="26"/>
        <v>1.6418540951611789</v>
      </c>
      <c r="N186" s="117"/>
      <c r="O186" s="117"/>
      <c r="P186" s="117"/>
      <c r="Q186" s="117"/>
      <c r="R186" s="108"/>
      <c r="S186" s="198">
        <f>$L186*Variables!$C$21/100</f>
        <v>8.9150448606036839E-2</v>
      </c>
      <c r="T186" s="198">
        <f>$L186*Variables!$C$22/100</f>
        <v>0.1560132850605645</v>
      </c>
      <c r="U186" s="198">
        <f>$L186*Variables!$C$23/100</f>
        <v>0.16344248911106757</v>
      </c>
      <c r="V186" s="198">
        <f>$L186*Variables!$C$24/100</f>
        <v>1.1886726480804914</v>
      </c>
      <c r="W186" s="22">
        <f>S186*Variables!$E$25*Variables!$C$15+'Cost Calculations'!T186*Variables!$E$26*Variables!$C$15+'Cost Calculations'!U186*Variables!$E$27*Variables!$C$15+V186*Variables!$E$28*Variables!$C$15</f>
        <v>1101260.0630308613</v>
      </c>
      <c r="X186" s="20">
        <f>J186*Variables!$E$29*Variables!$C$15</f>
        <v>12122.790987417155</v>
      </c>
      <c r="Z186" s="33">
        <f>D186*(IF(D186&lt;50000,0,IF(D186&gt;Variables!$C$7,Variables!$C$37,IF(D186&gt;Variables!$C$6,Variables!$C$36,IF(D186&gt;Variables!$C$5,Variables!$C$35)))))</f>
        <v>39.399110108215865</v>
      </c>
      <c r="AA186" s="34">
        <f t="shared" si="32"/>
        <v>38</v>
      </c>
      <c r="AB186" s="35">
        <f t="shared" si="27"/>
        <v>1</v>
      </c>
      <c r="AC186" s="22">
        <f>AB186*Variables!$E$41</f>
        <v>369600.00000000006</v>
      </c>
      <c r="AD186" s="115">
        <f>ROUND(IF(D186&lt;50000,0,(H186/(3.14*Variables!$C$34^2))),0)</f>
        <v>304</v>
      </c>
      <c r="AE186" s="116">
        <f t="shared" si="34"/>
        <v>300</v>
      </c>
      <c r="AF186" s="117">
        <f t="shared" si="28"/>
        <v>4</v>
      </c>
      <c r="AG186" s="107">
        <f>AF186*Variables!$E$42*Variables!$C$15</f>
        <v>2710.1759999999999</v>
      </c>
      <c r="AH186" s="199">
        <f>ROUND((Z186)/Variables!$C$40,0)</f>
        <v>0</v>
      </c>
      <c r="AI186" s="33">
        <f t="shared" si="35"/>
        <v>0</v>
      </c>
      <c r="AJ186" s="199">
        <f t="shared" si="31"/>
        <v>0</v>
      </c>
      <c r="AK186" s="22">
        <f>AJ186*Variables!$E$43*Variables!$C$15</f>
        <v>0</v>
      </c>
      <c r="AL186" s="20">
        <f>Z186*Variables!$E$38*Variables!$C$15</f>
        <v>6984615.5717207678</v>
      </c>
      <c r="AM186" s="98"/>
      <c r="AN186" s="200">
        <f t="shared" si="36"/>
        <v>0.28000000000000003</v>
      </c>
      <c r="AO186" s="201">
        <f t="shared" si="29"/>
        <v>74.224433717044192</v>
      </c>
      <c r="AP186" s="321">
        <f>VLOOKUP(A186,'Household Information'!H:Q,10,FALSE)</f>
        <v>119.4497033951786</v>
      </c>
      <c r="AQ186" s="122">
        <f>IF(12*(AO186-Variables!$C$3*AP186*F186)*(G186/5)&lt;0,0,12*(AO186-Variables!$C$3*AP186*F186)*(G186/5))</f>
        <v>0</v>
      </c>
      <c r="AS186" s="22"/>
    </row>
    <row r="187" spans="1:45" ht="14.25" customHeight="1" x14ac:dyDescent="0.35">
      <c r="A187" s="30">
        <v>16</v>
      </c>
      <c r="B187" s="28" t="s">
        <v>169</v>
      </c>
      <c r="C187" s="28">
        <v>2023</v>
      </c>
      <c r="D187" s="196">
        <f>Population!H17</f>
        <v>4034833.1297553591</v>
      </c>
      <c r="E187" s="303" t="str">
        <f t="shared" si="30"/>
        <v>Large</v>
      </c>
      <c r="F187" s="340">
        <f>VLOOKUP(A187,'Household Information'!$H$2:$M$49,6,FALSE)</f>
        <v>5.0811133147736394</v>
      </c>
      <c r="G187" s="196">
        <f t="shared" si="25"/>
        <v>794084</v>
      </c>
      <c r="H187" s="213">
        <f>Area!J17</f>
        <v>387.1142580438156</v>
      </c>
      <c r="I187" s="213"/>
      <c r="J187" s="32">
        <f>D187*Variables!$C$20</f>
        <v>3631.349816779823</v>
      </c>
      <c r="K187" s="202">
        <f t="shared" si="33"/>
        <v>3547.2792974307145</v>
      </c>
      <c r="L187" s="32">
        <f t="shared" si="26"/>
        <v>84.070519349108508</v>
      </c>
      <c r="N187" s="117"/>
      <c r="O187" s="117"/>
      <c r="P187" s="117"/>
      <c r="Q187" s="117"/>
      <c r="R187" s="108"/>
      <c r="S187" s="198">
        <f>$L187*Variables!$C$21/100</f>
        <v>4.5649150777796468</v>
      </c>
      <c r="T187" s="198">
        <f>$L187*Variables!$C$22/100</f>
        <v>7.9886013861143832</v>
      </c>
      <c r="U187" s="198">
        <f>$L187*Variables!$C$23/100</f>
        <v>8.3690109759293527</v>
      </c>
      <c r="V187" s="198">
        <f>$L187*Variables!$C$24/100</f>
        <v>60.865534370395295</v>
      </c>
      <c r="W187" s="22">
        <f>S187*Variables!$E$25*Variables!$C$15+'Cost Calculations'!T187*Variables!$E$26*Variables!$C$15+'Cost Calculations'!U187*Variables!$E$27*Variables!$C$15+V187*Variables!$E$28*Variables!$C$15</f>
        <v>56389605.940196335</v>
      </c>
      <c r="X187" s="20">
        <f>J187*Variables!$E$29*Variables!$C$15</f>
        <v>620742.93768034293</v>
      </c>
      <c r="Z187" s="33">
        <f>D187*(IF(D187&lt;50000,0,IF(D187&gt;Variables!$C$7,Variables!$C$37,IF(D187&gt;Variables!$C$6,Variables!$C$36,IF(D187&gt;Variables!$C$5,Variables!$C$35)))))</f>
        <v>2017.4165648776795</v>
      </c>
      <c r="AA187" s="34">
        <f t="shared" si="32"/>
        <v>3249</v>
      </c>
      <c r="AB187" s="35">
        <f t="shared" si="27"/>
        <v>0</v>
      </c>
      <c r="AC187" s="22">
        <f>AB187*Variables!$E$41</f>
        <v>0</v>
      </c>
      <c r="AD187" s="115">
        <f>ROUND(IF(D187&lt;50000,0,(H187/(3.14*Variables!$C$34^2))),0)</f>
        <v>493</v>
      </c>
      <c r="AE187" s="116">
        <f t="shared" si="34"/>
        <v>566</v>
      </c>
      <c r="AF187" s="117">
        <f t="shared" si="28"/>
        <v>0</v>
      </c>
      <c r="AG187" s="107">
        <f>AF187*Variables!$E$42*Variables!$C$15</f>
        <v>0</v>
      </c>
      <c r="AH187" s="199">
        <f>ROUND((Z187)/Variables!$C$40,0)</f>
        <v>16</v>
      </c>
      <c r="AI187" s="33">
        <f t="shared" si="35"/>
        <v>16</v>
      </c>
      <c r="AJ187" s="199">
        <f t="shared" si="31"/>
        <v>0</v>
      </c>
      <c r="AK187" s="22">
        <f>AJ187*Variables!$E$43*Variables!$C$15</f>
        <v>0</v>
      </c>
      <c r="AL187" s="20">
        <f>Z187*Variables!$E$38*Variables!$C$15</f>
        <v>357644604.53521007</v>
      </c>
      <c r="AM187" s="98"/>
      <c r="AN187" s="200">
        <f t="shared" si="36"/>
        <v>0.21</v>
      </c>
      <c r="AO187" s="201">
        <f t="shared" si="29"/>
        <v>64.022027766147858</v>
      </c>
      <c r="AP187" s="321">
        <f>VLOOKUP(A187,'Household Information'!H:Q,10,FALSE)</f>
        <v>125.45752871387103</v>
      </c>
      <c r="AQ187" s="122">
        <f>IF(12*(AO187-Variables!$C$3*AP187*F187)*(G187/5)&lt;0,0,12*(AO187-Variables!$C$3*AP187*F187)*(G187/5))</f>
        <v>0</v>
      </c>
      <c r="AS187" s="22"/>
    </row>
    <row r="188" spans="1:45" ht="14.25" customHeight="1" x14ac:dyDescent="0.35">
      <c r="A188" s="30">
        <v>17</v>
      </c>
      <c r="B188" s="28" t="s">
        <v>170</v>
      </c>
      <c r="C188" s="28">
        <v>2023</v>
      </c>
      <c r="D188" s="196">
        <f>Population!H18</f>
        <v>14848.345076923848</v>
      </c>
      <c r="E188" s="303" t="str">
        <f t="shared" si="30"/>
        <v>Small</v>
      </c>
      <c r="F188" s="340">
        <f>VLOOKUP(A188,'Household Information'!$H$2:$M$49,6,FALSE)</f>
        <v>4.9910952804986639</v>
      </c>
      <c r="G188" s="196">
        <f t="shared" si="25"/>
        <v>2975</v>
      </c>
      <c r="H188" s="213">
        <f>Area!J18</f>
        <v>2.7614224263943949</v>
      </c>
      <c r="I188" s="213"/>
      <c r="J188" s="32">
        <f>D188*Variables!$C$20</f>
        <v>13.363510569231464</v>
      </c>
      <c r="K188" s="202">
        <f t="shared" si="33"/>
        <v>13.054127741751939</v>
      </c>
      <c r="L188" s="32">
        <f t="shared" si="26"/>
        <v>0.30938282747952428</v>
      </c>
      <c r="N188" s="117"/>
      <c r="O188" s="117"/>
      <c r="P188" s="117"/>
      <c r="Q188" s="117"/>
      <c r="R188" s="108"/>
      <c r="S188" s="198">
        <f>$L188*Variables!$C$21/100</f>
        <v>1.6799067555449281E-2</v>
      </c>
      <c r="T188" s="198">
        <f>$L188*Variables!$C$22/100</f>
        <v>2.9398368222036245E-2</v>
      </c>
      <c r="U188" s="198">
        <f>$L188*Variables!$C$23/100</f>
        <v>3.0798290518323682E-2</v>
      </c>
      <c r="V188" s="198">
        <f>$L188*Variables!$C$24/100</f>
        <v>0.22398756740599043</v>
      </c>
      <c r="W188" s="22">
        <f>S188*Variables!$E$25*Variables!$C$15+'Cost Calculations'!T188*Variables!$E$26*Variables!$C$15+'Cost Calculations'!U188*Variables!$E$27*Variables!$C$15+V188*Variables!$E$28*Variables!$C$15</f>
        <v>207515.97422383618</v>
      </c>
      <c r="X188" s="20">
        <f>J188*Variables!$E$29*Variables!$C$15</f>
        <v>2284.3584967044262</v>
      </c>
      <c r="Z188" s="33">
        <f>D188*(IF(D188&lt;50000,0,IF(D188&gt;Variables!$C$7,Variables!$C$37,IF(D188&gt;Variables!$C$6,Variables!$C$36,IF(D188&gt;Variables!$C$5,Variables!$C$35)))))</f>
        <v>0</v>
      </c>
      <c r="AA188" s="34">
        <f t="shared" si="32"/>
        <v>0</v>
      </c>
      <c r="AB188" s="35">
        <f t="shared" si="27"/>
        <v>0</v>
      </c>
      <c r="AC188" s="22">
        <f>AB188*Variables!$E$41</f>
        <v>0</v>
      </c>
      <c r="AD188" s="115">
        <f>ROUND(IF(D188&lt;50000,0,(H188/(3.14*Variables!$C$34^2))),0)</f>
        <v>0</v>
      </c>
      <c r="AE188" s="116">
        <f t="shared" si="34"/>
        <v>0</v>
      </c>
      <c r="AF188" s="117">
        <f t="shared" si="28"/>
        <v>0</v>
      </c>
      <c r="AG188" s="107">
        <f>AF188*Variables!$E$42*Variables!$C$15</f>
        <v>0</v>
      </c>
      <c r="AH188" s="199">
        <f>ROUND((Z188)/Variables!$C$40,0)</f>
        <v>0</v>
      </c>
      <c r="AI188" s="33">
        <f t="shared" si="35"/>
        <v>0</v>
      </c>
      <c r="AJ188" s="199">
        <f t="shared" si="31"/>
        <v>0</v>
      </c>
      <c r="AK188" s="22">
        <f>AJ188*Variables!$E$43*Variables!$C$15</f>
        <v>0</v>
      </c>
      <c r="AL188" s="20">
        <f>Z188*Variables!$E$38*Variables!$C$15</f>
        <v>0</v>
      </c>
      <c r="AM188" s="98"/>
      <c r="AN188" s="200">
        <f t="shared" si="36"/>
        <v>0.25221875000000005</v>
      </c>
      <c r="AO188" s="201">
        <f t="shared" si="29"/>
        <v>75.530868766696358</v>
      </c>
      <c r="AP188" s="321">
        <f>VLOOKUP(A188,'Household Information'!H:Q,10,FALSE)</f>
        <v>108.65462509082352</v>
      </c>
      <c r="AQ188" s="122">
        <f>IF(12*(AO188-Variables!$C$3*AP188*F188)*(G188/5)&lt;0,0,12*(AO188-Variables!$C$3*AP188*F188)*(G188/5))</f>
        <v>0</v>
      </c>
      <c r="AS188" s="22"/>
    </row>
    <row r="189" spans="1:45" ht="14.25" customHeight="1" x14ac:dyDescent="0.35">
      <c r="A189" s="30">
        <v>18</v>
      </c>
      <c r="B189" s="28" t="s">
        <v>171</v>
      </c>
      <c r="C189" s="28">
        <v>2023</v>
      </c>
      <c r="D189" s="196">
        <f>Population!H19</f>
        <v>131183.3405953132</v>
      </c>
      <c r="E189" s="303" t="str">
        <f t="shared" si="30"/>
        <v>Medium</v>
      </c>
      <c r="F189" s="340">
        <f>VLOOKUP(A189,'Household Information'!$H$2:$M$49,6,FALSE)</f>
        <v>4.4388221584797423</v>
      </c>
      <c r="G189" s="196">
        <f t="shared" si="25"/>
        <v>29554</v>
      </c>
      <c r="H189" s="213">
        <f>Area!J19</f>
        <v>28.568579232487064</v>
      </c>
      <c r="I189" s="213"/>
      <c r="J189" s="32">
        <f>D189*Variables!$C$20</f>
        <v>118.06500653578188</v>
      </c>
      <c r="K189" s="202">
        <f t="shared" si="33"/>
        <v>115.33164651341393</v>
      </c>
      <c r="L189" s="32">
        <f t="shared" si="26"/>
        <v>2.7333600223679468</v>
      </c>
      <c r="N189" s="117"/>
      <c r="O189" s="117"/>
      <c r="P189" s="117"/>
      <c r="Q189" s="117"/>
      <c r="R189" s="108"/>
      <c r="S189" s="198">
        <f>$L189*Variables!$C$21/100</f>
        <v>0.14841773877111022</v>
      </c>
      <c r="T189" s="198">
        <f>$L189*Variables!$C$22/100</f>
        <v>0.25973104284944293</v>
      </c>
      <c r="U189" s="198">
        <f>$L189*Variables!$C$23/100</f>
        <v>0.2720991877470354</v>
      </c>
      <c r="V189" s="198">
        <f>$L189*Variables!$C$24/100</f>
        <v>1.978903183614803</v>
      </c>
      <c r="W189" s="22">
        <f>S189*Variables!$E$25*Variables!$C$15+'Cost Calculations'!T189*Variables!$E$26*Variables!$C$15+'Cost Calculations'!U189*Variables!$E$27*Variables!$C$15+V189*Variables!$E$28*Variables!$C$15</f>
        <v>1833378.6414946085</v>
      </c>
      <c r="X189" s="20">
        <f>J189*Variables!$E$29*Variables!$C$15</f>
        <v>20182.032217226551</v>
      </c>
      <c r="Z189" s="33">
        <f>D189*(IF(D189&lt;50000,0,IF(D189&gt;Variables!$C$7,Variables!$C$37,IF(D189&gt;Variables!$C$6,Variables!$C$36,IF(D189&gt;Variables!$C$5,Variables!$C$35)))))</f>
        <v>65.591670297656606</v>
      </c>
      <c r="AA189" s="34">
        <f t="shared" si="32"/>
        <v>94</v>
      </c>
      <c r="AB189" s="35">
        <f t="shared" si="27"/>
        <v>0</v>
      </c>
      <c r="AC189" s="22">
        <f>AB189*Variables!$E$41</f>
        <v>0</v>
      </c>
      <c r="AD189" s="115">
        <f>ROUND(IF(D189&lt;50000,0,(H189/(3.14*Variables!$C$34^2))),0)</f>
        <v>36</v>
      </c>
      <c r="AE189" s="116">
        <f t="shared" si="34"/>
        <v>36</v>
      </c>
      <c r="AF189" s="117">
        <f t="shared" si="28"/>
        <v>0</v>
      </c>
      <c r="AG189" s="107">
        <f>AF189*Variables!$E$42*Variables!$C$15</f>
        <v>0</v>
      </c>
      <c r="AH189" s="199">
        <f>ROUND((Z189)/Variables!$C$40,0)</f>
        <v>1</v>
      </c>
      <c r="AI189" s="33">
        <f t="shared" si="35"/>
        <v>1</v>
      </c>
      <c r="AJ189" s="199">
        <f t="shared" si="31"/>
        <v>0</v>
      </c>
      <c r="AK189" s="22">
        <f>AJ189*Variables!$E$43*Variables!$C$15</f>
        <v>0</v>
      </c>
      <c r="AL189" s="20">
        <f>Z189*Variables!$E$38*Variables!$C$15</f>
        <v>11627993.639395751</v>
      </c>
      <c r="AM189" s="98"/>
      <c r="AN189" s="200">
        <f t="shared" si="36"/>
        <v>0.25221875000000005</v>
      </c>
      <c r="AO189" s="201">
        <f t="shared" si="29"/>
        <v>67.17325057704376</v>
      </c>
      <c r="AP189" s="321">
        <f>VLOOKUP(A189,'Household Information'!H:Q,10,FALSE)</f>
        <v>98.76688123185663</v>
      </c>
      <c r="AQ189" s="122">
        <f>IF(12*(AO189-Variables!$C$3*AP189*F189)*(G189/5)&lt;0,0,12*(AO189-Variables!$C$3*AP189*F189)*(G189/5))</f>
        <v>100149.5761992085</v>
      </c>
      <c r="AS189" s="22"/>
    </row>
    <row r="190" spans="1:45" ht="14.25" customHeight="1" x14ac:dyDescent="0.35">
      <c r="A190" s="30">
        <v>19</v>
      </c>
      <c r="B190" s="28" t="s">
        <v>172</v>
      </c>
      <c r="C190" s="28">
        <v>2023</v>
      </c>
      <c r="D190" s="196">
        <f>Population!H20</f>
        <v>5956152.0265239077</v>
      </c>
      <c r="E190" s="303" t="str">
        <f t="shared" si="30"/>
        <v>Large</v>
      </c>
      <c r="F190" s="340">
        <f>VLOOKUP(A190,'Household Information'!$H$2:$M$49,6,FALSE)</f>
        <v>4.3873267195354213</v>
      </c>
      <c r="G190" s="196">
        <f t="shared" si="25"/>
        <v>1357581</v>
      </c>
      <c r="H190" s="213">
        <f>Area!J20</f>
        <v>1112.3925588028408</v>
      </c>
      <c r="I190" s="213"/>
      <c r="J190" s="32">
        <f>D190*Variables!$C$20</f>
        <v>5360.5368238715164</v>
      </c>
      <c r="K190" s="202">
        <f t="shared" si="33"/>
        <v>5236.4333533960298</v>
      </c>
      <c r="L190" s="32">
        <f t="shared" si="26"/>
        <v>124.10347047548657</v>
      </c>
      <c r="N190" s="117"/>
      <c r="O190" s="117"/>
      <c r="P190" s="117"/>
      <c r="Q190" s="117"/>
      <c r="R190" s="108"/>
      <c r="S190" s="198">
        <f>$L190*Variables!$C$21/100</f>
        <v>6.7386499805694067</v>
      </c>
      <c r="T190" s="198">
        <f>$L190*Variables!$C$22/100</f>
        <v>11.79263746599646</v>
      </c>
      <c r="U190" s="198">
        <f>$L190*Variables!$C$23/100</f>
        <v>12.354191631043911</v>
      </c>
      <c r="V190" s="198">
        <f>$L190*Variables!$C$24/100</f>
        <v>89.848666407592077</v>
      </c>
      <c r="W190" s="22">
        <f>S190*Variables!$E$25*Variables!$C$15+'Cost Calculations'!T190*Variables!$E$26*Variables!$C$15+'Cost Calculations'!U190*Variables!$E$27*Variables!$C$15+V190*Variables!$E$28*Variables!$C$15</f>
        <v>83241377.002361625</v>
      </c>
      <c r="X190" s="20">
        <f>J190*Variables!$E$29*Variables!$C$15</f>
        <v>916330.16467259708</v>
      </c>
      <c r="Z190" s="33">
        <f>D190*(IF(D190&lt;50000,0,IF(D190&gt;Variables!$C$7,Variables!$C$37,IF(D190&gt;Variables!$C$6,Variables!$C$36,IF(D190&gt;Variables!$C$5,Variables!$C$35)))))</f>
        <v>2978.0760132619539</v>
      </c>
      <c r="AA190" s="34">
        <f t="shared" si="32"/>
        <v>5267</v>
      </c>
      <c r="AB190" s="35">
        <f t="shared" si="27"/>
        <v>0</v>
      </c>
      <c r="AC190" s="22">
        <f>AB190*Variables!$E$41</f>
        <v>0</v>
      </c>
      <c r="AD190" s="115">
        <f>ROUND(IF(D190&lt;50000,0,(H190/(3.14*Variables!$C$34^2))),0)</f>
        <v>1417</v>
      </c>
      <c r="AE190" s="116">
        <f t="shared" si="34"/>
        <v>1469</v>
      </c>
      <c r="AF190" s="117">
        <f t="shared" si="28"/>
        <v>0</v>
      </c>
      <c r="AG190" s="107">
        <f>AF190*Variables!$E$42*Variables!$C$15</f>
        <v>0</v>
      </c>
      <c r="AH190" s="199">
        <f>ROUND((Z190)/Variables!$C$40,0)</f>
        <v>24</v>
      </c>
      <c r="AI190" s="33">
        <f t="shared" si="35"/>
        <v>23</v>
      </c>
      <c r="AJ190" s="199">
        <f t="shared" si="31"/>
        <v>1</v>
      </c>
      <c r="AK190" s="22">
        <f>AJ190*Variables!$E$43*Variables!$C$15</f>
        <v>552717.39600000007</v>
      </c>
      <c r="AL190" s="20">
        <f>Z190*Variables!$E$38*Variables!$C$15</f>
        <v>527948881.04998058</v>
      </c>
      <c r="AM190" s="98"/>
      <c r="AN190" s="200">
        <f t="shared" si="36"/>
        <v>0.14000000000000001</v>
      </c>
      <c r="AO190" s="201">
        <f t="shared" si="29"/>
        <v>36.853544444097544</v>
      </c>
      <c r="AP190" s="321">
        <f>VLOOKUP(A190,'Household Information'!H:Q,10,FALSE)</f>
        <v>155.49665530733307</v>
      </c>
      <c r="AQ190" s="122">
        <f>IF(12*(AO190-Variables!$C$3*AP190*F190)*(G190/5)&lt;0,0,12*(AO190-Variables!$C$3*AP190*F190)*(G190/5))</f>
        <v>0</v>
      </c>
      <c r="AS190" s="22"/>
    </row>
    <row r="191" spans="1:45" ht="14.25" customHeight="1" x14ac:dyDescent="0.35">
      <c r="A191" s="30">
        <v>20</v>
      </c>
      <c r="B191" s="28" t="s">
        <v>173</v>
      </c>
      <c r="C191" s="28">
        <v>2023</v>
      </c>
      <c r="D191" s="196">
        <f>Population!H21</f>
        <v>3731431.5038293982</v>
      </c>
      <c r="E191" s="303" t="str">
        <f t="shared" si="30"/>
        <v>Large</v>
      </c>
      <c r="F191" s="340">
        <f>VLOOKUP(A191,'Household Information'!$H$2:$M$49,6,FALSE)</f>
        <v>5.2348048588773741</v>
      </c>
      <c r="G191" s="196">
        <f t="shared" si="25"/>
        <v>712812</v>
      </c>
      <c r="H191" s="213">
        <f>Area!J21</f>
        <v>481.38056006740692</v>
      </c>
      <c r="I191" s="213"/>
      <c r="J191" s="32">
        <f>D191*Variables!$C$20</f>
        <v>3358.2883534464581</v>
      </c>
      <c r="K191" s="202">
        <f t="shared" si="33"/>
        <v>3280.5395657384561</v>
      </c>
      <c r="L191" s="32">
        <f t="shared" si="26"/>
        <v>77.748787708002055</v>
      </c>
      <c r="N191" s="117"/>
      <c r="O191" s="117"/>
      <c r="P191" s="117"/>
      <c r="Q191" s="117"/>
      <c r="R191" s="108"/>
      <c r="S191" s="198">
        <f>$L191*Variables!$C$21/100</f>
        <v>4.2216536312037309</v>
      </c>
      <c r="T191" s="198">
        <f>$L191*Variables!$C$22/100</f>
        <v>7.3878938546065296</v>
      </c>
      <c r="U191" s="198">
        <f>$L191*Variables!$C$23/100</f>
        <v>7.7396983238735082</v>
      </c>
      <c r="V191" s="198">
        <f>$L191*Variables!$C$24/100</f>
        <v>56.288715082716415</v>
      </c>
      <c r="W191" s="22">
        <f>S191*Variables!$E$25*Variables!$C$15+'Cost Calculations'!T191*Variables!$E$26*Variables!$C$15+'Cost Calculations'!U191*Variables!$E$27*Variables!$C$15+V191*Variables!$E$28*Variables!$C$15</f>
        <v>52149356.696328148</v>
      </c>
      <c r="X191" s="20">
        <f>J191*Variables!$E$29*Variables!$C$15</f>
        <v>574065.81113813759</v>
      </c>
      <c r="Z191" s="33">
        <f>D191*(IF(D191&lt;50000,0,IF(D191&gt;Variables!$C$7,Variables!$C$37,IF(D191&gt;Variables!$C$6,Variables!$C$36,IF(D191&gt;Variables!$C$5,Variables!$C$35)))))</f>
        <v>1865.7157519146992</v>
      </c>
      <c r="AA191" s="34">
        <f t="shared" si="32"/>
        <v>3353</v>
      </c>
      <c r="AB191" s="35">
        <f t="shared" si="27"/>
        <v>0</v>
      </c>
      <c r="AC191" s="22">
        <f>AB191*Variables!$E$41</f>
        <v>0</v>
      </c>
      <c r="AD191" s="115">
        <f>ROUND(IF(D191&lt;50000,0,(H191/(3.14*Variables!$C$34^2))),0)</f>
        <v>613</v>
      </c>
      <c r="AE191" s="116">
        <f t="shared" si="34"/>
        <v>605</v>
      </c>
      <c r="AF191" s="117">
        <f t="shared" si="28"/>
        <v>8</v>
      </c>
      <c r="AG191" s="107">
        <f>AF191*Variables!$E$42*Variables!$C$15</f>
        <v>5420.3519999999999</v>
      </c>
      <c r="AH191" s="199">
        <f>ROUND((Z191)/Variables!$C$40,0)</f>
        <v>15</v>
      </c>
      <c r="AI191" s="33">
        <f t="shared" si="35"/>
        <v>15</v>
      </c>
      <c r="AJ191" s="199">
        <f t="shared" si="31"/>
        <v>0</v>
      </c>
      <c r="AK191" s="22">
        <f>AJ191*Variables!$E$43*Variables!$C$15</f>
        <v>0</v>
      </c>
      <c r="AL191" s="20">
        <f>Z191*Variables!$E$38*Variables!$C$15</f>
        <v>330751310.30715132</v>
      </c>
      <c r="AM191" s="98"/>
      <c r="AN191" s="200">
        <f t="shared" si="36"/>
        <v>0.56000000000000005</v>
      </c>
      <c r="AO191" s="201">
        <f t="shared" si="29"/>
        <v>175.88944325827978</v>
      </c>
      <c r="AP191" s="321">
        <f>VLOOKUP(A191,'Household Information'!H:Q,10,FALSE)</f>
        <v>92.944591695065014</v>
      </c>
      <c r="AQ191" s="122">
        <f>IF(12*(AO191-Variables!$C$3*AP191*F191)*(G191/5)&lt;0,0,12*(AO191-Variables!$C$3*AP191*F191)*(G191/5))</f>
        <v>176048750.79586941</v>
      </c>
      <c r="AS191" s="22"/>
    </row>
    <row r="192" spans="1:45" ht="14.25" customHeight="1" x14ac:dyDescent="0.35">
      <c r="A192" s="30">
        <v>21</v>
      </c>
      <c r="B192" s="30" t="s">
        <v>174</v>
      </c>
      <c r="C192" s="28">
        <v>2023</v>
      </c>
      <c r="D192" s="196">
        <f>Population!H22</f>
        <v>16480700.078483514</v>
      </c>
      <c r="E192" s="303" t="str">
        <f t="shared" si="30"/>
        <v>Large</v>
      </c>
      <c r="F192" s="340">
        <f>VLOOKUP(A192,'Household Information'!$H$2:$M$49,6,FALSE)</f>
        <v>4.4756737410071938</v>
      </c>
      <c r="G192" s="196">
        <f t="shared" si="25"/>
        <v>3682284</v>
      </c>
      <c r="H192" s="213">
        <f>Area!J22</f>
        <v>732.49499999999955</v>
      </c>
      <c r="I192" s="213"/>
      <c r="J192" s="32">
        <f>D192*Variables!$C$20</f>
        <v>14832.630070635163</v>
      </c>
      <c r="K192" s="202">
        <f t="shared" si="33"/>
        <v>14489.235196478616</v>
      </c>
      <c r="L192" s="32">
        <f t="shared" si="26"/>
        <v>343.3948741565473</v>
      </c>
      <c r="N192" s="117"/>
      <c r="O192" s="117"/>
      <c r="P192" s="117"/>
      <c r="Q192" s="117"/>
      <c r="R192" s="108"/>
      <c r="S192" s="198">
        <f>$L192*Variables!$C$21/100</f>
        <v>18.64587551981252</v>
      </c>
      <c r="T192" s="198">
        <f>$L192*Variables!$C$22/100</f>
        <v>32.630282159671914</v>
      </c>
      <c r="U192" s="198">
        <f>$L192*Variables!$C$23/100</f>
        <v>34.184105119656294</v>
      </c>
      <c r="V192" s="198">
        <f>$L192*Variables!$C$24/100</f>
        <v>248.6116735975003</v>
      </c>
      <c r="W192" s="22">
        <f>S192*Variables!$E$25*Variables!$C$15+'Cost Calculations'!T192*Variables!$E$26*Variables!$C$15+'Cost Calculations'!U192*Variables!$E$27*Variables!$C$15+V192*Variables!$E$28*Variables!$C$15</f>
        <v>230329273.39441195</v>
      </c>
      <c r="X192" s="20">
        <f>J192*Variables!$E$29*Variables!$C$15</f>
        <v>2535489.7842743746</v>
      </c>
      <c r="Z192" s="33">
        <f>D192*(IF(D192&lt;50000,0,IF(D192&gt;Variables!$C$7,Variables!$C$37,IF(D192&gt;Variables!$C$6,Variables!$C$36,IF(D192&gt;Variables!$C$5,Variables!$C$35)))))</f>
        <v>8240.3500392417573</v>
      </c>
      <c r="AA192" s="34">
        <f t="shared" si="32"/>
        <v>8050</v>
      </c>
      <c r="AB192" s="35">
        <f t="shared" si="27"/>
        <v>190</v>
      </c>
      <c r="AC192" s="22">
        <f>AB192*Variables!$E$41</f>
        <v>70224000.000000015</v>
      </c>
      <c r="AD192" s="115">
        <f>ROUND(IF(D192&lt;50000,0,(H192/(3.14*Variables!$C$34^2))),0)</f>
        <v>933</v>
      </c>
      <c r="AE192" s="116">
        <f t="shared" si="34"/>
        <v>1087</v>
      </c>
      <c r="AF192" s="117">
        <f t="shared" si="28"/>
        <v>0</v>
      </c>
      <c r="AG192" s="107">
        <f>AF192*Variables!$E$42*Variables!$C$15</f>
        <v>0</v>
      </c>
      <c r="AH192" s="199">
        <f>ROUND((Z192)/Variables!$C$40,0)</f>
        <v>66</v>
      </c>
      <c r="AI192" s="33">
        <f t="shared" si="35"/>
        <v>64</v>
      </c>
      <c r="AJ192" s="199">
        <f t="shared" si="31"/>
        <v>2</v>
      </c>
      <c r="AK192" s="22">
        <f>AJ192*Variables!$E$43*Variables!$C$15</f>
        <v>1105434.7920000001</v>
      </c>
      <c r="AL192" s="20">
        <f>Z192*Variables!$E$38*Variables!$C$15</f>
        <v>1460836984.4504628</v>
      </c>
      <c r="AM192" s="98"/>
      <c r="AN192" s="200">
        <f t="shared" si="36"/>
        <v>0.28000000000000003</v>
      </c>
      <c r="AO192" s="201">
        <f t="shared" si="29"/>
        <v>75.191318848920858</v>
      </c>
      <c r="AP192" s="321">
        <f>VLOOKUP(A192,'Household Information'!H:Q,10,FALSE)</f>
        <v>254.44907232109051</v>
      </c>
      <c r="AQ192" s="122">
        <f>IF(12*(AO192-Variables!$C$3*AP192*F192)*(G192/5)&lt;0,0,12*(AO192-Variables!$C$3*AP192*F192)*(G192/5))</f>
        <v>0</v>
      </c>
      <c r="AS192" s="22"/>
    </row>
    <row r="193" spans="1:45" ht="14.25" customHeight="1" x14ac:dyDescent="0.35">
      <c r="A193" s="30">
        <v>22</v>
      </c>
      <c r="B193" s="28" t="s">
        <v>175</v>
      </c>
      <c r="C193" s="28">
        <v>2023</v>
      </c>
      <c r="D193" s="196">
        <f>Population!H23</f>
        <v>14615957.217689155</v>
      </c>
      <c r="E193" s="303" t="str">
        <f t="shared" si="30"/>
        <v>Large</v>
      </c>
      <c r="F193" s="340">
        <f>VLOOKUP(A193,'Household Information'!$H$2:$M$49,6,FALSE)</f>
        <v>4.7768636363636361</v>
      </c>
      <c r="G193" s="196">
        <f t="shared" si="25"/>
        <v>3059739</v>
      </c>
      <c r="H193" s="213">
        <f>Area!J23</f>
        <v>1117.031447990244</v>
      </c>
      <c r="I193" s="213"/>
      <c r="J193" s="32">
        <f>D193*Variables!$C$20</f>
        <v>13154.361495920239</v>
      </c>
      <c r="K193" s="202">
        <f t="shared" si="33"/>
        <v>19972.544550000002</v>
      </c>
      <c r="L193" s="32">
        <f t="shared" si="26"/>
        <v>0</v>
      </c>
      <c r="N193" s="117"/>
      <c r="O193" s="117"/>
      <c r="P193" s="117"/>
      <c r="Q193" s="117"/>
      <c r="R193" s="108"/>
      <c r="S193" s="198">
        <f>$L193*Variables!$C$21/100</f>
        <v>0</v>
      </c>
      <c r="T193" s="198">
        <f>$L193*Variables!$C$22/100</f>
        <v>0</v>
      </c>
      <c r="U193" s="198">
        <f>$L193*Variables!$C$23/100</f>
        <v>0</v>
      </c>
      <c r="V193" s="198">
        <f>$L193*Variables!$C$24/100</f>
        <v>0</v>
      </c>
      <c r="W193" s="22">
        <f>S193*Variables!$E$25*Variables!$C$15+'Cost Calculations'!T193*Variables!$E$26*Variables!$C$15+'Cost Calculations'!U193*Variables!$E$27*Variables!$C$15+V193*Variables!$E$28*Variables!$C$15</f>
        <v>0</v>
      </c>
      <c r="X193" s="20">
        <f>J193*Variables!$E$29*Variables!$C$15</f>
        <v>2248606.5541126058</v>
      </c>
      <c r="Z193" s="33">
        <f>D193*(IF(D193&lt;50000,0,IF(D193&gt;Variables!$C$7,Variables!$C$37,IF(D193&gt;Variables!$C$6,Variables!$C$36,IF(D193&gt;Variables!$C$5,Variables!$C$35)))))</f>
        <v>7307.9786088445771</v>
      </c>
      <c r="AA193" s="34">
        <f t="shared" si="32"/>
        <v>7139</v>
      </c>
      <c r="AB193" s="35">
        <f t="shared" si="27"/>
        <v>169</v>
      </c>
      <c r="AC193" s="22">
        <f>AB193*Variables!$E$41</f>
        <v>62462400.000000007</v>
      </c>
      <c r="AD193" s="115">
        <f>ROUND(IF(D193&lt;50000,0,(H193/(3.14*Variables!$C$34^2))),0)</f>
        <v>1423</v>
      </c>
      <c r="AE193" s="116">
        <f t="shared" si="34"/>
        <v>1403</v>
      </c>
      <c r="AF193" s="117">
        <f t="shared" si="28"/>
        <v>20</v>
      </c>
      <c r="AG193" s="107">
        <f>AF193*Variables!$E$42*Variables!$C$15</f>
        <v>13550.880000000001</v>
      </c>
      <c r="AH193" s="199">
        <f>ROUND((Z193)/Variables!$C$40,0)</f>
        <v>58</v>
      </c>
      <c r="AI193" s="33">
        <f t="shared" si="35"/>
        <v>69</v>
      </c>
      <c r="AJ193" s="199">
        <f t="shared" si="31"/>
        <v>0</v>
      </c>
      <c r="AK193" s="22">
        <f>AJ193*Variables!$E$43*Variables!$C$15</f>
        <v>0</v>
      </c>
      <c r="AL193" s="20">
        <f>Z193*Variables!$E$38*Variables!$C$15</f>
        <v>1295547565.6414397</v>
      </c>
      <c r="AM193" s="98"/>
      <c r="AN193" s="200">
        <f t="shared" si="36"/>
        <v>0.42</v>
      </c>
      <c r="AO193" s="201">
        <f t="shared" si="29"/>
        <v>120.37696363636363</v>
      </c>
      <c r="AP193" s="321">
        <f>VLOOKUP(A193,'Household Information'!H:Q,10,FALSE)</f>
        <v>150.91303799066011</v>
      </c>
      <c r="AQ193" s="122">
        <f>IF(12*(AO193-Variables!$C$3*AP193*F193)*(G193/5)&lt;0,0,12*(AO193-Variables!$C$3*AP193*F193)*(G193/5))</f>
        <v>89907222.354802713</v>
      </c>
      <c r="AS193" s="22"/>
    </row>
    <row r="194" spans="1:45" ht="14.25" customHeight="1" x14ac:dyDescent="0.35">
      <c r="A194" s="30">
        <v>23</v>
      </c>
      <c r="B194" s="28" t="s">
        <v>176</v>
      </c>
      <c r="C194" s="28">
        <v>2023</v>
      </c>
      <c r="D194" s="196">
        <f>Population!H24</f>
        <v>53005.015606000139</v>
      </c>
      <c r="E194" s="303" t="str">
        <f t="shared" si="30"/>
        <v>Small</v>
      </c>
      <c r="F194" s="340">
        <f>VLOOKUP(A194,'Household Information'!$H$2:$M$49,6,FALSE)</f>
        <v>3.9394565859421147</v>
      </c>
      <c r="G194" s="196">
        <f t="shared" si="25"/>
        <v>13455</v>
      </c>
      <c r="H194" s="213">
        <f>Area!J24</f>
        <v>105.98294017063456</v>
      </c>
      <c r="I194" s="213"/>
      <c r="J194" s="32">
        <f>D194*Variables!$C$20</f>
        <v>47.704514045400124</v>
      </c>
      <c r="K194" s="202">
        <f t="shared" si="33"/>
        <v>53.622780000000006</v>
      </c>
      <c r="L194" s="32">
        <f t="shared" si="26"/>
        <v>0</v>
      </c>
      <c r="N194" s="117"/>
      <c r="O194" s="117"/>
      <c r="P194" s="117"/>
      <c r="Q194" s="117"/>
      <c r="R194" s="108"/>
      <c r="S194" s="198">
        <f>$L194*Variables!$C$21/100</f>
        <v>0</v>
      </c>
      <c r="T194" s="198">
        <f>$L194*Variables!$C$22/100</f>
        <v>0</v>
      </c>
      <c r="U194" s="198">
        <f>$L194*Variables!$C$23/100</f>
        <v>0</v>
      </c>
      <c r="V194" s="198">
        <f>$L194*Variables!$C$24/100</f>
        <v>0</v>
      </c>
      <c r="W194" s="22">
        <f>S194*Variables!$E$25*Variables!$C$15+'Cost Calculations'!T194*Variables!$E$26*Variables!$C$15+'Cost Calculations'!U194*Variables!$E$27*Variables!$C$15+V194*Variables!$E$28*Variables!$C$15</f>
        <v>0</v>
      </c>
      <c r="X194" s="20">
        <f>J194*Variables!$E$29*Variables!$C$15</f>
        <v>8154.6096309206978</v>
      </c>
      <c r="Z194" s="33">
        <f>D194*(IF(D194&lt;50000,0,IF(D194&gt;Variables!$C$7,Variables!$C$37,IF(D194&gt;Variables!$C$6,Variables!$C$36,IF(D194&gt;Variables!$C$5,Variables!$C$35)))))</f>
        <v>26.502507803000071</v>
      </c>
      <c r="AA194" s="34">
        <f t="shared" si="32"/>
        <v>374.4</v>
      </c>
      <c r="AB194" s="35">
        <f t="shared" si="27"/>
        <v>0</v>
      </c>
      <c r="AC194" s="22">
        <f>AB194*Variables!$E$41</f>
        <v>0</v>
      </c>
      <c r="AD194" s="115">
        <f>ROUND(IF(D194&lt;50000,0,(H194/(3.14*Variables!$C$34^2))),0)</f>
        <v>135</v>
      </c>
      <c r="AE194" s="116">
        <f t="shared" si="34"/>
        <v>133</v>
      </c>
      <c r="AF194" s="117">
        <f t="shared" si="28"/>
        <v>2</v>
      </c>
      <c r="AG194" s="107">
        <f>AF194*Variables!$E$42*Variables!$C$15</f>
        <v>1355.088</v>
      </c>
      <c r="AH194" s="199">
        <f>ROUND((Z194)/Variables!$C$40,0)</f>
        <v>0</v>
      </c>
      <c r="AI194" s="33">
        <f t="shared" si="35"/>
        <v>1</v>
      </c>
      <c r="AJ194" s="199">
        <f t="shared" si="31"/>
        <v>0</v>
      </c>
      <c r="AK194" s="22">
        <f>AJ194*Variables!$E$43*Variables!$C$15</f>
        <v>0</v>
      </c>
      <c r="AL194" s="20">
        <f>Z194*Variables!$E$38*Variables!$C$15</f>
        <v>4698325.1190712713</v>
      </c>
      <c r="AM194" s="98"/>
      <c r="AN194" s="200">
        <f t="shared" si="36"/>
        <v>0.42</v>
      </c>
      <c r="AO194" s="201">
        <f t="shared" si="29"/>
        <v>99.274305965741291</v>
      </c>
      <c r="AP194" s="321">
        <f>VLOOKUP(A194,'Household Information'!H:Q,10,FALSE)</f>
        <v>127.00366022971097</v>
      </c>
      <c r="AQ194" s="122">
        <f>IF(12*(AO194-Variables!$C$3*AP194*F194)*(G194/5)&lt;0,0,12*(AO194-Variables!$C$3*AP194*F194)*(G194/5))</f>
        <v>782289.68796740414</v>
      </c>
      <c r="AS194" s="22"/>
    </row>
    <row r="195" spans="1:45" ht="14.25" customHeight="1" x14ac:dyDescent="0.35">
      <c r="A195" s="30">
        <v>24</v>
      </c>
      <c r="B195" s="28" t="s">
        <v>177</v>
      </c>
      <c r="C195" s="28">
        <v>2023</v>
      </c>
      <c r="D195" s="196">
        <f>Population!H25</f>
        <v>2230857.2205304937</v>
      </c>
      <c r="E195" s="303" t="str">
        <f t="shared" si="30"/>
        <v>Large</v>
      </c>
      <c r="F195" s="340">
        <f>VLOOKUP(A195,'Household Information'!$H$2:$M$49,6,FALSE)</f>
        <v>5.7167460931666056</v>
      </c>
      <c r="G195" s="196">
        <f t="shared" si="25"/>
        <v>390232</v>
      </c>
      <c r="H195" s="213">
        <f>Area!J25</f>
        <v>108.56060108345085</v>
      </c>
      <c r="I195" s="213"/>
      <c r="J195" s="32">
        <f>D195*Variables!$C$20</f>
        <v>2007.7714984774443</v>
      </c>
      <c r="K195" s="202">
        <f t="shared" si="33"/>
        <v>1961.2889503540528</v>
      </c>
      <c r="L195" s="32">
        <f t="shared" si="26"/>
        <v>46.482548123391553</v>
      </c>
      <c r="N195" s="117"/>
      <c r="O195" s="117"/>
      <c r="P195" s="117"/>
      <c r="Q195" s="117"/>
      <c r="R195" s="108"/>
      <c r="S195" s="198">
        <f>$L195*Variables!$C$21/100</f>
        <v>2.5239392646185457</v>
      </c>
      <c r="T195" s="198">
        <f>$L195*Variables!$C$22/100</f>
        <v>4.4168937130824553</v>
      </c>
      <c r="U195" s="198">
        <f>$L195*Variables!$C$23/100</f>
        <v>4.6272219851340006</v>
      </c>
      <c r="V195" s="198">
        <f>$L195*Variables!$C$24/100</f>
        <v>33.652523528247272</v>
      </c>
      <c r="W195" s="22">
        <f>S195*Variables!$E$25*Variables!$C$15+'Cost Calculations'!T195*Variables!$E$26*Variables!$C$15+'Cost Calculations'!U195*Variables!$E$27*Variables!$C$15+V195*Variables!$E$28*Variables!$C$15</f>
        <v>31177784.936593913</v>
      </c>
      <c r="X195" s="20">
        <f>J195*Variables!$E$29*Variables!$C$15</f>
        <v>343208.45994973433</v>
      </c>
      <c r="Z195" s="33">
        <f>D195*(IF(D195&lt;50000,0,IF(D195&gt;Variables!$C$7,Variables!$C$37,IF(D195&gt;Variables!$C$6,Variables!$C$36,IF(D195&gt;Variables!$C$5,Variables!$C$35)))))</f>
        <v>1115.4286102652468</v>
      </c>
      <c r="AA195" s="34">
        <f t="shared" si="32"/>
        <v>1089.5999999999999</v>
      </c>
      <c r="AB195" s="35">
        <f t="shared" si="27"/>
        <v>26</v>
      </c>
      <c r="AC195" s="22">
        <f>AB195*Variables!$E$41</f>
        <v>9609600.0000000019</v>
      </c>
      <c r="AD195" s="115">
        <f>ROUND(IF(D195&lt;50000,0,(H195/(3.14*Variables!$C$34^2))),0)</f>
        <v>138</v>
      </c>
      <c r="AE195" s="116">
        <f t="shared" si="34"/>
        <v>136</v>
      </c>
      <c r="AF195" s="117">
        <f t="shared" si="28"/>
        <v>2</v>
      </c>
      <c r="AG195" s="107">
        <f>AF195*Variables!$E$42*Variables!$C$15</f>
        <v>1355.088</v>
      </c>
      <c r="AH195" s="199">
        <f>ROUND((Z195)/Variables!$C$40,0)</f>
        <v>9</v>
      </c>
      <c r="AI195" s="33">
        <f t="shared" si="35"/>
        <v>9</v>
      </c>
      <c r="AJ195" s="199">
        <f t="shared" si="31"/>
        <v>0</v>
      </c>
      <c r="AK195" s="22">
        <f>AJ195*Variables!$E$43*Variables!$C$15</f>
        <v>0</v>
      </c>
      <c r="AL195" s="20">
        <f>Z195*Variables!$E$38*Variables!$C$15</f>
        <v>197741523.07000661</v>
      </c>
      <c r="AM195" s="98"/>
      <c r="AN195" s="200">
        <f t="shared" si="36"/>
        <v>0.14000000000000001</v>
      </c>
      <c r="AO195" s="201">
        <f t="shared" si="29"/>
        <v>48.020667182599489</v>
      </c>
      <c r="AP195" s="321">
        <f>VLOOKUP(A195,'Household Information'!H:Q,10,FALSE)</f>
        <v>84.816357440363504</v>
      </c>
      <c r="AQ195" s="122">
        <f>IF(12*(AO195-Variables!$C$3*AP195*F195)*(G195/5)&lt;0,0,12*(AO195-Variables!$C$3*AP195*F195)*(G195/5))</f>
        <v>0</v>
      </c>
      <c r="AS195" s="22"/>
    </row>
    <row r="196" spans="1:45" ht="14.25" customHeight="1" x14ac:dyDescent="0.35">
      <c r="A196" s="30">
        <v>25</v>
      </c>
      <c r="B196" s="28" t="s">
        <v>178</v>
      </c>
      <c r="C196" s="28">
        <v>2023</v>
      </c>
      <c r="D196" s="196">
        <f>Population!H26</f>
        <v>320243.43749180279</v>
      </c>
      <c r="E196" s="303" t="str">
        <f t="shared" si="30"/>
        <v>Medium</v>
      </c>
      <c r="F196" s="340">
        <f>VLOOKUP(A196,'Household Information'!$H$2:$M$49,6,FALSE)</f>
        <v>4.4000000000000004</v>
      </c>
      <c r="G196" s="196">
        <f t="shared" ref="G196:G259" si="37">ROUND(D196/F196,0)</f>
        <v>72783</v>
      </c>
      <c r="H196" s="213">
        <f>Area!J26</f>
        <v>192.83790981928766</v>
      </c>
      <c r="I196" s="213"/>
      <c r="J196" s="32">
        <f>D196*Variables!$C$20</f>
        <v>288.21909374262248</v>
      </c>
      <c r="K196" s="202">
        <f t="shared" si="33"/>
        <v>281.54644304251485</v>
      </c>
      <c r="L196" s="32">
        <f t="shared" ref="L196:L259" si="38">IF(J196-K196&lt;0,0,J196-K196)</f>
        <v>6.6726507001076243</v>
      </c>
      <c r="N196" s="117"/>
      <c r="O196" s="117"/>
      <c r="P196" s="117"/>
      <c r="Q196" s="117"/>
      <c r="R196" s="108"/>
      <c r="S196" s="198">
        <f>$L196*Variables!$C$21/100</f>
        <v>0.36231587511896601</v>
      </c>
      <c r="T196" s="198">
        <f>$L196*Variables!$C$22/100</f>
        <v>0.63405278145819055</v>
      </c>
      <c r="U196" s="198">
        <f>$L196*Variables!$C$23/100</f>
        <v>0.66424577105143767</v>
      </c>
      <c r="V196" s="198">
        <f>$L196*Variables!$C$24/100</f>
        <v>4.8308783349195474</v>
      </c>
      <c r="W196" s="22">
        <f>S196*Variables!$E$25*Variables!$C$15+'Cost Calculations'!T196*Variables!$E$26*Variables!$C$15+'Cost Calculations'!U196*Variables!$E$27*Variables!$C$15+V196*Variables!$E$28*Variables!$C$15</f>
        <v>4475625.3020534497</v>
      </c>
      <c r="X196" s="20">
        <f>J196*Variables!$E$29*Variables!$C$15</f>
        <v>49268.171884363888</v>
      </c>
      <c r="Z196" s="33">
        <f>D196*(IF(D196&lt;50000,0,IF(D196&gt;Variables!$C$7,Variables!$C$37,IF(D196&gt;Variables!$C$6,Variables!$C$36,IF(D196&gt;Variables!$C$5,Variables!$C$35)))))</f>
        <v>160.1217187459014</v>
      </c>
      <c r="AA196" s="34">
        <f t="shared" si="32"/>
        <v>156</v>
      </c>
      <c r="AB196" s="35">
        <f t="shared" ref="AB196:AB259" si="39">IF(Z196-AA196&lt;0,0, ROUND(Z196-AA196,0))</f>
        <v>4</v>
      </c>
      <c r="AC196" s="22">
        <f>AB196*Variables!$E$41</f>
        <v>1478400.0000000002</v>
      </c>
      <c r="AD196" s="115">
        <f>ROUND(IF(D196&lt;50000,0,(H196/(3.14*Variables!$C$34^2))),0)</f>
        <v>246</v>
      </c>
      <c r="AE196" s="116">
        <f t="shared" si="34"/>
        <v>242</v>
      </c>
      <c r="AF196" s="117">
        <f t="shared" ref="AF196:AF259" si="40">IF(AD196-AE196&lt;0,0,AD196-AE196)</f>
        <v>4</v>
      </c>
      <c r="AG196" s="107">
        <f>AF196*Variables!$E$42*Variables!$C$15</f>
        <v>2710.1759999999999</v>
      </c>
      <c r="AH196" s="199">
        <f>ROUND((Z196)/Variables!$C$40,0)</f>
        <v>1</v>
      </c>
      <c r="AI196" s="33">
        <f t="shared" si="35"/>
        <v>1</v>
      </c>
      <c r="AJ196" s="199">
        <f t="shared" si="31"/>
        <v>0</v>
      </c>
      <c r="AK196" s="22">
        <f>AJ196*Variables!$E$43*Variables!$C$15</f>
        <v>0</v>
      </c>
      <c r="AL196" s="20">
        <f>Z196*Variables!$E$38*Variables!$C$15</f>
        <v>28386139.865887463</v>
      </c>
      <c r="AM196" s="98"/>
      <c r="AN196" s="200">
        <f t="shared" si="36"/>
        <v>0.14000000000000001</v>
      </c>
      <c r="AO196" s="201">
        <f t="shared" ref="AO196:AO259" si="41">AN196*2*30*F196</f>
        <v>36.960000000000008</v>
      </c>
      <c r="AP196" s="321">
        <f>VLOOKUP(A196,'Household Information'!H:Q,10,FALSE)</f>
        <v>100.80777483276538</v>
      </c>
      <c r="AQ196" s="122">
        <f>IF(12*(AO196-Variables!$C$3*AP196*F196)*(G196/5)&lt;0,0,12*(AO196-Variables!$C$3*AP196*F196)*(G196/5))</f>
        <v>0</v>
      </c>
      <c r="AS196" s="22"/>
    </row>
    <row r="197" spans="1:45" ht="14.25" customHeight="1" x14ac:dyDescent="0.35">
      <c r="A197" s="30">
        <v>26</v>
      </c>
      <c r="B197" s="28" t="s">
        <v>179</v>
      </c>
      <c r="C197" s="28">
        <v>2023</v>
      </c>
      <c r="D197" s="196">
        <f>Population!H27</f>
        <v>132702.61372673439</v>
      </c>
      <c r="E197" s="303" t="str">
        <f t="shared" ref="E197:E260" si="42">IF(D197&lt;100000,"Small",IF(D197&lt;1000000,"Medium","Large"))</f>
        <v>Medium</v>
      </c>
      <c r="F197" s="340">
        <f>VLOOKUP(A197,'Household Information'!$H$2:$M$49,6,FALSE)</f>
        <v>3.9948981478058339</v>
      </c>
      <c r="G197" s="196">
        <f t="shared" si="37"/>
        <v>33218</v>
      </c>
      <c r="H197" s="213">
        <f>Area!J27</f>
        <v>688.50275950293826</v>
      </c>
      <c r="I197" s="213"/>
      <c r="J197" s="32">
        <f>D197*Variables!$C$20</f>
        <v>119.43235235406094</v>
      </c>
      <c r="K197" s="202">
        <f t="shared" si="33"/>
        <v>116.66733647949685</v>
      </c>
      <c r="L197" s="32">
        <f t="shared" si="38"/>
        <v>2.7650158745640852</v>
      </c>
      <c r="N197" s="117"/>
      <c r="O197" s="117"/>
      <c r="P197" s="117"/>
      <c r="Q197" s="117"/>
      <c r="R197" s="108"/>
      <c r="S197" s="198">
        <f>$L197*Variables!$C$21/100</f>
        <v>0.15013660857361547</v>
      </c>
      <c r="T197" s="198">
        <f>$L197*Variables!$C$22/100</f>
        <v>0.2627390650038271</v>
      </c>
      <c r="U197" s="198">
        <f>$L197*Variables!$C$23/100</f>
        <v>0.27525044905162838</v>
      </c>
      <c r="V197" s="198">
        <f>$L197*Variables!$C$24/100</f>
        <v>2.0018214476482061</v>
      </c>
      <c r="W197" s="22">
        <f>S197*Variables!$E$25*Variables!$C$15+'Cost Calculations'!T197*Variables!$E$26*Variables!$C$15+'Cost Calculations'!U197*Variables!$E$27*Variables!$C$15+V197*Variables!$E$28*Variables!$C$15</f>
        <v>1854611.5426930506</v>
      </c>
      <c r="X197" s="20">
        <f>J197*Variables!$E$29*Variables!$C$15</f>
        <v>20415.766311403178</v>
      </c>
      <c r="Z197" s="33">
        <f>D197*(IF(D197&lt;50000,0,IF(D197&gt;Variables!$C$7,Variables!$C$37,IF(D197&gt;Variables!$C$6,Variables!$C$36,IF(D197&gt;Variables!$C$5,Variables!$C$35)))))</f>
        <v>66.351306863367199</v>
      </c>
      <c r="AA197" s="34">
        <f t="shared" si="32"/>
        <v>139</v>
      </c>
      <c r="AB197" s="35">
        <f t="shared" si="39"/>
        <v>0</v>
      </c>
      <c r="AC197" s="22">
        <f>AB197*Variables!$E$41</f>
        <v>0</v>
      </c>
      <c r="AD197" s="115">
        <f>ROUND(IF(D197&lt;50000,0,(H197/(3.14*Variables!$C$34^2))),0)</f>
        <v>877</v>
      </c>
      <c r="AE197" s="116">
        <f t="shared" si="34"/>
        <v>865</v>
      </c>
      <c r="AF197" s="117">
        <f t="shared" si="40"/>
        <v>12</v>
      </c>
      <c r="AG197" s="107">
        <f>AF197*Variables!$E$42*Variables!$C$15</f>
        <v>8130.5280000000002</v>
      </c>
      <c r="AH197" s="199">
        <f>ROUND((Z197)/Variables!$C$40,0)</f>
        <v>1</v>
      </c>
      <c r="AI197" s="33">
        <f t="shared" si="35"/>
        <v>1</v>
      </c>
      <c r="AJ197" s="199">
        <f t="shared" ref="AJ197:AJ260" si="43">IF(AH197-AI197&lt;0,0,AH197-AI197)</f>
        <v>0</v>
      </c>
      <c r="AK197" s="22">
        <f>AJ197*Variables!$E$43*Variables!$C$15</f>
        <v>0</v>
      </c>
      <c r="AL197" s="20">
        <f>Z197*Variables!$E$38*Variables!$C$15</f>
        <v>11762660.87860845</v>
      </c>
      <c r="AM197" s="98"/>
      <c r="AN197" s="200">
        <f t="shared" si="36"/>
        <v>0.25221875000000005</v>
      </c>
      <c r="AO197" s="201">
        <f t="shared" si="41"/>
        <v>60.455293033014172</v>
      </c>
      <c r="AP197" s="321">
        <f>VLOOKUP(A197,'Household Information'!H:Q,10,FALSE)</f>
        <v>108.65462509082352</v>
      </c>
      <c r="AQ197" s="122">
        <f>IF(12*(AO197-Variables!$C$3*AP197*F197)*(G197/5)&lt;0,0,12*(AO197-Variables!$C$3*AP197*F197)*(G197/5))</f>
        <v>0</v>
      </c>
      <c r="AS197" s="22"/>
    </row>
    <row r="198" spans="1:45" ht="14.25" customHeight="1" x14ac:dyDescent="0.35">
      <c r="A198" s="30">
        <v>27</v>
      </c>
      <c r="B198" s="28" t="s">
        <v>180</v>
      </c>
      <c r="C198" s="28">
        <v>2023</v>
      </c>
      <c r="D198" s="196">
        <f>Population!H28</f>
        <v>1338381.6111606953</v>
      </c>
      <c r="E198" s="303" t="str">
        <f t="shared" si="42"/>
        <v>Large</v>
      </c>
      <c r="F198" s="340">
        <f>VLOOKUP(A198,'Household Information'!$H$2:$M$49,6,FALSE)</f>
        <v>4.6947316089524085</v>
      </c>
      <c r="G198" s="196">
        <f t="shared" si="37"/>
        <v>285082</v>
      </c>
      <c r="H198" s="213">
        <f>Area!J28</f>
        <v>128.55663137640533</v>
      </c>
      <c r="I198" s="213"/>
      <c r="J198" s="32">
        <f>D198*Variables!$C$20</f>
        <v>1204.5434500446258</v>
      </c>
      <c r="K198" s="202">
        <f t="shared" si="33"/>
        <v>2162.4648561170238</v>
      </c>
      <c r="L198" s="32">
        <f t="shared" si="38"/>
        <v>0</v>
      </c>
      <c r="N198" s="117"/>
      <c r="O198" s="117"/>
      <c r="P198" s="117"/>
      <c r="Q198" s="117"/>
      <c r="R198" s="108"/>
      <c r="S198" s="198">
        <f>$L198*Variables!$C$21/100</f>
        <v>0</v>
      </c>
      <c r="T198" s="198">
        <f>$L198*Variables!$C$22/100</f>
        <v>0</v>
      </c>
      <c r="U198" s="198">
        <f>$L198*Variables!$C$23/100</f>
        <v>0</v>
      </c>
      <c r="V198" s="198">
        <f>$L198*Variables!$C$24/100</f>
        <v>0</v>
      </c>
      <c r="W198" s="22">
        <f>S198*Variables!$E$25*Variables!$C$15+'Cost Calculations'!T198*Variables!$E$26*Variables!$C$15+'Cost Calculations'!U198*Variables!$E$27*Variables!$C$15+V198*Variables!$E$28*Variables!$C$15</f>
        <v>0</v>
      </c>
      <c r="X198" s="20">
        <f>J198*Variables!$E$29*Variables!$C$15</f>
        <v>205904.65735062835</v>
      </c>
      <c r="Z198" s="33">
        <f>D198*(IF(D198&lt;50000,0,IF(D198&gt;Variables!$C$7,Variables!$C$37,IF(D198&gt;Variables!$C$6,Variables!$C$36,IF(D198&gt;Variables!$C$5,Variables!$C$35)))))</f>
        <v>669.19080558034773</v>
      </c>
      <c r="AA198" s="34">
        <f t="shared" si="32"/>
        <v>654</v>
      </c>
      <c r="AB198" s="35">
        <f t="shared" si="39"/>
        <v>15</v>
      </c>
      <c r="AC198" s="22">
        <f>AB198*Variables!$E$41</f>
        <v>5544000.0000000009</v>
      </c>
      <c r="AD198" s="115">
        <f>ROUND(IF(D198&lt;50000,0,(H198/(3.14*Variables!$C$34^2))),0)</f>
        <v>164</v>
      </c>
      <c r="AE198" s="116">
        <f t="shared" si="34"/>
        <v>161</v>
      </c>
      <c r="AF198" s="117">
        <f t="shared" si="40"/>
        <v>3</v>
      </c>
      <c r="AG198" s="107">
        <f>AF198*Variables!$E$42*Variables!$C$15</f>
        <v>2032.6320000000001</v>
      </c>
      <c r="AH198" s="199">
        <f>ROUND((Z198)/Variables!$C$40,0)</f>
        <v>5</v>
      </c>
      <c r="AI198" s="33">
        <f t="shared" si="35"/>
        <v>110</v>
      </c>
      <c r="AJ198" s="199">
        <f t="shared" si="43"/>
        <v>0</v>
      </c>
      <c r="AK198" s="22">
        <f>AJ198*Variables!$E$43*Variables!$C$15</f>
        <v>0</v>
      </c>
      <c r="AL198" s="20">
        <f>Z198*Variables!$E$38*Variables!$C$15</f>
        <v>118633149.53741017</v>
      </c>
      <c r="AM198" s="98"/>
      <c r="AN198" s="200">
        <f t="shared" si="36"/>
        <v>0.14000000000000001</v>
      </c>
      <c r="AO198" s="201">
        <f t="shared" si="41"/>
        <v>39.435745515200232</v>
      </c>
      <c r="AP198" s="321">
        <f>VLOOKUP(A198,'Household Information'!H:Q,10,FALSE)</f>
        <v>58.94736842105263</v>
      </c>
      <c r="AQ198" s="122">
        <f>IF(12*(AO198-Variables!$C$3*AP198*F198)*(G198/5)&lt;0,0,12*(AO198-Variables!$C$3*AP198*F198)*(G198/5))</f>
        <v>0</v>
      </c>
      <c r="AS198" s="22"/>
    </row>
    <row r="199" spans="1:45" ht="14.25" customHeight="1" x14ac:dyDescent="0.35">
      <c r="A199" s="30">
        <v>28</v>
      </c>
      <c r="B199" s="28" t="s">
        <v>181</v>
      </c>
      <c r="C199" s="28">
        <v>2023</v>
      </c>
      <c r="D199" s="196">
        <f>Population!H29</f>
        <v>1421821.0982058104</v>
      </c>
      <c r="E199" s="303" t="str">
        <f t="shared" si="42"/>
        <v>Large</v>
      </c>
      <c r="F199" s="340">
        <f>VLOOKUP(A199,'Household Information'!$H$2:$M$49,6,FALSE)</f>
        <v>3.2903489815623708</v>
      </c>
      <c r="G199" s="196">
        <f t="shared" si="37"/>
        <v>432119</v>
      </c>
      <c r="H199" s="213">
        <f>Area!J29</f>
        <v>165.6977595484249</v>
      </c>
      <c r="I199" s="213"/>
      <c r="J199" s="32">
        <f>D199*Variables!$C$20</f>
        <v>1279.6389883852294</v>
      </c>
      <c r="K199" s="202">
        <f t="shared" si="33"/>
        <v>1250.013664535732</v>
      </c>
      <c r="L199" s="32">
        <f t="shared" si="38"/>
        <v>29.625323849497363</v>
      </c>
      <c r="N199" s="117"/>
      <c r="O199" s="117"/>
      <c r="P199" s="117"/>
      <c r="Q199" s="117"/>
      <c r="R199" s="108"/>
      <c r="S199" s="198">
        <f>$L199*Variables!$C$21/100</f>
        <v>1.6086148696559652</v>
      </c>
      <c r="T199" s="198">
        <f>$L199*Variables!$C$22/100</f>
        <v>2.8150760218979394</v>
      </c>
      <c r="U199" s="198">
        <f>$L199*Variables!$C$23/100</f>
        <v>2.9491272610359367</v>
      </c>
      <c r="V199" s="198">
        <f>$L199*Variables!$C$24/100</f>
        <v>21.44819826207954</v>
      </c>
      <c r="W199" s="22">
        <f>S199*Variables!$E$25*Variables!$C$15+'Cost Calculations'!T199*Variables!$E$26*Variables!$C$15+'Cost Calculations'!U199*Variables!$E$27*Variables!$C$15+V199*Variables!$E$28*Variables!$C$15</f>
        <v>19870941.093949266</v>
      </c>
      <c r="X199" s="20">
        <f>J199*Variables!$E$29*Variables!$C$15</f>
        <v>218741.48867457113</v>
      </c>
      <c r="Z199" s="33">
        <f>D199*(IF(D199&lt;50000,0,IF(D199&gt;Variables!$C$7,Variables!$C$37,IF(D199&gt;Variables!$C$6,Variables!$C$36,IF(D199&gt;Variables!$C$5,Variables!$C$35)))))</f>
        <v>710.91054910290518</v>
      </c>
      <c r="AA199" s="34">
        <f t="shared" si="32"/>
        <v>694</v>
      </c>
      <c r="AB199" s="35">
        <f t="shared" si="39"/>
        <v>17</v>
      </c>
      <c r="AC199" s="22">
        <f>AB199*Variables!$E$41</f>
        <v>6283200.0000000009</v>
      </c>
      <c r="AD199" s="115">
        <f>ROUND(IF(D199&lt;50000,0,(H199/(3.14*Variables!$C$34^2))),0)</f>
        <v>211</v>
      </c>
      <c r="AE199" s="116">
        <f t="shared" si="34"/>
        <v>208</v>
      </c>
      <c r="AF199" s="117">
        <f t="shared" si="40"/>
        <v>3</v>
      </c>
      <c r="AG199" s="107">
        <f>AF199*Variables!$E$42*Variables!$C$15</f>
        <v>2032.6320000000001</v>
      </c>
      <c r="AH199" s="199">
        <f>ROUND((Z199)/Variables!$C$40,0)</f>
        <v>6</v>
      </c>
      <c r="AI199" s="33">
        <f t="shared" si="35"/>
        <v>6</v>
      </c>
      <c r="AJ199" s="199">
        <f t="shared" si="43"/>
        <v>0</v>
      </c>
      <c r="AK199" s="22">
        <f>AJ199*Variables!$E$43*Variables!$C$15</f>
        <v>0</v>
      </c>
      <c r="AL199" s="20">
        <f>Z199*Variables!$E$38*Variables!$C$15</f>
        <v>126029163.54522622</v>
      </c>
      <c r="AM199" s="98"/>
      <c r="AN199" s="200">
        <f t="shared" si="36"/>
        <v>0.21</v>
      </c>
      <c r="AO199" s="201">
        <f t="shared" si="41"/>
        <v>41.458397167685874</v>
      </c>
      <c r="AP199" s="321">
        <f>VLOOKUP(A199,'Household Information'!H:Q,10,FALSE)</f>
        <v>53.01022340022719</v>
      </c>
      <c r="AQ199" s="122">
        <f>IF(12*(AO199-Variables!$C$3*AP199*F199)*(G199/5)&lt;0,0,12*(AO199-Variables!$C$3*AP199*F199)*(G199/5))</f>
        <v>15862304.087975949</v>
      </c>
      <c r="AS199" s="22"/>
    </row>
    <row r="200" spans="1:45" ht="14.25" customHeight="1" x14ac:dyDescent="0.35">
      <c r="A200" s="30">
        <v>29</v>
      </c>
      <c r="B200" s="28" t="s">
        <v>182</v>
      </c>
      <c r="C200" s="28">
        <v>2023</v>
      </c>
      <c r="D200" s="196">
        <f>Population!H30</f>
        <v>189715.75530978819</v>
      </c>
      <c r="E200" s="303" t="str">
        <f t="shared" si="42"/>
        <v>Medium</v>
      </c>
      <c r="F200" s="340">
        <f>VLOOKUP(A200,'Household Information'!$H$2:$M$49,6,FALSE)</f>
        <v>4.6165672844480259</v>
      </c>
      <c r="G200" s="196">
        <f t="shared" si="37"/>
        <v>41095</v>
      </c>
      <c r="H200" s="213">
        <f>Area!J30</f>
        <v>931.33568297907811</v>
      </c>
      <c r="I200" s="213"/>
      <c r="J200" s="32">
        <f>D200*Variables!$C$20</f>
        <v>170.74417977880935</v>
      </c>
      <c r="K200" s="202">
        <f t="shared" si="33"/>
        <v>166.79122768272867</v>
      </c>
      <c r="L200" s="32">
        <f t="shared" si="38"/>
        <v>3.9529520960806792</v>
      </c>
      <c r="N200" s="117"/>
      <c r="O200" s="117"/>
      <c r="P200" s="117"/>
      <c r="Q200" s="117"/>
      <c r="R200" s="108"/>
      <c r="S200" s="198">
        <f>$L200*Variables!$C$21/100</f>
        <v>0.2146399328188604</v>
      </c>
      <c r="T200" s="198">
        <f>$L200*Variables!$C$22/100</f>
        <v>0.3756198824330057</v>
      </c>
      <c r="U200" s="198">
        <f>$L200*Variables!$C$23/100</f>
        <v>0.39350654350124409</v>
      </c>
      <c r="V200" s="198">
        <f>$L200*Variables!$C$24/100</f>
        <v>2.861865770918139</v>
      </c>
      <c r="W200" s="22">
        <f>S200*Variables!$E$25*Variables!$C$15+'Cost Calculations'!T200*Variables!$E$26*Variables!$C$15+'Cost Calculations'!U200*Variables!$E$27*Variables!$C$15+V200*Variables!$E$28*Variables!$C$15</f>
        <v>2651409.9439880094</v>
      </c>
      <c r="X200" s="20">
        <f>J200*Variables!$E$29*Variables!$C$15</f>
        <v>29187.010091389671</v>
      </c>
      <c r="Z200" s="33">
        <f>D200*(IF(D200&lt;50000,0,IF(D200&gt;Variables!$C$7,Variables!$C$37,IF(D200&gt;Variables!$C$6,Variables!$C$36,IF(D200&gt;Variables!$C$5,Variables!$C$35)))))</f>
        <v>94.857877654894097</v>
      </c>
      <c r="AA200" s="34">
        <f t="shared" si="32"/>
        <v>206</v>
      </c>
      <c r="AB200" s="35">
        <f t="shared" si="39"/>
        <v>0</v>
      </c>
      <c r="AC200" s="22">
        <f>AB200*Variables!$E$41</f>
        <v>0</v>
      </c>
      <c r="AD200" s="115">
        <f>ROUND(IF(D200&lt;50000,0,(H200/(3.14*Variables!$C$34^2))),0)</f>
        <v>1186</v>
      </c>
      <c r="AE200" s="116">
        <f t="shared" si="34"/>
        <v>1170</v>
      </c>
      <c r="AF200" s="117">
        <f t="shared" si="40"/>
        <v>16</v>
      </c>
      <c r="AG200" s="107">
        <f>AF200*Variables!$E$42*Variables!$C$15</f>
        <v>10840.704</v>
      </c>
      <c r="AH200" s="199">
        <f>ROUND((Z200)/Variables!$C$40,0)</f>
        <v>1</v>
      </c>
      <c r="AI200" s="33">
        <f t="shared" si="35"/>
        <v>1</v>
      </c>
      <c r="AJ200" s="199">
        <f t="shared" si="43"/>
        <v>0</v>
      </c>
      <c r="AK200" s="22">
        <f>AJ200*Variables!$E$43*Variables!$C$15</f>
        <v>0</v>
      </c>
      <c r="AL200" s="20">
        <f>Z200*Variables!$E$38*Variables!$C$15</f>
        <v>16816263.300083943</v>
      </c>
      <c r="AM200" s="98"/>
      <c r="AN200" s="200">
        <f t="shared" si="36"/>
        <v>0.14000000000000001</v>
      </c>
      <c r="AO200" s="201">
        <f t="shared" si="41"/>
        <v>38.779165189363418</v>
      </c>
      <c r="AP200" s="321">
        <f>VLOOKUP(A200,'Household Information'!H:Q,10,FALSE)</f>
        <v>91.707686482393044</v>
      </c>
      <c r="AQ200" s="122">
        <f>IF(12*(AO200-Variables!$C$3*AP200*F200)*(G200/5)&lt;0,0,12*(AO200-Variables!$C$3*AP200*F200)*(G200/5))</f>
        <v>0</v>
      </c>
      <c r="AS200" s="22"/>
    </row>
    <row r="201" spans="1:45" ht="14.25" customHeight="1" x14ac:dyDescent="0.35">
      <c r="A201" s="30">
        <v>30</v>
      </c>
      <c r="B201" s="28" t="s">
        <v>183</v>
      </c>
      <c r="C201" s="28">
        <v>2023</v>
      </c>
      <c r="D201" s="196">
        <f>Population!H31</f>
        <v>130158.12925815539</v>
      </c>
      <c r="E201" s="303" t="str">
        <f t="shared" si="42"/>
        <v>Medium</v>
      </c>
      <c r="F201" s="340">
        <f>VLOOKUP(A201,'Household Information'!$H$2:$M$49,6,FALSE)</f>
        <v>4.0765401369010581</v>
      </c>
      <c r="G201" s="196">
        <f t="shared" si="37"/>
        <v>31929</v>
      </c>
      <c r="H201" s="213">
        <f>Area!J31</f>
        <v>92.847882505582959</v>
      </c>
      <c r="I201" s="213"/>
      <c r="J201" s="32">
        <f>D201*Variables!$C$20</f>
        <v>117.14231633233985</v>
      </c>
      <c r="K201" s="202">
        <f t="shared" si="33"/>
        <v>114.4303178004687</v>
      </c>
      <c r="L201" s="32">
        <f t="shared" si="38"/>
        <v>2.7119985318711457</v>
      </c>
      <c r="N201" s="117"/>
      <c r="O201" s="117"/>
      <c r="P201" s="117"/>
      <c r="Q201" s="117"/>
      <c r="R201" s="108"/>
      <c r="S201" s="198">
        <f>$L201*Variables!$C$21/100</f>
        <v>0.14725783883463234</v>
      </c>
      <c r="T201" s="198">
        <f>$L201*Variables!$C$22/100</f>
        <v>0.25770121796060663</v>
      </c>
      <c r="U201" s="198">
        <f>$L201*Variables!$C$23/100</f>
        <v>0.26997270453015931</v>
      </c>
      <c r="V201" s="198">
        <f>$L201*Variables!$C$24/100</f>
        <v>1.9634378511284314</v>
      </c>
      <c r="W201" s="22">
        <f>S201*Variables!$E$25*Variables!$C$15+'Cost Calculations'!T201*Variables!$E$26*Variables!$C$15+'Cost Calculations'!U201*Variables!$E$27*Variables!$C$15+V201*Variables!$E$28*Variables!$C$15</f>
        <v>1819050.5983144802</v>
      </c>
      <c r="X201" s="20">
        <f>J201*Variables!$E$29*Variables!$C$15</f>
        <v>20024.307553850173</v>
      </c>
      <c r="Z201" s="33">
        <f>D201*(IF(D201&lt;50000,0,IF(D201&gt;Variables!$C$7,Variables!$C$37,IF(D201&gt;Variables!$C$6,Variables!$C$36,IF(D201&gt;Variables!$C$5,Variables!$C$35)))))</f>
        <v>65.079064629077692</v>
      </c>
      <c r="AA201" s="34">
        <f t="shared" si="32"/>
        <v>64</v>
      </c>
      <c r="AB201" s="35">
        <f t="shared" si="39"/>
        <v>1</v>
      </c>
      <c r="AC201" s="22">
        <f>AB201*Variables!$E$41</f>
        <v>369600.00000000006</v>
      </c>
      <c r="AD201" s="115">
        <f>ROUND(IF(D201&lt;50000,0,(H201/(3.14*Variables!$C$34^2))),0)</f>
        <v>118</v>
      </c>
      <c r="AE201" s="116">
        <f t="shared" si="34"/>
        <v>117</v>
      </c>
      <c r="AF201" s="117">
        <f t="shared" si="40"/>
        <v>1</v>
      </c>
      <c r="AG201" s="107">
        <f>AF201*Variables!$E$42*Variables!$C$15</f>
        <v>677.54399999999998</v>
      </c>
      <c r="AH201" s="199">
        <f>ROUND((Z201)/Variables!$C$40,0)</f>
        <v>1</v>
      </c>
      <c r="AI201" s="33">
        <f t="shared" si="35"/>
        <v>21</v>
      </c>
      <c r="AJ201" s="199">
        <f t="shared" si="43"/>
        <v>0</v>
      </c>
      <c r="AK201" s="22">
        <f>AJ201*Variables!$E$43*Variables!$C$15</f>
        <v>0</v>
      </c>
      <c r="AL201" s="20">
        <f>Z201*Variables!$E$38*Variables!$C$15</f>
        <v>11537119.669778805</v>
      </c>
      <c r="AM201" s="98"/>
      <c r="AN201" s="200">
        <f t="shared" si="36"/>
        <v>0.25221875000000005</v>
      </c>
      <c r="AO201" s="201">
        <f t="shared" si="41"/>
        <v>61.690791459240835</v>
      </c>
      <c r="AP201" s="321">
        <f>VLOOKUP(A201,'Household Information'!H:Q,10,FALSE)</f>
        <v>60.413984601792251</v>
      </c>
      <c r="AQ201" s="122">
        <f>IF(12*(AO201-Variables!$C$3*AP201*F201)*(G201/5)&lt;0,0,12*(AO201-Variables!$C$3*AP201*F201)*(G201/5))</f>
        <v>1896489.6100065727</v>
      </c>
      <c r="AS201" s="22"/>
    </row>
    <row r="202" spans="1:45" s="154" customFormat="1" ht="14.25" customHeight="1" x14ac:dyDescent="0.35">
      <c r="A202" s="44">
        <v>31</v>
      </c>
      <c r="B202" s="154" t="s">
        <v>184</v>
      </c>
      <c r="C202" s="154">
        <v>2023</v>
      </c>
      <c r="D202" s="196">
        <f>Population!H32</f>
        <v>224616.65133404033</v>
      </c>
      <c r="E202" s="303" t="str">
        <f t="shared" si="42"/>
        <v>Medium</v>
      </c>
      <c r="F202" s="340">
        <f>VLOOKUP(A202,'Household Information'!$H$2:$M$49,6,FALSE)</f>
        <v>3.6621172202306398</v>
      </c>
      <c r="G202" s="204">
        <f t="shared" si="37"/>
        <v>61335</v>
      </c>
      <c r="H202" s="213">
        <f>Area!J32</f>
        <v>701.35862015755731</v>
      </c>
      <c r="J202" s="205">
        <f>D202*Variables!$C$20</f>
        <v>202.1549862006363</v>
      </c>
      <c r="K202" s="202">
        <f t="shared" si="33"/>
        <v>522.30024000000003</v>
      </c>
      <c r="L202" s="205">
        <f t="shared" si="38"/>
        <v>0</v>
      </c>
      <c r="M202" s="206"/>
      <c r="N202" s="206"/>
      <c r="O202" s="206"/>
      <c r="P202" s="206"/>
      <c r="Q202" s="206"/>
      <c r="R202" s="109"/>
      <c r="S202" s="198">
        <f>$L202*Variables!$C$21/100</f>
        <v>0</v>
      </c>
      <c r="T202" s="198">
        <f>$L202*Variables!$C$22/100</f>
        <v>0</v>
      </c>
      <c r="U202" s="198">
        <f>$L202*Variables!$C$23/100</f>
        <v>0</v>
      </c>
      <c r="V202" s="198">
        <f>$L202*Variables!$C$24/100</f>
        <v>0</v>
      </c>
      <c r="W202" s="22">
        <f>S202*Variables!$E$25*Variables!$C$15+'Cost Calculations'!T202*Variables!$E$26*Variables!$C$15+'Cost Calculations'!U202*Variables!$E$27*Variables!$C$15+V202*Variables!$E$28*Variables!$C$15</f>
        <v>0</v>
      </c>
      <c r="X202" s="20">
        <f>J202*Variables!$E$29*Variables!$C$15</f>
        <v>34556.373341136772</v>
      </c>
      <c r="Z202" s="33">
        <f>D202*(IF(D202&lt;50000,0,IF(D202&gt;Variables!$C$7,Variables!$C$37,IF(D202&gt;Variables!$C$6,Variables!$C$36,IF(D202&gt;Variables!$C$5,Variables!$C$35)))))</f>
        <v>112.30832566702017</v>
      </c>
      <c r="AA202" s="34">
        <f t="shared" si="32"/>
        <v>3158</v>
      </c>
      <c r="AB202" s="35">
        <f t="shared" si="39"/>
        <v>0</v>
      </c>
      <c r="AC202" s="22">
        <f>AB202*Variables!$E$41</f>
        <v>0</v>
      </c>
      <c r="AD202" s="115">
        <f>ROUND(IF(D202&lt;50000,0,(H202/(3.14*Variables!$C$34^2))),0)</f>
        <v>893</v>
      </c>
      <c r="AE202" s="116">
        <f t="shared" si="34"/>
        <v>881</v>
      </c>
      <c r="AF202" s="117">
        <f t="shared" si="40"/>
        <v>12</v>
      </c>
      <c r="AG202" s="107">
        <f>AF202*Variables!$E$42*Variables!$C$15</f>
        <v>8130.5280000000002</v>
      </c>
      <c r="AH202" s="199">
        <f>ROUND((Z202)/Variables!$C$40,0)</f>
        <v>1</v>
      </c>
      <c r="AI202" s="33">
        <f t="shared" si="35"/>
        <v>27</v>
      </c>
      <c r="AJ202" s="199">
        <f t="shared" si="43"/>
        <v>0</v>
      </c>
      <c r="AK202" s="22">
        <f>AJ202*Variables!$E$43*Variables!$C$15</f>
        <v>0</v>
      </c>
      <c r="AL202" s="20">
        <f>Z202*Variables!$E$38*Variables!$C$15</f>
        <v>19909852.738632783</v>
      </c>
      <c r="AM202" s="99"/>
      <c r="AN202" s="200">
        <f t="shared" si="36"/>
        <v>0.14000000000000001</v>
      </c>
      <c r="AO202" s="201">
        <f t="shared" si="41"/>
        <v>30.761784649937375</v>
      </c>
      <c r="AP202" s="321">
        <f>VLOOKUP(A202,'Household Information'!H:Q,10,FALSE)</f>
        <v>118.33648870377382</v>
      </c>
      <c r="AQ202" s="122">
        <f>IF(12*(AO202-Variables!$C$3*AP202*F202)*(G202/5)&lt;0,0,12*(AO202-Variables!$C$3*AP202*F202)*(G202/5))</f>
        <v>0</v>
      </c>
      <c r="AS202" s="110"/>
    </row>
    <row r="203" spans="1:45" ht="14.25" customHeight="1" x14ac:dyDescent="0.35">
      <c r="A203" s="30">
        <v>32</v>
      </c>
      <c r="B203" s="28" t="s">
        <v>185</v>
      </c>
      <c r="C203" s="28">
        <v>2023</v>
      </c>
      <c r="D203" s="196">
        <f>Population!H33</f>
        <v>1563738.6929049052</v>
      </c>
      <c r="E203" s="303" t="str">
        <f t="shared" si="42"/>
        <v>Large</v>
      </c>
      <c r="F203" s="340">
        <f>VLOOKUP(A203,'Household Information'!$H$2:$M$49,6,FALSE)</f>
        <v>6.457235996477583</v>
      </c>
      <c r="G203" s="196">
        <f t="shared" si="37"/>
        <v>242168</v>
      </c>
      <c r="H203" s="213">
        <f>Area!J33</f>
        <v>41.424439887106239</v>
      </c>
      <c r="J203" s="32">
        <f>D203*Variables!$C$20</f>
        <v>1407.3648236144147</v>
      </c>
      <c r="K203" s="202">
        <f t="shared" si="33"/>
        <v>1374.7824788653065</v>
      </c>
      <c r="L203" s="32">
        <f t="shared" si="38"/>
        <v>32.582344749108188</v>
      </c>
      <c r="S203" s="198">
        <f>$L203*Variables!$C$21/100</f>
        <v>1.7691770904493131</v>
      </c>
      <c r="T203" s="198">
        <f>$L203*Variables!$C$22/100</f>
        <v>3.0960599082862985</v>
      </c>
      <c r="U203" s="198">
        <f>$L203*Variables!$C$23/100</f>
        <v>3.2434913324904078</v>
      </c>
      <c r="V203" s="198">
        <f>$L203*Variables!$C$24/100</f>
        <v>23.58902787265751</v>
      </c>
      <c r="W203" s="22">
        <f>S203*Variables!$E$25*Variables!$C$15+'Cost Calculations'!T203*Variables!$E$26*Variables!$C$15+'Cost Calculations'!U203*Variables!$E$27*Variables!$C$15+V203*Variables!$E$28*Variables!$C$15</f>
        <v>21854338.420110151</v>
      </c>
      <c r="X203" s="20">
        <f>J203*Variables!$E$29*Variables!$C$15</f>
        <v>240574.94294864807</v>
      </c>
      <c r="Z203" s="33">
        <f>D203*(IF(D203&lt;50000,0,IF(D203&gt;Variables!$C$7,Variables!$C$37,IF(D203&gt;Variables!$C$6,Variables!$C$36,IF(D203&gt;Variables!$C$5,Variables!$C$35)))))</f>
        <v>781.86934645245265</v>
      </c>
      <c r="AA203" s="34">
        <f t="shared" si="32"/>
        <v>764</v>
      </c>
      <c r="AB203" s="35">
        <f t="shared" si="39"/>
        <v>18</v>
      </c>
      <c r="AC203" s="22">
        <f>AB203*Variables!$E$41</f>
        <v>6652800.0000000009</v>
      </c>
      <c r="AD203" s="115">
        <f>ROUND(IF(D203&lt;50000,0,(H203/(3.14*Variables!$C$34^2))),0)</f>
        <v>53</v>
      </c>
      <c r="AE203" s="116">
        <f t="shared" si="34"/>
        <v>52</v>
      </c>
      <c r="AF203" s="117">
        <f t="shared" si="40"/>
        <v>1</v>
      </c>
      <c r="AG203" s="107">
        <f>AF203*Variables!$E$42*Variables!$C$15</f>
        <v>677.54399999999998</v>
      </c>
      <c r="AH203" s="199">
        <f>ROUND((Z203)/Variables!$C$40,0)</f>
        <v>6</v>
      </c>
      <c r="AI203" s="33">
        <f t="shared" si="35"/>
        <v>6</v>
      </c>
      <c r="AJ203" s="199">
        <f t="shared" si="43"/>
        <v>0</v>
      </c>
      <c r="AK203" s="22">
        <f>AJ203*Variables!$E$43*Variables!$C$15</f>
        <v>0</v>
      </c>
      <c r="AL203" s="20">
        <f>Z203*Variables!$E$38*Variables!$C$15</f>
        <v>138608633.47632185</v>
      </c>
      <c r="AN203" s="200">
        <f t="shared" si="36"/>
        <v>0.14000000000000001</v>
      </c>
      <c r="AO203" s="201">
        <f t="shared" si="41"/>
        <v>54.240782370411701</v>
      </c>
      <c r="AP203" s="321">
        <f>VLOOKUP(A203,'Household Information'!H:Q,10,FALSE)</f>
        <v>105.97627161428754</v>
      </c>
      <c r="AQ203" s="122">
        <f>IF(12*(AO203-Variables!$C$3*AP203*F203)*(G203/5)&lt;0,0,12*(AO203-Variables!$C$3*AP203*F203)*(G203/5))</f>
        <v>0</v>
      </c>
    </row>
    <row r="204" spans="1:45" ht="14.25" customHeight="1" x14ac:dyDescent="0.35">
      <c r="A204" s="30">
        <v>33</v>
      </c>
      <c r="B204" s="28" t="s">
        <v>186</v>
      </c>
      <c r="C204" s="28">
        <v>2023</v>
      </c>
      <c r="D204" s="196">
        <f>Population!H34</f>
        <v>985065.1738271697</v>
      </c>
      <c r="E204" s="303" t="str">
        <f t="shared" si="42"/>
        <v>Medium</v>
      </c>
      <c r="F204" s="340">
        <f>VLOOKUP(A204,'Household Information'!$H$2:$M$49,6,FALSE)</f>
        <v>3.9813857124502121</v>
      </c>
      <c r="G204" s="196">
        <f t="shared" si="37"/>
        <v>247418</v>
      </c>
      <c r="H204" s="213">
        <f>Area!J34</f>
        <v>345.67980871309334</v>
      </c>
      <c r="J204" s="32">
        <f>D204*Variables!$C$20</f>
        <v>886.55865644445271</v>
      </c>
      <c r="K204" s="202">
        <f t="shared" si="33"/>
        <v>1137.8472300000001</v>
      </c>
      <c r="L204" s="32">
        <f t="shared" si="38"/>
        <v>0</v>
      </c>
      <c r="S204" s="198">
        <f>$L204*Variables!$C$21/100</f>
        <v>0</v>
      </c>
      <c r="T204" s="198">
        <f>$L204*Variables!$C$22/100</f>
        <v>0</v>
      </c>
      <c r="U204" s="198">
        <f>$L204*Variables!$C$23/100</f>
        <v>0</v>
      </c>
      <c r="V204" s="198">
        <f>$L204*Variables!$C$24/100</f>
        <v>0</v>
      </c>
      <c r="W204" s="22">
        <f>S204*Variables!$E$25*Variables!$C$15+'Cost Calculations'!T204*Variables!$E$26*Variables!$C$15+'Cost Calculations'!U204*Variables!$E$27*Variables!$C$15+V204*Variables!$E$28*Variables!$C$15</f>
        <v>0</v>
      </c>
      <c r="X204" s="20">
        <f>J204*Variables!$E$29*Variables!$C$15</f>
        <v>151548.33673261476</v>
      </c>
      <c r="Z204" s="33">
        <f>D204*(IF(D204&lt;50000,0,IF(D204&gt;Variables!$C$7,Variables!$C$37,IF(D204&gt;Variables!$C$6,Variables!$C$36,IF(D204&gt;Variables!$C$5,Variables!$C$35)))))</f>
        <v>492.53258691358485</v>
      </c>
      <c r="AA204" s="34">
        <f t="shared" si="32"/>
        <v>481</v>
      </c>
      <c r="AB204" s="35">
        <f t="shared" si="39"/>
        <v>12</v>
      </c>
      <c r="AC204" s="22">
        <f>AB204*Variables!$E$41</f>
        <v>4435200.0000000009</v>
      </c>
      <c r="AD204" s="115">
        <f>ROUND(IF(D204&lt;50000,0,(H204/(3.14*Variables!$C$34^2))),0)</f>
        <v>440</v>
      </c>
      <c r="AE204" s="116">
        <f t="shared" si="34"/>
        <v>434</v>
      </c>
      <c r="AF204" s="117">
        <f t="shared" si="40"/>
        <v>6</v>
      </c>
      <c r="AG204" s="107">
        <f>AF204*Variables!$E$42*Variables!$C$15</f>
        <v>4065.2640000000001</v>
      </c>
      <c r="AH204" s="199">
        <f>ROUND((Z204)/Variables!$C$40,0)</f>
        <v>4</v>
      </c>
      <c r="AI204" s="33">
        <f t="shared" si="35"/>
        <v>4</v>
      </c>
      <c r="AJ204" s="199">
        <f t="shared" si="43"/>
        <v>0</v>
      </c>
      <c r="AK204" s="22">
        <f>AJ204*Variables!$E$43*Variables!$C$15</f>
        <v>0</v>
      </c>
      <c r="AL204" s="20">
        <f>Z204*Variables!$E$38*Variables!$C$15</f>
        <v>87315443.589655206</v>
      </c>
      <c r="AN204" s="200">
        <f t="shared" si="36"/>
        <v>0.14000000000000001</v>
      </c>
      <c r="AO204" s="201">
        <f t="shared" si="41"/>
        <v>33.443639984581786</v>
      </c>
      <c r="AP204" s="321">
        <f>VLOOKUP(A204,'Household Information'!H:Q,10,FALSE)</f>
        <v>212.04089360090876</v>
      </c>
      <c r="AQ204" s="122">
        <f>IF(12*(AO204-Variables!$C$3*AP204*F204)*(G204/5)&lt;0,0,12*(AO204-Variables!$C$3*AP204*F204)*(G204/5))</f>
        <v>0</v>
      </c>
    </row>
    <row r="205" spans="1:45" ht="14.25" customHeight="1" x14ac:dyDescent="0.35">
      <c r="A205" s="30">
        <v>34</v>
      </c>
      <c r="B205" s="28" t="s">
        <v>187</v>
      </c>
      <c r="C205" s="28">
        <v>2023</v>
      </c>
      <c r="D205" s="196">
        <f>Population!H35</f>
        <v>569845.3103410987</v>
      </c>
      <c r="E205" s="303" t="str">
        <f t="shared" si="42"/>
        <v>Medium</v>
      </c>
      <c r="F205" s="340">
        <f>VLOOKUP(A205,'Household Information'!$H$2:$M$49,6,FALSE)</f>
        <v>4.3021399999999996</v>
      </c>
      <c r="G205" s="196">
        <f t="shared" si="37"/>
        <v>132456</v>
      </c>
      <c r="H205" s="213">
        <f>Area!J35</f>
        <v>105.15780225325075</v>
      </c>
      <c r="J205" s="32">
        <f>D205*Variables!$C$20</f>
        <v>512.86077930698877</v>
      </c>
      <c r="K205" s="202">
        <f t="shared" si="33"/>
        <v>500.98737843800791</v>
      </c>
      <c r="L205" s="32">
        <f t="shared" si="38"/>
        <v>11.873400868980866</v>
      </c>
      <c r="S205" s="198">
        <f>$L205*Variables!$C$21/100</f>
        <v>0.64470954944692482</v>
      </c>
      <c r="T205" s="198">
        <f>$L205*Variables!$C$22/100</f>
        <v>1.1282417115321186</v>
      </c>
      <c r="U205" s="198">
        <f>$L205*Variables!$C$23/100</f>
        <v>1.1819675073193623</v>
      </c>
      <c r="V205" s="198">
        <f>$L205*Variables!$C$24/100</f>
        <v>8.5961273259589976</v>
      </c>
      <c r="W205" s="22">
        <f>S205*Variables!$E$25*Variables!$C$15+'Cost Calculations'!T205*Variables!$E$26*Variables!$C$15+'Cost Calculations'!U205*Variables!$E$27*Variables!$C$15+V205*Variables!$E$28*Variables!$C$15</f>
        <v>7963985.489271462</v>
      </c>
      <c r="X205" s="20">
        <f>J205*Variables!$E$29*Variables!$C$15</f>
        <v>87668.421614736653</v>
      </c>
      <c r="Z205" s="33">
        <f>D205*(IF(D205&lt;50000,0,IF(D205&gt;Variables!$C$7,Variables!$C$37,IF(D205&gt;Variables!$C$6,Variables!$C$36,IF(D205&gt;Variables!$C$5,Variables!$C$35)))))</f>
        <v>284.92265517054938</v>
      </c>
      <c r="AA205" s="34">
        <f t="shared" si="32"/>
        <v>1061</v>
      </c>
      <c r="AB205" s="35">
        <f t="shared" si="39"/>
        <v>0</v>
      </c>
      <c r="AC205" s="22">
        <f>AB205*Variables!$E$41</f>
        <v>0</v>
      </c>
      <c r="AD205" s="115">
        <f>ROUND(IF(D205&lt;50000,0,(H205/(3.14*Variables!$C$34^2))),0)</f>
        <v>134</v>
      </c>
      <c r="AE205" s="116">
        <f t="shared" si="34"/>
        <v>132</v>
      </c>
      <c r="AF205" s="117">
        <f t="shared" si="40"/>
        <v>2</v>
      </c>
      <c r="AG205" s="107">
        <f>AF205*Variables!$E$42*Variables!$C$15</f>
        <v>1355.088</v>
      </c>
      <c r="AH205" s="199">
        <f>ROUND((Z205)/Variables!$C$40,0)</f>
        <v>2</v>
      </c>
      <c r="AI205" s="33">
        <f t="shared" si="35"/>
        <v>2</v>
      </c>
      <c r="AJ205" s="199">
        <f t="shared" si="43"/>
        <v>0</v>
      </c>
      <c r="AK205" s="22">
        <f>AJ205*Variables!$E$43*Variables!$C$15</f>
        <v>0</v>
      </c>
      <c r="AL205" s="20">
        <f>Z205*Variables!$E$38*Variables!$C$15</f>
        <v>50510664.037187397</v>
      </c>
      <c r="AN205" s="200">
        <f t="shared" si="36"/>
        <v>0.21</v>
      </c>
      <c r="AO205" s="201">
        <f t="shared" si="41"/>
        <v>54.206963999999992</v>
      </c>
      <c r="AP205" s="321">
        <f>VLOOKUP(A205,'Household Information'!H:Q,10,FALSE)</f>
        <v>71.56380159030671</v>
      </c>
      <c r="AQ205" s="122">
        <f>IF(12*(AO205-Variables!$C$3*AP205*F205)*(G205/5)&lt;0,0,12*(AO205-Variables!$C$3*AP205*F205)*(G205/5))</f>
        <v>2551210.6421700958</v>
      </c>
    </row>
    <row r="206" spans="1:45" ht="14.25" customHeight="1" x14ac:dyDescent="0.35">
      <c r="A206" s="30">
        <v>35</v>
      </c>
      <c r="B206" s="28" t="s">
        <v>188</v>
      </c>
      <c r="C206" s="28">
        <v>2023</v>
      </c>
      <c r="D206" s="196">
        <f>Population!H36</f>
        <v>242768.45516402824</v>
      </c>
      <c r="E206" s="303" t="str">
        <f t="shared" si="42"/>
        <v>Medium</v>
      </c>
      <c r="F206" s="340">
        <f>VLOOKUP(A206,'Household Information'!$H$2:$M$49,6,FALSE)</f>
        <v>5.0911666666666671</v>
      </c>
      <c r="G206" s="196">
        <f t="shared" si="37"/>
        <v>47684</v>
      </c>
      <c r="H206" s="213">
        <f>Area!J36</f>
        <v>35.760949429935067</v>
      </c>
      <c r="J206" s="32">
        <f>D206*Variables!$C$20</f>
        <v>218.49160964762541</v>
      </c>
      <c r="K206" s="202">
        <f t="shared" si="33"/>
        <v>213.4332418165726</v>
      </c>
      <c r="L206" s="32">
        <f t="shared" si="38"/>
        <v>5.0583678310528057</v>
      </c>
      <c r="S206" s="198">
        <f>$L206*Variables!$C$21/100</f>
        <v>0.27466250666350073</v>
      </c>
      <c r="T206" s="198">
        <f>$L206*Variables!$C$22/100</f>
        <v>0.48065938666112634</v>
      </c>
      <c r="U206" s="198">
        <f>$L206*Variables!$C$23/100</f>
        <v>0.50354792888308475</v>
      </c>
      <c r="V206" s="198">
        <f>$L206*Variables!$C$24/100</f>
        <v>3.6621667555133435</v>
      </c>
      <c r="W206" s="22">
        <f>S206*Variables!$E$25*Variables!$C$15+'Cost Calculations'!T206*Variables!$E$26*Variables!$C$15+'Cost Calculations'!U206*Variables!$E$27*Variables!$C$15+V206*Variables!$E$28*Variables!$C$15</f>
        <v>3392858.4110341654</v>
      </c>
      <c r="X206" s="20">
        <f>J206*Variables!$E$29*Variables!$C$15</f>
        <v>37348.955753165086</v>
      </c>
      <c r="Z206" s="33">
        <f>D206*(IF(D206&lt;50000,0,IF(D206&gt;Variables!$C$7,Variables!$C$37,IF(D206&gt;Variables!$C$6,Variables!$C$36,IF(D206&gt;Variables!$C$5,Variables!$C$35)))))</f>
        <v>121.38422758201412</v>
      </c>
      <c r="AA206" s="34">
        <f t="shared" si="32"/>
        <v>119</v>
      </c>
      <c r="AB206" s="35">
        <f t="shared" si="39"/>
        <v>2</v>
      </c>
      <c r="AC206" s="22">
        <f>AB206*Variables!$E$41</f>
        <v>739200.00000000012</v>
      </c>
      <c r="AD206" s="115">
        <f>ROUND(IF(D206&lt;50000,0,(H206/(3.14*Variables!$C$34^2))),0)</f>
        <v>46</v>
      </c>
      <c r="AE206" s="116">
        <f t="shared" si="34"/>
        <v>45</v>
      </c>
      <c r="AF206" s="117">
        <f t="shared" si="40"/>
        <v>1</v>
      </c>
      <c r="AG206" s="107">
        <f>AF206*Variables!$E$42*Variables!$C$15</f>
        <v>677.54399999999998</v>
      </c>
      <c r="AH206" s="199">
        <f>ROUND((Z206)/Variables!$C$40,0)</f>
        <v>1</v>
      </c>
      <c r="AI206" s="33">
        <f t="shared" si="35"/>
        <v>1</v>
      </c>
      <c r="AJ206" s="199">
        <f t="shared" si="43"/>
        <v>0</v>
      </c>
      <c r="AK206" s="22">
        <f>AJ206*Variables!$E$43*Variables!$C$15</f>
        <v>0</v>
      </c>
      <c r="AL206" s="20">
        <f>Z206*Variables!$E$38*Variables!$C$15</f>
        <v>21518815.115416467</v>
      </c>
      <c r="AN206" s="200">
        <f t="shared" si="36"/>
        <v>0.25221875000000005</v>
      </c>
      <c r="AO206" s="201">
        <f t="shared" si="41"/>
        <v>77.045261562500016</v>
      </c>
      <c r="AP206" s="321">
        <f>VLOOKUP(A206,'Household Information'!H:Q,10,FALSE)</f>
        <v>112.55837435314906</v>
      </c>
      <c r="AQ206" s="122">
        <f>IF(12*(AO206-Variables!$C$3*AP206*F206)*(G206/5)&lt;0,0,12*(AO206-Variables!$C$3*AP206*F206)*(G206/5))</f>
        <v>0</v>
      </c>
    </row>
    <row r="207" spans="1:45" ht="14.25" customHeight="1" x14ac:dyDescent="0.35">
      <c r="A207" s="30">
        <v>36</v>
      </c>
      <c r="B207" s="28" t="s">
        <v>189</v>
      </c>
      <c r="C207" s="28">
        <v>2023</v>
      </c>
      <c r="D207" s="196">
        <f>Population!H37</f>
        <v>1556514.5292965604</v>
      </c>
      <c r="E207" s="303" t="str">
        <f t="shared" si="42"/>
        <v>Large</v>
      </c>
      <c r="F207" s="340">
        <f>VLOOKUP(A207,'Household Information'!$H$2:$M$49,6,FALSE)</f>
        <v>4.8963166666666664</v>
      </c>
      <c r="G207" s="196">
        <f t="shared" si="37"/>
        <v>317895</v>
      </c>
      <c r="H207" s="213">
        <f>Area!J37</f>
        <v>66.972428961979006</v>
      </c>
      <c r="J207" s="32">
        <f>D207*Variables!$C$20</f>
        <v>1400.8630763669044</v>
      </c>
      <c r="K207" s="202">
        <f t="shared" si="33"/>
        <v>1368.4312556089717</v>
      </c>
      <c r="L207" s="32">
        <f t="shared" si="38"/>
        <v>32.431820757932655</v>
      </c>
      <c r="S207" s="198">
        <f>$L207*Variables!$C$21/100</f>
        <v>1.7610038420596914</v>
      </c>
      <c r="T207" s="198">
        <f>$L207*Variables!$C$22/100</f>
        <v>3.0817567236044607</v>
      </c>
      <c r="U207" s="198">
        <f>$L207*Variables!$C$23/100</f>
        <v>3.2285070437761014</v>
      </c>
      <c r="V207" s="198">
        <f>$L207*Variables!$C$24/100</f>
        <v>23.480051227462553</v>
      </c>
      <c r="W207" s="22">
        <f>S207*Variables!$E$25*Variables!$C$15+'Cost Calculations'!T207*Variables!$E$26*Variables!$C$15+'Cost Calculations'!U207*Variables!$E$27*Variables!$C$15+V207*Variables!$E$28*Variables!$C$15</f>
        <v>21753375.697235957</v>
      </c>
      <c r="X207" s="20">
        <f>J207*Variables!$E$29*Variables!$C$15</f>
        <v>239463.53427415862</v>
      </c>
      <c r="Z207" s="33">
        <f>D207*(IF(D207&lt;50000,0,IF(D207&gt;Variables!$C$7,Variables!$C$37,IF(D207&gt;Variables!$C$6,Variables!$C$36,IF(D207&gt;Variables!$C$5,Variables!$C$35)))))</f>
        <v>778.25726464828028</v>
      </c>
      <c r="AA207" s="34">
        <f t="shared" si="32"/>
        <v>760</v>
      </c>
      <c r="AB207" s="35">
        <f t="shared" si="39"/>
        <v>18</v>
      </c>
      <c r="AC207" s="22">
        <f>AB207*Variables!$E$41</f>
        <v>6652800.0000000009</v>
      </c>
      <c r="AD207" s="115">
        <f>ROUND(IF(D207&lt;50000,0,(H207/(3.14*Variables!$C$34^2))),0)</f>
        <v>85</v>
      </c>
      <c r="AE207" s="116">
        <f t="shared" si="34"/>
        <v>84</v>
      </c>
      <c r="AF207" s="117">
        <f t="shared" si="40"/>
        <v>1</v>
      </c>
      <c r="AG207" s="107">
        <f>AF207*Variables!$E$42*Variables!$C$15</f>
        <v>677.54399999999998</v>
      </c>
      <c r="AH207" s="199">
        <f>ROUND((Z207)/Variables!$C$40,0)</f>
        <v>6</v>
      </c>
      <c r="AI207" s="33">
        <f t="shared" si="35"/>
        <v>6</v>
      </c>
      <c r="AJ207" s="199">
        <f t="shared" si="43"/>
        <v>0</v>
      </c>
      <c r="AK207" s="22">
        <f>AJ207*Variables!$E$43*Variables!$C$15</f>
        <v>0</v>
      </c>
      <c r="AL207" s="20">
        <f>Z207*Variables!$E$38*Variables!$C$15</f>
        <v>137968288.99274197</v>
      </c>
      <c r="AN207" s="200">
        <f t="shared" si="36"/>
        <v>0.28000000000000003</v>
      </c>
      <c r="AO207" s="201">
        <f t="shared" si="41"/>
        <v>82.258120000000005</v>
      </c>
      <c r="AP207" s="321">
        <f>VLOOKUP(A207,'Household Information'!H:Q,10,FALSE)</f>
        <v>50.200681560015155</v>
      </c>
      <c r="AQ207" s="122">
        <f>IF(12*(AO207-Variables!$C$3*AP207*F207)*(G207/5)&lt;0,0,12*(AO207-Variables!$C$3*AP207*F207)*(G207/5))</f>
        <v>34628954.617096089</v>
      </c>
    </row>
    <row r="208" spans="1:45" ht="14.25" customHeight="1" x14ac:dyDescent="0.35">
      <c r="A208" s="30">
        <v>37</v>
      </c>
      <c r="B208" s="28" t="s">
        <v>190</v>
      </c>
      <c r="C208" s="28">
        <v>2023</v>
      </c>
      <c r="D208" s="196">
        <f>Population!H38</f>
        <v>259689.74047693654</v>
      </c>
      <c r="E208" s="303" t="str">
        <f t="shared" si="42"/>
        <v>Medium</v>
      </c>
      <c r="F208" s="340">
        <f>VLOOKUP(A208,'Household Information'!$H$2:$M$49,6,FALSE)</f>
        <v>5.027102564102564</v>
      </c>
      <c r="G208" s="196">
        <f t="shared" si="37"/>
        <v>51658</v>
      </c>
      <c r="H208" s="213">
        <f>Area!J38</f>
        <v>28.143232391605704</v>
      </c>
      <c r="J208" s="32">
        <f>D208*Variables!$C$20</f>
        <v>233.72076642924287</v>
      </c>
      <c r="K208" s="202">
        <f t="shared" si="33"/>
        <v>228.30982360969313</v>
      </c>
      <c r="L208" s="32">
        <f t="shared" si="38"/>
        <v>5.4109428195497458</v>
      </c>
      <c r="S208" s="198">
        <f>$L208*Variables!$C$21/100</f>
        <v>0.29380684993030287</v>
      </c>
      <c r="T208" s="198">
        <f>$L208*Variables!$C$22/100</f>
        <v>0.51416198737803009</v>
      </c>
      <c r="U208" s="198">
        <f>$L208*Variables!$C$23/100</f>
        <v>0.53864589153888875</v>
      </c>
      <c r="V208" s="198">
        <f>$L208*Variables!$C$24/100</f>
        <v>3.9174246657373728</v>
      </c>
      <c r="W208" s="22">
        <f>S208*Variables!$E$25*Variables!$C$15+'Cost Calculations'!T208*Variables!$E$26*Variables!$C$15+'Cost Calculations'!U208*Variables!$E$27*Variables!$C$15+V208*Variables!$E$28*Variables!$C$15</f>
        <v>3629345.1702410663</v>
      </c>
      <c r="X208" s="20">
        <f>J208*Variables!$E$29*Variables!$C$15</f>
        <v>39952.227813414778</v>
      </c>
      <c r="Z208" s="33">
        <f>D208*(IF(D208&lt;50000,0,IF(D208&gt;Variables!$C$7,Variables!$C$37,IF(D208&gt;Variables!$C$6,Variables!$C$36,IF(D208&gt;Variables!$C$5,Variables!$C$35)))))</f>
        <v>129.84487023846827</v>
      </c>
      <c r="AA208" s="34">
        <f t="shared" si="32"/>
        <v>127</v>
      </c>
      <c r="AB208" s="35">
        <f t="shared" si="39"/>
        <v>3</v>
      </c>
      <c r="AC208" s="22">
        <f>AB208*Variables!$E$41</f>
        <v>1108800.0000000002</v>
      </c>
      <c r="AD208" s="115">
        <f>ROUND(IF(D208&lt;50000,0,(H208/(3.14*Variables!$C$34^2))),0)</f>
        <v>36</v>
      </c>
      <c r="AE208" s="116">
        <f t="shared" si="34"/>
        <v>35</v>
      </c>
      <c r="AF208" s="117">
        <f t="shared" si="40"/>
        <v>1</v>
      </c>
      <c r="AG208" s="107">
        <f>AF208*Variables!$E$42*Variables!$C$15</f>
        <v>677.54399999999998</v>
      </c>
      <c r="AH208" s="199">
        <f>ROUND((Z208)/Variables!$C$40,0)</f>
        <v>1</v>
      </c>
      <c r="AI208" s="33">
        <f t="shared" si="35"/>
        <v>1</v>
      </c>
      <c r="AJ208" s="199">
        <f t="shared" si="43"/>
        <v>0</v>
      </c>
      <c r="AK208" s="22">
        <f>AJ208*Variables!$E$43*Variables!$C$15</f>
        <v>0</v>
      </c>
      <c r="AL208" s="20">
        <f>Z208*Variables!$E$38*Variables!$C$15</f>
        <v>23018705.247013927</v>
      </c>
      <c r="AN208" s="200">
        <f t="shared" si="36"/>
        <v>0.14000000000000001</v>
      </c>
      <c r="AO208" s="201">
        <f t="shared" si="41"/>
        <v>42.22766153846154</v>
      </c>
      <c r="AP208" s="321">
        <f>VLOOKUP(A208,'Household Information'!H:Q,10,FALSE)</f>
        <v>74.965290925154619</v>
      </c>
      <c r="AQ208" s="122">
        <f>IF(12*(AO208-Variables!$C$3*AP208*F208)*(G208/5)&lt;0,0,12*(AO208-Variables!$C$3*AP208*F208)*(G208/5))</f>
        <v>0</v>
      </c>
    </row>
    <row r="209" spans="1:43" ht="14.25" customHeight="1" x14ac:dyDescent="0.35">
      <c r="A209" s="30">
        <v>38</v>
      </c>
      <c r="B209" s="28" t="s">
        <v>191</v>
      </c>
      <c r="C209" s="28">
        <v>2023</v>
      </c>
      <c r="D209" s="196">
        <f>Population!H39</f>
        <v>1142032.4470957567</v>
      </c>
      <c r="E209" s="303" t="str">
        <f t="shared" si="42"/>
        <v>Large</v>
      </c>
      <c r="F209" s="340">
        <f>VLOOKUP(A209,'Household Information'!$H$2:$M$49,6,FALSE)</f>
        <v>4.5378736842105267</v>
      </c>
      <c r="G209" s="196">
        <f t="shared" si="37"/>
        <v>251667</v>
      </c>
      <c r="H209" s="213">
        <f>Area!J39</f>
        <v>113.20773931961695</v>
      </c>
      <c r="J209" s="32">
        <f>D209*Variables!$C$20</f>
        <v>1027.8292023861809</v>
      </c>
      <c r="K209" s="202">
        <f t="shared" si="33"/>
        <v>1004.0336059257407</v>
      </c>
      <c r="L209" s="32">
        <f t="shared" si="38"/>
        <v>23.795596460440152</v>
      </c>
      <c r="S209" s="198">
        <f>$L209*Variables!$C$21/100</f>
        <v>1.2920685860872478</v>
      </c>
      <c r="T209" s="198">
        <f>$L209*Variables!$C$22/100</f>
        <v>2.261120025652684</v>
      </c>
      <c r="U209" s="198">
        <f>$L209*Variables!$C$23/100</f>
        <v>2.3687924078266214</v>
      </c>
      <c r="V209" s="198">
        <f>$L209*Variables!$C$24/100</f>
        <v>17.227581147829973</v>
      </c>
      <c r="W209" s="22">
        <f>S209*Variables!$E$25*Variables!$C$15+'Cost Calculations'!T209*Variables!$E$26*Variables!$C$15+'Cost Calculations'!U209*Variables!$E$27*Variables!$C$15+V209*Variables!$E$28*Variables!$C$15</f>
        <v>15960699.635316094</v>
      </c>
      <c r="X209" s="20">
        <f>J209*Variables!$E$29*Variables!$C$15</f>
        <v>175697.12385589376</v>
      </c>
      <c r="Z209" s="33">
        <f>D209*(IF(D209&lt;50000,0,IF(D209&gt;Variables!$C$7,Variables!$C$37,IF(D209&gt;Variables!$C$6,Variables!$C$36,IF(D209&gt;Variables!$C$5,Variables!$C$35)))))</f>
        <v>571.01622354787833</v>
      </c>
      <c r="AA209" s="34">
        <f t="shared" si="32"/>
        <v>558</v>
      </c>
      <c r="AB209" s="35">
        <f t="shared" si="39"/>
        <v>13</v>
      </c>
      <c r="AC209" s="22">
        <f>AB209*Variables!$E$41</f>
        <v>4804800.0000000009</v>
      </c>
      <c r="AD209" s="115">
        <f>ROUND(IF(D209&lt;50000,0,(H209/(3.14*Variables!$C$34^2))),0)</f>
        <v>144</v>
      </c>
      <c r="AE209" s="116">
        <f t="shared" si="34"/>
        <v>142</v>
      </c>
      <c r="AF209" s="117">
        <f t="shared" si="40"/>
        <v>2</v>
      </c>
      <c r="AG209" s="107">
        <f>AF209*Variables!$E$42*Variables!$C$15</f>
        <v>1355.088</v>
      </c>
      <c r="AH209" s="199">
        <f>ROUND((Z209)/Variables!$C$40,0)</f>
        <v>5</v>
      </c>
      <c r="AI209" s="33">
        <f t="shared" si="35"/>
        <v>4</v>
      </c>
      <c r="AJ209" s="199">
        <f t="shared" si="43"/>
        <v>1</v>
      </c>
      <c r="AK209" s="22">
        <f>AJ209*Variables!$E$43*Variables!$C$15</f>
        <v>552717.39600000007</v>
      </c>
      <c r="AL209" s="20">
        <f>Z209*Variables!$E$38*Variables!$C$15</f>
        <v>101228905.8240941</v>
      </c>
      <c r="AN209" s="200">
        <f t="shared" si="36"/>
        <v>0.21</v>
      </c>
      <c r="AO209" s="201">
        <f t="shared" si="41"/>
        <v>57.177208421052633</v>
      </c>
      <c r="AP209" s="321">
        <f>VLOOKUP(A209,'Household Information'!H:Q,10,FALSE)</f>
        <v>100.71942446043167</v>
      </c>
      <c r="AQ209" s="122">
        <f>IF(12*(AO209-Variables!$C$3*AP209*F209)*(G209/5)&lt;0,0,12*(AO209-Variables!$C$3*AP209*F209)*(G209/5))</f>
        <v>0</v>
      </c>
    </row>
    <row r="210" spans="1:43" ht="14.25" customHeight="1" x14ac:dyDescent="0.35">
      <c r="A210" s="30">
        <v>39</v>
      </c>
      <c r="B210" s="28" t="s">
        <v>192</v>
      </c>
      <c r="C210" s="28">
        <v>2023</v>
      </c>
      <c r="D210" s="196">
        <f>Population!H40</f>
        <v>94017.4427796659</v>
      </c>
      <c r="E210" s="303" t="str">
        <f t="shared" si="42"/>
        <v>Small</v>
      </c>
      <c r="F210" s="340">
        <f>VLOOKUP(A210,'Household Information'!$H$2:$M$49,6,FALSE)</f>
        <v>3.6693548387096775</v>
      </c>
      <c r="G210" s="196">
        <f t="shared" si="37"/>
        <v>25622</v>
      </c>
      <c r="H210" s="213">
        <f>Area!J40</f>
        <v>26.979414510749837</v>
      </c>
      <c r="J210" s="32">
        <f>D210*Variables!$C$20</f>
        <v>84.615698501699313</v>
      </c>
      <c r="K210" s="202">
        <f t="shared" si="33"/>
        <v>82.65673390807784</v>
      </c>
      <c r="L210" s="32">
        <f t="shared" si="38"/>
        <v>1.9589645936214737</v>
      </c>
      <c r="S210" s="198">
        <f>$L210*Variables!$C$21/100</f>
        <v>0.10636911820569087</v>
      </c>
      <c r="T210" s="198">
        <f>$L210*Variables!$C$22/100</f>
        <v>0.18614595685995905</v>
      </c>
      <c r="U210" s="198">
        <f>$L210*Variables!$C$23/100</f>
        <v>0.19501005004376662</v>
      </c>
      <c r="V210" s="198">
        <f>$L210*Variables!$C$24/100</f>
        <v>1.4182549094092116</v>
      </c>
      <c r="W210" s="22">
        <f>S210*Variables!$E$25*Variables!$C$15+'Cost Calculations'!T210*Variables!$E$26*Variables!$C$15+'Cost Calculations'!U210*Variables!$E$27*Variables!$C$15+V210*Variables!$E$28*Variables!$C$15</f>
        <v>1313959.3086893801</v>
      </c>
      <c r="X210" s="20">
        <f>J210*Variables!$E$29*Variables!$C$15</f>
        <v>14464.207501880481</v>
      </c>
      <c r="Z210" s="33">
        <f>D210*(IF(D210&lt;50000,0,IF(D210&gt;Variables!$C$7,Variables!$C$37,IF(D210&gt;Variables!$C$6,Variables!$C$36,IF(D210&gt;Variables!$C$5,Variables!$C$35)))))</f>
        <v>47.008721389832949</v>
      </c>
      <c r="AA210" s="34">
        <f t="shared" si="32"/>
        <v>46</v>
      </c>
      <c r="AB210" s="35">
        <f t="shared" si="39"/>
        <v>1</v>
      </c>
      <c r="AC210" s="22">
        <f>AB210*Variables!$E$41</f>
        <v>369600.00000000006</v>
      </c>
      <c r="AD210" s="115">
        <f>ROUND(IF(D210&lt;50000,0,(H210/(3.14*Variables!$C$34^2))),0)</f>
        <v>34</v>
      </c>
      <c r="AE210" s="116">
        <f t="shared" si="34"/>
        <v>34</v>
      </c>
      <c r="AF210" s="117">
        <f t="shared" si="40"/>
        <v>0</v>
      </c>
      <c r="AG210" s="107">
        <f>AF210*Variables!$E$42*Variables!$C$15</f>
        <v>0</v>
      </c>
      <c r="AH210" s="199">
        <f>ROUND((Z210)/Variables!$C$40,0)</f>
        <v>0</v>
      </c>
      <c r="AI210" s="33">
        <f t="shared" si="35"/>
        <v>0</v>
      </c>
      <c r="AJ210" s="199">
        <f t="shared" si="43"/>
        <v>0</v>
      </c>
      <c r="AK210" s="22">
        <f>AJ210*Variables!$E$43*Variables!$C$15</f>
        <v>0</v>
      </c>
      <c r="AL210" s="20">
        <f>Z210*Variables!$E$38*Variables!$C$15</f>
        <v>8333636.128437385</v>
      </c>
      <c r="AN210" s="200">
        <f t="shared" si="36"/>
        <v>0.25221875000000005</v>
      </c>
      <c r="AO210" s="201">
        <f t="shared" si="41"/>
        <v>55.5288054435484</v>
      </c>
      <c r="AP210" s="321">
        <f>VLOOKUP(A210,'Household Information'!H:Q,10,FALSE)</f>
        <v>69.973494888299896</v>
      </c>
      <c r="AQ210" s="122">
        <f>IF(12*(AO210-Variables!$C$3*AP210*F210)*(G210/5)&lt;0,0,12*(AO210-Variables!$C$3*AP210*F210)*(G210/5))</f>
        <v>1046310.3311581484</v>
      </c>
    </row>
    <row r="211" spans="1:43" ht="14.25" customHeight="1" x14ac:dyDescent="0.35">
      <c r="A211" s="30">
        <v>40</v>
      </c>
      <c r="B211" s="28" t="s">
        <v>193</v>
      </c>
      <c r="C211" s="28">
        <v>2023</v>
      </c>
      <c r="D211" s="196">
        <f>Population!H41</f>
        <v>167869.74680365931</v>
      </c>
      <c r="E211" s="303" t="str">
        <f t="shared" si="42"/>
        <v>Medium</v>
      </c>
      <c r="F211" s="340">
        <f>VLOOKUP(A211,'Household Information'!$H$2:$M$49,6,FALSE)</f>
        <v>4.2245333333333335</v>
      </c>
      <c r="G211" s="196">
        <f t="shared" si="37"/>
        <v>39737</v>
      </c>
      <c r="H211" s="213">
        <f>Area!J41</f>
        <v>37.665378689517411</v>
      </c>
      <c r="J211" s="32">
        <f>D211*Variables!$C$20</f>
        <v>151.08277212329338</v>
      </c>
      <c r="K211" s="202">
        <f t="shared" si="33"/>
        <v>172.36096000000003</v>
      </c>
      <c r="L211" s="32">
        <f t="shared" si="38"/>
        <v>0</v>
      </c>
      <c r="S211" s="198">
        <f>$L211*Variables!$C$21/100</f>
        <v>0</v>
      </c>
      <c r="T211" s="198">
        <f>$L211*Variables!$C$22/100</f>
        <v>0</v>
      </c>
      <c r="U211" s="198">
        <f>$L211*Variables!$C$23/100</f>
        <v>0</v>
      </c>
      <c r="V211" s="198">
        <f>$L211*Variables!$C$24/100</f>
        <v>0</v>
      </c>
      <c r="W211" s="22">
        <f>S211*Variables!$E$25*Variables!$C$15+'Cost Calculations'!T211*Variables!$E$26*Variables!$C$15+'Cost Calculations'!U211*Variables!$E$27*Variables!$C$15+V211*Variables!$E$28*Variables!$C$15</f>
        <v>0</v>
      </c>
      <c r="X211" s="20">
        <f>J211*Variables!$E$29*Variables!$C$15</f>
        <v>25826.089066755769</v>
      </c>
      <c r="Z211" s="33">
        <f>D211*(IF(D211&lt;50000,0,IF(D211&gt;Variables!$C$7,Variables!$C$37,IF(D211&gt;Variables!$C$6,Variables!$C$36,IF(D211&gt;Variables!$C$5,Variables!$C$35)))))</f>
        <v>83.934873401829648</v>
      </c>
      <c r="AA211" s="34">
        <f t="shared" si="32"/>
        <v>82</v>
      </c>
      <c r="AB211" s="35">
        <f t="shared" si="39"/>
        <v>2</v>
      </c>
      <c r="AC211" s="22">
        <f>AB211*Variables!$E$41</f>
        <v>739200.00000000012</v>
      </c>
      <c r="AD211" s="115">
        <f>ROUND(IF(D211&lt;50000,0,(H211/(3.14*Variables!$C$34^2))),0)</f>
        <v>48</v>
      </c>
      <c r="AE211" s="116">
        <f t="shared" si="34"/>
        <v>47</v>
      </c>
      <c r="AF211" s="117">
        <f t="shared" si="40"/>
        <v>1</v>
      </c>
      <c r="AG211" s="107">
        <f>AF211*Variables!$E$42*Variables!$C$15</f>
        <v>677.54399999999998</v>
      </c>
      <c r="AH211" s="199">
        <f>ROUND((Z211)/Variables!$C$40,0)</f>
        <v>1</v>
      </c>
      <c r="AI211" s="33">
        <f t="shared" si="35"/>
        <v>1</v>
      </c>
      <c r="AJ211" s="199">
        <f t="shared" si="43"/>
        <v>0</v>
      </c>
      <c r="AK211" s="22">
        <f>AJ211*Variables!$E$43*Variables!$C$15</f>
        <v>0</v>
      </c>
      <c r="AL211" s="20">
        <f>Z211*Variables!$E$38*Variables!$C$15</f>
        <v>14879849.371282622</v>
      </c>
      <c r="AN211" s="200">
        <f t="shared" si="36"/>
        <v>0.28000000000000003</v>
      </c>
      <c r="AO211" s="201">
        <f t="shared" si="41"/>
        <v>70.972160000000002</v>
      </c>
      <c r="AP211" s="321">
        <f>VLOOKUP(A211,'Household Information'!H:Q,10,FALSE)</f>
        <v>73.754890824182766</v>
      </c>
      <c r="AQ211" s="122">
        <f>IF(12*(AO211-Variables!$C$3*AP211*F211)*(G211/5)&lt;0,0,12*(AO211-Variables!$C$3*AP211*F211)*(G211/5))</f>
        <v>2311278.2016371246</v>
      </c>
    </row>
    <row r="212" spans="1:43" ht="14.25" customHeight="1" x14ac:dyDescent="0.35">
      <c r="A212" s="30">
        <v>41</v>
      </c>
      <c r="B212" s="28" t="s">
        <v>194</v>
      </c>
      <c r="C212" s="28">
        <v>2023</v>
      </c>
      <c r="D212" s="196">
        <f>Population!H42</f>
        <v>80798.30951760523</v>
      </c>
      <c r="E212" s="303" t="str">
        <f t="shared" si="42"/>
        <v>Small</v>
      </c>
      <c r="F212" s="340">
        <f>VLOOKUP(A212,'Household Information'!$H$2:$M$49,6,FALSE)</f>
        <v>6.1423824388279122</v>
      </c>
      <c r="G212" s="196">
        <f t="shared" si="37"/>
        <v>13154</v>
      </c>
      <c r="H212" s="213">
        <f>Area!J42</f>
        <v>15.023830825594022</v>
      </c>
      <c r="J212" s="32">
        <f>D212*Variables!$C$20</f>
        <v>72.718478565844705</v>
      </c>
      <c r="K212" s="202">
        <f t="shared" si="33"/>
        <v>71.034950245037308</v>
      </c>
      <c r="L212" s="32">
        <f t="shared" si="38"/>
        <v>1.6835283208073974</v>
      </c>
      <c r="S212" s="198">
        <f>$L212*Variables!$C$21/100</f>
        <v>9.1413302487279482E-2</v>
      </c>
      <c r="T212" s="198">
        <f>$L212*Variables!$C$22/100</f>
        <v>0.15997327935273911</v>
      </c>
      <c r="U212" s="198">
        <f>$L212*Variables!$C$23/100</f>
        <v>0.16759105456001241</v>
      </c>
      <c r="V212" s="198">
        <f>$L212*Variables!$C$24/100</f>
        <v>1.2188440331637267</v>
      </c>
      <c r="W212" s="22">
        <f>S212*Variables!$E$25*Variables!$C$15+'Cost Calculations'!T212*Variables!$E$26*Variables!$C$15+'Cost Calculations'!U212*Variables!$E$27*Variables!$C$15+V212*Variables!$E$28*Variables!$C$15</f>
        <v>1129212.7054107019</v>
      </c>
      <c r="X212" s="20">
        <f>J212*Variables!$E$29*Variables!$C$15</f>
        <v>12430.496726045494</v>
      </c>
      <c r="Z212" s="33">
        <f>D212*(IF(D212&lt;50000,0,IF(D212&gt;Variables!$C$7,Variables!$C$37,IF(D212&gt;Variables!$C$6,Variables!$C$36,IF(D212&gt;Variables!$C$5,Variables!$C$35)))))</f>
        <v>40.399154758802617</v>
      </c>
      <c r="AA212" s="34">
        <f t="shared" si="32"/>
        <v>39</v>
      </c>
      <c r="AB212" s="35">
        <f t="shared" si="39"/>
        <v>1</v>
      </c>
      <c r="AC212" s="22">
        <f>AB212*Variables!$E$41</f>
        <v>369600.00000000006</v>
      </c>
      <c r="AD212" s="115">
        <f>ROUND(IF(D212&lt;50000,0,(H212/(3.14*Variables!$C$34^2))),0)</f>
        <v>19</v>
      </c>
      <c r="AE212" s="116">
        <f t="shared" si="34"/>
        <v>19</v>
      </c>
      <c r="AF212" s="117">
        <f t="shared" si="40"/>
        <v>0</v>
      </c>
      <c r="AG212" s="107">
        <f>AF212*Variables!$E$42*Variables!$C$15</f>
        <v>0</v>
      </c>
      <c r="AH212" s="199">
        <f>ROUND((Z212)/Variables!$C$40,0)</f>
        <v>0</v>
      </c>
      <c r="AI212" s="33">
        <f t="shared" si="35"/>
        <v>0</v>
      </c>
      <c r="AJ212" s="199">
        <f t="shared" si="43"/>
        <v>0</v>
      </c>
      <c r="AK212" s="22">
        <f>AJ212*Variables!$E$43*Variables!$C$15</f>
        <v>0</v>
      </c>
      <c r="AL212" s="20">
        <f>Z212*Variables!$E$38*Variables!$C$15</f>
        <v>7161901.9982344387</v>
      </c>
      <c r="AN212" s="200">
        <f t="shared" si="36"/>
        <v>0.25221875000000005</v>
      </c>
      <c r="AO212" s="201">
        <f t="shared" si="41"/>
        <v>92.953441244587665</v>
      </c>
      <c r="AP212" s="321">
        <f>VLOOKUP(A212,'Household Information'!H:Q,10,FALSE)</f>
        <v>110.04922377887165</v>
      </c>
      <c r="AQ212" s="122">
        <f>IF(12*(AO212-Variables!$C$3*AP212*F212)*(G212/5)&lt;0,0,12*(AO212-Variables!$C$3*AP212*F212)*(G212/5))</f>
        <v>0</v>
      </c>
    </row>
    <row r="213" spans="1:43" ht="14.25" customHeight="1" x14ac:dyDescent="0.35">
      <c r="A213" s="30">
        <v>42</v>
      </c>
      <c r="B213" s="28" t="s">
        <v>195</v>
      </c>
      <c r="C213" s="28">
        <v>2023</v>
      </c>
      <c r="D213" s="196">
        <f>Population!H43</f>
        <v>100057.44755671966</v>
      </c>
      <c r="E213" s="303" t="str">
        <f t="shared" si="42"/>
        <v>Medium</v>
      </c>
      <c r="F213" s="340">
        <f>VLOOKUP(A213,'Household Information'!$H$2:$M$49,6,FALSE)</f>
        <v>4.2419137466307282</v>
      </c>
      <c r="G213" s="196">
        <f t="shared" si="37"/>
        <v>23588</v>
      </c>
      <c r="H213" s="213">
        <f>Area!J43</f>
        <v>15.870243829852841</v>
      </c>
      <c r="J213" s="32">
        <f>D213*Variables!$C$20</f>
        <v>90.051702801047696</v>
      </c>
      <c r="K213" s="202">
        <f t="shared" si="33"/>
        <v>110.2884</v>
      </c>
      <c r="L213" s="32">
        <f t="shared" si="38"/>
        <v>0</v>
      </c>
      <c r="S213" s="198">
        <f>$L213*Variables!$C$21/100</f>
        <v>0</v>
      </c>
      <c r="T213" s="198">
        <f>$L213*Variables!$C$22/100</f>
        <v>0</v>
      </c>
      <c r="U213" s="198">
        <f>$L213*Variables!$C$23/100</f>
        <v>0</v>
      </c>
      <c r="V213" s="198">
        <f>$L213*Variables!$C$24/100</f>
        <v>0</v>
      </c>
      <c r="W213" s="22">
        <f>S213*Variables!$E$25*Variables!$C$15+'Cost Calculations'!T213*Variables!$E$26*Variables!$C$15+'Cost Calculations'!U213*Variables!$E$27*Variables!$C$15+V213*Variables!$E$28*Variables!$C$15</f>
        <v>0</v>
      </c>
      <c r="X213" s="20">
        <f>J213*Variables!$E$29*Variables!$C$15</f>
        <v>15393.438076811093</v>
      </c>
      <c r="Z213" s="33">
        <f>D213*(IF(D213&lt;50000,0,IF(D213&gt;Variables!$C$7,Variables!$C$37,IF(D213&gt;Variables!$C$6,Variables!$C$36,IF(D213&gt;Variables!$C$5,Variables!$C$35)))))</f>
        <v>50.028723778359833</v>
      </c>
      <c r="AA213" s="34">
        <f t="shared" si="32"/>
        <v>49</v>
      </c>
      <c r="AB213" s="35">
        <f t="shared" si="39"/>
        <v>1</v>
      </c>
      <c r="AC213" s="22">
        <f>AB213*Variables!$E$41</f>
        <v>369600.00000000006</v>
      </c>
      <c r="AD213" s="115">
        <f>ROUND(IF(D213&lt;50000,0,(H213/(3.14*Variables!$C$34^2))),0)</f>
        <v>20</v>
      </c>
      <c r="AE213" s="116">
        <f t="shared" si="34"/>
        <v>20</v>
      </c>
      <c r="AF213" s="117">
        <f t="shared" si="40"/>
        <v>0</v>
      </c>
      <c r="AG213" s="107">
        <f>AF213*Variables!$E$42*Variables!$C$15</f>
        <v>0</v>
      </c>
      <c r="AH213" s="199">
        <f>ROUND((Z213)/Variables!$C$40,0)</f>
        <v>0</v>
      </c>
      <c r="AI213" s="33">
        <f t="shared" si="35"/>
        <v>0</v>
      </c>
      <c r="AJ213" s="199">
        <f t="shared" si="43"/>
        <v>0</v>
      </c>
      <c r="AK213" s="22">
        <f>AJ213*Variables!$E$43*Variables!$C$15</f>
        <v>0</v>
      </c>
      <c r="AL213" s="20">
        <f>Z213*Variables!$E$38*Variables!$C$15</f>
        <v>8869017.6548627801</v>
      </c>
      <c r="AN213" s="200">
        <f t="shared" si="36"/>
        <v>0.25221875000000005</v>
      </c>
      <c r="AO213" s="201">
        <f t="shared" si="41"/>
        <v>64.193410966981148</v>
      </c>
      <c r="AP213" s="321">
        <f>VLOOKUP(A213,'Household Information'!H:Q,10,FALSE)</f>
        <v>81.833648870377388</v>
      </c>
      <c r="AQ213" s="122">
        <f>IF(12*(AO213-Variables!$C$3*AP213*F213)*(G213/5)&lt;0,0,12*(AO213-Variables!$C$3*AP213*F213)*(G213/5))</f>
        <v>686338.27850247954</v>
      </c>
    </row>
    <row r="214" spans="1:43" ht="14.25" customHeight="1" x14ac:dyDescent="0.35">
      <c r="A214" s="30">
        <v>1</v>
      </c>
      <c r="B214" s="28" t="s">
        <v>154</v>
      </c>
      <c r="C214" s="28">
        <v>2024</v>
      </c>
      <c r="D214" s="196">
        <f>Population!I2</f>
        <v>542387.25629814435</v>
      </c>
      <c r="E214" s="303" t="str">
        <f t="shared" si="42"/>
        <v>Medium</v>
      </c>
      <c r="F214" s="340">
        <f>VLOOKUP(A214,'Household Information'!$H$2:$M$49,6,FALSE)</f>
        <v>3.974207650273224</v>
      </c>
      <c r="G214" s="196">
        <f t="shared" si="37"/>
        <v>136477</v>
      </c>
      <c r="H214" s="213">
        <f>Area!K2</f>
        <v>110.10202949640043</v>
      </c>
      <c r="J214" s="32">
        <f>D214*Variables!$C$20</f>
        <v>488.1485306683299</v>
      </c>
      <c r="K214" s="202">
        <f t="shared" si="33"/>
        <v>476.84725082380567</v>
      </c>
      <c r="L214" s="32">
        <f t="shared" si="38"/>
        <v>11.301279844524231</v>
      </c>
      <c r="S214" s="198">
        <f>$L214*Variables!$C$21/100</f>
        <v>0.61364415445380427</v>
      </c>
      <c r="T214" s="198">
        <f>$L214*Variables!$C$22/100</f>
        <v>1.0738772702941577</v>
      </c>
      <c r="U214" s="198">
        <f>$L214*Variables!$C$23/100</f>
        <v>1.125014283165308</v>
      </c>
      <c r="V214" s="198">
        <f>$L214*Variables!$C$24/100</f>
        <v>8.1819220593840587</v>
      </c>
      <c r="W214" s="22">
        <f>S214*Variables!$E$25*Variables!$C$15+'Cost Calculations'!T214*Variables!$E$26*Variables!$C$15+'Cost Calculations'!U214*Variables!$E$27*Variables!$C$15+V214*Variables!$E$28*Variables!$C$15</f>
        <v>7580240.0411763657</v>
      </c>
      <c r="X214" s="20">
        <f>J214*Variables!$E$29*Variables!$C$15</f>
        <v>83444.109832444316</v>
      </c>
      <c r="Z214" s="33">
        <f>D214*(IF(D214&lt;50000,0,IF(D214&gt;Variables!$C$7,Variables!$C$37,IF(D214&gt;Variables!$C$6,Variables!$C$36,IF(D214&gt;Variables!$C$5,Variables!$C$35)))))</f>
        <v>271.1936281490722</v>
      </c>
      <c r="AA214" s="34">
        <f t="shared" si="32"/>
        <v>265</v>
      </c>
      <c r="AB214" s="35">
        <f t="shared" si="39"/>
        <v>6</v>
      </c>
      <c r="AC214" s="22">
        <f>AB214*Variables!$E$41</f>
        <v>2217600.0000000005</v>
      </c>
      <c r="AD214" s="115">
        <f>ROUND(IF(D214&lt;50000,0,(H214/(3.14*Variables!$C$34^2))),0)</f>
        <v>140</v>
      </c>
      <c r="AE214" s="116">
        <f>AE172+AF172</f>
        <v>138</v>
      </c>
      <c r="AF214" s="117">
        <f t="shared" si="40"/>
        <v>2</v>
      </c>
      <c r="AG214" s="107">
        <f>AF214*Variables!$E$42*Variables!$C$15</f>
        <v>1355.088</v>
      </c>
      <c r="AH214" s="199">
        <f>ROUND((Z214)/Variables!$C$40,0)</f>
        <v>2</v>
      </c>
      <c r="AI214" s="33">
        <f t="shared" si="35"/>
        <v>2</v>
      </c>
      <c r="AJ214" s="199">
        <f t="shared" si="43"/>
        <v>0</v>
      </c>
      <c r="AK214" s="22">
        <f>AJ214*Variables!$E$43*Variables!$C$15</f>
        <v>0</v>
      </c>
      <c r="AL214" s="20">
        <f>Z214*Variables!$E$38*Variables!$C$15</f>
        <v>48076802.57038264</v>
      </c>
      <c r="AN214" s="200">
        <f t="shared" si="36"/>
        <v>0.14000000000000001</v>
      </c>
      <c r="AO214" s="201">
        <f t="shared" si="41"/>
        <v>33.383344262295083</v>
      </c>
      <c r="AP214" s="321">
        <f>VLOOKUP(A214,'Household Information'!H:Q,10,FALSE)</f>
        <v>73.860911270983223</v>
      </c>
      <c r="AQ214" s="122">
        <f>IF(12*(AO214-Variables!$C$3*AP214*F214)*(G214/5)&lt;0,0,12*(AO214-Variables!$C$3*AP214*F214)*(G214/5))</f>
        <v>0</v>
      </c>
    </row>
    <row r="215" spans="1:43" ht="14.25" customHeight="1" x14ac:dyDescent="0.35">
      <c r="A215" s="30">
        <v>2</v>
      </c>
      <c r="B215" s="28" t="s">
        <v>155</v>
      </c>
      <c r="C215" s="28">
        <v>2024</v>
      </c>
      <c r="D215" s="196">
        <f>Population!I3</f>
        <v>397858.76939724683</v>
      </c>
      <c r="E215" s="303" t="str">
        <f t="shared" si="42"/>
        <v>Medium</v>
      </c>
      <c r="F215" s="340">
        <f>VLOOKUP(A215,'Household Information'!$H$2:$M$49,6,FALSE)</f>
        <v>4.8390533520244086</v>
      </c>
      <c r="G215" s="196">
        <f t="shared" si="37"/>
        <v>82218</v>
      </c>
      <c r="H215" s="213">
        <f>Area!K3</f>
        <v>662.06088789282887</v>
      </c>
      <c r="J215" s="32">
        <f>D215*Variables!$C$20</f>
        <v>358.07289245752213</v>
      </c>
      <c r="K215" s="202">
        <f t="shared" si="33"/>
        <v>349.78303453894904</v>
      </c>
      <c r="L215" s="32">
        <f t="shared" si="38"/>
        <v>8.289857918573091</v>
      </c>
      <c r="S215" s="198">
        <f>$L215*Variables!$C$21/100</f>
        <v>0.45012803177772431</v>
      </c>
      <c r="T215" s="198">
        <f>$L215*Variables!$C$22/100</f>
        <v>0.78772405561101766</v>
      </c>
      <c r="U215" s="198">
        <f>$L215*Variables!$C$23/100</f>
        <v>0.82523472492582817</v>
      </c>
      <c r="V215" s="198">
        <f>$L215*Variables!$C$24/100</f>
        <v>6.0017070903696581</v>
      </c>
      <c r="W215" s="22">
        <f>S215*Variables!$E$25*Variables!$C$15+'Cost Calculations'!T215*Variables!$E$26*Variables!$C$15+'Cost Calculations'!U215*Variables!$E$27*Variables!$C$15+V215*Variables!$E$28*Variables!$C$15</f>
        <v>5560353.6762677301</v>
      </c>
      <c r="X215" s="20">
        <f>J215*Variables!$E$29*Variables!$C$15</f>
        <v>61208.980236688833</v>
      </c>
      <c r="Z215" s="33">
        <f>D215*(IF(D215&lt;50000,0,IF(D215&gt;Variables!$C$7,Variables!$C$37,IF(D215&gt;Variables!$C$6,Variables!$C$36,IF(D215&gt;Variables!$C$5,Variables!$C$35)))))</f>
        <v>198.92938469862341</v>
      </c>
      <c r="AA215" s="34">
        <f t="shared" si="32"/>
        <v>262</v>
      </c>
      <c r="AB215" s="35">
        <f t="shared" si="39"/>
        <v>0</v>
      </c>
      <c r="AC215" s="22">
        <f>AB215*Variables!$E$41</f>
        <v>0</v>
      </c>
      <c r="AD215" s="115">
        <f>ROUND(IF(D215&lt;50000,0,(H215/(3.14*Variables!$C$34^2))),0)</f>
        <v>843</v>
      </c>
      <c r="AE215" s="116">
        <f t="shared" si="34"/>
        <v>832</v>
      </c>
      <c r="AF215" s="117">
        <f t="shared" si="40"/>
        <v>11</v>
      </c>
      <c r="AG215" s="107">
        <f>AF215*Variables!$E$42*Variables!$C$15</f>
        <v>7452.9840000000004</v>
      </c>
      <c r="AH215" s="199">
        <f>ROUND((Z215)/Variables!$C$40,0)</f>
        <v>2</v>
      </c>
      <c r="AI215" s="33">
        <f t="shared" si="35"/>
        <v>2</v>
      </c>
      <c r="AJ215" s="199">
        <f t="shared" si="43"/>
        <v>0</v>
      </c>
      <c r="AK215" s="22">
        <f>AJ215*Variables!$E$43*Variables!$C$15</f>
        <v>0</v>
      </c>
      <c r="AL215" s="20">
        <f>Z215*Variables!$E$38*Variables!$C$15</f>
        <v>35265905.098427497</v>
      </c>
      <c r="AN215" s="200">
        <f t="shared" si="36"/>
        <v>0.49</v>
      </c>
      <c r="AO215" s="201">
        <f t="shared" si="41"/>
        <v>142.26816854951761</v>
      </c>
      <c r="AP215" s="321">
        <f>VLOOKUP(A215,'Household Information'!H:Q,10,FALSE)</f>
        <v>166.27540073204597</v>
      </c>
      <c r="AQ215" s="122">
        <f>IF(12*(AO215-Variables!$C$3*AP215*F215)*(G215/5)&lt;0,0,12*(AO215-Variables!$C$3*AP215*F215)*(G215/5))</f>
        <v>4257413.4479041649</v>
      </c>
    </row>
    <row r="216" spans="1:43" ht="14.25" customHeight="1" x14ac:dyDescent="0.35">
      <c r="A216" s="30">
        <v>3</v>
      </c>
      <c r="B216" s="28" t="s">
        <v>156</v>
      </c>
      <c r="C216" s="28">
        <v>2024</v>
      </c>
      <c r="D216" s="196">
        <f>Population!I4</f>
        <v>11449239.798410101</v>
      </c>
      <c r="E216" s="303" t="str">
        <f t="shared" si="42"/>
        <v>Large</v>
      </c>
      <c r="F216" s="340">
        <f>VLOOKUP(A216,'Household Information'!$H$2:$M$49,6,FALSE)</f>
        <v>4.0172949204764796</v>
      </c>
      <c r="G216" s="196">
        <f t="shared" si="37"/>
        <v>2849987</v>
      </c>
      <c r="H216" s="213">
        <f>Area!K4</f>
        <v>780.85518287578748</v>
      </c>
      <c r="J216" s="32">
        <f>D216*Variables!$C$20</f>
        <v>10304.31581856909</v>
      </c>
      <c r="K216" s="202">
        <f t="shared" si="33"/>
        <v>10065.757368925555</v>
      </c>
      <c r="L216" s="32">
        <f t="shared" si="38"/>
        <v>238.55844964353491</v>
      </c>
      <c r="S216" s="198">
        <f>$L216*Variables!$C$21/100</f>
        <v>12.953399980644429</v>
      </c>
      <c r="T216" s="198">
        <f>$L216*Variables!$C$22/100</f>
        <v>22.668449966127749</v>
      </c>
      <c r="U216" s="198">
        <f>$L216*Variables!$C$23/100</f>
        <v>23.747899964514787</v>
      </c>
      <c r="V216" s="198">
        <f>$L216*Variables!$C$24/100</f>
        <v>172.71199974192572</v>
      </c>
      <c r="W216" s="22">
        <f>S216*Variables!$E$25*Variables!$C$15+'Cost Calculations'!T216*Variables!$E$26*Variables!$C$15+'Cost Calculations'!U216*Variables!$E$27*Variables!$C$15+V216*Variables!$E$28*Variables!$C$15</f>
        <v>160011108.2131165</v>
      </c>
      <c r="X216" s="20">
        <f>J216*Variables!$E$29*Variables!$C$15</f>
        <v>1761419.7460262002</v>
      </c>
      <c r="Z216" s="33">
        <f>D216*(IF(D216&lt;50000,0,IF(D216&gt;Variables!$C$7,Variables!$C$37,IF(D216&gt;Variables!$C$6,Variables!$C$36,IF(D216&gt;Variables!$C$5,Variables!$C$35)))))</f>
        <v>5724.6198992050504</v>
      </c>
      <c r="AA216" s="34">
        <f t="shared" si="32"/>
        <v>5592</v>
      </c>
      <c r="AB216" s="35">
        <f t="shared" si="39"/>
        <v>133</v>
      </c>
      <c r="AC216" s="22">
        <f>AB216*Variables!$E$41</f>
        <v>49156800.000000007</v>
      </c>
      <c r="AD216" s="115">
        <f>ROUND(IF(D216&lt;50000,0,(H216/(3.14*Variables!$C$34^2))),0)</f>
        <v>995</v>
      </c>
      <c r="AE216" s="116">
        <f t="shared" si="34"/>
        <v>981</v>
      </c>
      <c r="AF216" s="117">
        <f t="shared" si="40"/>
        <v>14</v>
      </c>
      <c r="AG216" s="107">
        <f>AF216*Variables!$E$42*Variables!$C$15</f>
        <v>9485.616</v>
      </c>
      <c r="AH216" s="199">
        <f>ROUND((Z216)/Variables!$C$40,0)</f>
        <v>46</v>
      </c>
      <c r="AI216" s="33">
        <f t="shared" si="35"/>
        <v>45</v>
      </c>
      <c r="AJ216" s="199">
        <f t="shared" si="43"/>
        <v>1</v>
      </c>
      <c r="AK216" s="22">
        <f>AJ216*Variables!$E$43*Variables!$C$15</f>
        <v>552717.39600000007</v>
      </c>
      <c r="AL216" s="20">
        <f>Z216*Variables!$E$38*Variables!$C$15</f>
        <v>1014852091.3377756</v>
      </c>
      <c r="AN216" s="200">
        <f t="shared" si="36"/>
        <v>0.42</v>
      </c>
      <c r="AO216" s="201">
        <f t="shared" si="41"/>
        <v>101.23583199600728</v>
      </c>
      <c r="AP216" s="321">
        <f>VLOOKUP(A216,'Household Information'!H:Q,10,FALSE)</f>
        <v>132.525558500568</v>
      </c>
      <c r="AQ216" s="122">
        <f>IF(12*(AO216-Variables!$C$3*AP216*F216)*(G216/5)&lt;0,0,12*(AO216-Variables!$C$3*AP216*F216)*(G216/5))</f>
        <v>146215920.32425654</v>
      </c>
    </row>
    <row r="217" spans="1:43" ht="14.25" customHeight="1" x14ac:dyDescent="0.35">
      <c r="A217" s="30">
        <v>4</v>
      </c>
      <c r="B217" s="28" t="s">
        <v>157</v>
      </c>
      <c r="C217" s="28">
        <v>2024</v>
      </c>
      <c r="D217" s="196">
        <f>Population!I5</f>
        <v>2438301.9350954904</v>
      </c>
      <c r="E217" s="303" t="str">
        <f t="shared" si="42"/>
        <v>Large</v>
      </c>
      <c r="F217" s="340">
        <f>VLOOKUP(A217,'Household Information'!$H$2:$M$49,6,FALSE)</f>
        <v>4.6988894405393395</v>
      </c>
      <c r="G217" s="196">
        <f t="shared" si="37"/>
        <v>518910</v>
      </c>
      <c r="H217" s="213">
        <f>Area!K5</f>
        <v>431.71585249904393</v>
      </c>
      <c r="J217" s="32">
        <f>D217*Variables!$C$20</f>
        <v>2194.4717415859413</v>
      </c>
      <c r="K217" s="202">
        <f t="shared" si="33"/>
        <v>2143.6668375363301</v>
      </c>
      <c r="L217" s="32">
        <f t="shared" si="38"/>
        <v>50.804904049611196</v>
      </c>
      <c r="S217" s="198">
        <f>$L217*Variables!$C$21/100</f>
        <v>2.7586373239607882</v>
      </c>
      <c r="T217" s="198">
        <f>$L217*Variables!$C$22/100</f>
        <v>4.8276153169313805</v>
      </c>
      <c r="U217" s="198">
        <f>$L217*Variables!$C$23/100</f>
        <v>5.0575017605947794</v>
      </c>
      <c r="V217" s="198">
        <f>$L217*Variables!$C$24/100</f>
        <v>36.781830986143852</v>
      </c>
      <c r="W217" s="22">
        <f>S217*Variables!$E$25*Variables!$C$15+'Cost Calculations'!T217*Variables!$E$26*Variables!$C$15+'Cost Calculations'!U217*Variables!$E$27*Variables!$C$15+V217*Variables!$E$28*Variables!$C$15</f>
        <v>34076969.446215749</v>
      </c>
      <c r="X217" s="20">
        <f>J217*Variables!$E$29*Variables!$C$15</f>
        <v>375122.99950670084</v>
      </c>
      <c r="Z217" s="33">
        <f>D217*(IF(D217&lt;50000,0,IF(D217&gt;Variables!$C$7,Variables!$C$37,IF(D217&gt;Variables!$C$6,Variables!$C$36,IF(D217&gt;Variables!$C$5,Variables!$C$35)))))</f>
        <v>1219.1509675477453</v>
      </c>
      <c r="AA217" s="34">
        <f t="shared" si="32"/>
        <v>1191</v>
      </c>
      <c r="AB217" s="35">
        <f t="shared" si="39"/>
        <v>28</v>
      </c>
      <c r="AC217" s="22">
        <f>AB217*Variables!$E$41</f>
        <v>10348800.000000002</v>
      </c>
      <c r="AD217" s="115">
        <f>ROUND(IF(D217&lt;50000,0,(H217/(3.14*Variables!$C$34^2))),0)</f>
        <v>550</v>
      </c>
      <c r="AE217" s="116">
        <f t="shared" si="34"/>
        <v>542</v>
      </c>
      <c r="AF217" s="117">
        <f t="shared" si="40"/>
        <v>8</v>
      </c>
      <c r="AG217" s="107">
        <f>AF217*Variables!$E$42*Variables!$C$15</f>
        <v>5420.3519999999999</v>
      </c>
      <c r="AH217" s="199">
        <f>ROUND((Z217)/Variables!$C$40,0)</f>
        <v>10</v>
      </c>
      <c r="AI217" s="33">
        <f t="shared" si="35"/>
        <v>10</v>
      </c>
      <c r="AJ217" s="199">
        <f t="shared" si="43"/>
        <v>0</v>
      </c>
      <c r="AK217" s="22">
        <f>AJ217*Variables!$E$43*Variables!$C$15</f>
        <v>0</v>
      </c>
      <c r="AL217" s="20">
        <f>Z217*Variables!$E$38*Variables!$C$15</f>
        <v>216129268.11858961</v>
      </c>
      <c r="AN217" s="200">
        <f t="shared" si="36"/>
        <v>0.28000000000000003</v>
      </c>
      <c r="AO217" s="201">
        <f t="shared" si="41"/>
        <v>78.94134260106091</v>
      </c>
      <c r="AP217" s="321">
        <f>VLOOKUP(A217,'Household Information'!H:Q,10,FALSE)</f>
        <v>108.65462509082352</v>
      </c>
      <c r="AQ217" s="122">
        <f>IF(12*(AO217-Variables!$C$3*AP217*F217)*(G217/5)&lt;0,0,12*(AO217-Variables!$C$3*AP217*F217)*(G217/5))</f>
        <v>2936530.817403934</v>
      </c>
    </row>
    <row r="218" spans="1:43" ht="14.25" customHeight="1" x14ac:dyDescent="0.35">
      <c r="A218" s="30">
        <v>5</v>
      </c>
      <c r="B218" s="28" t="s">
        <v>158</v>
      </c>
      <c r="C218" s="28">
        <v>2024</v>
      </c>
      <c r="D218" s="196">
        <f>Population!I6</f>
        <v>1143614.8056928618</v>
      </c>
      <c r="E218" s="303" t="str">
        <f t="shared" si="42"/>
        <v>Large</v>
      </c>
      <c r="F218" s="340">
        <f>VLOOKUP(A218,'Household Information'!$H$2:$M$49,6,FALSE)</f>
        <v>4.2814892277702192</v>
      </c>
      <c r="G218" s="196">
        <f t="shared" si="37"/>
        <v>267107</v>
      </c>
      <c r="H218" s="213">
        <f>Area!K6</f>
        <v>195.57597344755345</v>
      </c>
      <c r="J218" s="32">
        <f>D218*Variables!$C$20</f>
        <v>1029.2533251235757</v>
      </c>
      <c r="K218" s="202">
        <f t="shared" si="33"/>
        <v>2378.3936399999998</v>
      </c>
      <c r="L218" s="32">
        <f t="shared" si="38"/>
        <v>0</v>
      </c>
      <c r="S218" s="198">
        <f>$L218*Variables!$C$21/100</f>
        <v>0</v>
      </c>
      <c r="T218" s="198">
        <f>$L218*Variables!$C$22/100</f>
        <v>0</v>
      </c>
      <c r="U218" s="198">
        <f>$L218*Variables!$C$23/100</f>
        <v>0</v>
      </c>
      <c r="V218" s="198">
        <f>$L218*Variables!$C$24/100</f>
        <v>0</v>
      </c>
      <c r="W218" s="22">
        <f>S218*Variables!$E$25*Variables!$C$15+'Cost Calculations'!T218*Variables!$E$26*Variables!$C$15+'Cost Calculations'!U218*Variables!$E$27*Variables!$C$15+V218*Variables!$E$28*Variables!$C$15</f>
        <v>0</v>
      </c>
      <c r="X218" s="20">
        <f>J218*Variables!$E$29*Variables!$C$15</f>
        <v>175940.56339662403</v>
      </c>
      <c r="Z218" s="33">
        <f>D218*(IF(D218&lt;50000,0,IF(D218&gt;Variables!$C$7,Variables!$C$37,IF(D218&gt;Variables!$C$6,Variables!$C$36,IF(D218&gt;Variables!$C$5,Variables!$C$35)))))</f>
        <v>571.80740284643093</v>
      </c>
      <c r="AA218" s="34">
        <f t="shared" si="32"/>
        <v>559</v>
      </c>
      <c r="AB218" s="35">
        <f t="shared" si="39"/>
        <v>13</v>
      </c>
      <c r="AC218" s="22">
        <f>AB218*Variables!$E$41</f>
        <v>4804800.0000000009</v>
      </c>
      <c r="AD218" s="115">
        <f>ROUND(IF(D218&lt;50000,0,(H218/(3.14*Variables!$C$34^2))),0)</f>
        <v>249</v>
      </c>
      <c r="AE218" s="116">
        <f t="shared" si="34"/>
        <v>246</v>
      </c>
      <c r="AF218" s="117">
        <f t="shared" si="40"/>
        <v>3</v>
      </c>
      <c r="AG218" s="107">
        <f>AF218*Variables!$E$42*Variables!$C$15</f>
        <v>2032.6320000000001</v>
      </c>
      <c r="AH218" s="199">
        <f>ROUND((Z218)/Variables!$C$40,0)</f>
        <v>5</v>
      </c>
      <c r="AI218" s="33">
        <f t="shared" si="35"/>
        <v>4</v>
      </c>
      <c r="AJ218" s="199">
        <f t="shared" si="43"/>
        <v>1</v>
      </c>
      <c r="AK218" s="22">
        <f>AJ218*Variables!$E$43*Variables!$C$15</f>
        <v>552717.39600000007</v>
      </c>
      <c r="AL218" s="20">
        <f>Z218*Variables!$E$38*Variables!$C$15</f>
        <v>101369164.9120155</v>
      </c>
      <c r="AN218" s="200">
        <f t="shared" si="36"/>
        <v>0.28000000000000003</v>
      </c>
      <c r="AO218" s="201">
        <f t="shared" si="41"/>
        <v>71.929019026539692</v>
      </c>
      <c r="AP218" s="321">
        <f>VLOOKUP(A218,'Household Information'!H:Q,10,FALSE)</f>
        <v>70.680297866969596</v>
      </c>
      <c r="AQ218" s="122">
        <f>IF(12*(AO218-Variables!$C$3*AP218*F218)*(G218/5)&lt;0,0,12*(AO218-Variables!$C$3*AP218*F218)*(G218/5))</f>
        <v>17011390.270355601</v>
      </c>
    </row>
    <row r="219" spans="1:43" ht="14.25" customHeight="1" x14ac:dyDescent="0.35">
      <c r="A219" s="30">
        <v>6</v>
      </c>
      <c r="B219" s="28" t="s">
        <v>159</v>
      </c>
      <c r="C219" s="28">
        <v>2024</v>
      </c>
      <c r="D219" s="196">
        <f>Population!I7</f>
        <v>1303868.2978719305</v>
      </c>
      <c r="E219" s="303" t="str">
        <f t="shared" si="42"/>
        <v>Large</v>
      </c>
      <c r="F219" s="340">
        <f>VLOOKUP(A219,'Household Information'!$H$2:$M$49,6,FALSE)</f>
        <v>4.4091899104485828</v>
      </c>
      <c r="G219" s="196">
        <f t="shared" si="37"/>
        <v>295716</v>
      </c>
      <c r="H219" s="213">
        <f>Area!K7</f>
        <v>168.46709136490171</v>
      </c>
      <c r="J219" s="32">
        <f>D219*Variables!$C$20</f>
        <v>1173.4814680847373</v>
      </c>
      <c r="K219" s="202">
        <f t="shared" si="33"/>
        <v>1146.3138303064741</v>
      </c>
      <c r="L219" s="32">
        <f t="shared" si="38"/>
        <v>27.16763777826327</v>
      </c>
      <c r="S219" s="198">
        <f>$L219*Variables!$C$21/100</f>
        <v>1.4751658522133899</v>
      </c>
      <c r="T219" s="198">
        <f>$L219*Variables!$C$22/100</f>
        <v>2.5815402413734332</v>
      </c>
      <c r="U219" s="198">
        <f>$L219*Variables!$C$23/100</f>
        <v>2.7044707290578822</v>
      </c>
      <c r="V219" s="198">
        <f>$L219*Variables!$C$24/100</f>
        <v>19.66887802951187</v>
      </c>
      <c r="W219" s="22">
        <f>S219*Variables!$E$25*Variables!$C$15+'Cost Calculations'!T219*Variables!$E$26*Variables!$C$15+'Cost Calculations'!U219*Variables!$E$27*Variables!$C$15+V219*Variables!$E$28*Variables!$C$15</f>
        <v>18222468.476501711</v>
      </c>
      <c r="X219" s="20">
        <f>J219*Variables!$E$29*Variables!$C$15</f>
        <v>200594.92215440501</v>
      </c>
      <c r="Z219" s="33">
        <f>D219*(IF(D219&lt;50000,0,IF(D219&gt;Variables!$C$7,Variables!$C$37,IF(D219&gt;Variables!$C$6,Variables!$C$36,IF(D219&gt;Variables!$C$5,Variables!$C$35)))))</f>
        <v>651.93414893596525</v>
      </c>
      <c r="AA219" s="34">
        <f t="shared" si="32"/>
        <v>637</v>
      </c>
      <c r="AB219" s="35">
        <f t="shared" si="39"/>
        <v>15</v>
      </c>
      <c r="AC219" s="22">
        <f>AB219*Variables!$E$41</f>
        <v>5544000.0000000009</v>
      </c>
      <c r="AD219" s="115">
        <f>ROUND(IF(D219&lt;50000,0,(H219/(3.14*Variables!$C$34^2))),0)</f>
        <v>215</v>
      </c>
      <c r="AE219" s="116">
        <f t="shared" si="34"/>
        <v>212</v>
      </c>
      <c r="AF219" s="117">
        <f t="shared" si="40"/>
        <v>3</v>
      </c>
      <c r="AG219" s="107">
        <f>AF219*Variables!$E$42*Variables!$C$15</f>
        <v>2032.6320000000001</v>
      </c>
      <c r="AH219" s="199">
        <f>ROUND((Z219)/Variables!$C$40,0)</f>
        <v>5</v>
      </c>
      <c r="AI219" s="33">
        <f t="shared" si="35"/>
        <v>5</v>
      </c>
      <c r="AJ219" s="199">
        <f t="shared" si="43"/>
        <v>0</v>
      </c>
      <c r="AK219" s="22">
        <f>AJ219*Variables!$E$43*Variables!$C$15</f>
        <v>0</v>
      </c>
      <c r="AL219" s="20">
        <f>Z219*Variables!$E$38*Variables!$C$15</f>
        <v>115573915.14396486</v>
      </c>
      <c r="AN219" s="200">
        <f t="shared" si="36"/>
        <v>0.28000000000000003</v>
      </c>
      <c r="AO219" s="201">
        <f t="shared" si="41"/>
        <v>74.074390495536193</v>
      </c>
      <c r="AP219" s="321">
        <f>VLOOKUP(A219,'Household Information'!H:Q,10,FALSE)</f>
        <v>228.82746434431402</v>
      </c>
      <c r="AQ219" s="122">
        <f>IF(12*(AO219-Variables!$C$3*AP219*F219)*(G219/5)&lt;0,0,12*(AO219-Variables!$C$3*AP219*F219)*(G219/5))</f>
        <v>0</v>
      </c>
    </row>
    <row r="220" spans="1:43" ht="14.25" customHeight="1" x14ac:dyDescent="0.35">
      <c r="A220" s="30">
        <v>7</v>
      </c>
      <c r="B220" s="28" t="s">
        <v>160</v>
      </c>
      <c r="C220" s="28">
        <v>2024</v>
      </c>
      <c r="D220" s="196">
        <f>Population!I8</f>
        <v>6300757.5430065421</v>
      </c>
      <c r="E220" s="303" t="str">
        <f t="shared" si="42"/>
        <v>Large</v>
      </c>
      <c r="F220" s="340">
        <f>VLOOKUP(A220,'Household Information'!$H$2:$M$49,6,FALSE)</f>
        <v>4.0232072880789485</v>
      </c>
      <c r="G220" s="196">
        <f t="shared" si="37"/>
        <v>1566103</v>
      </c>
      <c r="H220" s="213">
        <f>Area!K8</f>
        <v>1141.5842005679415</v>
      </c>
      <c r="J220" s="32">
        <f>D220*Variables!$C$20</f>
        <v>5670.6817887058878</v>
      </c>
      <c r="K220" s="202">
        <f t="shared" si="33"/>
        <v>5539.3980548069621</v>
      </c>
      <c r="L220" s="32">
        <f t="shared" si="38"/>
        <v>131.28373389892568</v>
      </c>
      <c r="S220" s="198">
        <f>$L220*Variables!$C$21/100</f>
        <v>7.1285285374982257</v>
      </c>
      <c r="T220" s="198">
        <f>$L220*Variables!$C$22/100</f>
        <v>12.474924940621896</v>
      </c>
      <c r="U220" s="198">
        <f>$L220*Variables!$C$23/100</f>
        <v>13.068968985413417</v>
      </c>
      <c r="V220" s="198">
        <f>$L220*Variables!$C$24/100</f>
        <v>95.047047166643026</v>
      </c>
      <c r="W220" s="22">
        <f>S220*Variables!$E$25*Variables!$C$15+'Cost Calculations'!T220*Variables!$E$26*Variables!$C$15+'Cost Calculations'!U220*Variables!$E$27*Variables!$C$15+V220*Variables!$E$28*Variables!$C$15</f>
        <v>88057479.342745587</v>
      </c>
      <c r="X220" s="20">
        <f>J220*Variables!$E$29*Variables!$C$15</f>
        <v>969346.34496138443</v>
      </c>
      <c r="Z220" s="33">
        <f>D220*(IF(D220&lt;50000,0,IF(D220&gt;Variables!$C$7,Variables!$C$37,IF(D220&gt;Variables!$C$6,Variables!$C$36,IF(D220&gt;Variables!$C$5,Variables!$C$35)))))</f>
        <v>3150.3787715032713</v>
      </c>
      <c r="AA220" s="34">
        <f t="shared" si="32"/>
        <v>4599</v>
      </c>
      <c r="AB220" s="35">
        <f t="shared" si="39"/>
        <v>0</v>
      </c>
      <c r="AC220" s="22">
        <f>AB220*Variables!$E$41</f>
        <v>0</v>
      </c>
      <c r="AD220" s="115">
        <f>ROUND(IF(D220&lt;50000,0,(H220/(3.14*Variables!$C$34^2))),0)</f>
        <v>1454</v>
      </c>
      <c r="AE220" s="116">
        <f t="shared" si="34"/>
        <v>1434</v>
      </c>
      <c r="AF220" s="117">
        <f t="shared" si="40"/>
        <v>20</v>
      </c>
      <c r="AG220" s="107">
        <f>AF220*Variables!$E$42*Variables!$C$15</f>
        <v>13550.880000000001</v>
      </c>
      <c r="AH220" s="199">
        <f>ROUND((Z220)/Variables!$C$40,0)</f>
        <v>25</v>
      </c>
      <c r="AI220" s="33">
        <f t="shared" si="35"/>
        <v>25</v>
      </c>
      <c r="AJ220" s="199">
        <f t="shared" si="43"/>
        <v>0</v>
      </c>
      <c r="AK220" s="22">
        <f>AJ220*Variables!$E$43*Variables!$C$15</f>
        <v>0</v>
      </c>
      <c r="AL220" s="20">
        <f>Z220*Variables!$E$38*Variables!$C$15</f>
        <v>558494457.45912349</v>
      </c>
      <c r="AN220" s="200">
        <f t="shared" si="36"/>
        <v>0.28000000000000003</v>
      </c>
      <c r="AO220" s="201">
        <f t="shared" si="41"/>
        <v>67.589882439726338</v>
      </c>
      <c r="AP220" s="321">
        <f>VLOOKUP(A220,'Household Information'!H:Q,10,FALSE)</f>
        <v>141.36059573393919</v>
      </c>
      <c r="AQ220" s="122">
        <f>IF(12*(AO220-Variables!$C$3*AP220*F220)*(G220/5)&lt;0,0,12*(AO220-Variables!$C$3*AP220*F220)*(G220/5))</f>
        <v>0</v>
      </c>
    </row>
    <row r="221" spans="1:43" ht="14.25" customHeight="1" x14ac:dyDescent="0.35">
      <c r="A221" s="30">
        <v>8</v>
      </c>
      <c r="B221" s="28" t="s">
        <v>161</v>
      </c>
      <c r="C221" s="28">
        <v>2024</v>
      </c>
      <c r="D221" s="196">
        <f>Population!I9</f>
        <v>60044.380764678419</v>
      </c>
      <c r="E221" s="303" t="str">
        <f t="shared" si="42"/>
        <v>Small</v>
      </c>
      <c r="F221" s="340">
        <f>VLOOKUP(A221,'Household Information'!$H$2:$M$49,6,FALSE)</f>
        <v>4.332028957151242</v>
      </c>
      <c r="G221" s="196">
        <f t="shared" si="37"/>
        <v>13861</v>
      </c>
      <c r="H221" s="213">
        <f>Area!K9</f>
        <v>160.80691150132165</v>
      </c>
      <c r="J221" s="32">
        <f>D221*Variables!$C$20</f>
        <v>54.039942688210573</v>
      </c>
      <c r="K221" s="202">
        <f t="shared" si="33"/>
        <v>52.788847013979264</v>
      </c>
      <c r="L221" s="32">
        <f t="shared" si="38"/>
        <v>1.2510956742313084</v>
      </c>
      <c r="S221" s="198">
        <f>$L221*Variables!$C$21/100</f>
        <v>6.7932796790840258E-2</v>
      </c>
      <c r="T221" s="198">
        <f>$L221*Variables!$C$22/100</f>
        <v>0.11888239438397048</v>
      </c>
      <c r="U221" s="198">
        <f>$L221*Variables!$C$23/100</f>
        <v>0.12454346078320717</v>
      </c>
      <c r="V221" s="198">
        <f>$L221*Variables!$C$24/100</f>
        <v>0.90577062387787033</v>
      </c>
      <c r="W221" s="22">
        <f>S221*Variables!$E$25*Variables!$C$15+'Cost Calculations'!T221*Variables!$E$26*Variables!$C$15+'Cost Calculations'!U221*Variables!$E$27*Variables!$C$15+V221*Variables!$E$28*Variables!$C$15</f>
        <v>839162.08213760541</v>
      </c>
      <c r="X221" s="20">
        <f>J221*Variables!$E$29*Variables!$C$15</f>
        <v>9237.5878031227167</v>
      </c>
      <c r="Z221" s="33">
        <f>D221*(IF(D221&lt;50000,0,IF(D221&gt;Variables!$C$7,Variables!$C$37,IF(D221&gt;Variables!$C$6,Variables!$C$36,IF(D221&gt;Variables!$C$5,Variables!$C$35)))))</f>
        <v>30.022190382339211</v>
      </c>
      <c r="AA221" s="34">
        <f t="shared" si="32"/>
        <v>29</v>
      </c>
      <c r="AB221" s="35">
        <f t="shared" si="39"/>
        <v>1</v>
      </c>
      <c r="AC221" s="22">
        <f>AB221*Variables!$E$41</f>
        <v>369600.00000000006</v>
      </c>
      <c r="AD221" s="115">
        <f>ROUND(IF(D221&lt;50000,0,(H221/(3.14*Variables!$C$34^2))),0)</f>
        <v>205</v>
      </c>
      <c r="AE221" s="116">
        <f t="shared" si="34"/>
        <v>202</v>
      </c>
      <c r="AF221" s="117">
        <f t="shared" si="40"/>
        <v>3</v>
      </c>
      <c r="AG221" s="107">
        <f>AF221*Variables!$E$42*Variables!$C$15</f>
        <v>2032.6320000000001</v>
      </c>
      <c r="AH221" s="199">
        <f>ROUND((Z221)/Variables!$C$40,0)</f>
        <v>0</v>
      </c>
      <c r="AI221" s="33">
        <f t="shared" si="35"/>
        <v>0</v>
      </c>
      <c r="AJ221" s="199">
        <f t="shared" si="43"/>
        <v>0</v>
      </c>
      <c r="AK221" s="22">
        <f>AJ221*Variables!$E$43*Variables!$C$15</f>
        <v>0</v>
      </c>
      <c r="AL221" s="20">
        <f>Z221*Variables!$E$38*Variables!$C$15</f>
        <v>5322289.2056621527</v>
      </c>
      <c r="AN221" s="200">
        <f t="shared" si="36"/>
        <v>0.25221875000000005</v>
      </c>
      <c r="AO221" s="201">
        <f t="shared" si="41"/>
        <v>65.557135712189407</v>
      </c>
      <c r="AP221" s="321">
        <f>VLOOKUP(A221,'Household Information'!H:Q,10,FALSE)</f>
        <v>39.775337624637132</v>
      </c>
      <c r="AQ221" s="122">
        <f>IF(12*(AO221-Variables!$C$3*AP221*F221)*(G221/5)&lt;0,0,12*(AO221-Variables!$C$3*AP221*F221)*(G221/5))</f>
        <v>1321040.2990642795</v>
      </c>
    </row>
    <row r="222" spans="1:43" ht="14.25" customHeight="1" x14ac:dyDescent="0.35">
      <c r="A222" s="30">
        <v>9</v>
      </c>
      <c r="B222" s="28" t="s">
        <v>162</v>
      </c>
      <c r="C222" s="28">
        <v>2024</v>
      </c>
      <c r="D222" s="196">
        <f>Population!I10</f>
        <v>772321.89845047658</v>
      </c>
      <c r="E222" s="303" t="str">
        <f t="shared" si="42"/>
        <v>Medium</v>
      </c>
      <c r="F222" s="340">
        <f>VLOOKUP(A222,'Household Information'!$H$2:$M$49,6,FALSE)</f>
        <v>4.5911864516077028</v>
      </c>
      <c r="G222" s="196">
        <f t="shared" si="37"/>
        <v>168218</v>
      </c>
      <c r="H222" s="213">
        <f>Area!K10</f>
        <v>434.61327432789653</v>
      </c>
      <c r="J222" s="32">
        <f>D222*Variables!$C$20</f>
        <v>695.08970860542888</v>
      </c>
      <c r="K222" s="202">
        <f t="shared" si="33"/>
        <v>694.88516000000004</v>
      </c>
      <c r="L222" s="32">
        <f t="shared" si="38"/>
        <v>0.20454860542884035</v>
      </c>
      <c r="S222" s="198">
        <f>$L222*Variables!$C$21/100</f>
        <v>1.1106711606995855E-2</v>
      </c>
      <c r="T222" s="198">
        <f>$L222*Variables!$C$22/100</f>
        <v>1.9436745312242747E-2</v>
      </c>
      <c r="U222" s="198">
        <f>$L222*Variables!$C$23/100</f>
        <v>2.0362304612825736E-2</v>
      </c>
      <c r="V222" s="198">
        <f>$L222*Variables!$C$24/100</f>
        <v>0.14808948809327807</v>
      </c>
      <c r="W222" s="22">
        <f>S222*Variables!$E$25*Variables!$C$15+'Cost Calculations'!T222*Variables!$E$26*Variables!$C$15+'Cost Calculations'!U222*Variables!$E$27*Variables!$C$15+V222*Variables!$E$28*Variables!$C$15</f>
        <v>137199.28632594232</v>
      </c>
      <c r="X222" s="20">
        <f>J222*Variables!$E$29*Variables!$C$15</f>
        <v>118818.63478901201</v>
      </c>
      <c r="Z222" s="33">
        <f>D222*(IF(D222&lt;50000,0,IF(D222&gt;Variables!$C$7,Variables!$C$37,IF(D222&gt;Variables!$C$6,Variables!$C$36,IF(D222&gt;Variables!$C$5,Variables!$C$35)))))</f>
        <v>386.16094922523831</v>
      </c>
      <c r="AA222" s="34">
        <f t="shared" si="32"/>
        <v>430</v>
      </c>
      <c r="AB222" s="35">
        <f t="shared" si="39"/>
        <v>0</v>
      </c>
      <c r="AC222" s="22">
        <f>AB222*Variables!$E$41</f>
        <v>0</v>
      </c>
      <c r="AD222" s="115">
        <f>ROUND(IF(D222&lt;50000,0,(H222/(3.14*Variables!$C$34^2))),0)</f>
        <v>554</v>
      </c>
      <c r="AE222" s="116">
        <f t="shared" si="34"/>
        <v>546</v>
      </c>
      <c r="AF222" s="117">
        <f t="shared" si="40"/>
        <v>8</v>
      </c>
      <c r="AG222" s="107">
        <f>AF222*Variables!$E$42*Variables!$C$15</f>
        <v>5420.3519999999999</v>
      </c>
      <c r="AH222" s="199">
        <f>ROUND((Z222)/Variables!$C$40,0)</f>
        <v>3</v>
      </c>
      <c r="AI222" s="33">
        <f t="shared" si="35"/>
        <v>3</v>
      </c>
      <c r="AJ222" s="199">
        <f t="shared" si="43"/>
        <v>0</v>
      </c>
      <c r="AK222" s="22">
        <f>AJ222*Variables!$E$43*Variables!$C$15</f>
        <v>0</v>
      </c>
      <c r="AL222" s="20">
        <f>Z222*Variables!$E$38*Variables!$C$15</f>
        <v>68458038.05570294</v>
      </c>
      <c r="AN222" s="200">
        <f t="shared" si="36"/>
        <v>0.19600000000000001</v>
      </c>
      <c r="AO222" s="201">
        <f t="shared" si="41"/>
        <v>53.992352670906584</v>
      </c>
      <c r="AP222" s="321">
        <f>VLOOKUP(A222,'Household Information'!H:Q,10,FALSE)</f>
        <v>137.82658084059071</v>
      </c>
      <c r="AQ222" s="122">
        <f>IF(12*(AO222-Variables!$C$3*AP222*F222)*(G222/5)&lt;0,0,12*(AO222-Variables!$C$3*AP222*F222)*(G222/5))</f>
        <v>0</v>
      </c>
    </row>
    <row r="223" spans="1:43" ht="14.25" customHeight="1" x14ac:dyDescent="0.35">
      <c r="A223" s="30">
        <v>10</v>
      </c>
      <c r="B223" s="28" t="s">
        <v>163</v>
      </c>
      <c r="C223" s="28">
        <v>2024</v>
      </c>
      <c r="D223" s="196">
        <f>Population!I11</f>
        <v>716707.42130257713</v>
      </c>
      <c r="E223" s="303" t="str">
        <f t="shared" si="42"/>
        <v>Medium</v>
      </c>
      <c r="F223" s="340">
        <f>VLOOKUP(A223,'Household Information'!$H$2:$M$49,6,FALSE)</f>
        <v>4.0714439771379274</v>
      </c>
      <c r="G223" s="196">
        <f t="shared" si="37"/>
        <v>176033</v>
      </c>
      <c r="H223" s="213">
        <f>Area!K11</f>
        <v>128.76465582030701</v>
      </c>
      <c r="J223" s="32">
        <f>D223*Variables!$C$20</f>
        <v>645.0366791723194</v>
      </c>
      <c r="K223" s="202">
        <f t="shared" si="33"/>
        <v>718.84568000000002</v>
      </c>
      <c r="L223" s="32">
        <f t="shared" si="38"/>
        <v>0</v>
      </c>
      <c r="S223" s="198">
        <f>$L223*Variables!$C$21/100</f>
        <v>0</v>
      </c>
      <c r="T223" s="198">
        <f>$L223*Variables!$C$22/100</f>
        <v>0</v>
      </c>
      <c r="U223" s="198">
        <f>$L223*Variables!$C$23/100</f>
        <v>0</v>
      </c>
      <c r="V223" s="198">
        <f>$L223*Variables!$C$24/100</f>
        <v>0</v>
      </c>
      <c r="W223" s="22">
        <f>S223*Variables!$E$25*Variables!$C$15+'Cost Calculations'!T223*Variables!$E$26*Variables!$C$15+'Cost Calculations'!U223*Variables!$E$27*Variables!$C$15+V223*Variables!$E$28*Variables!$C$15</f>
        <v>0</v>
      </c>
      <c r="X223" s="20">
        <f>J223*Variables!$E$29*Variables!$C$15</f>
        <v>110262.56993771628</v>
      </c>
      <c r="Z223" s="33">
        <f>D223*(IF(D223&lt;50000,0,IF(D223&gt;Variables!$C$7,Variables!$C$37,IF(D223&gt;Variables!$C$6,Variables!$C$36,IF(D223&gt;Variables!$C$5,Variables!$C$35)))))</f>
        <v>358.35371065128857</v>
      </c>
      <c r="AA223" s="34">
        <f t="shared" si="32"/>
        <v>350</v>
      </c>
      <c r="AB223" s="35">
        <f t="shared" si="39"/>
        <v>8</v>
      </c>
      <c r="AC223" s="22">
        <f>AB223*Variables!$E$41</f>
        <v>2956800.0000000005</v>
      </c>
      <c r="AD223" s="115">
        <f>ROUND(IF(D223&lt;50000,0,(H223/(3.14*Variables!$C$34^2))),0)</f>
        <v>164</v>
      </c>
      <c r="AE223" s="116">
        <f t="shared" si="34"/>
        <v>162</v>
      </c>
      <c r="AF223" s="117">
        <f t="shared" si="40"/>
        <v>2</v>
      </c>
      <c r="AG223" s="107">
        <f>AF223*Variables!$E$42*Variables!$C$15</f>
        <v>1355.088</v>
      </c>
      <c r="AH223" s="199">
        <f>ROUND((Z223)/Variables!$C$40,0)</f>
        <v>3</v>
      </c>
      <c r="AI223" s="33">
        <f t="shared" si="35"/>
        <v>3</v>
      </c>
      <c r="AJ223" s="199">
        <f t="shared" si="43"/>
        <v>0</v>
      </c>
      <c r="AK223" s="22">
        <f>AJ223*Variables!$E$43*Variables!$C$15</f>
        <v>0</v>
      </c>
      <c r="AL223" s="20">
        <f>Z223*Variables!$E$38*Variables!$C$15</f>
        <v>63528412.208400801</v>
      </c>
      <c r="AN223" s="200">
        <f t="shared" si="36"/>
        <v>0.25221875000000005</v>
      </c>
      <c r="AO223" s="201">
        <f t="shared" si="41"/>
        <v>61.613670636525413</v>
      </c>
      <c r="AP223" s="321">
        <f>VLOOKUP(A223,'Household Information'!H:Q,10,FALSE)</f>
        <v>39.775337624637132</v>
      </c>
      <c r="AQ223" s="122">
        <f>IF(12*(AO223-Variables!$C$3*AP223*F223)*(G223/5)&lt;0,0,12*(AO223-Variables!$C$3*AP223*F223)*(G223/5))</f>
        <v>15767858.189813556</v>
      </c>
    </row>
    <row r="224" spans="1:43" ht="14.25" customHeight="1" x14ac:dyDescent="0.35">
      <c r="A224" s="30">
        <v>11</v>
      </c>
      <c r="B224" s="28" t="s">
        <v>164</v>
      </c>
      <c r="C224" s="28">
        <v>2024</v>
      </c>
      <c r="D224" s="196">
        <f>Population!I12</f>
        <v>279553.08814216737</v>
      </c>
      <c r="E224" s="303" t="str">
        <f t="shared" si="42"/>
        <v>Medium</v>
      </c>
      <c r="F224" s="340">
        <f>VLOOKUP(A224,'Household Information'!$H$2:$M$49,6,FALSE)</f>
        <v>4.5669760538732476</v>
      </c>
      <c r="G224" s="196">
        <f t="shared" si="37"/>
        <v>61212</v>
      </c>
      <c r="H224" s="213">
        <f>Area!K12</f>
        <v>165.15304424460064</v>
      </c>
      <c r="J224" s="32">
        <f>D224*Variables!$C$20</f>
        <v>251.59777932795063</v>
      </c>
      <c r="K224" s="202">
        <f t="shared" si="33"/>
        <v>245.77296017187714</v>
      </c>
      <c r="L224" s="32">
        <f t="shared" si="38"/>
        <v>5.8248191560734881</v>
      </c>
      <c r="S224" s="198">
        <f>$L224*Variables!$C$21/100</f>
        <v>0.31627977318046085</v>
      </c>
      <c r="T224" s="198">
        <f>$L224*Variables!$C$22/100</f>
        <v>0.55348960306580652</v>
      </c>
      <c r="U224" s="198">
        <f>$L224*Variables!$C$23/100</f>
        <v>0.57984625083084496</v>
      </c>
      <c r="V224" s="198">
        <f>$L224*Variables!$C$24/100</f>
        <v>4.2170636424061447</v>
      </c>
      <c r="W224" s="22">
        <f>S224*Variables!$E$25*Variables!$C$15+'Cost Calculations'!T224*Variables!$E$26*Variables!$C$15+'Cost Calculations'!U224*Variables!$E$27*Variables!$C$15+V224*Variables!$E$28*Variables!$C$15</f>
        <v>3906949.301929987</v>
      </c>
      <c r="X224" s="20">
        <f>J224*Variables!$E$29*Variables!$C$15</f>
        <v>43008.124398319887</v>
      </c>
      <c r="Z224" s="33">
        <f>D224*(IF(D224&lt;50000,0,IF(D224&gt;Variables!$C$7,Variables!$C$37,IF(D224&gt;Variables!$C$6,Variables!$C$36,IF(D224&gt;Variables!$C$5,Variables!$C$35)))))</f>
        <v>139.77654407108369</v>
      </c>
      <c r="AA224" s="34">
        <f t="shared" si="32"/>
        <v>137</v>
      </c>
      <c r="AB224" s="35">
        <f t="shared" si="39"/>
        <v>3</v>
      </c>
      <c r="AC224" s="22">
        <f>AB224*Variables!$E$41</f>
        <v>1108800.0000000002</v>
      </c>
      <c r="AD224" s="115">
        <f>ROUND(IF(D224&lt;50000,0,(H224/(3.14*Variables!$C$34^2))),0)</f>
        <v>210</v>
      </c>
      <c r="AE224" s="116">
        <f t="shared" si="34"/>
        <v>207</v>
      </c>
      <c r="AF224" s="117">
        <f t="shared" si="40"/>
        <v>3</v>
      </c>
      <c r="AG224" s="107">
        <f>AF224*Variables!$E$42*Variables!$C$15</f>
        <v>2032.6320000000001</v>
      </c>
      <c r="AH224" s="199">
        <f>ROUND((Z224)/Variables!$C$40,0)</f>
        <v>1</v>
      </c>
      <c r="AI224" s="33">
        <f t="shared" si="35"/>
        <v>1</v>
      </c>
      <c r="AJ224" s="199">
        <f t="shared" si="43"/>
        <v>0</v>
      </c>
      <c r="AK224" s="22">
        <f>AJ224*Variables!$E$43*Variables!$C$15</f>
        <v>0</v>
      </c>
      <c r="AL224" s="20">
        <f>Z224*Variables!$E$38*Variables!$C$15</f>
        <v>24779377.595044237</v>
      </c>
      <c r="AN224" s="200">
        <f t="shared" si="36"/>
        <v>0.315</v>
      </c>
      <c r="AO224" s="201">
        <f t="shared" si="41"/>
        <v>86.31584741820437</v>
      </c>
      <c r="AP224" s="321">
        <f>VLOOKUP(A224,'Household Information'!H:Q,10,FALSE)</f>
        <v>93.297993184399843</v>
      </c>
      <c r="AQ224" s="122">
        <f>IF(12*(AO224-Variables!$C$3*AP224*F224)*(G224/5)&lt;0,0,12*(AO224-Variables!$C$3*AP224*F224)*(G224/5))</f>
        <v>3291108.5708135124</v>
      </c>
    </row>
    <row r="225" spans="1:43" ht="14.25" customHeight="1" x14ac:dyDescent="0.35">
      <c r="A225" s="30">
        <v>12</v>
      </c>
      <c r="B225" s="28" t="s">
        <v>165</v>
      </c>
      <c r="C225" s="28">
        <v>2024</v>
      </c>
      <c r="D225" s="196">
        <f>Population!I13</f>
        <v>135983.26113017794</v>
      </c>
      <c r="E225" s="303" t="str">
        <f t="shared" si="42"/>
        <v>Medium</v>
      </c>
      <c r="F225" s="340">
        <f>VLOOKUP(A225,'Household Information'!$H$2:$M$49,6,FALSE)</f>
        <v>4.2184831531569431</v>
      </c>
      <c r="G225" s="196">
        <f t="shared" si="37"/>
        <v>32235</v>
      </c>
      <c r="H225" s="213">
        <f>Area!K13</f>
        <v>27.525507374100108</v>
      </c>
      <c r="J225" s="32">
        <f>D225*Variables!$C$20</f>
        <v>122.38493501716015</v>
      </c>
      <c r="K225" s="202">
        <f t="shared" si="33"/>
        <v>119.5515629746607</v>
      </c>
      <c r="L225" s="32">
        <f t="shared" si="38"/>
        <v>2.8333720424994482</v>
      </c>
      <c r="S225" s="198">
        <f>$L225*Variables!$C$21/100</f>
        <v>0.15384825570132749</v>
      </c>
      <c r="T225" s="198">
        <f>$L225*Variables!$C$22/100</f>
        <v>0.26923444747732311</v>
      </c>
      <c r="U225" s="198">
        <f>$L225*Variables!$C$23/100</f>
        <v>0.28205513545243377</v>
      </c>
      <c r="V225" s="198">
        <f>$L225*Variables!$C$24/100</f>
        <v>2.0513100760177001</v>
      </c>
      <c r="W225" s="22">
        <f>S225*Variables!$E$25*Variables!$C$15+'Cost Calculations'!T225*Variables!$E$26*Variables!$C$15+'Cost Calculations'!U225*Variables!$E$27*Variables!$C$15+V225*Variables!$E$28*Variables!$C$15</f>
        <v>1900460.8773147464</v>
      </c>
      <c r="X225" s="20">
        <f>J225*Variables!$E$29*Variables!$C$15</f>
        <v>20920.480791833357</v>
      </c>
      <c r="Z225" s="33">
        <f>D225*(IF(D225&lt;50000,0,IF(D225&gt;Variables!$C$7,Variables!$C$37,IF(D225&gt;Variables!$C$6,Variables!$C$36,IF(D225&gt;Variables!$C$5,Variables!$C$35)))))</f>
        <v>67.991630565088968</v>
      </c>
      <c r="AA225" s="34">
        <f t="shared" si="32"/>
        <v>66</v>
      </c>
      <c r="AB225" s="35">
        <f t="shared" si="39"/>
        <v>2</v>
      </c>
      <c r="AC225" s="22">
        <f>AB225*Variables!$E$41</f>
        <v>739200.00000000012</v>
      </c>
      <c r="AD225" s="115">
        <f>ROUND(IF(D225&lt;50000,0,(H225/(3.14*Variables!$C$34^2))),0)</f>
        <v>35</v>
      </c>
      <c r="AE225" s="116">
        <f t="shared" si="34"/>
        <v>35</v>
      </c>
      <c r="AF225" s="117">
        <f t="shared" si="40"/>
        <v>0</v>
      </c>
      <c r="AG225" s="107">
        <f>AF225*Variables!$E$42*Variables!$C$15</f>
        <v>0</v>
      </c>
      <c r="AH225" s="199">
        <f>ROUND((Z225)/Variables!$C$40,0)</f>
        <v>1</v>
      </c>
      <c r="AI225" s="33">
        <f t="shared" si="35"/>
        <v>1</v>
      </c>
      <c r="AJ225" s="199">
        <f t="shared" si="43"/>
        <v>0</v>
      </c>
      <c r="AK225" s="22">
        <f>AJ225*Variables!$E$43*Variables!$C$15</f>
        <v>0</v>
      </c>
      <c r="AL225" s="20">
        <f>Z225*Variables!$E$38*Variables!$C$15</f>
        <v>12053455.02188326</v>
      </c>
      <c r="AN225" s="200">
        <f t="shared" si="36"/>
        <v>0.28000000000000003</v>
      </c>
      <c r="AO225" s="201">
        <f t="shared" si="41"/>
        <v>70.870516973036644</v>
      </c>
      <c r="AP225" s="321">
        <f>VLOOKUP(A225,'Household Information'!H:Q,10,FALSE)</f>
        <v>108.65462509082352</v>
      </c>
      <c r="AQ225" s="122">
        <f>IF(12*(AO225-Variables!$C$3*AP225*F225)*(G225/5)&lt;0,0,12*(AO225-Variables!$C$3*AP225*F225)*(G225/5))</f>
        <v>163768.84634151563</v>
      </c>
    </row>
    <row r="226" spans="1:43" ht="14.25" customHeight="1" x14ac:dyDescent="0.35">
      <c r="A226" s="30">
        <v>13</v>
      </c>
      <c r="B226" s="28" t="s">
        <v>166</v>
      </c>
      <c r="C226" s="28">
        <v>2024</v>
      </c>
      <c r="D226" s="196">
        <f>Population!I14</f>
        <v>9128001.49017331</v>
      </c>
      <c r="E226" s="303" t="str">
        <f t="shared" si="42"/>
        <v>Large</v>
      </c>
      <c r="F226" s="340">
        <f>VLOOKUP(A226,'Household Information'!$H$2:$M$49,6,FALSE)</f>
        <v>4.33</v>
      </c>
      <c r="G226" s="196">
        <f t="shared" si="37"/>
        <v>2108083</v>
      </c>
      <c r="H226" s="213">
        <f>Area!K14</f>
        <v>893.382524923745</v>
      </c>
      <c r="J226" s="32">
        <f>D226*Variables!$C$20</f>
        <v>8215.2013411559783</v>
      </c>
      <c r="K226" s="202">
        <f t="shared" si="33"/>
        <v>8025.0086364716035</v>
      </c>
      <c r="L226" s="32">
        <f t="shared" si="38"/>
        <v>190.1927046843748</v>
      </c>
      <c r="S226" s="198">
        <f>$L226*Variables!$C$21/100</f>
        <v>10.327205684219445</v>
      </c>
      <c r="T226" s="198">
        <f>$L226*Variables!$C$22/100</f>
        <v>18.072609947384031</v>
      </c>
      <c r="U226" s="198">
        <f>$L226*Variables!$C$23/100</f>
        <v>18.933210421068985</v>
      </c>
      <c r="V226" s="198">
        <f>$L226*Variables!$C$24/100</f>
        <v>137.69607578959261</v>
      </c>
      <c r="W226" s="22">
        <f>S226*Variables!$E$25*Variables!$C$15+'Cost Calculations'!T226*Variables!$E$26*Variables!$C$15+'Cost Calculations'!U226*Variables!$E$27*Variables!$C$15+V226*Variables!$E$28*Variables!$C$15</f>
        <v>127570184.56512909</v>
      </c>
      <c r="X226" s="20">
        <f>J226*Variables!$E$29*Variables!$C$15</f>
        <v>1404306.5172572031</v>
      </c>
      <c r="Z226" s="33">
        <f>D226*(IF(D226&lt;50000,0,IF(D226&gt;Variables!$C$7,Variables!$C$37,IF(D226&gt;Variables!$C$6,Variables!$C$36,IF(D226&gt;Variables!$C$5,Variables!$C$35)))))</f>
        <v>4564.0007450866551</v>
      </c>
      <c r="AA226" s="34">
        <f t="shared" si="32"/>
        <v>4458</v>
      </c>
      <c r="AB226" s="35">
        <f t="shared" si="39"/>
        <v>106</v>
      </c>
      <c r="AC226" s="22">
        <f>AB226*Variables!$E$41</f>
        <v>39177600.000000007</v>
      </c>
      <c r="AD226" s="115">
        <f>ROUND(IF(D226&lt;50000,0,(H226/(3.14*Variables!$C$34^2))),0)</f>
        <v>1138</v>
      </c>
      <c r="AE226" s="116">
        <f t="shared" si="34"/>
        <v>1127</v>
      </c>
      <c r="AF226" s="117">
        <f t="shared" si="40"/>
        <v>11</v>
      </c>
      <c r="AG226" s="107">
        <f>AF226*Variables!$E$42*Variables!$C$15</f>
        <v>7452.9840000000004</v>
      </c>
      <c r="AH226" s="199">
        <f>ROUND((Z226)/Variables!$C$40,0)</f>
        <v>37</v>
      </c>
      <c r="AI226" s="33">
        <f t="shared" si="35"/>
        <v>36</v>
      </c>
      <c r="AJ226" s="199">
        <f t="shared" si="43"/>
        <v>1</v>
      </c>
      <c r="AK226" s="22">
        <f>AJ226*Variables!$E$43*Variables!$C$15</f>
        <v>552717.39600000007</v>
      </c>
      <c r="AL226" s="20">
        <f>Z226*Variables!$E$38*Variables!$C$15</f>
        <v>809099255.94563079</v>
      </c>
      <c r="AN226" s="200">
        <f t="shared" si="36"/>
        <v>0.28000000000000003</v>
      </c>
      <c r="AO226" s="201">
        <f t="shared" si="41"/>
        <v>72.744</v>
      </c>
      <c r="AP226" s="321">
        <f>VLOOKUP(A226,'Household Information'!H:Q,10,FALSE)</f>
        <v>139.85863940426606</v>
      </c>
      <c r="AQ226" s="122">
        <f>IF(12*(AO226-Variables!$C$3*AP226*F226)*(G226/5)&lt;0,0,12*(AO226-Variables!$C$3*AP226*F226)*(G226/5))</f>
        <v>0</v>
      </c>
    </row>
    <row r="227" spans="1:43" ht="14.25" customHeight="1" x14ac:dyDescent="0.35">
      <c r="A227" s="30">
        <v>14</v>
      </c>
      <c r="B227" s="28" t="s">
        <v>167</v>
      </c>
      <c r="C227" s="28">
        <v>2024</v>
      </c>
      <c r="D227" s="196">
        <f>Population!I15</f>
        <v>363725.32472471055</v>
      </c>
      <c r="E227" s="303" t="str">
        <f t="shared" si="42"/>
        <v>Medium</v>
      </c>
      <c r="F227" s="340">
        <f>VLOOKUP(A227,'Household Information'!$H$2:$M$49,6,FALSE)</f>
        <v>4.6437746693442286</v>
      </c>
      <c r="G227" s="196">
        <f t="shared" si="37"/>
        <v>78325</v>
      </c>
      <c r="H227" s="213">
        <f>Area!K15</f>
        <v>43.461327432789652</v>
      </c>
      <c r="J227" s="32">
        <f>D227*Variables!$C$20</f>
        <v>327.35279225223951</v>
      </c>
      <c r="K227" s="202">
        <f t="shared" si="33"/>
        <v>319.7741450153751</v>
      </c>
      <c r="L227" s="32">
        <f t="shared" si="38"/>
        <v>7.5786472368644127</v>
      </c>
      <c r="S227" s="198">
        <f>$L227*Variables!$C$21/100</f>
        <v>0.41151025720530737</v>
      </c>
      <c r="T227" s="198">
        <f>$L227*Variables!$C$22/100</f>
        <v>0.72014295010928808</v>
      </c>
      <c r="U227" s="198">
        <f>$L227*Variables!$C$23/100</f>
        <v>0.75443547154306367</v>
      </c>
      <c r="V227" s="198">
        <f>$L227*Variables!$C$24/100</f>
        <v>5.486803429404099</v>
      </c>
      <c r="W227" s="22">
        <f>S227*Variables!$E$25*Variables!$C$15+'Cost Calculations'!T227*Variables!$E$26*Variables!$C$15+'Cost Calculations'!U227*Variables!$E$27*Variables!$C$15+V227*Variables!$E$28*Variables!$C$15</f>
        <v>5083314.9902632758</v>
      </c>
      <c r="X227" s="20">
        <f>J227*Variables!$E$29*Variables!$C$15</f>
        <v>55957.686307597825</v>
      </c>
      <c r="Z227" s="33">
        <f>D227*(IF(D227&lt;50000,0,IF(D227&gt;Variables!$C$7,Variables!$C$37,IF(D227&gt;Variables!$C$6,Variables!$C$36,IF(D227&gt;Variables!$C$5,Variables!$C$35)))))</f>
        <v>181.86266236235528</v>
      </c>
      <c r="AA227" s="34">
        <f t="shared" si="32"/>
        <v>178</v>
      </c>
      <c r="AB227" s="35">
        <f t="shared" si="39"/>
        <v>4</v>
      </c>
      <c r="AC227" s="22">
        <f>AB227*Variables!$E$41</f>
        <v>1478400.0000000002</v>
      </c>
      <c r="AD227" s="115">
        <f>ROUND(IF(D227&lt;50000,0,(H227/(3.14*Variables!$C$34^2))),0)</f>
        <v>55</v>
      </c>
      <c r="AE227" s="116">
        <f t="shared" si="34"/>
        <v>55</v>
      </c>
      <c r="AF227" s="117">
        <f t="shared" si="40"/>
        <v>0</v>
      </c>
      <c r="AG227" s="107">
        <f>AF227*Variables!$E$42*Variables!$C$15</f>
        <v>0</v>
      </c>
      <c r="AH227" s="199">
        <f>ROUND((Z227)/Variables!$C$40,0)</f>
        <v>1</v>
      </c>
      <c r="AI227" s="33">
        <f t="shared" si="35"/>
        <v>1</v>
      </c>
      <c r="AJ227" s="199">
        <f t="shared" si="43"/>
        <v>0</v>
      </c>
      <c r="AK227" s="22">
        <f>AJ227*Variables!$E$43*Variables!$C$15</f>
        <v>0</v>
      </c>
      <c r="AL227" s="20">
        <f>Z227*Variables!$E$38*Variables!$C$15</f>
        <v>32240341.976298105</v>
      </c>
      <c r="AN227" s="200">
        <f t="shared" si="36"/>
        <v>0.21</v>
      </c>
      <c r="AO227" s="201">
        <f t="shared" si="41"/>
        <v>58.511560833737278</v>
      </c>
      <c r="AP227" s="321">
        <f>VLOOKUP(A227,'Household Information'!H:Q,10,FALSE)</f>
        <v>108.65462509082352</v>
      </c>
      <c r="AQ227" s="122">
        <f>IF(12*(AO227-Variables!$C$3*AP227*F227)*(G227/5)&lt;0,0,12*(AO227-Variables!$C$3*AP227*F227)*(G227/5))</f>
        <v>0</v>
      </c>
    </row>
    <row r="228" spans="1:43" ht="14.25" customHeight="1" x14ac:dyDescent="0.35">
      <c r="A228" s="30">
        <v>15</v>
      </c>
      <c r="B228" s="28" t="s">
        <v>168</v>
      </c>
      <c r="C228" s="28">
        <v>2024</v>
      </c>
      <c r="D228" s="196">
        <f>Population!I16</f>
        <v>80665.738035561153</v>
      </c>
      <c r="E228" s="303" t="str">
        <f t="shared" si="42"/>
        <v>Small</v>
      </c>
      <c r="F228" s="340">
        <f>VLOOKUP(A228,'Household Information'!$H$2:$M$49,6,FALSE)</f>
        <v>4.4181210545859635</v>
      </c>
      <c r="G228" s="196">
        <f t="shared" si="37"/>
        <v>18258</v>
      </c>
      <c r="H228" s="213">
        <f>Area!K16</f>
        <v>241.93472270919565</v>
      </c>
      <c r="J228" s="32">
        <f>D228*Variables!$C$20</f>
        <v>72.599164232005037</v>
      </c>
      <c r="K228" s="202">
        <f t="shared" si="33"/>
        <v>70.918398194788551</v>
      </c>
      <c r="L228" s="32">
        <f t="shared" si="38"/>
        <v>1.6807660372164861</v>
      </c>
      <c r="S228" s="198">
        <f>$L228*Variables!$C$21/100</f>
        <v>9.126331423799923E-2</v>
      </c>
      <c r="T228" s="198">
        <f>$L228*Variables!$C$22/100</f>
        <v>0.15971079991649867</v>
      </c>
      <c r="U228" s="198">
        <f>$L228*Variables!$C$23/100</f>
        <v>0.16731607610299862</v>
      </c>
      <c r="V228" s="198">
        <f>$L228*Variables!$C$24/100</f>
        <v>1.21684418983999</v>
      </c>
      <c r="W228" s="22">
        <f>S228*Variables!$E$25*Variables!$C$15+'Cost Calculations'!T228*Variables!$E$26*Variables!$C$15+'Cost Calculations'!U228*Variables!$E$27*Variables!$C$15+V228*Variables!$E$28*Variables!$C$15</f>
        <v>1127359.9265246843</v>
      </c>
      <c r="X228" s="20">
        <f>J228*Variables!$E$29*Variables!$C$15</f>
        <v>12410.101133818942</v>
      </c>
      <c r="Z228" s="33">
        <f>D228*(IF(D228&lt;50000,0,IF(D228&gt;Variables!$C$7,Variables!$C$37,IF(D228&gt;Variables!$C$6,Variables!$C$36,IF(D228&gt;Variables!$C$5,Variables!$C$35)))))</f>
        <v>40.332869017780574</v>
      </c>
      <c r="AA228" s="34">
        <f t="shared" si="32"/>
        <v>39</v>
      </c>
      <c r="AB228" s="35">
        <f t="shared" si="39"/>
        <v>1</v>
      </c>
      <c r="AC228" s="22">
        <f>AB228*Variables!$E$41</f>
        <v>369600.00000000006</v>
      </c>
      <c r="AD228" s="115">
        <f>ROUND(IF(D228&lt;50000,0,(H228/(3.14*Variables!$C$34^2))),0)</f>
        <v>308</v>
      </c>
      <c r="AE228" s="116">
        <f t="shared" si="34"/>
        <v>304</v>
      </c>
      <c r="AF228" s="117">
        <f t="shared" si="40"/>
        <v>4</v>
      </c>
      <c r="AG228" s="107">
        <f>AF228*Variables!$E$42*Variables!$C$15</f>
        <v>2710.1759999999999</v>
      </c>
      <c r="AH228" s="199">
        <f>ROUND((Z228)/Variables!$C$40,0)</f>
        <v>0</v>
      </c>
      <c r="AI228" s="33">
        <f t="shared" si="35"/>
        <v>0</v>
      </c>
      <c r="AJ228" s="199">
        <f t="shared" si="43"/>
        <v>0</v>
      </c>
      <c r="AK228" s="22">
        <f>AJ228*Variables!$E$43*Variables!$C$15</f>
        <v>0</v>
      </c>
      <c r="AL228" s="20">
        <f>Z228*Variables!$E$38*Variables!$C$15</f>
        <v>7150150.9607705483</v>
      </c>
      <c r="AN228" s="200">
        <f t="shared" si="36"/>
        <v>0.28000000000000003</v>
      </c>
      <c r="AO228" s="201">
        <f t="shared" si="41"/>
        <v>74.224433717044192</v>
      </c>
      <c r="AP228" s="321">
        <f>VLOOKUP(A228,'Household Information'!H:Q,10,FALSE)</f>
        <v>119.4497033951786</v>
      </c>
      <c r="AQ228" s="122">
        <f>IF(12*(AO228-Variables!$C$3*AP228*F228)*(G228/5)&lt;0,0,12*(AO228-Variables!$C$3*AP228*F228)*(G228/5))</f>
        <v>0</v>
      </c>
    </row>
    <row r="229" spans="1:43" ht="14.25" customHeight="1" x14ac:dyDescent="0.35">
      <c r="A229" s="30">
        <v>16</v>
      </c>
      <c r="B229" s="28" t="s">
        <v>169</v>
      </c>
      <c r="C229" s="28">
        <v>2024</v>
      </c>
      <c r="D229" s="196">
        <f>Population!I17</f>
        <v>4130458.6749305613</v>
      </c>
      <c r="E229" s="303" t="str">
        <f t="shared" si="42"/>
        <v>Large</v>
      </c>
      <c r="F229" s="340">
        <f>VLOOKUP(A229,'Household Information'!$H$2:$M$49,6,FALSE)</f>
        <v>5.0811133147736394</v>
      </c>
      <c r="G229" s="196">
        <f t="shared" si="37"/>
        <v>812904</v>
      </c>
      <c r="H229" s="213">
        <f>Area!K17</f>
        <v>374.02343772349337</v>
      </c>
      <c r="J229" s="32">
        <f>D229*Variables!$C$20</f>
        <v>3717.4128074375053</v>
      </c>
      <c r="K229" s="202">
        <f t="shared" si="33"/>
        <v>3631.349816779823</v>
      </c>
      <c r="L229" s="32">
        <f t="shared" si="38"/>
        <v>86.062990657682349</v>
      </c>
      <c r="S229" s="198">
        <f>$L229*Variables!$C$21/100</f>
        <v>4.6731035651230233</v>
      </c>
      <c r="T229" s="198">
        <f>$L229*Variables!$C$22/100</f>
        <v>8.1779312389652912</v>
      </c>
      <c r="U229" s="198">
        <f>$L229*Variables!$C$23/100</f>
        <v>8.5673565360588757</v>
      </c>
      <c r="V229" s="198">
        <f>$L229*Variables!$C$24/100</f>
        <v>62.308047534973646</v>
      </c>
      <c r="W229" s="22">
        <f>S229*Variables!$E$25*Variables!$C$15+'Cost Calculations'!T229*Variables!$E$26*Variables!$C$15+'Cost Calculations'!U229*Variables!$E$27*Variables!$C$15+V229*Variables!$E$28*Variables!$C$15</f>
        <v>57726039.600978971</v>
      </c>
      <c r="X229" s="20">
        <f>J229*Variables!$E$29*Variables!$C$15</f>
        <v>635454.54530336719</v>
      </c>
      <c r="Z229" s="33">
        <f>D229*(IF(D229&lt;50000,0,IF(D229&gt;Variables!$C$7,Variables!$C$37,IF(D229&gt;Variables!$C$6,Variables!$C$36,IF(D229&gt;Variables!$C$5,Variables!$C$35)))))</f>
        <v>2065.2293374652809</v>
      </c>
      <c r="AA229" s="34">
        <f t="shared" si="32"/>
        <v>3249</v>
      </c>
      <c r="AB229" s="35">
        <f t="shared" si="39"/>
        <v>0</v>
      </c>
      <c r="AC229" s="22">
        <f>AB229*Variables!$E$41</f>
        <v>0</v>
      </c>
      <c r="AD229" s="115">
        <f>ROUND(IF(D229&lt;50000,0,(H229/(3.14*Variables!$C$34^2))),0)</f>
        <v>476</v>
      </c>
      <c r="AE229" s="116">
        <f t="shared" si="34"/>
        <v>566</v>
      </c>
      <c r="AF229" s="117">
        <f t="shared" si="40"/>
        <v>0</v>
      </c>
      <c r="AG229" s="107">
        <f>AF229*Variables!$E$42*Variables!$C$15</f>
        <v>0</v>
      </c>
      <c r="AH229" s="199">
        <f>ROUND((Z229)/Variables!$C$40,0)</f>
        <v>17</v>
      </c>
      <c r="AI229" s="33">
        <f t="shared" si="35"/>
        <v>16</v>
      </c>
      <c r="AJ229" s="199">
        <f t="shared" si="43"/>
        <v>1</v>
      </c>
      <c r="AK229" s="22">
        <f>AJ229*Variables!$E$43*Variables!$C$15</f>
        <v>552717.39600000007</v>
      </c>
      <c r="AL229" s="20">
        <f>Z229*Variables!$E$38*Variables!$C$15</f>
        <v>366120781.66269457</v>
      </c>
      <c r="AN229" s="200">
        <f t="shared" si="36"/>
        <v>0.21</v>
      </c>
      <c r="AO229" s="201">
        <f t="shared" si="41"/>
        <v>64.022027766147858</v>
      </c>
      <c r="AP229" s="321">
        <f>VLOOKUP(A229,'Household Information'!H:Q,10,FALSE)</f>
        <v>125.45752871387103</v>
      </c>
      <c r="AQ229" s="122">
        <f>IF(12*(AO229-Variables!$C$3*AP229*F229)*(G229/5)&lt;0,0,12*(AO229-Variables!$C$3*AP229*F229)*(G229/5))</f>
        <v>0</v>
      </c>
    </row>
    <row r="230" spans="1:43" ht="14.25" customHeight="1" x14ac:dyDescent="0.35">
      <c r="A230" s="30">
        <v>17</v>
      </c>
      <c r="B230" s="28" t="s">
        <v>170</v>
      </c>
      <c r="C230" s="28">
        <v>2024</v>
      </c>
      <c r="D230" s="196">
        <f>Population!I18</f>
        <v>15200.250855246943</v>
      </c>
      <c r="E230" s="303" t="str">
        <f t="shared" si="42"/>
        <v>Small</v>
      </c>
      <c r="F230" s="340">
        <f>VLOOKUP(A230,'Household Information'!$H$2:$M$49,6,FALSE)</f>
        <v>4.9910952804986639</v>
      </c>
      <c r="G230" s="196">
        <f t="shared" si="37"/>
        <v>3045</v>
      </c>
      <c r="H230" s="213">
        <f>Area!K18</f>
        <v>2.8006312640916784</v>
      </c>
      <c r="J230" s="32">
        <f>D230*Variables!$C$20</f>
        <v>13.680225769722249</v>
      </c>
      <c r="K230" s="202">
        <f t="shared" si="33"/>
        <v>13.363510569231464</v>
      </c>
      <c r="L230" s="32">
        <f t="shared" si="38"/>
        <v>0.31671520049078516</v>
      </c>
      <c r="S230" s="198">
        <f>$L230*Variables!$C$21/100</f>
        <v>1.719720545651322E-2</v>
      </c>
      <c r="T230" s="198">
        <f>$L230*Variables!$C$22/100</f>
        <v>3.0095109548898137E-2</v>
      </c>
      <c r="U230" s="198">
        <f>$L230*Variables!$C$23/100</f>
        <v>3.1528210003607574E-2</v>
      </c>
      <c r="V230" s="198">
        <f>$L230*Variables!$C$24/100</f>
        <v>0.22929607275350961</v>
      </c>
      <c r="W230" s="22">
        <f>S230*Variables!$E$25*Variables!$C$15+'Cost Calculations'!T230*Variables!$E$26*Variables!$C$15+'Cost Calculations'!U230*Variables!$E$27*Variables!$C$15+V230*Variables!$E$28*Variables!$C$15</f>
        <v>212434.10281293851</v>
      </c>
      <c r="X230" s="20">
        <f>J230*Variables!$E$29*Variables!$C$15</f>
        <v>2338.4977930763212</v>
      </c>
      <c r="Z230" s="33">
        <f>D230*(IF(D230&lt;50000,0,IF(D230&gt;Variables!$C$7,Variables!$C$37,IF(D230&gt;Variables!$C$6,Variables!$C$36,IF(D230&gt;Variables!$C$5,Variables!$C$35)))))</f>
        <v>0</v>
      </c>
      <c r="AA230" s="34">
        <f t="shared" si="32"/>
        <v>0</v>
      </c>
      <c r="AB230" s="35">
        <f t="shared" si="39"/>
        <v>0</v>
      </c>
      <c r="AC230" s="22">
        <f>AB230*Variables!$E$41</f>
        <v>0</v>
      </c>
      <c r="AD230" s="115">
        <f>ROUND(IF(D230&lt;50000,0,(H230/(3.14*Variables!$C$34^2))),0)</f>
        <v>0</v>
      </c>
      <c r="AE230" s="116">
        <f t="shared" si="34"/>
        <v>0</v>
      </c>
      <c r="AF230" s="117">
        <f t="shared" si="40"/>
        <v>0</v>
      </c>
      <c r="AG230" s="107">
        <f>AF230*Variables!$E$42*Variables!$C$15</f>
        <v>0</v>
      </c>
      <c r="AH230" s="199">
        <f>ROUND((Z230)/Variables!$C$40,0)</f>
        <v>0</v>
      </c>
      <c r="AI230" s="33">
        <f t="shared" si="35"/>
        <v>0</v>
      </c>
      <c r="AJ230" s="199">
        <f t="shared" si="43"/>
        <v>0</v>
      </c>
      <c r="AK230" s="22">
        <f>AJ230*Variables!$E$43*Variables!$C$15</f>
        <v>0</v>
      </c>
      <c r="AL230" s="20">
        <f>Z230*Variables!$E$38*Variables!$C$15</f>
        <v>0</v>
      </c>
      <c r="AN230" s="200">
        <f t="shared" si="36"/>
        <v>0.25221875000000005</v>
      </c>
      <c r="AO230" s="201">
        <f t="shared" si="41"/>
        <v>75.530868766696358</v>
      </c>
      <c r="AP230" s="321">
        <f>VLOOKUP(A230,'Household Information'!H:Q,10,FALSE)</f>
        <v>108.65462509082352</v>
      </c>
      <c r="AQ230" s="122">
        <f>IF(12*(AO230-Variables!$C$3*AP230*F230)*(G230/5)&lt;0,0,12*(AO230-Variables!$C$3*AP230*F230)*(G230/5))</f>
        <v>0</v>
      </c>
    </row>
    <row r="231" spans="1:43" ht="14.25" customHeight="1" x14ac:dyDescent="0.35">
      <c r="A231" s="30">
        <v>18</v>
      </c>
      <c r="B231" s="28" t="s">
        <v>171</v>
      </c>
      <c r="C231" s="28">
        <v>2024</v>
      </c>
      <c r="D231" s="196">
        <f>Population!I19</f>
        <v>134292.38576742212</v>
      </c>
      <c r="E231" s="303" t="str">
        <f t="shared" si="42"/>
        <v>Medium</v>
      </c>
      <c r="F231" s="340">
        <f>VLOOKUP(A231,'Household Information'!$H$2:$M$49,6,FALSE)</f>
        <v>4.4388221584797423</v>
      </c>
      <c r="G231" s="196">
        <f t="shared" si="37"/>
        <v>30254</v>
      </c>
      <c r="H231" s="213">
        <f>Area!K19</f>
        <v>28.974218288526433</v>
      </c>
      <c r="J231" s="32">
        <f>D231*Variables!$C$20</f>
        <v>120.86314719067991</v>
      </c>
      <c r="K231" s="202">
        <f t="shared" si="33"/>
        <v>118.06500653578188</v>
      </c>
      <c r="L231" s="32">
        <f t="shared" si="38"/>
        <v>2.7981406548980345</v>
      </c>
      <c r="S231" s="198">
        <f>$L231*Variables!$C$21/100</f>
        <v>0.15193523917998375</v>
      </c>
      <c r="T231" s="198">
        <f>$L231*Variables!$C$22/100</f>
        <v>0.26588666856497162</v>
      </c>
      <c r="U231" s="198">
        <f>$L231*Variables!$C$23/100</f>
        <v>0.27854793849663695</v>
      </c>
      <c r="V231" s="198">
        <f>$L231*Variables!$C$24/100</f>
        <v>2.0258031890664503</v>
      </c>
      <c r="W231" s="22">
        <f>S231*Variables!$E$25*Variables!$C$15+'Cost Calculations'!T231*Variables!$E$26*Variables!$C$15+'Cost Calculations'!U231*Variables!$E$27*Variables!$C$15+V231*Variables!$E$28*Variables!$C$15</f>
        <v>1876829.7152980091</v>
      </c>
      <c r="X231" s="20">
        <f>J231*Variables!$E$29*Variables!$C$15</f>
        <v>20660.346380774823</v>
      </c>
      <c r="Z231" s="33">
        <f>D231*(IF(D231&lt;50000,0,IF(D231&gt;Variables!$C$7,Variables!$C$37,IF(D231&gt;Variables!$C$6,Variables!$C$36,IF(D231&gt;Variables!$C$5,Variables!$C$35)))))</f>
        <v>67.146192883711066</v>
      </c>
      <c r="AA231" s="34">
        <f t="shared" si="32"/>
        <v>94</v>
      </c>
      <c r="AB231" s="35">
        <f t="shared" si="39"/>
        <v>0</v>
      </c>
      <c r="AC231" s="22">
        <f>AB231*Variables!$E$41</f>
        <v>0</v>
      </c>
      <c r="AD231" s="115">
        <f>ROUND(IF(D231&lt;50000,0,(H231/(3.14*Variables!$C$34^2))),0)</f>
        <v>37</v>
      </c>
      <c r="AE231" s="116">
        <f t="shared" si="34"/>
        <v>36</v>
      </c>
      <c r="AF231" s="117">
        <f t="shared" si="40"/>
        <v>1</v>
      </c>
      <c r="AG231" s="107">
        <f>AF231*Variables!$E$42*Variables!$C$15</f>
        <v>677.54399999999998</v>
      </c>
      <c r="AH231" s="199">
        <f>ROUND((Z231)/Variables!$C$40,0)</f>
        <v>1</v>
      </c>
      <c r="AI231" s="33">
        <f t="shared" si="35"/>
        <v>1</v>
      </c>
      <c r="AJ231" s="199">
        <f t="shared" si="43"/>
        <v>0</v>
      </c>
      <c r="AK231" s="22">
        <f>AJ231*Variables!$E$43*Variables!$C$15</f>
        <v>0</v>
      </c>
      <c r="AL231" s="20">
        <f>Z231*Variables!$E$38*Variables!$C$15</f>
        <v>11903577.088649429</v>
      </c>
      <c r="AN231" s="200">
        <f t="shared" si="36"/>
        <v>0.25221875000000005</v>
      </c>
      <c r="AO231" s="201">
        <f t="shared" si="41"/>
        <v>67.17325057704376</v>
      </c>
      <c r="AP231" s="321">
        <f>VLOOKUP(A231,'Household Information'!H:Q,10,FALSE)</f>
        <v>98.76688123185663</v>
      </c>
      <c r="AQ231" s="122">
        <f>IF(12*(AO231-Variables!$C$3*AP231*F231)*(G231/5)&lt;0,0,12*(AO231-Variables!$C$3*AP231*F231)*(G231/5))</f>
        <v>102521.66469279469</v>
      </c>
    </row>
    <row r="232" spans="1:43" ht="14.25" customHeight="1" x14ac:dyDescent="0.35">
      <c r="A232" s="30">
        <v>19</v>
      </c>
      <c r="B232" s="28" t="s">
        <v>172</v>
      </c>
      <c r="C232" s="28">
        <v>2024</v>
      </c>
      <c r="D232" s="196">
        <f>Population!I20</f>
        <v>6097312.8295525238</v>
      </c>
      <c r="E232" s="303" t="str">
        <f t="shared" si="42"/>
        <v>Large</v>
      </c>
      <c r="F232" s="340">
        <f>VLOOKUP(A232,'Household Information'!$H$2:$M$49,6,FALSE)</f>
        <v>4.3873267195354213</v>
      </c>
      <c r="G232" s="196">
        <f t="shared" si="37"/>
        <v>1389756</v>
      </c>
      <c r="H232" s="213">
        <f>Area!K20</f>
        <v>1102.4703258700108</v>
      </c>
      <c r="J232" s="32">
        <f>D232*Variables!$C$20</f>
        <v>5487.581546597271</v>
      </c>
      <c r="K232" s="202">
        <f t="shared" si="33"/>
        <v>5360.5368238715164</v>
      </c>
      <c r="L232" s="32">
        <f t="shared" si="38"/>
        <v>127.04472272575458</v>
      </c>
      <c r="S232" s="198">
        <f>$L232*Variables!$C$21/100</f>
        <v>6.8983559851088456</v>
      </c>
      <c r="T232" s="198">
        <f>$L232*Variables!$C$22/100</f>
        <v>12.072122973940482</v>
      </c>
      <c r="U232" s="198">
        <f>$L232*Variables!$C$23/100</f>
        <v>12.646985972699552</v>
      </c>
      <c r="V232" s="198">
        <f>$L232*Variables!$C$24/100</f>
        <v>91.978079801451273</v>
      </c>
      <c r="W232" s="22">
        <f>S232*Variables!$E$25*Variables!$C$15+'Cost Calculations'!T232*Variables!$E$26*Variables!$C$15+'Cost Calculations'!U232*Variables!$E$27*Variables!$C$15+V232*Variables!$E$28*Variables!$C$15</f>
        <v>85214197.637316912</v>
      </c>
      <c r="X232" s="20">
        <f>J232*Variables!$E$29*Variables!$C$15</f>
        <v>938047.18957533757</v>
      </c>
      <c r="Z232" s="33">
        <f>D232*(IF(D232&lt;50000,0,IF(D232&gt;Variables!$C$7,Variables!$C$37,IF(D232&gt;Variables!$C$6,Variables!$C$36,IF(D232&gt;Variables!$C$5,Variables!$C$35)))))</f>
        <v>3048.656414776262</v>
      </c>
      <c r="AA232" s="34">
        <f t="shared" si="32"/>
        <v>5267</v>
      </c>
      <c r="AB232" s="35">
        <f t="shared" si="39"/>
        <v>0</v>
      </c>
      <c r="AC232" s="22">
        <f>AB232*Variables!$E$41</f>
        <v>0</v>
      </c>
      <c r="AD232" s="115">
        <f>ROUND(IF(D232&lt;50000,0,(H232/(3.14*Variables!$C$34^2))),0)</f>
        <v>1404</v>
      </c>
      <c r="AE232" s="116">
        <f t="shared" si="34"/>
        <v>1469</v>
      </c>
      <c r="AF232" s="117">
        <f t="shared" si="40"/>
        <v>0</v>
      </c>
      <c r="AG232" s="107">
        <f>AF232*Variables!$E$42*Variables!$C$15</f>
        <v>0</v>
      </c>
      <c r="AH232" s="199">
        <f>ROUND((Z232)/Variables!$C$40,0)</f>
        <v>24</v>
      </c>
      <c r="AI232" s="33">
        <f t="shared" si="35"/>
        <v>24</v>
      </c>
      <c r="AJ232" s="199">
        <f t="shared" si="43"/>
        <v>0</v>
      </c>
      <c r="AK232" s="22">
        <f>AJ232*Variables!$E$43*Variables!$C$15</f>
        <v>0</v>
      </c>
      <c r="AL232" s="20">
        <f>Z232*Variables!$E$38*Variables!$C$15</f>
        <v>540461269.53086507</v>
      </c>
      <c r="AN232" s="200">
        <f t="shared" si="36"/>
        <v>0.14000000000000001</v>
      </c>
      <c r="AO232" s="201">
        <f t="shared" si="41"/>
        <v>36.853544444097544</v>
      </c>
      <c r="AP232" s="321">
        <f>VLOOKUP(A232,'Household Information'!H:Q,10,FALSE)</f>
        <v>155.49665530733307</v>
      </c>
      <c r="AQ232" s="122">
        <f>IF(12*(AO232-Variables!$C$3*AP232*F232)*(G232/5)&lt;0,0,12*(AO232-Variables!$C$3*AP232*F232)*(G232/5))</f>
        <v>0</v>
      </c>
    </row>
    <row r="233" spans="1:43" ht="14.25" customHeight="1" x14ac:dyDescent="0.35">
      <c r="A233" s="30">
        <v>20</v>
      </c>
      <c r="B233" s="28" t="s">
        <v>173</v>
      </c>
      <c r="C233" s="28">
        <v>2024</v>
      </c>
      <c r="D233" s="196">
        <f>Population!I21</f>
        <v>3819866.4304701551</v>
      </c>
      <c r="E233" s="303" t="str">
        <f t="shared" si="42"/>
        <v>Large</v>
      </c>
      <c r="F233" s="340">
        <f>VLOOKUP(A233,'Household Information'!$H$2:$M$49,6,FALSE)</f>
        <v>5.2348048588773741</v>
      </c>
      <c r="G233" s="196">
        <f t="shared" si="37"/>
        <v>729706</v>
      </c>
      <c r="H233" s="213">
        <f>Area!K21</f>
        <v>488.21557816167029</v>
      </c>
      <c r="J233" s="32">
        <f>D233*Variables!$C$20</f>
        <v>3437.8797874231395</v>
      </c>
      <c r="K233" s="202">
        <f t="shared" si="33"/>
        <v>3358.2883534464581</v>
      </c>
      <c r="L233" s="32">
        <f t="shared" si="38"/>
        <v>79.591433976681401</v>
      </c>
      <c r="S233" s="198">
        <f>$L233*Variables!$C$21/100</f>
        <v>4.3217068222632431</v>
      </c>
      <c r="T233" s="198">
        <f>$L233*Variables!$C$22/100</f>
        <v>7.5629869389606759</v>
      </c>
      <c r="U233" s="198">
        <f>$L233*Variables!$C$23/100</f>
        <v>7.9231291741492793</v>
      </c>
      <c r="V233" s="198">
        <f>$L233*Variables!$C$24/100</f>
        <v>57.622757630176572</v>
      </c>
      <c r="W233" s="22">
        <f>S233*Variables!$E$25*Variables!$C$15+'Cost Calculations'!T233*Variables!$E$26*Variables!$C$15+'Cost Calculations'!U233*Variables!$E$27*Variables!$C$15+V233*Variables!$E$28*Variables!$C$15</f>
        <v>53385296.450030915</v>
      </c>
      <c r="X233" s="20">
        <f>J233*Variables!$E$29*Variables!$C$15</f>
        <v>587671.1708621115</v>
      </c>
      <c r="Z233" s="33">
        <f>D233*(IF(D233&lt;50000,0,IF(D233&gt;Variables!$C$7,Variables!$C$37,IF(D233&gt;Variables!$C$6,Variables!$C$36,IF(D233&gt;Variables!$C$5,Variables!$C$35)))))</f>
        <v>1909.9332152350776</v>
      </c>
      <c r="AA233" s="34">
        <f t="shared" si="32"/>
        <v>3353</v>
      </c>
      <c r="AB233" s="35">
        <f t="shared" si="39"/>
        <v>0</v>
      </c>
      <c r="AC233" s="22">
        <f>AB233*Variables!$E$41</f>
        <v>0</v>
      </c>
      <c r="AD233" s="115">
        <f>ROUND(IF(D233&lt;50000,0,(H233/(3.14*Variables!$C$34^2))),0)</f>
        <v>622</v>
      </c>
      <c r="AE233" s="116">
        <f t="shared" si="34"/>
        <v>613</v>
      </c>
      <c r="AF233" s="117">
        <f t="shared" si="40"/>
        <v>9</v>
      </c>
      <c r="AG233" s="107">
        <f>AF233*Variables!$E$42*Variables!$C$15</f>
        <v>6097.8960000000006</v>
      </c>
      <c r="AH233" s="199">
        <f>ROUND((Z233)/Variables!$C$40,0)</f>
        <v>15</v>
      </c>
      <c r="AI233" s="33">
        <f t="shared" si="35"/>
        <v>15</v>
      </c>
      <c r="AJ233" s="199">
        <f t="shared" si="43"/>
        <v>0</v>
      </c>
      <c r="AK233" s="22">
        <f>AJ233*Variables!$E$43*Variables!$C$15</f>
        <v>0</v>
      </c>
      <c r="AL233" s="20">
        <f>Z233*Variables!$E$38*Variables!$C$15</f>
        <v>338590116.36143076</v>
      </c>
      <c r="AN233" s="200">
        <f t="shared" si="36"/>
        <v>0.56000000000000005</v>
      </c>
      <c r="AO233" s="201">
        <f t="shared" si="41"/>
        <v>175.88944325827978</v>
      </c>
      <c r="AP233" s="321">
        <f>VLOOKUP(A233,'Household Information'!H:Q,10,FALSE)</f>
        <v>92.944591695065014</v>
      </c>
      <c r="AQ233" s="122">
        <f>IF(12*(AO233-Variables!$C$3*AP233*F233)*(G233/5)&lt;0,0,12*(AO233-Variables!$C$3*AP233*F233)*(G233/5))</f>
        <v>180221194.01504281</v>
      </c>
    </row>
    <row r="234" spans="1:43" ht="14.25" customHeight="1" x14ac:dyDescent="0.35">
      <c r="A234" s="30">
        <v>21</v>
      </c>
      <c r="B234" s="30" t="s">
        <v>174</v>
      </c>
      <c r="C234" s="28">
        <v>2024</v>
      </c>
      <c r="D234" s="196">
        <f>Population!I22</f>
        <v>16871292.670343574</v>
      </c>
      <c r="E234" s="303" t="str">
        <f t="shared" si="42"/>
        <v>Large</v>
      </c>
      <c r="F234" s="340">
        <f>VLOOKUP(A234,'Household Information'!$H$2:$M$49,6,FALSE)</f>
        <v>4.4756737410071938</v>
      </c>
      <c r="G234" s="196">
        <f t="shared" si="37"/>
        <v>3769554</v>
      </c>
      <c r="H234" s="213">
        <f>Area!K22</f>
        <v>704.99999999999966</v>
      </c>
      <c r="J234" s="32">
        <f>D234*Variables!$C$20</f>
        <v>15184.163403309216</v>
      </c>
      <c r="K234" s="202">
        <f t="shared" si="33"/>
        <v>14832.630070635163</v>
      </c>
      <c r="L234" s="32">
        <f t="shared" si="38"/>
        <v>351.53333267405287</v>
      </c>
      <c r="S234" s="198">
        <f>$L234*Variables!$C$21/100</f>
        <v>19.087782769631829</v>
      </c>
      <c r="T234" s="198">
        <f>$L234*Variables!$C$22/100</f>
        <v>33.403619846855705</v>
      </c>
      <c r="U234" s="198">
        <f>$L234*Variables!$C$23/100</f>
        <v>34.994268410991687</v>
      </c>
      <c r="V234" s="198">
        <f>$L234*Variables!$C$24/100</f>
        <v>254.50377026175775</v>
      </c>
      <c r="W234" s="22">
        <f>S234*Variables!$E$25*Variables!$C$15+'Cost Calculations'!T234*Variables!$E$26*Variables!$C$15+'Cost Calculations'!U234*Variables!$E$27*Variables!$C$15+V234*Variables!$E$28*Variables!$C$15</f>
        <v>235788077.17385647</v>
      </c>
      <c r="X234" s="20">
        <f>J234*Variables!$E$29*Variables!$C$15</f>
        <v>2595580.8921616776</v>
      </c>
      <c r="Z234" s="33">
        <f>D234*(IF(D234&lt;50000,0,IF(D234&gt;Variables!$C$7,Variables!$C$37,IF(D234&gt;Variables!$C$6,Variables!$C$36,IF(D234&gt;Variables!$C$5,Variables!$C$35)))))</f>
        <v>8435.6463351717866</v>
      </c>
      <c r="AA234" s="34">
        <f t="shared" si="32"/>
        <v>8240</v>
      </c>
      <c r="AB234" s="35">
        <f t="shared" si="39"/>
        <v>196</v>
      </c>
      <c r="AC234" s="22">
        <f>AB234*Variables!$E$41</f>
        <v>72441600.000000015</v>
      </c>
      <c r="AD234" s="115">
        <f>ROUND(IF(D234&lt;50000,0,(H234/(3.14*Variables!$C$34^2))),0)</f>
        <v>898</v>
      </c>
      <c r="AE234" s="116">
        <f t="shared" si="34"/>
        <v>1087</v>
      </c>
      <c r="AF234" s="117">
        <f t="shared" si="40"/>
        <v>0</v>
      </c>
      <c r="AG234" s="107">
        <f>AF234*Variables!$E$42*Variables!$C$15</f>
        <v>0</v>
      </c>
      <c r="AH234" s="199">
        <f>ROUND((Z234)/Variables!$C$40,0)</f>
        <v>67</v>
      </c>
      <c r="AI234" s="33">
        <f t="shared" si="35"/>
        <v>66</v>
      </c>
      <c r="AJ234" s="199">
        <f t="shared" si="43"/>
        <v>1</v>
      </c>
      <c r="AK234" s="22">
        <f>AJ234*Variables!$E$43*Variables!$C$15</f>
        <v>552717.39600000007</v>
      </c>
      <c r="AL234" s="20">
        <f>Z234*Variables!$E$38*Variables!$C$15</f>
        <v>1495458820.9819388</v>
      </c>
      <c r="AN234" s="200">
        <f t="shared" si="36"/>
        <v>0.28000000000000003</v>
      </c>
      <c r="AO234" s="201">
        <f t="shared" si="41"/>
        <v>75.191318848920858</v>
      </c>
      <c r="AP234" s="321">
        <f>VLOOKUP(A234,'Household Information'!H:Q,10,FALSE)</f>
        <v>254.44907232109051</v>
      </c>
      <c r="AQ234" s="122">
        <f>IF(12*(AO234-Variables!$C$3*AP234*F234)*(G234/5)&lt;0,0,12*(AO234-Variables!$C$3*AP234*F234)*(G234/5))</f>
        <v>0</v>
      </c>
    </row>
    <row r="235" spans="1:43" ht="14.25" customHeight="1" x14ac:dyDescent="0.35">
      <c r="A235" s="30">
        <v>22</v>
      </c>
      <c r="B235" s="28" t="s">
        <v>175</v>
      </c>
      <c r="C235" s="28">
        <v>2024</v>
      </c>
      <c r="D235" s="196">
        <f>Population!I23</f>
        <v>14962355.403748387</v>
      </c>
      <c r="E235" s="303" t="str">
        <f t="shared" si="42"/>
        <v>Large</v>
      </c>
      <c r="F235" s="340">
        <f>VLOOKUP(A235,'Household Information'!$H$2:$M$49,6,FALSE)</f>
        <v>4.7768636363636361</v>
      </c>
      <c r="G235" s="196">
        <f t="shared" si="37"/>
        <v>3132255</v>
      </c>
      <c r="H235" s="213">
        <f>Area!K23</f>
        <v>1132.8919350813833</v>
      </c>
      <c r="J235" s="32">
        <f>D235*Variables!$C$20</f>
        <v>13466.119863373548</v>
      </c>
      <c r="K235" s="202">
        <f t="shared" si="33"/>
        <v>19972.544550000002</v>
      </c>
      <c r="L235" s="32">
        <f t="shared" si="38"/>
        <v>0</v>
      </c>
      <c r="S235" s="198">
        <f>$L235*Variables!$C$21/100</f>
        <v>0</v>
      </c>
      <c r="T235" s="198">
        <f>$L235*Variables!$C$22/100</f>
        <v>0</v>
      </c>
      <c r="U235" s="198">
        <f>$L235*Variables!$C$23/100</f>
        <v>0</v>
      </c>
      <c r="V235" s="198">
        <f>$L235*Variables!$C$24/100</f>
        <v>0</v>
      </c>
      <c r="W235" s="22">
        <f>S235*Variables!$E$25*Variables!$C$15+'Cost Calculations'!T235*Variables!$E$26*Variables!$C$15+'Cost Calculations'!U235*Variables!$E$27*Variables!$C$15+V235*Variables!$E$28*Variables!$C$15</f>
        <v>0</v>
      </c>
      <c r="X235" s="20">
        <f>J235*Variables!$E$29*Variables!$C$15</f>
        <v>2301898.529445074</v>
      </c>
      <c r="Z235" s="33">
        <f>D235*(IF(D235&lt;50000,0,IF(D235&gt;Variables!$C$7,Variables!$C$37,IF(D235&gt;Variables!$C$6,Variables!$C$36,IF(D235&gt;Variables!$C$5,Variables!$C$35)))))</f>
        <v>7481.1777018741941</v>
      </c>
      <c r="AA235" s="34">
        <f t="shared" si="32"/>
        <v>7308</v>
      </c>
      <c r="AB235" s="35">
        <f t="shared" si="39"/>
        <v>173</v>
      </c>
      <c r="AC235" s="22">
        <f>AB235*Variables!$E$41</f>
        <v>63940800.000000007</v>
      </c>
      <c r="AD235" s="115">
        <f>ROUND(IF(D235&lt;50000,0,(H235/(3.14*Variables!$C$34^2))),0)</f>
        <v>1443</v>
      </c>
      <c r="AE235" s="116">
        <f t="shared" si="34"/>
        <v>1423</v>
      </c>
      <c r="AF235" s="117">
        <f t="shared" si="40"/>
        <v>20</v>
      </c>
      <c r="AG235" s="107">
        <f>AF235*Variables!$E$42*Variables!$C$15</f>
        <v>13550.880000000001</v>
      </c>
      <c r="AH235" s="199">
        <f>ROUND((Z235)/Variables!$C$40,0)</f>
        <v>60</v>
      </c>
      <c r="AI235" s="33">
        <f t="shared" si="35"/>
        <v>69</v>
      </c>
      <c r="AJ235" s="199">
        <f t="shared" si="43"/>
        <v>0</v>
      </c>
      <c r="AK235" s="22">
        <f>AJ235*Variables!$E$43*Variables!$C$15</f>
        <v>0</v>
      </c>
      <c r="AL235" s="20">
        <f>Z235*Variables!$E$38*Variables!$C$15</f>
        <v>1326252042.9471419</v>
      </c>
      <c r="AN235" s="200">
        <f t="shared" si="36"/>
        <v>0.42</v>
      </c>
      <c r="AO235" s="201">
        <f t="shared" si="41"/>
        <v>120.37696363636363</v>
      </c>
      <c r="AP235" s="321">
        <f>VLOOKUP(A235,'Household Information'!H:Q,10,FALSE)</f>
        <v>150.91303799066011</v>
      </c>
      <c r="AQ235" s="122">
        <f>IF(12*(AO235-Variables!$C$3*AP235*F235)*(G235/5)&lt;0,0,12*(AO235-Variables!$C$3*AP235*F235)*(G235/5))</f>
        <v>92038028.98121132</v>
      </c>
    </row>
    <row r="236" spans="1:43" ht="14.25" customHeight="1" x14ac:dyDescent="0.35">
      <c r="A236" s="30">
        <v>23</v>
      </c>
      <c r="B236" s="28" t="s">
        <v>176</v>
      </c>
      <c r="C236" s="28">
        <v>2024</v>
      </c>
      <c r="D236" s="196">
        <f>Population!I24</f>
        <v>54261.234475862344</v>
      </c>
      <c r="E236" s="303" t="str">
        <f t="shared" si="42"/>
        <v>Small</v>
      </c>
      <c r="F236" s="340">
        <f>VLOOKUP(A236,'Household Information'!$H$2:$M$49,6,FALSE)</f>
        <v>3.9394565859421147</v>
      </c>
      <c r="G236" s="196">
        <f t="shared" si="37"/>
        <v>13774</v>
      </c>
      <c r="H236" s="213">
        <f>Area!K24</f>
        <v>107.48776893573485</v>
      </c>
      <c r="J236" s="32">
        <f>D236*Variables!$C$20</f>
        <v>48.83511102827611</v>
      </c>
      <c r="K236" s="202">
        <f t="shared" si="33"/>
        <v>53.622780000000006</v>
      </c>
      <c r="L236" s="32">
        <f t="shared" si="38"/>
        <v>0</v>
      </c>
      <c r="S236" s="198">
        <f>$L236*Variables!$C$21/100</f>
        <v>0</v>
      </c>
      <c r="T236" s="198">
        <f>$L236*Variables!$C$22/100</f>
        <v>0</v>
      </c>
      <c r="U236" s="198">
        <f>$L236*Variables!$C$23/100</f>
        <v>0</v>
      </c>
      <c r="V236" s="198">
        <f>$L236*Variables!$C$24/100</f>
        <v>0</v>
      </c>
      <c r="W236" s="22">
        <f>S236*Variables!$E$25*Variables!$C$15+'Cost Calculations'!T236*Variables!$E$26*Variables!$C$15+'Cost Calculations'!U236*Variables!$E$27*Variables!$C$15+V236*Variables!$E$28*Variables!$C$15</f>
        <v>0</v>
      </c>
      <c r="X236" s="20">
        <f>J236*Variables!$E$29*Variables!$C$15</f>
        <v>8347.8738791735195</v>
      </c>
      <c r="Z236" s="33">
        <f>D236*(IF(D236&lt;50000,0,IF(D236&gt;Variables!$C$7,Variables!$C$37,IF(D236&gt;Variables!$C$6,Variables!$C$36,IF(D236&gt;Variables!$C$5,Variables!$C$35)))))</f>
        <v>27.130617237931173</v>
      </c>
      <c r="AA236" s="34">
        <f t="shared" si="32"/>
        <v>374.4</v>
      </c>
      <c r="AB236" s="35">
        <f t="shared" si="39"/>
        <v>0</v>
      </c>
      <c r="AC236" s="22">
        <f>AB236*Variables!$E$41</f>
        <v>0</v>
      </c>
      <c r="AD236" s="115">
        <f>ROUND(IF(D236&lt;50000,0,(H236/(3.14*Variables!$C$34^2))),0)</f>
        <v>137</v>
      </c>
      <c r="AE236" s="116">
        <f t="shared" si="34"/>
        <v>135</v>
      </c>
      <c r="AF236" s="117">
        <f t="shared" si="40"/>
        <v>2</v>
      </c>
      <c r="AG236" s="107">
        <f>AF236*Variables!$E$42*Variables!$C$15</f>
        <v>1355.088</v>
      </c>
      <c r="AH236" s="199">
        <f>ROUND((Z236)/Variables!$C$40,0)</f>
        <v>0</v>
      </c>
      <c r="AI236" s="33">
        <f t="shared" si="35"/>
        <v>1</v>
      </c>
      <c r="AJ236" s="199">
        <f t="shared" si="43"/>
        <v>0</v>
      </c>
      <c r="AK236" s="22">
        <f>AJ236*Variables!$E$43*Variables!$C$15</f>
        <v>0</v>
      </c>
      <c r="AL236" s="20">
        <f>Z236*Variables!$E$38*Variables!$C$15</f>
        <v>4809675.4243932609</v>
      </c>
      <c r="AN236" s="200">
        <f t="shared" si="36"/>
        <v>0.42</v>
      </c>
      <c r="AO236" s="201">
        <f t="shared" si="41"/>
        <v>99.274305965741291</v>
      </c>
      <c r="AP236" s="321">
        <f>VLOOKUP(A236,'Household Information'!H:Q,10,FALSE)</f>
        <v>127.00366022971097</v>
      </c>
      <c r="AQ236" s="122">
        <f>IF(12*(AO236-Variables!$C$3*AP236*F236)*(G236/5)&lt;0,0,12*(AO236-Variables!$C$3*AP236*F236)*(G236/5))</f>
        <v>800836.72702066333</v>
      </c>
    </row>
    <row r="237" spans="1:43" ht="14.25" customHeight="1" x14ac:dyDescent="0.35">
      <c r="A237" s="30">
        <v>24</v>
      </c>
      <c r="B237" s="28" t="s">
        <v>177</v>
      </c>
      <c r="C237" s="28">
        <v>2024</v>
      </c>
      <c r="D237" s="196">
        <f>Population!I25</f>
        <v>2283728.5366570666</v>
      </c>
      <c r="E237" s="303" t="str">
        <f t="shared" si="42"/>
        <v>Large</v>
      </c>
      <c r="F237" s="340">
        <f>VLOOKUP(A237,'Household Information'!$H$2:$M$49,6,FALSE)</f>
        <v>5.7167460931666056</v>
      </c>
      <c r="G237" s="196">
        <f t="shared" si="37"/>
        <v>399480</v>
      </c>
      <c r="H237" s="213">
        <f>Area!K25</f>
        <v>110.10202949640046</v>
      </c>
      <c r="J237" s="32">
        <f>D237*Variables!$C$20</f>
        <v>2055.35568299136</v>
      </c>
      <c r="K237" s="202">
        <f t="shared" si="33"/>
        <v>2007.7714984774443</v>
      </c>
      <c r="L237" s="32">
        <f t="shared" si="38"/>
        <v>47.584184513915716</v>
      </c>
      <c r="S237" s="198">
        <f>$L237*Variables!$C$21/100</f>
        <v>2.5837566251899933</v>
      </c>
      <c r="T237" s="198">
        <f>$L237*Variables!$C$22/100</f>
        <v>4.5215740940824887</v>
      </c>
      <c r="U237" s="198">
        <f>$L237*Variables!$C$23/100</f>
        <v>4.7368871461816546</v>
      </c>
      <c r="V237" s="198">
        <f>$L237*Variables!$C$24/100</f>
        <v>34.450088335866582</v>
      </c>
      <c r="W237" s="22">
        <f>S237*Variables!$E$25*Variables!$C$15+'Cost Calculations'!T237*Variables!$E$26*Variables!$C$15+'Cost Calculations'!U237*Variables!$E$27*Variables!$C$15+V237*Variables!$E$28*Variables!$C$15</f>
        <v>31916698.439591046</v>
      </c>
      <c r="X237" s="20">
        <f>J237*Variables!$E$29*Variables!$C$15</f>
        <v>351342.50045054307</v>
      </c>
      <c r="Z237" s="33">
        <f>D237*(IF(D237&lt;50000,0,IF(D237&gt;Variables!$C$7,Variables!$C$37,IF(D237&gt;Variables!$C$6,Variables!$C$36,IF(D237&gt;Variables!$C$5,Variables!$C$35)))))</f>
        <v>1141.8642683285334</v>
      </c>
      <c r="AA237" s="34">
        <f t="shared" si="32"/>
        <v>1115.5999999999999</v>
      </c>
      <c r="AB237" s="35">
        <f t="shared" si="39"/>
        <v>26</v>
      </c>
      <c r="AC237" s="22">
        <f>AB237*Variables!$E$41</f>
        <v>9609600.0000000019</v>
      </c>
      <c r="AD237" s="115">
        <f>ROUND(IF(D237&lt;50000,0,(H237/(3.14*Variables!$C$34^2))),0)</f>
        <v>140</v>
      </c>
      <c r="AE237" s="116">
        <f t="shared" si="34"/>
        <v>138</v>
      </c>
      <c r="AF237" s="117">
        <f t="shared" si="40"/>
        <v>2</v>
      </c>
      <c r="AG237" s="107">
        <f>AF237*Variables!$E$42*Variables!$C$15</f>
        <v>1355.088</v>
      </c>
      <c r="AH237" s="199">
        <f>ROUND((Z237)/Variables!$C$40,0)</f>
        <v>9</v>
      </c>
      <c r="AI237" s="33">
        <f t="shared" si="35"/>
        <v>9</v>
      </c>
      <c r="AJ237" s="199">
        <f t="shared" si="43"/>
        <v>0</v>
      </c>
      <c r="AK237" s="22">
        <f>AJ237*Variables!$E$43*Variables!$C$15</f>
        <v>0</v>
      </c>
      <c r="AL237" s="20">
        <f>Z237*Variables!$E$38*Variables!$C$15</f>
        <v>202427997.16676578</v>
      </c>
      <c r="AN237" s="200">
        <f t="shared" si="36"/>
        <v>0.14000000000000001</v>
      </c>
      <c r="AO237" s="201">
        <f t="shared" si="41"/>
        <v>48.020667182599489</v>
      </c>
      <c r="AP237" s="321">
        <f>VLOOKUP(A237,'Household Information'!H:Q,10,FALSE)</f>
        <v>84.816357440363504</v>
      </c>
      <c r="AQ237" s="122">
        <f>IF(12*(AO237-Variables!$C$3*AP237*F237)*(G237/5)&lt;0,0,12*(AO237-Variables!$C$3*AP237*F237)*(G237/5))</f>
        <v>0</v>
      </c>
    </row>
    <row r="238" spans="1:43" ht="14.25" customHeight="1" x14ac:dyDescent="0.35">
      <c r="A238" s="30">
        <v>25</v>
      </c>
      <c r="B238" s="28" t="s">
        <v>178</v>
      </c>
      <c r="C238" s="28">
        <v>2024</v>
      </c>
      <c r="D238" s="196">
        <f>Population!I26</f>
        <v>327833.20696035854</v>
      </c>
      <c r="E238" s="303" t="str">
        <f t="shared" si="42"/>
        <v>Medium</v>
      </c>
      <c r="F238" s="340">
        <f>VLOOKUP(A238,'Household Information'!$H$2:$M$49,6,FALSE)</f>
        <v>4.4000000000000004</v>
      </c>
      <c r="G238" s="196">
        <f t="shared" si="37"/>
        <v>74508</v>
      </c>
      <c r="H238" s="213">
        <f>Area!K26</f>
        <v>195.57597344755342</v>
      </c>
      <c r="J238" s="32">
        <f>D238*Variables!$C$20</f>
        <v>295.04988626432265</v>
      </c>
      <c r="K238" s="202">
        <f t="shared" si="33"/>
        <v>288.21909374262248</v>
      </c>
      <c r="L238" s="32">
        <f t="shared" si="38"/>
        <v>6.8307925217001753</v>
      </c>
      <c r="S238" s="198">
        <f>$L238*Variables!$C$21/100</f>
        <v>0.37090276135928546</v>
      </c>
      <c r="T238" s="198">
        <f>$L238*Variables!$C$22/100</f>
        <v>0.64907983237874978</v>
      </c>
      <c r="U238" s="198">
        <f>$L238*Variables!$C$23/100</f>
        <v>0.67998839582535675</v>
      </c>
      <c r="V238" s="198">
        <f>$L238*Variables!$C$24/100</f>
        <v>4.9453701514571398</v>
      </c>
      <c r="W238" s="22">
        <f>S238*Variables!$E$25*Variables!$C$15+'Cost Calculations'!T238*Variables!$E$26*Variables!$C$15+'Cost Calculations'!U238*Variables!$E$27*Variables!$C$15+V238*Variables!$E$28*Variables!$C$15</f>
        <v>4581697.6217121165</v>
      </c>
      <c r="X238" s="20">
        <f>J238*Variables!$E$29*Variables!$C$15</f>
        <v>50435.827558023317</v>
      </c>
      <c r="Z238" s="33">
        <f>D238*(IF(D238&lt;50000,0,IF(D238&gt;Variables!$C$7,Variables!$C$37,IF(D238&gt;Variables!$C$6,Variables!$C$36,IF(D238&gt;Variables!$C$5,Variables!$C$35)))))</f>
        <v>163.91660348017928</v>
      </c>
      <c r="AA238" s="34">
        <f t="shared" ref="AA238:AA301" si="44">AA196+AB196</f>
        <v>160</v>
      </c>
      <c r="AB238" s="35">
        <f t="shared" si="39"/>
        <v>4</v>
      </c>
      <c r="AC238" s="22">
        <f>AB238*Variables!$E$41</f>
        <v>1478400.0000000002</v>
      </c>
      <c r="AD238" s="115">
        <f>ROUND(IF(D238&lt;50000,0,(H238/(3.14*Variables!$C$34^2))),0)</f>
        <v>249</v>
      </c>
      <c r="AE238" s="116">
        <f t="shared" si="34"/>
        <v>246</v>
      </c>
      <c r="AF238" s="117">
        <f t="shared" si="40"/>
        <v>3</v>
      </c>
      <c r="AG238" s="107">
        <f>AF238*Variables!$E$42*Variables!$C$15</f>
        <v>2032.6320000000001</v>
      </c>
      <c r="AH238" s="199">
        <f>ROUND((Z238)/Variables!$C$40,0)</f>
        <v>1</v>
      </c>
      <c r="AI238" s="33">
        <f t="shared" si="35"/>
        <v>1</v>
      </c>
      <c r="AJ238" s="199">
        <f t="shared" si="43"/>
        <v>0</v>
      </c>
      <c r="AK238" s="22">
        <f>AJ238*Variables!$E$43*Variables!$C$15</f>
        <v>0</v>
      </c>
      <c r="AL238" s="20">
        <f>Z238*Variables!$E$38*Variables!$C$15</f>
        <v>29058891.380708996</v>
      </c>
      <c r="AN238" s="200">
        <f t="shared" si="36"/>
        <v>0.14000000000000001</v>
      </c>
      <c r="AO238" s="201">
        <f t="shared" si="41"/>
        <v>36.960000000000008</v>
      </c>
      <c r="AP238" s="321">
        <f>VLOOKUP(A238,'Household Information'!H:Q,10,FALSE)</f>
        <v>100.80777483276538</v>
      </c>
      <c r="AQ238" s="122">
        <f>IF(12*(AO238-Variables!$C$3*AP238*F238)*(G238/5)&lt;0,0,12*(AO238-Variables!$C$3*AP238*F238)*(G238/5))</f>
        <v>0</v>
      </c>
    </row>
    <row r="239" spans="1:43" ht="14.25" customHeight="1" x14ac:dyDescent="0.35">
      <c r="A239" s="30">
        <v>26</v>
      </c>
      <c r="B239" s="28" t="s">
        <v>179</v>
      </c>
      <c r="C239" s="28">
        <v>2024</v>
      </c>
      <c r="D239" s="196">
        <f>Population!I27</f>
        <v>135847.66567205801</v>
      </c>
      <c r="E239" s="303" t="str">
        <f t="shared" si="42"/>
        <v>Medium</v>
      </c>
      <c r="F239" s="340">
        <f>VLOOKUP(A239,'Household Information'!$H$2:$M$49,6,FALSE)</f>
        <v>3.9948981478058339</v>
      </c>
      <c r="G239" s="196">
        <f t="shared" si="37"/>
        <v>34005</v>
      </c>
      <c r="H239" s="213">
        <f>Area!K27</f>
        <v>698.27866075348709</v>
      </c>
      <c r="J239" s="32">
        <f>D239*Variables!$C$20</f>
        <v>122.26289910485221</v>
      </c>
      <c r="K239" s="202">
        <f t="shared" ref="K239:K302" si="45">K197+L197</f>
        <v>119.43235235406094</v>
      </c>
      <c r="L239" s="32">
        <f t="shared" si="38"/>
        <v>2.8305467507912709</v>
      </c>
      <c r="S239" s="198">
        <f>$L239*Variables!$C$21/100</f>
        <v>0.15369484619681109</v>
      </c>
      <c r="T239" s="198">
        <f>$L239*Variables!$C$22/100</f>
        <v>0.26896598084441942</v>
      </c>
      <c r="U239" s="198">
        <f>$L239*Variables!$C$23/100</f>
        <v>0.28177388469415365</v>
      </c>
      <c r="V239" s="198">
        <f>$L239*Variables!$C$24/100</f>
        <v>2.0492646159574814</v>
      </c>
      <c r="W239" s="22">
        <f>S239*Variables!$E$25*Variables!$C$15+'Cost Calculations'!T239*Variables!$E$26*Variables!$C$15+'Cost Calculations'!U239*Variables!$E$27*Variables!$C$15+V239*Variables!$E$28*Variables!$C$15</f>
        <v>1898565.836254888</v>
      </c>
      <c r="X239" s="20">
        <f>J239*Variables!$E$29*Variables!$C$15</f>
        <v>20899.619972983437</v>
      </c>
      <c r="Z239" s="33">
        <f>D239*(IF(D239&lt;50000,0,IF(D239&gt;Variables!$C$7,Variables!$C$37,IF(D239&gt;Variables!$C$6,Variables!$C$36,IF(D239&gt;Variables!$C$5,Variables!$C$35)))))</f>
        <v>67.923832836029007</v>
      </c>
      <c r="AA239" s="34">
        <f t="shared" si="44"/>
        <v>139</v>
      </c>
      <c r="AB239" s="35">
        <f t="shared" si="39"/>
        <v>0</v>
      </c>
      <c r="AC239" s="22">
        <f>AB239*Variables!$E$41</f>
        <v>0</v>
      </c>
      <c r="AD239" s="115">
        <f>ROUND(IF(D239&lt;50000,0,(H239/(3.14*Variables!$C$34^2))),0)</f>
        <v>890</v>
      </c>
      <c r="AE239" s="116">
        <f t="shared" ref="AE239:AE302" si="46">AE197+AF197</f>
        <v>877</v>
      </c>
      <c r="AF239" s="117">
        <f t="shared" si="40"/>
        <v>13</v>
      </c>
      <c r="AG239" s="107">
        <f>AF239*Variables!$E$42*Variables!$C$15</f>
        <v>8808.0720000000001</v>
      </c>
      <c r="AH239" s="199">
        <f>ROUND((Z239)/Variables!$C$40,0)</f>
        <v>1</v>
      </c>
      <c r="AI239" s="33">
        <f t="shared" ref="AI239:AI302" si="47">AI197+AJ197</f>
        <v>1</v>
      </c>
      <c r="AJ239" s="199">
        <f t="shared" si="43"/>
        <v>0</v>
      </c>
      <c r="AK239" s="22">
        <f>AJ239*Variables!$E$43*Variables!$C$15</f>
        <v>0</v>
      </c>
      <c r="AL239" s="20">
        <f>Z239*Variables!$E$38*Variables!$C$15</f>
        <v>12041435.941431472</v>
      </c>
      <c r="AN239" s="200">
        <f t="shared" ref="AN239:AN302" si="48">AN197</f>
        <v>0.25221875000000005</v>
      </c>
      <c r="AO239" s="201">
        <f t="shared" si="41"/>
        <v>60.455293033014172</v>
      </c>
      <c r="AP239" s="321">
        <f>VLOOKUP(A239,'Household Information'!H:Q,10,FALSE)</f>
        <v>108.65462509082352</v>
      </c>
      <c r="AQ239" s="122">
        <f>IF(12*(AO239-Variables!$C$3*AP239*F239)*(G239/5)&lt;0,0,12*(AO239-Variables!$C$3*AP239*F239)*(G239/5))</f>
        <v>0</v>
      </c>
    </row>
    <row r="240" spans="1:43" ht="14.25" customHeight="1" x14ac:dyDescent="0.35">
      <c r="A240" s="30">
        <v>27</v>
      </c>
      <c r="B240" s="28" t="s">
        <v>180</v>
      </c>
      <c r="C240" s="28">
        <v>2024</v>
      </c>
      <c r="D240" s="196">
        <f>Population!I28</f>
        <v>1370101.2553452037</v>
      </c>
      <c r="E240" s="303" t="str">
        <f t="shared" si="42"/>
        <v>Large</v>
      </c>
      <c r="F240" s="340">
        <f>VLOOKUP(A240,'Household Information'!$H$2:$M$49,6,FALSE)</f>
        <v>4.6947316089524085</v>
      </c>
      <c r="G240" s="196">
        <f t="shared" si="37"/>
        <v>291838</v>
      </c>
      <c r="H240" s="213">
        <f>Area!K28</f>
        <v>130.3819790835754</v>
      </c>
      <c r="J240" s="32">
        <f>D240*Variables!$C$20</f>
        <v>1233.0911298106832</v>
      </c>
      <c r="K240" s="202">
        <f t="shared" si="45"/>
        <v>2162.4648561170238</v>
      </c>
      <c r="L240" s="32">
        <f t="shared" si="38"/>
        <v>0</v>
      </c>
      <c r="S240" s="198">
        <f>$L240*Variables!$C$21/100</f>
        <v>0</v>
      </c>
      <c r="T240" s="198">
        <f>$L240*Variables!$C$22/100</f>
        <v>0</v>
      </c>
      <c r="U240" s="198">
        <f>$L240*Variables!$C$23/100</f>
        <v>0</v>
      </c>
      <c r="V240" s="198">
        <f>$L240*Variables!$C$24/100</f>
        <v>0</v>
      </c>
      <c r="W240" s="22">
        <f>S240*Variables!$E$25*Variables!$C$15+'Cost Calculations'!T240*Variables!$E$26*Variables!$C$15+'Cost Calculations'!U240*Variables!$E$27*Variables!$C$15+V240*Variables!$E$28*Variables!$C$15</f>
        <v>0</v>
      </c>
      <c r="X240" s="20">
        <f>J240*Variables!$E$29*Variables!$C$15</f>
        <v>210784.59772983819</v>
      </c>
      <c r="Z240" s="33">
        <f>D240*(IF(D240&lt;50000,0,IF(D240&gt;Variables!$C$7,Variables!$C$37,IF(D240&gt;Variables!$C$6,Variables!$C$36,IF(D240&gt;Variables!$C$5,Variables!$C$35)))))</f>
        <v>685.05062767260188</v>
      </c>
      <c r="AA240" s="34">
        <f t="shared" si="44"/>
        <v>669</v>
      </c>
      <c r="AB240" s="35">
        <f t="shared" si="39"/>
        <v>16</v>
      </c>
      <c r="AC240" s="22">
        <f>AB240*Variables!$E$41</f>
        <v>5913600.0000000009</v>
      </c>
      <c r="AD240" s="115">
        <f>ROUND(IF(D240&lt;50000,0,(H240/(3.14*Variables!$C$34^2))),0)</f>
        <v>166</v>
      </c>
      <c r="AE240" s="116">
        <f t="shared" si="46"/>
        <v>164</v>
      </c>
      <c r="AF240" s="117">
        <f t="shared" si="40"/>
        <v>2</v>
      </c>
      <c r="AG240" s="107">
        <f>AF240*Variables!$E$42*Variables!$C$15</f>
        <v>1355.088</v>
      </c>
      <c r="AH240" s="199">
        <f>ROUND((Z240)/Variables!$C$40,0)</f>
        <v>5</v>
      </c>
      <c r="AI240" s="33">
        <f t="shared" si="47"/>
        <v>110</v>
      </c>
      <c r="AJ240" s="199">
        <f t="shared" si="43"/>
        <v>0</v>
      </c>
      <c r="AK240" s="22">
        <f>AJ240*Variables!$E$43*Variables!$C$15</f>
        <v>0</v>
      </c>
      <c r="AL240" s="20">
        <f>Z240*Variables!$E$38*Variables!$C$15</f>
        <v>121444755.18144678</v>
      </c>
      <c r="AN240" s="200">
        <f t="shared" si="48"/>
        <v>0.14000000000000001</v>
      </c>
      <c r="AO240" s="201">
        <f t="shared" si="41"/>
        <v>39.435745515200232</v>
      </c>
      <c r="AP240" s="321">
        <f>VLOOKUP(A240,'Household Information'!H:Q,10,FALSE)</f>
        <v>58.94736842105263</v>
      </c>
      <c r="AQ240" s="122">
        <f>IF(12*(AO240-Variables!$C$3*AP240*F240)*(G240/5)&lt;0,0,12*(AO240-Variables!$C$3*AP240*F240)*(G240/5))</f>
        <v>0</v>
      </c>
    </row>
    <row r="241" spans="1:43" ht="14.25" customHeight="1" x14ac:dyDescent="0.35">
      <c r="A241" s="30">
        <v>28</v>
      </c>
      <c r="B241" s="28" t="s">
        <v>181</v>
      </c>
      <c r="C241" s="28">
        <v>2024</v>
      </c>
      <c r="D241" s="196">
        <f>Population!I29</f>
        <v>1455518.2582332881</v>
      </c>
      <c r="E241" s="303" t="str">
        <f t="shared" si="42"/>
        <v>Large</v>
      </c>
      <c r="F241" s="340">
        <f>VLOOKUP(A241,'Household Information'!$H$2:$M$49,6,FALSE)</f>
        <v>3.2903489815623708</v>
      </c>
      <c r="G241" s="196">
        <f t="shared" si="37"/>
        <v>442360</v>
      </c>
      <c r="H241" s="213">
        <f>Area!K29</f>
        <v>168.05046607345324</v>
      </c>
      <c r="J241" s="32">
        <f>D241*Variables!$C$20</f>
        <v>1309.9664324099592</v>
      </c>
      <c r="K241" s="202">
        <f t="shared" si="45"/>
        <v>1279.6389883852294</v>
      </c>
      <c r="L241" s="32">
        <f t="shared" si="38"/>
        <v>30.327444024729857</v>
      </c>
      <c r="S241" s="198">
        <f>$L241*Variables!$C$21/100</f>
        <v>1.6467390420667796</v>
      </c>
      <c r="T241" s="198">
        <f>$L241*Variables!$C$22/100</f>
        <v>2.881793323616864</v>
      </c>
      <c r="U241" s="198">
        <f>$L241*Variables!$C$23/100</f>
        <v>3.0190215771224289</v>
      </c>
      <c r="V241" s="198">
        <f>$L241*Variables!$C$24/100</f>
        <v>21.956520560890393</v>
      </c>
      <c r="W241" s="22">
        <f>S241*Variables!$E$25*Variables!$C$15+'Cost Calculations'!T241*Variables!$E$26*Variables!$C$15+'Cost Calculations'!U241*Variables!$E$27*Variables!$C$15+V241*Variables!$E$28*Variables!$C$15</f>
        <v>20341882.397875462</v>
      </c>
      <c r="X241" s="20">
        <f>J241*Variables!$E$29*Variables!$C$15</f>
        <v>223925.66195615844</v>
      </c>
      <c r="Z241" s="33">
        <f>D241*(IF(D241&lt;50000,0,IF(D241&gt;Variables!$C$7,Variables!$C$37,IF(D241&gt;Variables!$C$6,Variables!$C$36,IF(D241&gt;Variables!$C$5,Variables!$C$35)))))</f>
        <v>727.75912911664409</v>
      </c>
      <c r="AA241" s="34">
        <f t="shared" si="44"/>
        <v>711</v>
      </c>
      <c r="AB241" s="35">
        <f t="shared" si="39"/>
        <v>17</v>
      </c>
      <c r="AC241" s="22">
        <f>AB241*Variables!$E$41</f>
        <v>6283200.0000000009</v>
      </c>
      <c r="AD241" s="115">
        <f>ROUND(IF(D241&lt;50000,0,(H241/(3.14*Variables!$C$34^2))),0)</f>
        <v>214</v>
      </c>
      <c r="AE241" s="116">
        <f t="shared" si="46"/>
        <v>211</v>
      </c>
      <c r="AF241" s="117">
        <f t="shared" si="40"/>
        <v>3</v>
      </c>
      <c r="AG241" s="107">
        <f>AF241*Variables!$E$42*Variables!$C$15</f>
        <v>2032.6320000000001</v>
      </c>
      <c r="AH241" s="199">
        <f>ROUND((Z241)/Variables!$C$40,0)</f>
        <v>6</v>
      </c>
      <c r="AI241" s="33">
        <f t="shared" si="47"/>
        <v>6</v>
      </c>
      <c r="AJ241" s="199">
        <f t="shared" si="43"/>
        <v>0</v>
      </c>
      <c r="AK241" s="22">
        <f>AJ241*Variables!$E$43*Variables!$C$15</f>
        <v>0</v>
      </c>
      <c r="AL241" s="20">
        <f>Z241*Variables!$E$38*Variables!$C$15</f>
        <v>129016054.72124809</v>
      </c>
      <c r="AN241" s="200">
        <f t="shared" si="48"/>
        <v>0.21</v>
      </c>
      <c r="AO241" s="201">
        <f t="shared" si="41"/>
        <v>41.458397167685874</v>
      </c>
      <c r="AP241" s="321">
        <f>VLOOKUP(A241,'Household Information'!H:Q,10,FALSE)</f>
        <v>53.01022340022719</v>
      </c>
      <c r="AQ241" s="122">
        <f>IF(12*(AO241-Variables!$C$3*AP241*F241)*(G241/5)&lt;0,0,12*(AO241-Variables!$C$3*AP241*F241)*(G241/5))</f>
        <v>16238232.608047877</v>
      </c>
    </row>
    <row r="242" spans="1:43" ht="14.25" customHeight="1" x14ac:dyDescent="0.35">
      <c r="A242" s="30">
        <v>29</v>
      </c>
      <c r="B242" s="28" t="s">
        <v>182</v>
      </c>
      <c r="C242" s="28">
        <v>2024</v>
      </c>
      <c r="D242" s="196">
        <f>Population!I30</f>
        <v>194212.01871063019</v>
      </c>
      <c r="E242" s="303" t="str">
        <f t="shared" si="42"/>
        <v>Medium</v>
      </c>
      <c r="F242" s="340">
        <f>VLOOKUP(A242,'Household Information'!$H$2:$M$49,6,FALSE)</f>
        <v>4.6165672844480259</v>
      </c>
      <c r="G242" s="196">
        <f t="shared" si="37"/>
        <v>42068</v>
      </c>
      <c r="H242" s="213">
        <f>Area!K30</f>
        <v>944.55951620596159</v>
      </c>
      <c r="J242" s="32">
        <f>D242*Variables!$C$20</f>
        <v>174.79081683956716</v>
      </c>
      <c r="K242" s="202">
        <f t="shared" si="45"/>
        <v>170.74417977880935</v>
      </c>
      <c r="L242" s="32">
        <f t="shared" si="38"/>
        <v>4.0466370607578028</v>
      </c>
      <c r="S242" s="198">
        <f>$L242*Variables!$C$21/100</f>
        <v>0.21972689922666799</v>
      </c>
      <c r="T242" s="198">
        <f>$L242*Variables!$C$22/100</f>
        <v>0.38452207364666902</v>
      </c>
      <c r="U242" s="198">
        <f>$L242*Variables!$C$23/100</f>
        <v>0.40283264858222473</v>
      </c>
      <c r="V242" s="198">
        <f>$L242*Variables!$C$24/100</f>
        <v>2.9296919896889069</v>
      </c>
      <c r="W242" s="22">
        <f>S242*Variables!$E$25*Variables!$C$15+'Cost Calculations'!T242*Variables!$E$26*Variables!$C$15+'Cost Calculations'!U242*Variables!$E$27*Variables!$C$15+V242*Variables!$E$28*Variables!$C$15</f>
        <v>2714248.3596605328</v>
      </c>
      <c r="X242" s="20">
        <f>J242*Variables!$E$29*Variables!$C$15</f>
        <v>29878.74223055561</v>
      </c>
      <c r="Z242" s="33">
        <f>D242*(IF(D242&lt;50000,0,IF(D242&gt;Variables!$C$7,Variables!$C$37,IF(D242&gt;Variables!$C$6,Variables!$C$36,IF(D242&gt;Variables!$C$5,Variables!$C$35)))))</f>
        <v>97.106009355315095</v>
      </c>
      <c r="AA242" s="34">
        <f t="shared" si="44"/>
        <v>206</v>
      </c>
      <c r="AB242" s="35">
        <f t="shared" si="39"/>
        <v>0</v>
      </c>
      <c r="AC242" s="22">
        <f>AB242*Variables!$E$41</f>
        <v>0</v>
      </c>
      <c r="AD242" s="115">
        <f>ROUND(IF(D242&lt;50000,0,(H242/(3.14*Variables!$C$34^2))),0)</f>
        <v>1203</v>
      </c>
      <c r="AE242" s="116">
        <f t="shared" si="46"/>
        <v>1186</v>
      </c>
      <c r="AF242" s="117">
        <f t="shared" si="40"/>
        <v>17</v>
      </c>
      <c r="AG242" s="107">
        <f>AF242*Variables!$E$42*Variables!$C$15</f>
        <v>11518.248</v>
      </c>
      <c r="AH242" s="199">
        <f>ROUND((Z242)/Variables!$C$40,0)</f>
        <v>1</v>
      </c>
      <c r="AI242" s="33">
        <f t="shared" si="47"/>
        <v>1</v>
      </c>
      <c r="AJ242" s="199">
        <f t="shared" si="43"/>
        <v>0</v>
      </c>
      <c r="AK242" s="22">
        <f>AJ242*Variables!$E$43*Variables!$C$15</f>
        <v>0</v>
      </c>
      <c r="AL242" s="20">
        <f>Z242*Variables!$E$38*Variables!$C$15</f>
        <v>17214808.740295932</v>
      </c>
      <c r="AN242" s="200">
        <f t="shared" si="48"/>
        <v>0.14000000000000001</v>
      </c>
      <c r="AO242" s="201">
        <f t="shared" si="41"/>
        <v>38.779165189363418</v>
      </c>
      <c r="AP242" s="321">
        <f>VLOOKUP(A242,'Household Information'!H:Q,10,FALSE)</f>
        <v>91.707686482393044</v>
      </c>
      <c r="AQ242" s="122">
        <f>IF(12*(AO242-Variables!$C$3*AP242*F242)*(G242/5)&lt;0,0,12*(AO242-Variables!$C$3*AP242*F242)*(G242/5))</f>
        <v>0</v>
      </c>
    </row>
    <row r="243" spans="1:43" ht="14.25" customHeight="1" x14ac:dyDescent="0.35">
      <c r="A243" s="30">
        <v>30</v>
      </c>
      <c r="B243" s="28" t="s">
        <v>183</v>
      </c>
      <c r="C243" s="28">
        <v>2024</v>
      </c>
      <c r="D243" s="196">
        <f>Population!I31</f>
        <v>133242.87692157365</v>
      </c>
      <c r="E243" s="303" t="str">
        <f t="shared" si="42"/>
        <v>Medium</v>
      </c>
      <c r="F243" s="340">
        <f>VLOOKUP(A243,'Household Information'!$H$2:$M$49,6,FALSE)</f>
        <v>4.0765401369010581</v>
      </c>
      <c r="G243" s="196">
        <f t="shared" si="37"/>
        <v>32685</v>
      </c>
      <c r="H243" s="213">
        <f>Area!K31</f>
        <v>94.166209437710918</v>
      </c>
      <c r="J243" s="32">
        <f>D243*Variables!$C$20</f>
        <v>119.91858922941628</v>
      </c>
      <c r="K243" s="202">
        <f t="shared" si="45"/>
        <v>117.14231633233985</v>
      </c>
      <c r="L243" s="32">
        <f t="shared" si="38"/>
        <v>2.7762728970764385</v>
      </c>
      <c r="S243" s="198">
        <f>$L243*Variables!$C$21/100</f>
        <v>0.15074784961501023</v>
      </c>
      <c r="T243" s="198">
        <f>$L243*Variables!$C$22/100</f>
        <v>0.26380873682626793</v>
      </c>
      <c r="U243" s="198">
        <f>$L243*Variables!$C$23/100</f>
        <v>0.27637105762751873</v>
      </c>
      <c r="V243" s="198">
        <f>$L243*Variables!$C$24/100</f>
        <v>2.0099713282001361</v>
      </c>
      <c r="W243" s="22">
        <f>S243*Variables!$E$25*Variables!$C$15+'Cost Calculations'!T243*Variables!$E$26*Variables!$C$15+'Cost Calculations'!U243*Variables!$E$27*Variables!$C$15+V243*Variables!$E$28*Variables!$C$15</f>
        <v>1862162.0974944972</v>
      </c>
      <c r="X243" s="20">
        <f>J243*Variables!$E$29*Variables!$C$15</f>
        <v>20498.883642876419</v>
      </c>
      <c r="Z243" s="33">
        <f>D243*(IF(D243&lt;50000,0,IF(D243&gt;Variables!$C$7,Variables!$C$37,IF(D243&gt;Variables!$C$6,Variables!$C$36,IF(D243&gt;Variables!$C$5,Variables!$C$35)))))</f>
        <v>66.621438460786834</v>
      </c>
      <c r="AA243" s="34">
        <f t="shared" si="44"/>
        <v>65</v>
      </c>
      <c r="AB243" s="35">
        <f t="shared" si="39"/>
        <v>2</v>
      </c>
      <c r="AC243" s="22">
        <f>AB243*Variables!$E$41</f>
        <v>739200.00000000012</v>
      </c>
      <c r="AD243" s="115">
        <f>ROUND(IF(D243&lt;50000,0,(H243/(3.14*Variables!$C$34^2))),0)</f>
        <v>120</v>
      </c>
      <c r="AE243" s="116">
        <f t="shared" si="46"/>
        <v>118</v>
      </c>
      <c r="AF243" s="117">
        <f t="shared" si="40"/>
        <v>2</v>
      </c>
      <c r="AG243" s="107">
        <f>AF243*Variables!$E$42*Variables!$C$15</f>
        <v>1355.088</v>
      </c>
      <c r="AH243" s="199">
        <f>ROUND((Z243)/Variables!$C$40,0)</f>
        <v>1</v>
      </c>
      <c r="AI243" s="33">
        <f t="shared" si="47"/>
        <v>21</v>
      </c>
      <c r="AJ243" s="199">
        <f t="shared" si="43"/>
        <v>0</v>
      </c>
      <c r="AK243" s="22">
        <f>AJ243*Variables!$E$43*Variables!$C$15</f>
        <v>0</v>
      </c>
      <c r="AL243" s="20">
        <f>Z243*Variables!$E$38*Variables!$C$15</f>
        <v>11810549.405952564</v>
      </c>
      <c r="AN243" s="200">
        <f t="shared" si="48"/>
        <v>0.25221875000000005</v>
      </c>
      <c r="AO243" s="201">
        <f t="shared" si="41"/>
        <v>61.690791459240835</v>
      </c>
      <c r="AP243" s="321">
        <f>VLOOKUP(A243,'Household Information'!H:Q,10,FALSE)</f>
        <v>60.413984601792251</v>
      </c>
      <c r="AQ243" s="122">
        <f>IF(12*(AO243-Variables!$C$3*AP243*F243)*(G243/5)&lt;0,0,12*(AO243-Variables!$C$3*AP243*F243)*(G243/5))</f>
        <v>1941393.8082327924</v>
      </c>
    </row>
    <row r="244" spans="1:43" ht="14.25" customHeight="1" x14ac:dyDescent="0.35">
      <c r="A244" s="30">
        <v>31</v>
      </c>
      <c r="B244" s="28" t="s">
        <v>184</v>
      </c>
      <c r="C244" s="28">
        <v>2024</v>
      </c>
      <c r="D244" s="196">
        <f>Population!I32</f>
        <v>229940.0659706571</v>
      </c>
      <c r="E244" s="303" t="str">
        <f t="shared" si="42"/>
        <v>Medium</v>
      </c>
      <c r="F244" s="340">
        <f>VLOOKUP(A244,'Household Information'!$H$2:$M$49,6,FALSE)</f>
        <v>3.6621172202306398</v>
      </c>
      <c r="G244" s="196">
        <f t="shared" si="37"/>
        <v>62789</v>
      </c>
      <c r="H244" s="213">
        <f>Area!K32</f>
        <v>711.31705898332393</v>
      </c>
      <c r="J244" s="32">
        <f>D244*Variables!$C$20</f>
        <v>206.9460593735914</v>
      </c>
      <c r="K244" s="202">
        <f t="shared" si="45"/>
        <v>522.30024000000003</v>
      </c>
      <c r="L244" s="32">
        <f t="shared" si="38"/>
        <v>0</v>
      </c>
      <c r="S244" s="198">
        <f>$L244*Variables!$C$21/100</f>
        <v>0</v>
      </c>
      <c r="T244" s="198">
        <f>$L244*Variables!$C$22/100</f>
        <v>0</v>
      </c>
      <c r="U244" s="198">
        <f>$L244*Variables!$C$23/100</f>
        <v>0</v>
      </c>
      <c r="V244" s="198">
        <f>$L244*Variables!$C$24/100</f>
        <v>0</v>
      </c>
      <c r="W244" s="22">
        <f>S244*Variables!$E$25*Variables!$C$15+'Cost Calculations'!T244*Variables!$E$26*Variables!$C$15+'Cost Calculations'!U244*Variables!$E$27*Variables!$C$15+V244*Variables!$E$28*Variables!$C$15</f>
        <v>0</v>
      </c>
      <c r="X244" s="20">
        <f>J244*Variables!$E$29*Variables!$C$15</f>
        <v>35375.359389321711</v>
      </c>
      <c r="Z244" s="33">
        <f>D244*(IF(D244&lt;50000,0,IF(D244&gt;Variables!$C$7,Variables!$C$37,IF(D244&gt;Variables!$C$6,Variables!$C$36,IF(D244&gt;Variables!$C$5,Variables!$C$35)))))</f>
        <v>114.97003298532856</v>
      </c>
      <c r="AA244" s="34">
        <f t="shared" si="44"/>
        <v>3158</v>
      </c>
      <c r="AB244" s="35">
        <f t="shared" si="39"/>
        <v>0</v>
      </c>
      <c r="AC244" s="22">
        <f>AB244*Variables!$E$41</f>
        <v>0</v>
      </c>
      <c r="AD244" s="115">
        <f>ROUND(IF(D244&lt;50000,0,(H244/(3.14*Variables!$C$34^2))),0)</f>
        <v>906</v>
      </c>
      <c r="AE244" s="116">
        <f t="shared" si="46"/>
        <v>893</v>
      </c>
      <c r="AF244" s="117">
        <f t="shared" si="40"/>
        <v>13</v>
      </c>
      <c r="AG244" s="107">
        <f>AF244*Variables!$E$42*Variables!$C$15</f>
        <v>8808.0720000000001</v>
      </c>
      <c r="AH244" s="199">
        <f>ROUND((Z244)/Variables!$C$40,0)</f>
        <v>1</v>
      </c>
      <c r="AI244" s="33">
        <f t="shared" si="47"/>
        <v>27</v>
      </c>
      <c r="AJ244" s="199">
        <f t="shared" si="43"/>
        <v>0</v>
      </c>
      <c r="AK244" s="22">
        <f>AJ244*Variables!$E$43*Variables!$C$15</f>
        <v>0</v>
      </c>
      <c r="AL244" s="20">
        <f>Z244*Variables!$E$38*Variables!$C$15</f>
        <v>20381716.248538382</v>
      </c>
      <c r="AN244" s="200">
        <f t="shared" si="48"/>
        <v>0.14000000000000001</v>
      </c>
      <c r="AO244" s="201">
        <f t="shared" si="41"/>
        <v>30.761784649937375</v>
      </c>
      <c r="AP244" s="321">
        <f>VLOOKUP(A244,'Household Information'!H:Q,10,FALSE)</f>
        <v>118.33648870377382</v>
      </c>
      <c r="AQ244" s="122">
        <f>IF(12*(AO244-Variables!$C$3*AP244*F244)*(G244/5)&lt;0,0,12*(AO244-Variables!$C$3*AP244*F244)*(G244/5))</f>
        <v>0</v>
      </c>
    </row>
    <row r="245" spans="1:43" ht="14.25" customHeight="1" x14ac:dyDescent="0.35">
      <c r="A245" s="30">
        <v>32</v>
      </c>
      <c r="B245" s="28" t="s">
        <v>185</v>
      </c>
      <c r="C245" s="28">
        <v>2024</v>
      </c>
      <c r="D245" s="196">
        <f>Population!I33</f>
        <v>1600799.2999267513</v>
      </c>
      <c r="E245" s="303" t="str">
        <f t="shared" si="42"/>
        <v>Large</v>
      </c>
      <c r="F245" s="340">
        <f>VLOOKUP(A245,'Household Information'!$H$2:$M$49,6,FALSE)</f>
        <v>6.457235996477583</v>
      </c>
      <c r="G245" s="196">
        <f t="shared" si="37"/>
        <v>247908</v>
      </c>
      <c r="H245" s="213">
        <f>Area!K33</f>
        <v>42.012616518363323</v>
      </c>
      <c r="J245" s="32">
        <f>D245*Variables!$C$20</f>
        <v>1440.7193699340762</v>
      </c>
      <c r="K245" s="202">
        <f t="shared" si="45"/>
        <v>1407.3648236144147</v>
      </c>
      <c r="L245" s="32">
        <f t="shared" si="38"/>
        <v>33.354546319661495</v>
      </c>
      <c r="S245" s="198">
        <f>$L245*Variables!$C$21/100</f>
        <v>1.8111065874929315</v>
      </c>
      <c r="T245" s="198">
        <f>$L245*Variables!$C$22/100</f>
        <v>3.1694365281126307</v>
      </c>
      <c r="U245" s="198">
        <f>$L245*Variables!$C$23/100</f>
        <v>3.3203620770703752</v>
      </c>
      <c r="V245" s="198">
        <f>$L245*Variables!$C$24/100</f>
        <v>24.148087833239092</v>
      </c>
      <c r="W245" s="22">
        <f>S245*Variables!$E$25*Variables!$C$15+'Cost Calculations'!T245*Variables!$E$26*Variables!$C$15+'Cost Calculations'!U245*Variables!$E$27*Variables!$C$15+V245*Variables!$E$28*Variables!$C$15</f>
        <v>22372286.240666389</v>
      </c>
      <c r="X245" s="20">
        <f>J245*Variables!$E$29*Variables!$C$15</f>
        <v>246276.56909653102</v>
      </c>
      <c r="Z245" s="33">
        <f>D245*(IF(D245&lt;50000,0,IF(D245&gt;Variables!$C$7,Variables!$C$37,IF(D245&gt;Variables!$C$6,Variables!$C$36,IF(D245&gt;Variables!$C$5,Variables!$C$35)))))</f>
        <v>800.39964996337562</v>
      </c>
      <c r="AA245" s="34">
        <f t="shared" si="44"/>
        <v>782</v>
      </c>
      <c r="AB245" s="35">
        <f t="shared" si="39"/>
        <v>18</v>
      </c>
      <c r="AC245" s="22">
        <f>AB245*Variables!$E$41</f>
        <v>6652800.0000000009</v>
      </c>
      <c r="AD245" s="115">
        <f>ROUND(IF(D245&lt;50000,0,(H245/(3.14*Variables!$C$34^2))),0)</f>
        <v>54</v>
      </c>
      <c r="AE245" s="116">
        <f t="shared" si="46"/>
        <v>53</v>
      </c>
      <c r="AF245" s="117">
        <f t="shared" si="40"/>
        <v>1</v>
      </c>
      <c r="AG245" s="107">
        <f>AF245*Variables!$E$42*Variables!$C$15</f>
        <v>677.54399999999998</v>
      </c>
      <c r="AH245" s="199">
        <f>ROUND((Z245)/Variables!$C$40,0)</f>
        <v>6</v>
      </c>
      <c r="AI245" s="33">
        <f t="shared" si="47"/>
        <v>6</v>
      </c>
      <c r="AJ245" s="199">
        <f t="shared" si="43"/>
        <v>0</v>
      </c>
      <c r="AK245" s="22">
        <f>AJ245*Variables!$E$43*Variables!$C$15</f>
        <v>0</v>
      </c>
      <c r="AL245" s="20">
        <f>Z245*Variables!$E$38*Variables!$C$15</f>
        <v>141893658.08971065</v>
      </c>
      <c r="AN245" s="200">
        <f t="shared" si="48"/>
        <v>0.14000000000000001</v>
      </c>
      <c r="AO245" s="201">
        <f t="shared" si="41"/>
        <v>54.240782370411701</v>
      </c>
      <c r="AP245" s="321">
        <f>VLOOKUP(A245,'Household Information'!H:Q,10,FALSE)</f>
        <v>105.97627161428754</v>
      </c>
      <c r="AQ245" s="122">
        <f>IF(12*(AO245-Variables!$C$3*AP245*F245)*(G245/5)&lt;0,0,12*(AO245-Variables!$C$3*AP245*F245)*(G245/5))</f>
        <v>0</v>
      </c>
    </row>
    <row r="246" spans="1:43" ht="14.25" customHeight="1" x14ac:dyDescent="0.35">
      <c r="A246" s="30">
        <v>33</v>
      </c>
      <c r="B246" s="28" t="s">
        <v>186</v>
      </c>
      <c r="C246" s="28">
        <v>2024</v>
      </c>
      <c r="D246" s="196">
        <f>Population!I34</f>
        <v>1008411.2184468737</v>
      </c>
      <c r="E246" s="303" t="str">
        <f t="shared" si="42"/>
        <v>Large</v>
      </c>
      <c r="F246" s="340">
        <f>VLOOKUP(A246,'Household Information'!$H$2:$M$49,6,FALSE)</f>
        <v>3.9813857124502121</v>
      </c>
      <c r="G246" s="196">
        <f t="shared" si="37"/>
        <v>253281</v>
      </c>
      <c r="H246" s="213">
        <f>Area!K34</f>
        <v>350.5880412911697</v>
      </c>
      <c r="J246" s="32">
        <f>D246*Variables!$C$20</f>
        <v>907.57009660218637</v>
      </c>
      <c r="K246" s="202">
        <f t="shared" si="45"/>
        <v>1137.8472300000001</v>
      </c>
      <c r="L246" s="32">
        <f t="shared" si="38"/>
        <v>0</v>
      </c>
      <c r="S246" s="198">
        <f>$L246*Variables!$C$21/100</f>
        <v>0</v>
      </c>
      <c r="T246" s="198">
        <f>$L246*Variables!$C$22/100</f>
        <v>0</v>
      </c>
      <c r="U246" s="198">
        <f>$L246*Variables!$C$23/100</f>
        <v>0</v>
      </c>
      <c r="V246" s="198">
        <f>$L246*Variables!$C$24/100</f>
        <v>0</v>
      </c>
      <c r="W246" s="22">
        <f>S246*Variables!$E$25*Variables!$C$15+'Cost Calculations'!T246*Variables!$E$26*Variables!$C$15+'Cost Calculations'!U246*Variables!$E$27*Variables!$C$15+V246*Variables!$E$28*Variables!$C$15</f>
        <v>0</v>
      </c>
      <c r="X246" s="20">
        <f>J246*Variables!$E$29*Variables!$C$15</f>
        <v>155140.03231317777</v>
      </c>
      <c r="Z246" s="33">
        <f>D246*(IF(D246&lt;50000,0,IF(D246&gt;Variables!$C$7,Variables!$C$37,IF(D246&gt;Variables!$C$6,Variables!$C$36,IF(D246&gt;Variables!$C$5,Variables!$C$35)))))</f>
        <v>504.20560922343685</v>
      </c>
      <c r="AA246" s="34">
        <f t="shared" si="44"/>
        <v>493</v>
      </c>
      <c r="AB246" s="35">
        <f t="shared" si="39"/>
        <v>11</v>
      </c>
      <c r="AC246" s="22">
        <f>AB246*Variables!$E$41</f>
        <v>4065600.0000000005</v>
      </c>
      <c r="AD246" s="115">
        <f>ROUND(IF(D246&lt;50000,0,(H246/(3.14*Variables!$C$34^2))),0)</f>
        <v>447</v>
      </c>
      <c r="AE246" s="116">
        <f t="shared" si="46"/>
        <v>440</v>
      </c>
      <c r="AF246" s="117">
        <f t="shared" si="40"/>
        <v>7</v>
      </c>
      <c r="AG246" s="107">
        <f>AF246*Variables!$E$42*Variables!$C$15</f>
        <v>4742.808</v>
      </c>
      <c r="AH246" s="199">
        <f>ROUND((Z246)/Variables!$C$40,0)</f>
        <v>4</v>
      </c>
      <c r="AI246" s="33">
        <f t="shared" si="47"/>
        <v>4</v>
      </c>
      <c r="AJ246" s="199">
        <f t="shared" si="43"/>
        <v>0</v>
      </c>
      <c r="AK246" s="22">
        <f>AJ246*Variables!$E$43*Variables!$C$15</f>
        <v>0</v>
      </c>
      <c r="AL246" s="20">
        <f>Z246*Variables!$E$38*Variables!$C$15</f>
        <v>89384819.602730051</v>
      </c>
      <c r="AN246" s="200">
        <f t="shared" si="48"/>
        <v>0.14000000000000001</v>
      </c>
      <c r="AO246" s="201">
        <f t="shared" si="41"/>
        <v>33.443639984581786</v>
      </c>
      <c r="AP246" s="321">
        <f>VLOOKUP(A246,'Household Information'!H:Q,10,FALSE)</f>
        <v>212.04089360090876</v>
      </c>
      <c r="AQ246" s="122">
        <f>IF(12*(AO246-Variables!$C$3*AP246*F246)*(G246/5)&lt;0,0,12*(AO246-Variables!$C$3*AP246*F246)*(G246/5))</f>
        <v>0</v>
      </c>
    </row>
    <row r="247" spans="1:43" ht="14.25" customHeight="1" x14ac:dyDescent="0.35">
      <c r="A247" s="30">
        <v>34</v>
      </c>
      <c r="B247" s="28" t="s">
        <v>187</v>
      </c>
      <c r="C247" s="28">
        <v>2024</v>
      </c>
      <c r="D247" s="196">
        <f>Population!I35</f>
        <v>583350.64419618272</v>
      </c>
      <c r="E247" s="303" t="str">
        <f t="shared" si="42"/>
        <v>Medium</v>
      </c>
      <c r="F247" s="340">
        <f>VLOOKUP(A247,'Household Information'!$H$2:$M$49,6,FALSE)</f>
        <v>4.3021399999999996</v>
      </c>
      <c r="G247" s="196">
        <f t="shared" si="37"/>
        <v>135595</v>
      </c>
      <c r="H247" s="213">
        <f>Area!K35</f>
        <v>106.65091506414885</v>
      </c>
      <c r="J247" s="32">
        <f>D247*Variables!$C$20</f>
        <v>525.01557977656444</v>
      </c>
      <c r="K247" s="202">
        <f t="shared" si="45"/>
        <v>512.86077930698877</v>
      </c>
      <c r="L247" s="32">
        <f t="shared" si="38"/>
        <v>12.154800469575662</v>
      </c>
      <c r="S247" s="198">
        <f>$L247*Variables!$C$21/100</f>
        <v>0.65998916576881417</v>
      </c>
      <c r="T247" s="198">
        <f>$L247*Variables!$C$22/100</f>
        <v>1.1549810400954248</v>
      </c>
      <c r="U247" s="198">
        <f>$L247*Variables!$C$23/100</f>
        <v>1.209980137242826</v>
      </c>
      <c r="V247" s="198">
        <f>$L247*Variables!$C$24/100</f>
        <v>8.7998555435841883</v>
      </c>
      <c r="W247" s="22">
        <f>S247*Variables!$E$25*Variables!$C$15+'Cost Calculations'!T247*Variables!$E$26*Variables!$C$15+'Cost Calculations'!U247*Variables!$E$27*Variables!$C$15+V247*Variables!$E$28*Variables!$C$15</f>
        <v>8152731.9453671603</v>
      </c>
      <c r="X247" s="20">
        <f>J247*Variables!$E$29*Variables!$C$15</f>
        <v>89746.163207005928</v>
      </c>
      <c r="Z247" s="33">
        <f>D247*(IF(D247&lt;50000,0,IF(D247&gt;Variables!$C$7,Variables!$C$37,IF(D247&gt;Variables!$C$6,Variables!$C$36,IF(D247&gt;Variables!$C$5,Variables!$C$35)))))</f>
        <v>291.67532209809139</v>
      </c>
      <c r="AA247" s="34">
        <f t="shared" si="44"/>
        <v>1061</v>
      </c>
      <c r="AB247" s="35">
        <f t="shared" si="39"/>
        <v>0</v>
      </c>
      <c r="AC247" s="22">
        <f>AB247*Variables!$E$41</f>
        <v>0</v>
      </c>
      <c r="AD247" s="115">
        <f>ROUND(IF(D247&lt;50000,0,(H247/(3.14*Variables!$C$34^2))),0)</f>
        <v>136</v>
      </c>
      <c r="AE247" s="116">
        <f t="shared" si="46"/>
        <v>134</v>
      </c>
      <c r="AF247" s="117">
        <f t="shared" si="40"/>
        <v>2</v>
      </c>
      <c r="AG247" s="107">
        <f>AF247*Variables!$E$42*Variables!$C$15</f>
        <v>1355.088</v>
      </c>
      <c r="AH247" s="199">
        <f>ROUND((Z247)/Variables!$C$40,0)</f>
        <v>2</v>
      </c>
      <c r="AI247" s="33">
        <f t="shared" si="47"/>
        <v>2</v>
      </c>
      <c r="AJ247" s="199">
        <f t="shared" si="43"/>
        <v>0</v>
      </c>
      <c r="AK247" s="22">
        <f>AJ247*Variables!$E$43*Variables!$C$15</f>
        <v>0</v>
      </c>
      <c r="AL247" s="20">
        <f>Z247*Variables!$E$38*Variables!$C$15</f>
        <v>51707766.774868742</v>
      </c>
      <c r="AN247" s="200">
        <f t="shared" si="48"/>
        <v>0.21</v>
      </c>
      <c r="AO247" s="201">
        <f t="shared" si="41"/>
        <v>54.206963999999992</v>
      </c>
      <c r="AP247" s="321">
        <f>VLOOKUP(A247,'Household Information'!H:Q,10,FALSE)</f>
        <v>71.56380159030671</v>
      </c>
      <c r="AQ247" s="122">
        <f>IF(12*(AO247-Variables!$C$3*AP247*F247)*(G247/5)&lt;0,0,12*(AO247-Variables!$C$3*AP247*F247)*(G247/5))</f>
        <v>2611670.3435484548</v>
      </c>
    </row>
    <row r="248" spans="1:43" ht="14.25" customHeight="1" x14ac:dyDescent="0.35">
      <c r="A248" s="30">
        <v>35</v>
      </c>
      <c r="B248" s="28" t="s">
        <v>188</v>
      </c>
      <c r="C248" s="28">
        <v>2024</v>
      </c>
      <c r="D248" s="196">
        <f>Population!I36</f>
        <v>248522.0675514157</v>
      </c>
      <c r="E248" s="303" t="str">
        <f t="shared" si="42"/>
        <v>Medium</v>
      </c>
      <c r="F248" s="340">
        <f>VLOOKUP(A248,'Household Information'!$H$2:$M$49,6,FALSE)</f>
        <v>5.0911666666666671</v>
      </c>
      <c r="G248" s="196">
        <f t="shared" si="37"/>
        <v>48814</v>
      </c>
      <c r="H248" s="213">
        <f>Area!K36</f>
        <v>36.268711389386475</v>
      </c>
      <c r="J248" s="32">
        <f>D248*Variables!$C$20</f>
        <v>223.66986079627412</v>
      </c>
      <c r="K248" s="202">
        <f t="shared" si="45"/>
        <v>218.49160964762541</v>
      </c>
      <c r="L248" s="32">
        <f t="shared" si="38"/>
        <v>5.1782511486487124</v>
      </c>
      <c r="S248" s="198">
        <f>$L248*Variables!$C$21/100</f>
        <v>0.28117200807142323</v>
      </c>
      <c r="T248" s="198">
        <f>$L248*Variables!$C$22/100</f>
        <v>0.49205101412499075</v>
      </c>
      <c r="U248" s="198">
        <f>$L248*Variables!$C$23/100</f>
        <v>0.51548201479760936</v>
      </c>
      <c r="V248" s="198">
        <f>$L248*Variables!$C$24/100</f>
        <v>3.7489601076189776</v>
      </c>
      <c r="W248" s="22">
        <f>S248*Variables!$E$25*Variables!$C$15+'Cost Calculations'!T248*Variables!$E$26*Variables!$C$15+'Cost Calculations'!U248*Variables!$E$27*Variables!$C$15+V248*Variables!$E$28*Variables!$C$15</f>
        <v>3473269.1553756455</v>
      </c>
      <c r="X248" s="20">
        <f>J248*Variables!$E$29*Variables!$C$15</f>
        <v>38234.126004515099</v>
      </c>
      <c r="Z248" s="33">
        <f>D248*(IF(D248&lt;50000,0,IF(D248&gt;Variables!$C$7,Variables!$C$37,IF(D248&gt;Variables!$C$6,Variables!$C$36,IF(D248&gt;Variables!$C$5,Variables!$C$35)))))</f>
        <v>124.26103377570786</v>
      </c>
      <c r="AA248" s="34">
        <f t="shared" si="44"/>
        <v>121</v>
      </c>
      <c r="AB248" s="35">
        <f t="shared" si="39"/>
        <v>3</v>
      </c>
      <c r="AC248" s="22">
        <f>AB248*Variables!$E$41</f>
        <v>1108800.0000000002</v>
      </c>
      <c r="AD248" s="115">
        <f>ROUND(IF(D248&lt;50000,0,(H248/(3.14*Variables!$C$34^2))),0)</f>
        <v>46</v>
      </c>
      <c r="AE248" s="116">
        <f t="shared" si="46"/>
        <v>46</v>
      </c>
      <c r="AF248" s="117">
        <f t="shared" si="40"/>
        <v>0</v>
      </c>
      <c r="AG248" s="107">
        <f>AF248*Variables!$E$42*Variables!$C$15</f>
        <v>0</v>
      </c>
      <c r="AH248" s="199">
        <f>ROUND((Z248)/Variables!$C$40,0)</f>
        <v>1</v>
      </c>
      <c r="AI248" s="33">
        <f t="shared" si="47"/>
        <v>1</v>
      </c>
      <c r="AJ248" s="199">
        <f t="shared" si="43"/>
        <v>0</v>
      </c>
      <c r="AK248" s="22">
        <f>AJ248*Variables!$E$43*Variables!$C$15</f>
        <v>0</v>
      </c>
      <c r="AL248" s="20">
        <f>Z248*Variables!$E$38*Variables!$C$15</f>
        <v>22028811.033651836</v>
      </c>
      <c r="AN248" s="200">
        <f t="shared" si="48"/>
        <v>0.25221875000000005</v>
      </c>
      <c r="AO248" s="201">
        <f t="shared" si="41"/>
        <v>77.045261562500016</v>
      </c>
      <c r="AP248" s="321">
        <f>VLOOKUP(A248,'Household Information'!H:Q,10,FALSE)</f>
        <v>112.55837435314906</v>
      </c>
      <c r="AQ248" s="122">
        <f>IF(12*(AO248-Variables!$C$3*AP248*F248)*(G248/5)&lt;0,0,12*(AO248-Variables!$C$3*AP248*F248)*(G248/5))</f>
        <v>0</v>
      </c>
    </row>
    <row r="249" spans="1:43" ht="14.25" customHeight="1" x14ac:dyDescent="0.35">
      <c r="A249" s="30">
        <v>36</v>
      </c>
      <c r="B249" s="28" t="s">
        <v>189</v>
      </c>
      <c r="C249" s="28">
        <v>2024</v>
      </c>
      <c r="D249" s="196">
        <f>Population!I37</f>
        <v>1593403.9236408891</v>
      </c>
      <c r="E249" s="303" t="str">
        <f t="shared" si="42"/>
        <v>Large</v>
      </c>
      <c r="F249" s="340">
        <f>VLOOKUP(A249,'Household Information'!$H$2:$M$49,6,FALSE)</f>
        <v>4.8963166666666664</v>
      </c>
      <c r="G249" s="196">
        <f t="shared" si="37"/>
        <v>325429</v>
      </c>
      <c r="H249" s="213">
        <f>Area!K37</f>
        <v>67.923355945211981</v>
      </c>
      <c r="J249" s="32">
        <f>D249*Variables!$C$20</f>
        <v>1434.0635312768002</v>
      </c>
      <c r="K249" s="202">
        <f t="shared" si="45"/>
        <v>1400.8630763669044</v>
      </c>
      <c r="L249" s="32">
        <f t="shared" si="38"/>
        <v>33.200454909895825</v>
      </c>
      <c r="S249" s="198">
        <f>$L249*Variables!$C$21/100</f>
        <v>1.8027396331165153</v>
      </c>
      <c r="T249" s="198">
        <f>$L249*Variables!$C$22/100</f>
        <v>3.154794357953902</v>
      </c>
      <c r="U249" s="198">
        <f>$L249*Variables!$C$23/100</f>
        <v>3.3050226607136115</v>
      </c>
      <c r="V249" s="198">
        <f>$L249*Variables!$C$24/100</f>
        <v>24.036528441553536</v>
      </c>
      <c r="W249" s="22">
        <f>S249*Variables!$E$25*Variables!$C$15+'Cost Calculations'!T249*Variables!$E$26*Variables!$C$15+'Cost Calculations'!U249*Variables!$E$27*Variables!$C$15+V249*Variables!$E$28*Variables!$C$15</f>
        <v>22268930.701260559</v>
      </c>
      <c r="X249" s="20">
        <f>J249*Variables!$E$29*Variables!$C$15</f>
        <v>245138.82003645622</v>
      </c>
      <c r="Z249" s="33">
        <f>D249*(IF(D249&lt;50000,0,IF(D249&gt;Variables!$C$7,Variables!$C$37,IF(D249&gt;Variables!$C$6,Variables!$C$36,IF(D249&gt;Variables!$C$5,Variables!$C$35)))))</f>
        <v>796.70196182044458</v>
      </c>
      <c r="AA249" s="34">
        <f t="shared" si="44"/>
        <v>778</v>
      </c>
      <c r="AB249" s="35">
        <f t="shared" si="39"/>
        <v>19</v>
      </c>
      <c r="AC249" s="22">
        <f>AB249*Variables!$E$41</f>
        <v>7022400.0000000009</v>
      </c>
      <c r="AD249" s="115">
        <f>ROUND(IF(D249&lt;50000,0,(H249/(3.14*Variables!$C$34^2))),0)</f>
        <v>87</v>
      </c>
      <c r="AE249" s="116">
        <f t="shared" si="46"/>
        <v>85</v>
      </c>
      <c r="AF249" s="117">
        <f t="shared" si="40"/>
        <v>2</v>
      </c>
      <c r="AG249" s="107">
        <f>AF249*Variables!$E$42*Variables!$C$15</f>
        <v>1355.088</v>
      </c>
      <c r="AH249" s="199">
        <f>ROUND((Z249)/Variables!$C$40,0)</f>
        <v>6</v>
      </c>
      <c r="AI249" s="33">
        <f t="shared" si="47"/>
        <v>6</v>
      </c>
      <c r="AJ249" s="199">
        <f t="shared" si="43"/>
        <v>0</v>
      </c>
      <c r="AK249" s="22">
        <f>AJ249*Variables!$E$43*Variables!$C$15</f>
        <v>0</v>
      </c>
      <c r="AL249" s="20">
        <f>Z249*Variables!$E$38*Variables!$C$15</f>
        <v>141238137.44186997</v>
      </c>
      <c r="AN249" s="200">
        <f t="shared" si="48"/>
        <v>0.28000000000000003</v>
      </c>
      <c r="AO249" s="201">
        <f t="shared" si="41"/>
        <v>82.258120000000005</v>
      </c>
      <c r="AP249" s="321">
        <f>VLOOKUP(A249,'Household Information'!H:Q,10,FALSE)</f>
        <v>50.200681560015155</v>
      </c>
      <c r="AQ249" s="122">
        <f>IF(12*(AO249-Variables!$C$3*AP249*F249)*(G249/5)&lt;0,0,12*(AO249-Variables!$C$3*AP249*F249)*(G249/5))</f>
        <v>35449648.695597492</v>
      </c>
    </row>
    <row r="250" spans="1:43" ht="14.25" customHeight="1" x14ac:dyDescent="0.35">
      <c r="A250" s="30">
        <v>37</v>
      </c>
      <c r="B250" s="28" t="s">
        <v>190</v>
      </c>
      <c r="C250" s="28">
        <v>2024</v>
      </c>
      <c r="D250" s="196">
        <f>Population!I38</f>
        <v>265844.38732623996</v>
      </c>
      <c r="E250" s="303" t="str">
        <f t="shared" si="42"/>
        <v>Medium</v>
      </c>
      <c r="F250" s="340">
        <f>VLOOKUP(A250,'Household Information'!$H$2:$M$49,6,FALSE)</f>
        <v>5.027102564102564</v>
      </c>
      <c r="G250" s="196">
        <f t="shared" si="37"/>
        <v>52882</v>
      </c>
      <c r="H250" s="213">
        <f>Area!K38</f>
        <v>28.542832040168062</v>
      </c>
      <c r="J250" s="32">
        <f>D250*Variables!$C$20</f>
        <v>239.25994859361595</v>
      </c>
      <c r="K250" s="202">
        <f t="shared" si="45"/>
        <v>233.72076642924287</v>
      </c>
      <c r="L250" s="32">
        <f t="shared" si="38"/>
        <v>5.5391821643730736</v>
      </c>
      <c r="S250" s="198">
        <f>$L250*Variables!$C$21/100</f>
        <v>0.30077007227365099</v>
      </c>
      <c r="T250" s="198">
        <f>$L250*Variables!$C$22/100</f>
        <v>0.52634762647888933</v>
      </c>
      <c r="U250" s="198">
        <f>$L250*Variables!$C$23/100</f>
        <v>0.55141179916836025</v>
      </c>
      <c r="V250" s="198">
        <f>$L250*Variables!$C$24/100</f>
        <v>4.0102676303153473</v>
      </c>
      <c r="W250" s="22">
        <f>S250*Variables!$E$25*Variables!$C$15+'Cost Calculations'!T250*Variables!$E$26*Variables!$C$15+'Cost Calculations'!U250*Variables!$E$27*Variables!$C$15+V250*Variables!$E$28*Variables!$C$15</f>
        <v>3715360.6507757786</v>
      </c>
      <c r="X250" s="20">
        <f>J250*Variables!$E$29*Variables!$C$15</f>
        <v>40899.095612592704</v>
      </c>
      <c r="Z250" s="33">
        <f>D250*(IF(D250&lt;50000,0,IF(D250&gt;Variables!$C$7,Variables!$C$37,IF(D250&gt;Variables!$C$6,Variables!$C$36,IF(D250&gt;Variables!$C$5,Variables!$C$35)))))</f>
        <v>132.92219366311997</v>
      </c>
      <c r="AA250" s="34">
        <f t="shared" si="44"/>
        <v>130</v>
      </c>
      <c r="AB250" s="35">
        <f t="shared" si="39"/>
        <v>3</v>
      </c>
      <c r="AC250" s="22">
        <f>AB250*Variables!$E$41</f>
        <v>1108800.0000000002</v>
      </c>
      <c r="AD250" s="115">
        <f>ROUND(IF(D250&lt;50000,0,(H250/(3.14*Variables!$C$34^2))),0)</f>
        <v>36</v>
      </c>
      <c r="AE250" s="116">
        <f t="shared" si="46"/>
        <v>36</v>
      </c>
      <c r="AF250" s="117">
        <f t="shared" si="40"/>
        <v>0</v>
      </c>
      <c r="AG250" s="107">
        <f>AF250*Variables!$E$42*Variables!$C$15</f>
        <v>0</v>
      </c>
      <c r="AH250" s="199">
        <f>ROUND((Z250)/Variables!$C$40,0)</f>
        <v>1</v>
      </c>
      <c r="AI250" s="33">
        <f t="shared" si="47"/>
        <v>1</v>
      </c>
      <c r="AJ250" s="199">
        <f t="shared" si="43"/>
        <v>0</v>
      </c>
      <c r="AK250" s="22">
        <f>AJ250*Variables!$E$43*Variables!$C$15</f>
        <v>0</v>
      </c>
      <c r="AL250" s="20">
        <f>Z250*Variables!$E$38*Variables!$C$15</f>
        <v>23564248.561368152</v>
      </c>
      <c r="AN250" s="200">
        <f t="shared" si="48"/>
        <v>0.14000000000000001</v>
      </c>
      <c r="AO250" s="201">
        <f t="shared" si="41"/>
        <v>42.22766153846154</v>
      </c>
      <c r="AP250" s="321">
        <f>VLOOKUP(A250,'Household Information'!H:Q,10,FALSE)</f>
        <v>74.965290925154619</v>
      </c>
      <c r="AQ250" s="122">
        <f>IF(12*(AO250-Variables!$C$3*AP250*F250)*(G250/5)&lt;0,0,12*(AO250-Variables!$C$3*AP250*F250)*(G250/5))</f>
        <v>0</v>
      </c>
    </row>
    <row r="251" spans="1:43" ht="14.25" customHeight="1" x14ac:dyDescent="0.35">
      <c r="A251" s="30">
        <v>38</v>
      </c>
      <c r="B251" s="28" t="s">
        <v>191</v>
      </c>
      <c r="C251" s="28">
        <v>2024</v>
      </c>
      <c r="D251" s="196">
        <f>Population!I39</f>
        <v>1169098.6160919261</v>
      </c>
      <c r="E251" s="303" t="str">
        <f t="shared" si="42"/>
        <v>Large</v>
      </c>
      <c r="F251" s="340">
        <f>VLOOKUP(A251,'Household Information'!$H$2:$M$49,6,FALSE)</f>
        <v>4.5378736842105267</v>
      </c>
      <c r="G251" s="196">
        <f t="shared" si="37"/>
        <v>257631</v>
      </c>
      <c r="H251" s="213">
        <f>Area!K39</f>
        <v>114.81515143977377</v>
      </c>
      <c r="J251" s="32">
        <f>D251*Variables!$C$20</f>
        <v>1052.1887544827334</v>
      </c>
      <c r="K251" s="202">
        <f t="shared" si="45"/>
        <v>1027.8292023861809</v>
      </c>
      <c r="L251" s="32">
        <f t="shared" si="38"/>
        <v>24.359552096552534</v>
      </c>
      <c r="S251" s="198">
        <f>$L251*Variables!$C$21/100</f>
        <v>1.322690611577513</v>
      </c>
      <c r="T251" s="198">
        <f>$L251*Variables!$C$22/100</f>
        <v>2.314708570260648</v>
      </c>
      <c r="U251" s="198">
        <f>$L251*Variables!$C$23/100</f>
        <v>2.4249327878921072</v>
      </c>
      <c r="V251" s="198">
        <f>$L251*Variables!$C$24/100</f>
        <v>17.635874821033507</v>
      </c>
      <c r="W251" s="22">
        <f>S251*Variables!$E$25*Variables!$C$15+'Cost Calculations'!T251*Variables!$E$26*Variables!$C$15+'Cost Calculations'!U251*Variables!$E$27*Variables!$C$15+V251*Variables!$E$28*Variables!$C$15</f>
        <v>16338968.216673054</v>
      </c>
      <c r="X251" s="20">
        <f>J251*Variables!$E$29*Variables!$C$15</f>
        <v>179861.14569127848</v>
      </c>
      <c r="Z251" s="33">
        <f>D251*(IF(D251&lt;50000,0,IF(D251&gt;Variables!$C$7,Variables!$C$37,IF(D251&gt;Variables!$C$6,Variables!$C$36,IF(D251&gt;Variables!$C$5,Variables!$C$35)))))</f>
        <v>584.54930804596302</v>
      </c>
      <c r="AA251" s="34">
        <f t="shared" si="44"/>
        <v>571</v>
      </c>
      <c r="AB251" s="35">
        <f t="shared" si="39"/>
        <v>14</v>
      </c>
      <c r="AC251" s="22">
        <f>AB251*Variables!$E$41</f>
        <v>5174400.0000000009</v>
      </c>
      <c r="AD251" s="115">
        <f>ROUND(IF(D251&lt;50000,0,(H251/(3.14*Variables!$C$34^2))),0)</f>
        <v>146</v>
      </c>
      <c r="AE251" s="116">
        <f t="shared" si="46"/>
        <v>144</v>
      </c>
      <c r="AF251" s="117">
        <f t="shared" si="40"/>
        <v>2</v>
      </c>
      <c r="AG251" s="107">
        <f>AF251*Variables!$E$42*Variables!$C$15</f>
        <v>1355.088</v>
      </c>
      <c r="AH251" s="199">
        <f>ROUND((Z251)/Variables!$C$40,0)</f>
        <v>5</v>
      </c>
      <c r="AI251" s="33">
        <f t="shared" si="47"/>
        <v>5</v>
      </c>
      <c r="AJ251" s="199">
        <f t="shared" si="43"/>
        <v>0</v>
      </c>
      <c r="AK251" s="22">
        <f>AJ251*Variables!$E$43*Variables!$C$15</f>
        <v>0</v>
      </c>
      <c r="AL251" s="20">
        <f>Z251*Variables!$E$38*Variables!$C$15</f>
        <v>103628030.89212511</v>
      </c>
      <c r="AN251" s="200">
        <f t="shared" si="48"/>
        <v>0.21</v>
      </c>
      <c r="AO251" s="201">
        <f t="shared" si="41"/>
        <v>57.177208421052633</v>
      </c>
      <c r="AP251" s="321">
        <f>VLOOKUP(A251,'Household Information'!H:Q,10,FALSE)</f>
        <v>100.71942446043167</v>
      </c>
      <c r="AQ251" s="122">
        <f>IF(12*(AO251-Variables!$C$3*AP251*F251)*(G251/5)&lt;0,0,12*(AO251-Variables!$C$3*AP251*F251)*(G251/5))</f>
        <v>0</v>
      </c>
    </row>
    <row r="252" spans="1:43" ht="14.25" customHeight="1" x14ac:dyDescent="0.35">
      <c r="A252" s="30">
        <v>39</v>
      </c>
      <c r="B252" s="28" t="s">
        <v>192</v>
      </c>
      <c r="C252" s="28">
        <v>2024</v>
      </c>
      <c r="D252" s="196">
        <f>Population!I40</f>
        <v>96245.656173543975</v>
      </c>
      <c r="E252" s="303" t="str">
        <f t="shared" si="42"/>
        <v>Small</v>
      </c>
      <c r="F252" s="340">
        <f>VLOOKUP(A252,'Household Information'!$H$2:$M$49,6,FALSE)</f>
        <v>3.6693548387096775</v>
      </c>
      <c r="G252" s="196">
        <f t="shared" si="37"/>
        <v>26230</v>
      </c>
      <c r="H252" s="213">
        <f>Area!K40</f>
        <v>27.36248936181525</v>
      </c>
      <c r="J252" s="32">
        <f>D252*Variables!$C$20</f>
        <v>86.621090556189571</v>
      </c>
      <c r="K252" s="202">
        <f t="shared" si="45"/>
        <v>84.615698501699313</v>
      </c>
      <c r="L252" s="32">
        <f t="shared" si="38"/>
        <v>2.0053920544902581</v>
      </c>
      <c r="S252" s="198">
        <f>$L252*Variables!$C$21/100</f>
        <v>0.10889006630716333</v>
      </c>
      <c r="T252" s="198">
        <f>$L252*Variables!$C$22/100</f>
        <v>0.19055761603753585</v>
      </c>
      <c r="U252" s="198">
        <f>$L252*Variables!$C$23/100</f>
        <v>0.19963178822979943</v>
      </c>
      <c r="V252" s="198">
        <f>$L252*Variables!$C$24/100</f>
        <v>1.4518675507621779</v>
      </c>
      <c r="W252" s="22">
        <f>S252*Variables!$E$25*Variables!$C$15+'Cost Calculations'!T252*Variables!$E$26*Variables!$C$15+'Cost Calculations'!U252*Variables!$E$27*Variables!$C$15+V252*Variables!$E$28*Variables!$C$15</f>
        <v>1345100.1443052886</v>
      </c>
      <c r="X252" s="20">
        <f>J252*Variables!$E$29*Variables!$C$15</f>
        <v>14807.009219675045</v>
      </c>
      <c r="Z252" s="33">
        <f>D252*(IF(D252&lt;50000,0,IF(D252&gt;Variables!$C$7,Variables!$C$37,IF(D252&gt;Variables!$C$6,Variables!$C$36,IF(D252&gt;Variables!$C$5,Variables!$C$35)))))</f>
        <v>48.122828086771989</v>
      </c>
      <c r="AA252" s="34">
        <f t="shared" si="44"/>
        <v>47</v>
      </c>
      <c r="AB252" s="35">
        <f t="shared" si="39"/>
        <v>1</v>
      </c>
      <c r="AC252" s="22">
        <f>AB252*Variables!$E$41</f>
        <v>369600.00000000006</v>
      </c>
      <c r="AD252" s="115">
        <f>ROUND(IF(D252&lt;50000,0,(H252/(3.14*Variables!$C$34^2))),0)</f>
        <v>35</v>
      </c>
      <c r="AE252" s="116">
        <f t="shared" si="46"/>
        <v>34</v>
      </c>
      <c r="AF252" s="117">
        <f t="shared" si="40"/>
        <v>1</v>
      </c>
      <c r="AG252" s="107">
        <f>AF252*Variables!$E$42*Variables!$C$15</f>
        <v>677.54399999999998</v>
      </c>
      <c r="AH252" s="199">
        <f>ROUND((Z252)/Variables!$C$40,0)</f>
        <v>0</v>
      </c>
      <c r="AI252" s="33">
        <f t="shared" si="47"/>
        <v>0</v>
      </c>
      <c r="AJ252" s="199">
        <f t="shared" si="43"/>
        <v>0</v>
      </c>
      <c r="AK252" s="22">
        <f>AJ252*Variables!$E$43*Variables!$C$15</f>
        <v>0</v>
      </c>
      <c r="AL252" s="20">
        <f>Z252*Variables!$E$38*Variables!$C$15</f>
        <v>8531143.3046813514</v>
      </c>
      <c r="AN252" s="200">
        <f t="shared" si="48"/>
        <v>0.25221875000000005</v>
      </c>
      <c r="AO252" s="201">
        <f t="shared" si="41"/>
        <v>55.5288054435484</v>
      </c>
      <c r="AP252" s="321">
        <f>VLOOKUP(A252,'Household Information'!H:Q,10,FALSE)</f>
        <v>69.973494888299896</v>
      </c>
      <c r="AQ252" s="122">
        <f>IF(12*(AO252-Variables!$C$3*AP252*F252)*(G252/5)&lt;0,0,12*(AO252-Variables!$C$3*AP252*F252)*(G252/5))</f>
        <v>1071138.8645023117</v>
      </c>
    </row>
    <row r="253" spans="1:43" ht="14.25" customHeight="1" x14ac:dyDescent="0.35">
      <c r="A253" s="30">
        <v>40</v>
      </c>
      <c r="B253" s="28" t="s">
        <v>193</v>
      </c>
      <c r="C253" s="28">
        <v>2024</v>
      </c>
      <c r="D253" s="196">
        <f>Population!I41</f>
        <v>171848.25980290602</v>
      </c>
      <c r="E253" s="303" t="str">
        <f t="shared" si="42"/>
        <v>Medium</v>
      </c>
      <c r="F253" s="340">
        <f>VLOOKUP(A253,'Household Information'!$H$2:$M$49,6,FALSE)</f>
        <v>4.2245333333333335</v>
      </c>
      <c r="G253" s="196">
        <f t="shared" si="37"/>
        <v>40679</v>
      </c>
      <c r="H253" s="213">
        <f>Area!K41</f>
        <v>38.200181226691093</v>
      </c>
      <c r="J253" s="32">
        <f>D253*Variables!$C$20</f>
        <v>154.66343382261542</v>
      </c>
      <c r="K253" s="202">
        <f t="shared" si="45"/>
        <v>172.36096000000003</v>
      </c>
      <c r="L253" s="32">
        <f t="shared" si="38"/>
        <v>0</v>
      </c>
      <c r="S253" s="198">
        <f>$L253*Variables!$C$21/100</f>
        <v>0</v>
      </c>
      <c r="T253" s="198">
        <f>$L253*Variables!$C$22/100</f>
        <v>0</v>
      </c>
      <c r="U253" s="198">
        <f>$L253*Variables!$C$23/100</f>
        <v>0</v>
      </c>
      <c r="V253" s="198">
        <f>$L253*Variables!$C$24/100</f>
        <v>0</v>
      </c>
      <c r="W253" s="22">
        <f>S253*Variables!$E$25*Variables!$C$15+'Cost Calculations'!T253*Variables!$E$26*Variables!$C$15+'Cost Calculations'!U253*Variables!$E$27*Variables!$C$15+V253*Variables!$E$28*Variables!$C$15</f>
        <v>0</v>
      </c>
      <c r="X253" s="20">
        <f>J253*Variables!$E$29*Variables!$C$15</f>
        <v>26438.167377637881</v>
      </c>
      <c r="Z253" s="33">
        <f>D253*(IF(D253&lt;50000,0,IF(D253&gt;Variables!$C$7,Variables!$C$37,IF(D253&gt;Variables!$C$6,Variables!$C$36,IF(D253&gt;Variables!$C$5,Variables!$C$35)))))</f>
        <v>85.924129901453014</v>
      </c>
      <c r="AA253" s="34">
        <f t="shared" si="44"/>
        <v>84</v>
      </c>
      <c r="AB253" s="35">
        <f t="shared" si="39"/>
        <v>2</v>
      </c>
      <c r="AC253" s="22">
        <f>AB253*Variables!$E$41</f>
        <v>739200.00000000012</v>
      </c>
      <c r="AD253" s="115">
        <f>ROUND(IF(D253&lt;50000,0,(H253/(3.14*Variables!$C$34^2))),0)</f>
        <v>49</v>
      </c>
      <c r="AE253" s="116">
        <f t="shared" si="46"/>
        <v>48</v>
      </c>
      <c r="AF253" s="117">
        <f t="shared" si="40"/>
        <v>1</v>
      </c>
      <c r="AG253" s="107">
        <f>AF253*Variables!$E$42*Variables!$C$15</f>
        <v>677.54399999999998</v>
      </c>
      <c r="AH253" s="199">
        <f>ROUND((Z253)/Variables!$C$40,0)</f>
        <v>1</v>
      </c>
      <c r="AI253" s="33">
        <f t="shared" si="47"/>
        <v>1</v>
      </c>
      <c r="AJ253" s="199">
        <f t="shared" si="43"/>
        <v>0</v>
      </c>
      <c r="AK253" s="22">
        <f>AJ253*Variables!$E$43*Variables!$C$15</f>
        <v>0</v>
      </c>
      <c r="AL253" s="20">
        <f>Z253*Variables!$E$38*Variables!$C$15</f>
        <v>15232501.80138202</v>
      </c>
      <c r="AN253" s="200">
        <f t="shared" si="48"/>
        <v>0.28000000000000003</v>
      </c>
      <c r="AO253" s="201">
        <f t="shared" si="41"/>
        <v>70.972160000000002</v>
      </c>
      <c r="AP253" s="321">
        <f>VLOOKUP(A253,'Household Information'!H:Q,10,FALSE)</f>
        <v>73.754890824182766</v>
      </c>
      <c r="AQ253" s="122">
        <f>IF(12*(AO253-Variables!$C$3*AP253*F253)*(G253/5)&lt;0,0,12*(AO253-Variables!$C$3*AP253*F253)*(G253/5))</f>
        <v>2366069.0531342728</v>
      </c>
    </row>
    <row r="254" spans="1:43" ht="14.25" customHeight="1" x14ac:dyDescent="0.35">
      <c r="A254" s="30">
        <v>41</v>
      </c>
      <c r="B254" s="28" t="s">
        <v>194</v>
      </c>
      <c r="C254" s="28">
        <v>2024</v>
      </c>
      <c r="D254" s="196">
        <f>Population!I42</f>
        <v>82713.229453172476</v>
      </c>
      <c r="E254" s="303" t="str">
        <f t="shared" si="42"/>
        <v>Small</v>
      </c>
      <c r="F254" s="340">
        <f>VLOOKUP(A254,'Household Information'!$H$2:$M$49,6,FALSE)</f>
        <v>6.1423824388279122</v>
      </c>
      <c r="G254" s="196">
        <f t="shared" si="37"/>
        <v>13466</v>
      </c>
      <c r="H254" s="213">
        <f>Area!K42</f>
        <v>15.237150938736331</v>
      </c>
      <c r="J254" s="32">
        <f>D254*Variables!$C$20</f>
        <v>74.441906507855222</v>
      </c>
      <c r="K254" s="202">
        <f t="shared" si="45"/>
        <v>72.718478565844705</v>
      </c>
      <c r="L254" s="32">
        <f t="shared" si="38"/>
        <v>1.7234279420105167</v>
      </c>
      <c r="S254" s="198">
        <f>$L254*Variables!$C$21/100</f>
        <v>9.3579797756227143E-2</v>
      </c>
      <c r="T254" s="198">
        <f>$L254*Variables!$C$22/100</f>
        <v>0.16376464607339752</v>
      </c>
      <c r="U254" s="198">
        <f>$L254*Variables!$C$23/100</f>
        <v>0.17156296255308312</v>
      </c>
      <c r="V254" s="198">
        <f>$L254*Variables!$C$24/100</f>
        <v>1.2477306367496954</v>
      </c>
      <c r="W254" s="22">
        <f>S254*Variables!$E$25*Variables!$C$15+'Cost Calculations'!T254*Variables!$E$26*Variables!$C$15+'Cost Calculations'!U254*Variables!$E$27*Variables!$C$15+V254*Variables!$E$28*Variables!$C$15</f>
        <v>1155975.046528925</v>
      </c>
      <c r="X254" s="20">
        <f>J254*Variables!$E$29*Variables!$C$15</f>
        <v>12725.099498452772</v>
      </c>
      <c r="Z254" s="33">
        <f>D254*(IF(D254&lt;50000,0,IF(D254&gt;Variables!$C$7,Variables!$C$37,IF(D254&gt;Variables!$C$6,Variables!$C$36,IF(D254&gt;Variables!$C$5,Variables!$C$35)))))</f>
        <v>41.356614726586237</v>
      </c>
      <c r="AA254" s="34">
        <f t="shared" si="44"/>
        <v>40</v>
      </c>
      <c r="AB254" s="35">
        <f t="shared" si="39"/>
        <v>1</v>
      </c>
      <c r="AC254" s="22">
        <f>AB254*Variables!$E$41</f>
        <v>369600.00000000006</v>
      </c>
      <c r="AD254" s="115">
        <f>ROUND(IF(D254&lt;50000,0,(H254/(3.14*Variables!$C$34^2))),0)</f>
        <v>19</v>
      </c>
      <c r="AE254" s="116">
        <f t="shared" si="46"/>
        <v>19</v>
      </c>
      <c r="AF254" s="117">
        <f t="shared" si="40"/>
        <v>0</v>
      </c>
      <c r="AG254" s="107">
        <f>AF254*Variables!$E$42*Variables!$C$15</f>
        <v>0</v>
      </c>
      <c r="AH254" s="199">
        <f>ROUND((Z254)/Variables!$C$40,0)</f>
        <v>0</v>
      </c>
      <c r="AI254" s="33">
        <f t="shared" si="47"/>
        <v>0</v>
      </c>
      <c r="AJ254" s="199">
        <f t="shared" si="43"/>
        <v>0</v>
      </c>
      <c r="AK254" s="22">
        <f>AJ254*Variables!$E$43*Variables!$C$15</f>
        <v>0</v>
      </c>
      <c r="AL254" s="20">
        <f>Z254*Variables!$E$38*Variables!$C$15</f>
        <v>7331639.0755925952</v>
      </c>
      <c r="AN254" s="200">
        <f t="shared" si="48"/>
        <v>0.25221875000000005</v>
      </c>
      <c r="AO254" s="201">
        <f t="shared" si="41"/>
        <v>92.953441244587665</v>
      </c>
      <c r="AP254" s="321">
        <f>VLOOKUP(A254,'Household Information'!H:Q,10,FALSE)</f>
        <v>110.04922377887165</v>
      </c>
      <c r="AQ254" s="122">
        <f>IF(12*(AO254-Variables!$C$3*AP254*F254)*(G254/5)&lt;0,0,12*(AO254-Variables!$C$3*AP254*F254)*(G254/5))</f>
        <v>0</v>
      </c>
    </row>
    <row r="255" spans="1:43" ht="14.25" customHeight="1" x14ac:dyDescent="0.35">
      <c r="A255" s="30">
        <v>42</v>
      </c>
      <c r="B255" s="28" t="s">
        <v>195</v>
      </c>
      <c r="C255" s="28">
        <v>2024</v>
      </c>
      <c r="D255" s="196">
        <f>Population!I43</f>
        <v>102428.80906381391</v>
      </c>
      <c r="E255" s="303" t="str">
        <f t="shared" si="42"/>
        <v>Medium</v>
      </c>
      <c r="F255" s="340">
        <f>VLOOKUP(A255,'Household Information'!$H$2:$M$49,6,FALSE)</f>
        <v>4.2419137466307282</v>
      </c>
      <c r="G255" s="196">
        <f t="shared" si="37"/>
        <v>24147</v>
      </c>
      <c r="H255" s="213">
        <f>Area!K43</f>
        <v>16.09558197753838</v>
      </c>
      <c r="J255" s="32">
        <f>D255*Variables!$C$20</f>
        <v>92.185928157432514</v>
      </c>
      <c r="K255" s="202">
        <f t="shared" si="45"/>
        <v>110.2884</v>
      </c>
      <c r="L255" s="32">
        <f t="shared" si="38"/>
        <v>0</v>
      </c>
      <c r="S255" s="198">
        <f>$L255*Variables!$C$21/100</f>
        <v>0</v>
      </c>
      <c r="T255" s="198">
        <f>$L255*Variables!$C$22/100</f>
        <v>0</v>
      </c>
      <c r="U255" s="198">
        <f>$L255*Variables!$C$23/100</f>
        <v>0</v>
      </c>
      <c r="V255" s="198">
        <f>$L255*Variables!$C$24/100</f>
        <v>0</v>
      </c>
      <c r="W255" s="22">
        <f>S255*Variables!$E$25*Variables!$C$15+'Cost Calculations'!T255*Variables!$E$26*Variables!$C$15+'Cost Calculations'!U255*Variables!$E$27*Variables!$C$15+V255*Variables!$E$28*Variables!$C$15</f>
        <v>0</v>
      </c>
      <c r="X255" s="20">
        <f>J255*Variables!$E$29*Variables!$C$15</f>
        <v>15758.262559231514</v>
      </c>
      <c r="Z255" s="33">
        <f>D255*(IF(D255&lt;50000,0,IF(D255&gt;Variables!$C$7,Variables!$C$37,IF(D255&gt;Variables!$C$6,Variables!$C$36,IF(D255&gt;Variables!$C$5,Variables!$C$35)))))</f>
        <v>51.214404531906958</v>
      </c>
      <c r="AA255" s="34">
        <f t="shared" si="44"/>
        <v>50</v>
      </c>
      <c r="AB255" s="35">
        <f t="shared" si="39"/>
        <v>1</v>
      </c>
      <c r="AC255" s="22">
        <f>AB255*Variables!$E$41</f>
        <v>369600.00000000006</v>
      </c>
      <c r="AD255" s="115">
        <f>ROUND(IF(D255&lt;50000,0,(H255/(3.14*Variables!$C$34^2))),0)</f>
        <v>21</v>
      </c>
      <c r="AE255" s="116">
        <f t="shared" si="46"/>
        <v>20</v>
      </c>
      <c r="AF255" s="117">
        <f t="shared" si="40"/>
        <v>1</v>
      </c>
      <c r="AG255" s="107">
        <f>AF255*Variables!$E$42*Variables!$C$15</f>
        <v>677.54399999999998</v>
      </c>
      <c r="AH255" s="199">
        <f>ROUND((Z255)/Variables!$C$40,0)</f>
        <v>0</v>
      </c>
      <c r="AI255" s="33">
        <f t="shared" si="47"/>
        <v>0</v>
      </c>
      <c r="AJ255" s="199">
        <f t="shared" si="43"/>
        <v>0</v>
      </c>
      <c r="AK255" s="22">
        <f>AJ255*Variables!$E$43*Variables!$C$15</f>
        <v>0</v>
      </c>
      <c r="AL255" s="20">
        <f>Z255*Variables!$E$38*Variables!$C$15</f>
        <v>9079213.3732830267</v>
      </c>
      <c r="AN255" s="200">
        <f t="shared" si="48"/>
        <v>0.25221875000000005</v>
      </c>
      <c r="AO255" s="201">
        <f t="shared" si="41"/>
        <v>64.193410966981148</v>
      </c>
      <c r="AP255" s="321">
        <f>VLOOKUP(A255,'Household Information'!H:Q,10,FALSE)</f>
        <v>81.833648870377388</v>
      </c>
      <c r="AQ255" s="122">
        <f>IF(12*(AO255-Variables!$C$3*AP255*F255)*(G255/5)&lt;0,0,12*(AO255-Variables!$C$3*AP255*F255)*(G255/5))</f>
        <v>702603.45985244075</v>
      </c>
    </row>
    <row r="256" spans="1:43" ht="14.25" customHeight="1" x14ac:dyDescent="0.35">
      <c r="A256" s="30">
        <v>1</v>
      </c>
      <c r="B256" s="28" t="s">
        <v>154</v>
      </c>
      <c r="C256" s="28">
        <v>2025</v>
      </c>
      <c r="D256" s="196">
        <f>Population!J2</f>
        <v>555241.83427241049</v>
      </c>
      <c r="E256" s="303" t="str">
        <f t="shared" si="42"/>
        <v>Medium</v>
      </c>
      <c r="F256" s="340">
        <f>VLOOKUP(A256,'Household Information'!$H$2:$M$49,6,FALSE)</f>
        <v>3.974207650273224</v>
      </c>
      <c r="G256" s="196">
        <f t="shared" si="37"/>
        <v>139711</v>
      </c>
      <c r="H256" s="213">
        <f>Area!L2</f>
        <v>111.66534431683614</v>
      </c>
      <c r="J256" s="32">
        <f>D256*Variables!$C$20</f>
        <v>499.71765084516943</v>
      </c>
      <c r="K256" s="202">
        <f t="shared" si="45"/>
        <v>488.1485306683299</v>
      </c>
      <c r="L256" s="32">
        <f t="shared" si="38"/>
        <v>11.569120176839533</v>
      </c>
      <c r="S256" s="198">
        <f>$L256*Variables!$C$21/100</f>
        <v>0.6281875209143637</v>
      </c>
      <c r="T256" s="198">
        <f>$L256*Variables!$C$22/100</f>
        <v>1.0993281616001367</v>
      </c>
      <c r="U256" s="198">
        <f>$L256*Variables!$C$23/100</f>
        <v>1.1516771216763337</v>
      </c>
      <c r="V256" s="198">
        <f>$L256*Variables!$C$24/100</f>
        <v>8.3758336121915171</v>
      </c>
      <c r="W256" s="22">
        <f>S256*Variables!$E$25*Variables!$C$15+'Cost Calculations'!T256*Variables!$E$26*Variables!$C$15+'Cost Calculations'!U256*Variables!$E$27*Variables!$C$15+V256*Variables!$E$28*Variables!$C$15</f>
        <v>7759891.7301522978</v>
      </c>
      <c r="X256" s="20">
        <f>J256*Variables!$E$29*Variables!$C$15</f>
        <v>85421.735235473272</v>
      </c>
      <c r="Z256" s="33">
        <f>D256*(IF(D256&lt;50000,0,IF(D256&gt;Variables!$C$7,Variables!$C$37,IF(D256&gt;Variables!$C$6,Variables!$C$36,IF(D256&gt;Variables!$C$5,Variables!$C$35)))))</f>
        <v>277.62091713620526</v>
      </c>
      <c r="AA256" s="34">
        <f t="shared" si="44"/>
        <v>271</v>
      </c>
      <c r="AB256" s="35">
        <f t="shared" si="39"/>
        <v>7</v>
      </c>
      <c r="AC256" s="22">
        <f>AB256*Variables!$E$41</f>
        <v>2587200.0000000005</v>
      </c>
      <c r="AD256" s="115">
        <f>ROUND(IF(D256&lt;50000,0,(H256/(3.14*Variables!$C$34^2))),0)</f>
        <v>142</v>
      </c>
      <c r="AE256" s="116">
        <f>AE214+AF214</f>
        <v>140</v>
      </c>
      <c r="AF256" s="117">
        <f t="shared" si="40"/>
        <v>2</v>
      </c>
      <c r="AG256" s="107">
        <f>AF256*Variables!$E$42*Variables!$C$15</f>
        <v>1355.088</v>
      </c>
      <c r="AH256" s="199">
        <f>ROUND((Z256)/Variables!$C$40,0)</f>
        <v>2</v>
      </c>
      <c r="AI256" s="33">
        <f t="shared" si="47"/>
        <v>2</v>
      </c>
      <c r="AJ256" s="199">
        <f t="shared" si="43"/>
        <v>0</v>
      </c>
      <c r="AK256" s="22">
        <f>AJ256*Variables!$E$43*Variables!$C$15</f>
        <v>0</v>
      </c>
      <c r="AL256" s="20">
        <f>Z256*Variables!$E$38*Variables!$C$15</f>
        <v>49216222.791300714</v>
      </c>
      <c r="AN256" s="200">
        <f t="shared" si="48"/>
        <v>0.14000000000000001</v>
      </c>
      <c r="AO256" s="201">
        <f t="shared" si="41"/>
        <v>33.383344262295083</v>
      </c>
      <c r="AP256" s="321">
        <f>VLOOKUP(A256,'Household Information'!H:Q,10,FALSE)</f>
        <v>73.860911270983223</v>
      </c>
      <c r="AQ256" s="122">
        <f>IF(12*(AO256-Variables!$C$3*AP256*F256)*(G256/5)&lt;0,0,12*(AO256-Variables!$C$3*AP256*F256)*(G256/5))</f>
        <v>0</v>
      </c>
    </row>
    <row r="257" spans="1:43" ht="14.25" customHeight="1" x14ac:dyDescent="0.35">
      <c r="A257" s="30">
        <v>2</v>
      </c>
      <c r="B257" s="28" t="s">
        <v>155</v>
      </c>
      <c r="C257" s="28">
        <v>2025</v>
      </c>
      <c r="D257" s="196">
        <f>Population!J3</f>
        <v>407288.0222319616</v>
      </c>
      <c r="E257" s="303" t="str">
        <f t="shared" si="42"/>
        <v>Medium</v>
      </c>
      <c r="F257" s="340">
        <f>VLOOKUP(A257,'Household Information'!$H$2:$M$49,6,FALSE)</f>
        <v>4.8390533520244086</v>
      </c>
      <c r="G257" s="196">
        <f t="shared" si="37"/>
        <v>84167</v>
      </c>
      <c r="H257" s="213">
        <f>Area!L3</f>
        <v>671.46134674729103</v>
      </c>
      <c r="J257" s="32">
        <f>D257*Variables!$C$20</f>
        <v>366.55922000876541</v>
      </c>
      <c r="K257" s="202">
        <f t="shared" si="45"/>
        <v>358.07289245752213</v>
      </c>
      <c r="L257" s="32">
        <f t="shared" si="38"/>
        <v>8.4863275512432779</v>
      </c>
      <c r="S257" s="198">
        <f>$L257*Variables!$C$21/100</f>
        <v>0.46079606613085666</v>
      </c>
      <c r="T257" s="198">
        <f>$L257*Variables!$C$22/100</f>
        <v>0.8063931157289993</v>
      </c>
      <c r="U257" s="198">
        <f>$L257*Variables!$C$23/100</f>
        <v>0.84479278790657064</v>
      </c>
      <c r="V257" s="198">
        <f>$L257*Variables!$C$24/100</f>
        <v>6.1439475484114219</v>
      </c>
      <c r="W257" s="22">
        <f>S257*Variables!$E$25*Variables!$C$15+'Cost Calculations'!T257*Variables!$E$26*Variables!$C$15+'Cost Calculations'!U257*Variables!$E$27*Variables!$C$15+V257*Variables!$E$28*Variables!$C$15</f>
        <v>5692134.0583952777</v>
      </c>
      <c r="X257" s="20">
        <f>J257*Variables!$E$29*Variables!$C$15</f>
        <v>62659.633068298361</v>
      </c>
      <c r="Z257" s="33">
        <f>D257*(IF(D257&lt;50000,0,IF(D257&gt;Variables!$C$7,Variables!$C$37,IF(D257&gt;Variables!$C$6,Variables!$C$36,IF(D257&gt;Variables!$C$5,Variables!$C$35)))))</f>
        <v>203.64401111598082</v>
      </c>
      <c r="AA257" s="34">
        <f t="shared" si="44"/>
        <v>262</v>
      </c>
      <c r="AB257" s="35">
        <f t="shared" si="39"/>
        <v>0</v>
      </c>
      <c r="AC257" s="22">
        <f>AB257*Variables!$E$41</f>
        <v>0</v>
      </c>
      <c r="AD257" s="115">
        <f>ROUND(IF(D257&lt;50000,0,(H257/(3.14*Variables!$C$34^2))),0)</f>
        <v>855</v>
      </c>
      <c r="AE257" s="116">
        <f t="shared" si="46"/>
        <v>843</v>
      </c>
      <c r="AF257" s="117">
        <f t="shared" si="40"/>
        <v>12</v>
      </c>
      <c r="AG257" s="107">
        <f>AF257*Variables!$E$42*Variables!$C$15</f>
        <v>8130.5280000000002</v>
      </c>
      <c r="AH257" s="199">
        <f>ROUND((Z257)/Variables!$C$40,0)</f>
        <v>2</v>
      </c>
      <c r="AI257" s="33">
        <f t="shared" si="47"/>
        <v>2</v>
      </c>
      <c r="AJ257" s="199">
        <f t="shared" si="43"/>
        <v>0</v>
      </c>
      <c r="AK257" s="22">
        <f>AJ257*Variables!$E$43*Variables!$C$15</f>
        <v>0</v>
      </c>
      <c r="AL257" s="20">
        <f>Z257*Variables!$E$38*Variables!$C$15</f>
        <v>36101707.049260229</v>
      </c>
      <c r="AN257" s="200">
        <f t="shared" si="48"/>
        <v>0.49</v>
      </c>
      <c r="AO257" s="201">
        <f t="shared" si="41"/>
        <v>142.26816854951761</v>
      </c>
      <c r="AP257" s="321">
        <f>VLOOKUP(A257,'Household Information'!H:Q,10,FALSE)</f>
        <v>166.27540073204597</v>
      </c>
      <c r="AQ257" s="122">
        <f>IF(12*(AO257-Variables!$C$3*AP257*F257)*(G257/5)&lt;0,0,12*(AO257-Variables!$C$3*AP257*F257)*(G257/5))</f>
        <v>4358336.5889434172</v>
      </c>
    </row>
    <row r="258" spans="1:43" ht="14.25" customHeight="1" x14ac:dyDescent="0.35">
      <c r="A258" s="30">
        <v>3</v>
      </c>
      <c r="B258" s="28" t="s">
        <v>156</v>
      </c>
      <c r="C258" s="28">
        <v>2025</v>
      </c>
      <c r="D258" s="196">
        <f>Population!J4</f>
        <v>11720586.781632422</v>
      </c>
      <c r="E258" s="303" t="str">
        <f t="shared" si="42"/>
        <v>Large</v>
      </c>
      <c r="F258" s="340">
        <f>VLOOKUP(A258,'Household Information'!$H$2:$M$49,6,FALSE)</f>
        <v>4.0172949204764796</v>
      </c>
      <c r="G258" s="196">
        <f t="shared" si="37"/>
        <v>2917532</v>
      </c>
      <c r="H258" s="213">
        <f>Area!L4</f>
        <v>791.94237614177223</v>
      </c>
      <c r="J258" s="32">
        <f>D258*Variables!$C$20</f>
        <v>10548.52810346918</v>
      </c>
      <c r="K258" s="202">
        <f t="shared" si="45"/>
        <v>10304.31581856909</v>
      </c>
      <c r="L258" s="32">
        <f t="shared" si="38"/>
        <v>244.2122849000898</v>
      </c>
      <c r="S258" s="198">
        <f>$L258*Variables!$C$21/100</f>
        <v>13.26039556018587</v>
      </c>
      <c r="T258" s="198">
        <f>$L258*Variables!$C$22/100</f>
        <v>23.205692230325276</v>
      </c>
      <c r="U258" s="198">
        <f>$L258*Variables!$C$23/100</f>
        <v>24.310725193674099</v>
      </c>
      <c r="V258" s="198">
        <f>$L258*Variables!$C$24/100</f>
        <v>176.80527413581163</v>
      </c>
      <c r="W258" s="22">
        <f>S258*Variables!$E$25*Variables!$C$15+'Cost Calculations'!T258*Variables!$E$26*Variables!$C$15+'Cost Calculations'!U258*Variables!$E$27*Variables!$C$15+V258*Variables!$E$28*Variables!$C$15</f>
        <v>163803371.47776943</v>
      </c>
      <c r="X258" s="20">
        <f>J258*Variables!$E$29*Variables!$C$15</f>
        <v>1803165.3940070216</v>
      </c>
      <c r="Z258" s="33">
        <f>D258*(IF(D258&lt;50000,0,IF(D258&gt;Variables!$C$7,Variables!$C$37,IF(D258&gt;Variables!$C$6,Variables!$C$36,IF(D258&gt;Variables!$C$5,Variables!$C$35)))))</f>
        <v>5860.2933908162113</v>
      </c>
      <c r="AA258" s="34">
        <f t="shared" si="44"/>
        <v>5725</v>
      </c>
      <c r="AB258" s="35">
        <f t="shared" si="39"/>
        <v>135</v>
      </c>
      <c r="AC258" s="22">
        <f>AB258*Variables!$E$41</f>
        <v>49896000.000000007</v>
      </c>
      <c r="AD258" s="115">
        <f>ROUND(IF(D258&lt;50000,0,(H258/(3.14*Variables!$C$34^2))),0)</f>
        <v>1009</v>
      </c>
      <c r="AE258" s="116">
        <f t="shared" si="46"/>
        <v>995</v>
      </c>
      <c r="AF258" s="117">
        <f t="shared" si="40"/>
        <v>14</v>
      </c>
      <c r="AG258" s="107">
        <f>AF258*Variables!$E$42*Variables!$C$15</f>
        <v>9485.616</v>
      </c>
      <c r="AH258" s="199">
        <f>ROUND((Z258)/Variables!$C$40,0)</f>
        <v>47</v>
      </c>
      <c r="AI258" s="33">
        <f t="shared" si="47"/>
        <v>46</v>
      </c>
      <c r="AJ258" s="199">
        <f t="shared" si="43"/>
        <v>1</v>
      </c>
      <c r="AK258" s="22">
        <f>AJ258*Variables!$E$43*Variables!$C$15</f>
        <v>552717.39600000007</v>
      </c>
      <c r="AL258" s="20">
        <f>Z258*Variables!$E$38*Variables!$C$15</f>
        <v>1038904085.902481</v>
      </c>
      <c r="AN258" s="200">
        <f t="shared" si="48"/>
        <v>0.42</v>
      </c>
      <c r="AO258" s="201">
        <f t="shared" si="41"/>
        <v>101.23583199600728</v>
      </c>
      <c r="AP258" s="321">
        <f>VLOOKUP(A258,'Household Information'!H:Q,10,FALSE)</f>
        <v>132.525558500568</v>
      </c>
      <c r="AQ258" s="122">
        <f>IF(12*(AO258-Variables!$C$3*AP258*F258)*(G258/5)&lt;0,0,12*(AO258-Variables!$C$3*AP258*F258)*(G258/5))</f>
        <v>149681253.44272405</v>
      </c>
    </row>
    <row r="259" spans="1:43" ht="14.25" customHeight="1" x14ac:dyDescent="0.35">
      <c r="A259" s="30">
        <v>4</v>
      </c>
      <c r="B259" s="28" t="s">
        <v>157</v>
      </c>
      <c r="C259" s="28">
        <v>2025</v>
      </c>
      <c r="D259" s="196">
        <f>Population!J5</f>
        <v>2496089.6909572538</v>
      </c>
      <c r="E259" s="303" t="str">
        <f t="shared" si="42"/>
        <v>Large</v>
      </c>
      <c r="F259" s="340">
        <f>VLOOKUP(A259,'Household Information'!$H$2:$M$49,6,FALSE)</f>
        <v>4.6988894405393395</v>
      </c>
      <c r="G259" s="196">
        <f t="shared" si="37"/>
        <v>531208</v>
      </c>
      <c r="H259" s="213">
        <f>Area!L5</f>
        <v>437.84569218969966</v>
      </c>
      <c r="J259" s="32">
        <f>D259*Variables!$C$20</f>
        <v>2246.4807218615283</v>
      </c>
      <c r="K259" s="202">
        <f t="shared" si="45"/>
        <v>2194.4717415859413</v>
      </c>
      <c r="L259" s="32">
        <f t="shared" si="38"/>
        <v>52.008980275586964</v>
      </c>
      <c r="S259" s="198">
        <f>$L259*Variables!$C$21/100</f>
        <v>2.8240170285386585</v>
      </c>
      <c r="T259" s="198">
        <f>$L259*Variables!$C$22/100</f>
        <v>4.9420297999426523</v>
      </c>
      <c r="U259" s="198">
        <f>$L259*Variables!$C$23/100</f>
        <v>5.1773645523208742</v>
      </c>
      <c r="V259" s="198">
        <f>$L259*Variables!$C$24/100</f>
        <v>37.653560380515451</v>
      </c>
      <c r="W259" s="22">
        <f>S259*Variables!$E$25*Variables!$C$15+'Cost Calculations'!T259*Variables!$E$26*Variables!$C$15+'Cost Calculations'!U259*Variables!$E$27*Variables!$C$15+V259*Variables!$E$28*Variables!$C$15</f>
        <v>34884593.622091055</v>
      </c>
      <c r="X259" s="20">
        <f>J259*Variables!$E$29*Variables!$C$15</f>
        <v>384013.41459500964</v>
      </c>
      <c r="Z259" s="33">
        <f>D259*(IF(D259&lt;50000,0,IF(D259&gt;Variables!$C$7,Variables!$C$37,IF(D259&gt;Variables!$C$6,Variables!$C$36,IF(D259&gt;Variables!$C$5,Variables!$C$35)))))</f>
        <v>1248.0448454786269</v>
      </c>
      <c r="AA259" s="34">
        <f t="shared" si="44"/>
        <v>1219</v>
      </c>
      <c r="AB259" s="35">
        <f t="shared" si="39"/>
        <v>29</v>
      </c>
      <c r="AC259" s="22">
        <f>AB259*Variables!$E$41</f>
        <v>10718400.000000002</v>
      </c>
      <c r="AD259" s="115">
        <f>ROUND(IF(D259&lt;50000,0,(H259/(3.14*Variables!$C$34^2))),0)</f>
        <v>558</v>
      </c>
      <c r="AE259" s="116">
        <f t="shared" si="46"/>
        <v>550</v>
      </c>
      <c r="AF259" s="117">
        <f t="shared" si="40"/>
        <v>8</v>
      </c>
      <c r="AG259" s="107">
        <f>AF259*Variables!$E$42*Variables!$C$15</f>
        <v>5420.3519999999999</v>
      </c>
      <c r="AH259" s="199">
        <f>ROUND((Z259)/Variables!$C$40,0)</f>
        <v>10</v>
      </c>
      <c r="AI259" s="33">
        <f t="shared" si="47"/>
        <v>10</v>
      </c>
      <c r="AJ259" s="199">
        <f t="shared" si="43"/>
        <v>0</v>
      </c>
      <c r="AK259" s="22">
        <f>AJ259*Variables!$E$43*Variables!$C$15</f>
        <v>0</v>
      </c>
      <c r="AL259" s="20">
        <f>Z259*Variables!$E$38*Variables!$C$15</f>
        <v>221251531.77300021</v>
      </c>
      <c r="AN259" s="200">
        <f t="shared" si="48"/>
        <v>0.28000000000000003</v>
      </c>
      <c r="AO259" s="201">
        <f t="shared" si="41"/>
        <v>78.94134260106091</v>
      </c>
      <c r="AP259" s="321">
        <f>VLOOKUP(A259,'Household Information'!H:Q,10,FALSE)</f>
        <v>108.65462509082352</v>
      </c>
      <c r="AQ259" s="122">
        <f>IF(12*(AO259-Variables!$C$3*AP259*F259)*(G259/5)&lt;0,0,12*(AO259-Variables!$C$3*AP259*F259)*(G259/5))</f>
        <v>3006125.6527172518</v>
      </c>
    </row>
    <row r="260" spans="1:43" ht="14.25" customHeight="1" x14ac:dyDescent="0.35">
      <c r="A260" s="30">
        <v>5</v>
      </c>
      <c r="B260" s="28" t="s">
        <v>158</v>
      </c>
      <c r="C260" s="28">
        <v>2025</v>
      </c>
      <c r="D260" s="196">
        <f>Population!J6</f>
        <v>1170718.4765877828</v>
      </c>
      <c r="E260" s="303" t="str">
        <f t="shared" si="42"/>
        <v>Large</v>
      </c>
      <c r="F260" s="340">
        <f>VLOOKUP(A260,'Household Information'!$H$2:$M$49,6,FALSE)</f>
        <v>4.2814892277702192</v>
      </c>
      <c r="G260" s="196">
        <f t="shared" ref="G260:G323" si="49">ROUND(D260/F260,0)</f>
        <v>273437</v>
      </c>
      <c r="H260" s="213">
        <f>Area!L6</f>
        <v>198.35291424701163</v>
      </c>
      <c r="J260" s="32">
        <f>D260*Variables!$C$20</f>
        <v>1053.6466289290045</v>
      </c>
      <c r="K260" s="202">
        <f t="shared" si="45"/>
        <v>2378.3936399999998</v>
      </c>
      <c r="L260" s="32">
        <f t="shared" ref="L260:L323" si="50">IF(J260-K260&lt;0,0,J260-K260)</f>
        <v>0</v>
      </c>
      <c r="S260" s="198">
        <f>$L260*Variables!$C$21/100</f>
        <v>0</v>
      </c>
      <c r="T260" s="198">
        <f>$L260*Variables!$C$22/100</f>
        <v>0</v>
      </c>
      <c r="U260" s="198">
        <f>$L260*Variables!$C$23/100</f>
        <v>0</v>
      </c>
      <c r="V260" s="198">
        <f>$L260*Variables!$C$24/100</f>
        <v>0</v>
      </c>
      <c r="W260" s="22">
        <f>S260*Variables!$E$25*Variables!$C$15+'Cost Calculations'!T260*Variables!$E$26*Variables!$C$15+'Cost Calculations'!U260*Variables!$E$27*Variables!$C$15+V260*Variables!$E$28*Variables!$C$15</f>
        <v>0</v>
      </c>
      <c r="X260" s="20">
        <f>J260*Variables!$E$29*Variables!$C$15</f>
        <v>180110.35474912403</v>
      </c>
      <c r="Z260" s="33">
        <f>D260*(IF(D260&lt;50000,0,IF(D260&gt;Variables!$C$7,Variables!$C$37,IF(D260&gt;Variables!$C$6,Variables!$C$36,IF(D260&gt;Variables!$C$5,Variables!$C$35)))))</f>
        <v>585.35923829389139</v>
      </c>
      <c r="AA260" s="34">
        <f t="shared" si="44"/>
        <v>572</v>
      </c>
      <c r="AB260" s="35">
        <f t="shared" ref="AB260:AB323" si="51">IF(Z260-AA260&lt;0,0, ROUND(Z260-AA260,0))</f>
        <v>13</v>
      </c>
      <c r="AC260" s="22">
        <f>AB260*Variables!$E$41</f>
        <v>4804800.0000000009</v>
      </c>
      <c r="AD260" s="115">
        <f>ROUND(IF(D260&lt;50000,0,(H260/(3.14*Variables!$C$34^2))),0)</f>
        <v>253</v>
      </c>
      <c r="AE260" s="116">
        <f t="shared" si="46"/>
        <v>249</v>
      </c>
      <c r="AF260" s="117">
        <f t="shared" ref="AF260:AF323" si="52">IF(AD260-AE260&lt;0,0,AD260-AE260)</f>
        <v>4</v>
      </c>
      <c r="AG260" s="107">
        <f>AF260*Variables!$E$42*Variables!$C$15</f>
        <v>2710.1759999999999</v>
      </c>
      <c r="AH260" s="199">
        <f>ROUND((Z260)/Variables!$C$40,0)</f>
        <v>5</v>
      </c>
      <c r="AI260" s="33">
        <f t="shared" si="47"/>
        <v>5</v>
      </c>
      <c r="AJ260" s="199">
        <f t="shared" si="43"/>
        <v>0</v>
      </c>
      <c r="AK260" s="22">
        <f>AJ260*Variables!$E$43*Variables!$C$15</f>
        <v>0</v>
      </c>
      <c r="AL260" s="20">
        <f>Z260*Variables!$E$38*Variables!$C$15</f>
        <v>103771614.12043028</v>
      </c>
      <c r="AN260" s="200">
        <f t="shared" si="48"/>
        <v>0.28000000000000003</v>
      </c>
      <c r="AO260" s="201">
        <f t="shared" ref="AO260:AO323" si="53">AN260*2*30*F260</f>
        <v>71.929019026539692</v>
      </c>
      <c r="AP260" s="321">
        <f>VLOOKUP(A260,'Household Information'!H:Q,10,FALSE)</f>
        <v>70.680297866969596</v>
      </c>
      <c r="AQ260" s="122">
        <f>IF(12*(AO260-Variables!$C$3*AP260*F260)*(G260/5)&lt;0,0,12*(AO260-Variables!$C$3*AP260*F260)*(G260/5))</f>
        <v>17414532.458360225</v>
      </c>
    </row>
    <row r="261" spans="1:43" ht="14.25" customHeight="1" x14ac:dyDescent="0.35">
      <c r="A261" s="30">
        <v>6</v>
      </c>
      <c r="B261" s="28" t="s">
        <v>159</v>
      </c>
      <c r="C261" s="28">
        <v>2025</v>
      </c>
      <c r="D261" s="196">
        <f>Population!J7</f>
        <v>1334769.9765314956</v>
      </c>
      <c r="E261" s="303" t="str">
        <f t="shared" ref="E261:E324" si="54">IF(D261&lt;100000,"Small",IF(D261&lt;1000000,"Medium","Large"))</f>
        <v>Large</v>
      </c>
      <c r="F261" s="340">
        <f>VLOOKUP(A261,'Household Information'!$H$2:$M$49,6,FALSE)</f>
        <v>4.4091899104485828</v>
      </c>
      <c r="G261" s="196">
        <f t="shared" si="49"/>
        <v>302725</v>
      </c>
      <c r="H261" s="213">
        <f>Area!L7</f>
        <v>170.85911903134047</v>
      </c>
      <c r="J261" s="32">
        <f>D261*Variables!$C$20</f>
        <v>1201.292978878346</v>
      </c>
      <c r="K261" s="202">
        <f t="shared" si="45"/>
        <v>1173.4814680847373</v>
      </c>
      <c r="L261" s="32">
        <f t="shared" si="50"/>
        <v>27.811510793608704</v>
      </c>
      <c r="S261" s="198">
        <f>$L261*Variables!$C$21/100</f>
        <v>1.5101272829108796</v>
      </c>
      <c r="T261" s="198">
        <f>$L261*Variables!$C$22/100</f>
        <v>2.6427227450940398</v>
      </c>
      <c r="U261" s="198">
        <f>$L261*Variables!$C$23/100</f>
        <v>2.7685666853366131</v>
      </c>
      <c r="V261" s="198">
        <f>$L261*Variables!$C$24/100</f>
        <v>20.135030438811732</v>
      </c>
      <c r="W261" s="22">
        <f>S261*Variables!$E$25*Variables!$C$15+'Cost Calculations'!T261*Variables!$E$26*Variables!$C$15+'Cost Calculations'!U261*Variables!$E$27*Variables!$C$15+V261*Variables!$E$28*Variables!$C$15</f>
        <v>18654340.979395203</v>
      </c>
      <c r="X261" s="20">
        <f>J261*Variables!$E$29*Variables!$C$15</f>
        <v>205349.0218094645</v>
      </c>
      <c r="Z261" s="33">
        <f>D261*(IF(D261&lt;50000,0,IF(D261&gt;Variables!$C$7,Variables!$C$37,IF(D261&gt;Variables!$C$6,Variables!$C$36,IF(D261&gt;Variables!$C$5,Variables!$C$35)))))</f>
        <v>667.38498826574778</v>
      </c>
      <c r="AA261" s="34">
        <f t="shared" si="44"/>
        <v>652</v>
      </c>
      <c r="AB261" s="35">
        <f t="shared" si="51"/>
        <v>15</v>
      </c>
      <c r="AC261" s="22">
        <f>AB261*Variables!$E$41</f>
        <v>5544000.0000000009</v>
      </c>
      <c r="AD261" s="115">
        <f>ROUND(IF(D261&lt;50000,0,(H261/(3.14*Variables!$C$34^2))),0)</f>
        <v>218</v>
      </c>
      <c r="AE261" s="116">
        <f t="shared" si="46"/>
        <v>215</v>
      </c>
      <c r="AF261" s="117">
        <f t="shared" si="52"/>
        <v>3</v>
      </c>
      <c r="AG261" s="107">
        <f>AF261*Variables!$E$42*Variables!$C$15</f>
        <v>2032.6320000000001</v>
      </c>
      <c r="AH261" s="199">
        <f>ROUND((Z261)/Variables!$C$40,0)</f>
        <v>5</v>
      </c>
      <c r="AI261" s="33">
        <f t="shared" si="47"/>
        <v>5</v>
      </c>
      <c r="AJ261" s="199">
        <f t="shared" ref="AJ261:AJ324" si="55">IF(AH261-AI261&lt;0,0,AH261-AI261)</f>
        <v>0</v>
      </c>
      <c r="AK261" s="22">
        <f>AJ261*Variables!$E$43*Variables!$C$15</f>
        <v>0</v>
      </c>
      <c r="AL261" s="20">
        <f>Z261*Variables!$E$38*Variables!$C$15</f>
        <v>118313016.93287686</v>
      </c>
      <c r="AN261" s="200">
        <f t="shared" si="48"/>
        <v>0.28000000000000003</v>
      </c>
      <c r="AO261" s="201">
        <f t="shared" si="53"/>
        <v>74.074390495536193</v>
      </c>
      <c r="AP261" s="321">
        <f>VLOOKUP(A261,'Household Information'!H:Q,10,FALSE)</f>
        <v>228.82746434431402</v>
      </c>
      <c r="AQ261" s="122">
        <f>IF(12*(AO261-Variables!$C$3*AP261*F261)*(G261/5)&lt;0,0,12*(AO261-Variables!$C$3*AP261*F261)*(G261/5))</f>
        <v>0</v>
      </c>
    </row>
    <row r="262" spans="1:43" ht="14.25" customHeight="1" x14ac:dyDescent="0.35">
      <c r="A262" s="30">
        <v>7</v>
      </c>
      <c r="B262" s="28" t="s">
        <v>160</v>
      </c>
      <c r="C262" s="28">
        <v>2025</v>
      </c>
      <c r="D262" s="196">
        <f>Population!J8</f>
        <v>6450085.4967757976</v>
      </c>
      <c r="E262" s="303" t="str">
        <f t="shared" si="54"/>
        <v>Large</v>
      </c>
      <c r="F262" s="340">
        <f>VLOOKUP(A262,'Household Information'!$H$2:$M$49,6,FALSE)</f>
        <v>4.0232072880789485</v>
      </c>
      <c r="G262" s="196">
        <f t="shared" si="49"/>
        <v>1603220</v>
      </c>
      <c r="H262" s="213">
        <f>Area!L8</f>
        <v>1157.793306864038</v>
      </c>
      <c r="J262" s="32">
        <f>D262*Variables!$C$20</f>
        <v>5805.0769470982177</v>
      </c>
      <c r="K262" s="202">
        <f t="shared" si="45"/>
        <v>5670.6817887058878</v>
      </c>
      <c r="L262" s="32">
        <f t="shared" si="50"/>
        <v>134.3951583923299</v>
      </c>
      <c r="S262" s="198">
        <f>$L262*Variables!$C$21/100</f>
        <v>7.2974746638369172</v>
      </c>
      <c r="T262" s="198">
        <f>$L262*Variables!$C$22/100</f>
        <v>12.770580661714607</v>
      </c>
      <c r="U262" s="198">
        <f>$L262*Variables!$C$23/100</f>
        <v>13.378703550367684</v>
      </c>
      <c r="V262" s="198">
        <f>$L262*Variables!$C$24/100</f>
        <v>97.299662184492249</v>
      </c>
      <c r="W262" s="22">
        <f>S262*Variables!$E$25*Variables!$C$15+'Cost Calculations'!T262*Variables!$E$26*Variables!$C$15+'Cost Calculations'!U262*Variables!$E$27*Variables!$C$15+V262*Variables!$E$28*Variables!$C$15</f>
        <v>90144441.603168458</v>
      </c>
      <c r="X262" s="20">
        <f>J262*Variables!$E$29*Variables!$C$15</f>
        <v>992319.85333696939</v>
      </c>
      <c r="Z262" s="33">
        <f>D262*(IF(D262&lt;50000,0,IF(D262&gt;Variables!$C$7,Variables!$C$37,IF(D262&gt;Variables!$C$6,Variables!$C$36,IF(D262&gt;Variables!$C$5,Variables!$C$35)))))</f>
        <v>3225.0427483878989</v>
      </c>
      <c r="AA262" s="34">
        <f t="shared" si="44"/>
        <v>4599</v>
      </c>
      <c r="AB262" s="35">
        <f t="shared" si="51"/>
        <v>0</v>
      </c>
      <c r="AC262" s="22">
        <f>AB262*Variables!$E$41</f>
        <v>0</v>
      </c>
      <c r="AD262" s="115">
        <f>ROUND(IF(D262&lt;50000,0,(H262/(3.14*Variables!$C$34^2))),0)</f>
        <v>1475</v>
      </c>
      <c r="AE262" s="116">
        <f t="shared" si="46"/>
        <v>1454</v>
      </c>
      <c r="AF262" s="117">
        <f t="shared" si="52"/>
        <v>21</v>
      </c>
      <c r="AG262" s="107">
        <f>AF262*Variables!$E$42*Variables!$C$15</f>
        <v>14228.424000000001</v>
      </c>
      <c r="AH262" s="199">
        <f>ROUND((Z262)/Variables!$C$40,0)</f>
        <v>26</v>
      </c>
      <c r="AI262" s="33">
        <f t="shared" si="47"/>
        <v>25</v>
      </c>
      <c r="AJ262" s="199">
        <f t="shared" si="55"/>
        <v>1</v>
      </c>
      <c r="AK262" s="22">
        <f>AJ262*Variables!$E$43*Variables!$C$15</f>
        <v>552717.39600000007</v>
      </c>
      <c r="AL262" s="20">
        <f>Z262*Variables!$E$38*Variables!$C$15</f>
        <v>571730776.1009047</v>
      </c>
      <c r="AN262" s="200">
        <f t="shared" si="48"/>
        <v>0.28000000000000003</v>
      </c>
      <c r="AO262" s="201">
        <f t="shared" si="53"/>
        <v>67.589882439726338</v>
      </c>
      <c r="AP262" s="321">
        <f>VLOOKUP(A262,'Household Information'!H:Q,10,FALSE)</f>
        <v>141.36059573393919</v>
      </c>
      <c r="AQ262" s="122">
        <f>IF(12*(AO262-Variables!$C$3*AP262*F262)*(G262/5)&lt;0,0,12*(AO262-Variables!$C$3*AP262*F262)*(G262/5))</f>
        <v>0</v>
      </c>
    </row>
    <row r="263" spans="1:43" ht="14.25" customHeight="1" x14ac:dyDescent="0.35">
      <c r="A263" s="30">
        <v>8</v>
      </c>
      <c r="B263" s="28" t="s">
        <v>161</v>
      </c>
      <c r="C263" s="28">
        <v>2025</v>
      </c>
      <c r="D263" s="196">
        <f>Population!J9</f>
        <v>61467.432588801312</v>
      </c>
      <c r="E263" s="303" t="str">
        <f t="shared" si="54"/>
        <v>Small</v>
      </c>
      <c r="F263" s="340">
        <f>VLOOKUP(A263,'Household Information'!$H$2:$M$49,6,FALSE)</f>
        <v>4.332028957151242</v>
      </c>
      <c r="G263" s="196">
        <f t="shared" si="49"/>
        <v>14189</v>
      </c>
      <c r="H263" s="213">
        <f>Area!L9</f>
        <v>163.09017393643171</v>
      </c>
      <c r="J263" s="32">
        <f>D263*Variables!$C$20</f>
        <v>55.32068932992118</v>
      </c>
      <c r="K263" s="202">
        <f t="shared" si="45"/>
        <v>54.039942688210573</v>
      </c>
      <c r="L263" s="32">
        <f t="shared" si="50"/>
        <v>1.280746641710607</v>
      </c>
      <c r="S263" s="198">
        <f>$L263*Variables!$C$21/100</f>
        <v>6.9542804074784081E-2</v>
      </c>
      <c r="T263" s="198">
        <f>$L263*Variables!$C$22/100</f>
        <v>0.12169990713087216</v>
      </c>
      <c r="U263" s="198">
        <f>$L263*Variables!$C$23/100</f>
        <v>0.12749514080377083</v>
      </c>
      <c r="V263" s="198">
        <f>$L263*Variables!$C$24/100</f>
        <v>0.92723738766378783</v>
      </c>
      <c r="W263" s="22">
        <f>S263*Variables!$E$25*Variables!$C$15+'Cost Calculations'!T263*Variables!$E$26*Variables!$C$15+'Cost Calculations'!U263*Variables!$E$27*Variables!$C$15+V263*Variables!$E$28*Variables!$C$15</f>
        <v>859050.22348427773</v>
      </c>
      <c r="X263" s="20">
        <f>J263*Variables!$E$29*Variables!$C$15</f>
        <v>9456.518634056727</v>
      </c>
      <c r="Z263" s="33">
        <f>D263*(IF(D263&lt;50000,0,IF(D263&gt;Variables!$C$7,Variables!$C$37,IF(D263&gt;Variables!$C$6,Variables!$C$36,IF(D263&gt;Variables!$C$5,Variables!$C$35)))))</f>
        <v>30.733716294400658</v>
      </c>
      <c r="AA263" s="34">
        <f t="shared" si="44"/>
        <v>30</v>
      </c>
      <c r="AB263" s="35">
        <f t="shared" si="51"/>
        <v>1</v>
      </c>
      <c r="AC263" s="22">
        <f>AB263*Variables!$E$41</f>
        <v>369600.00000000006</v>
      </c>
      <c r="AD263" s="115">
        <f>ROUND(IF(D263&lt;50000,0,(H263/(3.14*Variables!$C$34^2))),0)</f>
        <v>208</v>
      </c>
      <c r="AE263" s="116">
        <f t="shared" si="46"/>
        <v>205</v>
      </c>
      <c r="AF263" s="117">
        <f t="shared" si="52"/>
        <v>3</v>
      </c>
      <c r="AG263" s="107">
        <f>AF263*Variables!$E$42*Variables!$C$15</f>
        <v>2032.6320000000001</v>
      </c>
      <c r="AH263" s="199">
        <f>ROUND((Z263)/Variables!$C$40,0)</f>
        <v>0</v>
      </c>
      <c r="AI263" s="33">
        <f t="shared" si="47"/>
        <v>0</v>
      </c>
      <c r="AJ263" s="199">
        <f t="shared" si="55"/>
        <v>0</v>
      </c>
      <c r="AK263" s="22">
        <f>AJ263*Variables!$E$43*Variables!$C$15</f>
        <v>0</v>
      </c>
      <c r="AL263" s="20">
        <f>Z263*Variables!$E$38*Variables!$C$15</f>
        <v>5448427.459836347</v>
      </c>
      <c r="AN263" s="200">
        <f t="shared" si="48"/>
        <v>0.25221875000000005</v>
      </c>
      <c r="AO263" s="201">
        <f t="shared" si="53"/>
        <v>65.557135712189407</v>
      </c>
      <c r="AP263" s="321">
        <f>VLOOKUP(A263,'Household Information'!H:Q,10,FALSE)</f>
        <v>39.775337624637132</v>
      </c>
      <c r="AQ263" s="122">
        <f>IF(12*(AO263-Variables!$C$3*AP263*F263)*(G263/5)&lt;0,0,12*(AO263-Variables!$C$3*AP263*F263)*(G263/5))</f>
        <v>1352300.7577680591</v>
      </c>
    </row>
    <row r="264" spans="1:43" ht="14.25" customHeight="1" x14ac:dyDescent="0.35">
      <c r="A264" s="30">
        <v>9</v>
      </c>
      <c r="B264" s="28" t="s">
        <v>162</v>
      </c>
      <c r="C264" s="28">
        <v>2025</v>
      </c>
      <c r="D264" s="196">
        <f>Population!J10</f>
        <v>790625.927443753</v>
      </c>
      <c r="E264" s="303" t="str">
        <f t="shared" si="54"/>
        <v>Medium</v>
      </c>
      <c r="F264" s="340">
        <f>VLOOKUP(A264,'Household Information'!$H$2:$M$49,6,FALSE)</f>
        <v>4.5911864516077028</v>
      </c>
      <c r="G264" s="196">
        <f t="shared" si="49"/>
        <v>172205</v>
      </c>
      <c r="H264" s="213">
        <f>Area!L10</f>
        <v>440.78425388224798</v>
      </c>
      <c r="J264" s="32">
        <f>D264*Variables!$C$20</f>
        <v>711.56333469937772</v>
      </c>
      <c r="K264" s="202">
        <f t="shared" si="45"/>
        <v>695.08970860542888</v>
      </c>
      <c r="L264" s="32">
        <f t="shared" si="50"/>
        <v>16.473626093948837</v>
      </c>
      <c r="S264" s="198">
        <f>$L264*Variables!$C$21/100</f>
        <v>0.89449553451305885</v>
      </c>
      <c r="T264" s="198">
        <f>$L264*Variables!$C$22/100</f>
        <v>1.5653671853978535</v>
      </c>
      <c r="U264" s="198">
        <f>$L264*Variables!$C$23/100</f>
        <v>1.6399084799406083</v>
      </c>
      <c r="V264" s="198">
        <f>$L264*Variables!$C$24/100</f>
        <v>11.926607126840787</v>
      </c>
      <c r="W264" s="22">
        <f>S264*Variables!$E$25*Variables!$C$15+'Cost Calculations'!T264*Variables!$E$26*Variables!$C$15+'Cost Calculations'!U264*Variables!$E$27*Variables!$C$15+V264*Variables!$E$28*Variables!$C$15</f>
        <v>11049548.534206377</v>
      </c>
      <c r="X264" s="20">
        <f>J264*Variables!$E$29*Variables!$C$15</f>
        <v>121634.63643351162</v>
      </c>
      <c r="Z264" s="33">
        <f>D264*(IF(D264&lt;50000,0,IF(D264&gt;Variables!$C$7,Variables!$C$37,IF(D264&gt;Variables!$C$6,Variables!$C$36,IF(D264&gt;Variables!$C$5,Variables!$C$35)))))</f>
        <v>395.31296372187649</v>
      </c>
      <c r="AA264" s="34">
        <f t="shared" si="44"/>
        <v>430</v>
      </c>
      <c r="AB264" s="35">
        <f t="shared" si="51"/>
        <v>0</v>
      </c>
      <c r="AC264" s="22">
        <f>AB264*Variables!$E$41</f>
        <v>0</v>
      </c>
      <c r="AD264" s="115">
        <f>ROUND(IF(D264&lt;50000,0,(H264/(3.14*Variables!$C$34^2))),0)</f>
        <v>562</v>
      </c>
      <c r="AE264" s="116">
        <f t="shared" si="46"/>
        <v>554</v>
      </c>
      <c r="AF264" s="117">
        <f t="shared" si="52"/>
        <v>8</v>
      </c>
      <c r="AG264" s="107">
        <f>AF264*Variables!$E$42*Variables!$C$15</f>
        <v>5420.3519999999999</v>
      </c>
      <c r="AH264" s="199">
        <f>ROUND((Z264)/Variables!$C$40,0)</f>
        <v>3</v>
      </c>
      <c r="AI264" s="33">
        <f t="shared" si="47"/>
        <v>3</v>
      </c>
      <c r="AJ264" s="199">
        <f t="shared" si="55"/>
        <v>0</v>
      </c>
      <c r="AK264" s="22">
        <f>AJ264*Variables!$E$43*Variables!$C$15</f>
        <v>0</v>
      </c>
      <c r="AL264" s="20">
        <f>Z264*Variables!$E$38*Variables!$C$15</f>
        <v>70080493.557623103</v>
      </c>
      <c r="AN264" s="200">
        <f t="shared" si="48"/>
        <v>0.19600000000000001</v>
      </c>
      <c r="AO264" s="201">
        <f t="shared" si="53"/>
        <v>53.992352670906584</v>
      </c>
      <c r="AP264" s="321">
        <f>VLOOKUP(A264,'Household Information'!H:Q,10,FALSE)</f>
        <v>137.82658084059071</v>
      </c>
      <c r="AQ264" s="122">
        <f>IF(12*(AO264-Variables!$C$3*AP264*F264)*(G264/5)&lt;0,0,12*(AO264-Variables!$C$3*AP264*F264)*(G264/5))</f>
        <v>0</v>
      </c>
    </row>
    <row r="265" spans="1:43" ht="14.25" customHeight="1" x14ac:dyDescent="0.35">
      <c r="A265" s="30">
        <v>10</v>
      </c>
      <c r="B265" s="28" t="s">
        <v>163</v>
      </c>
      <c r="C265" s="28">
        <v>2025</v>
      </c>
      <c r="D265" s="196">
        <f>Population!J11</f>
        <v>733693.38718744833</v>
      </c>
      <c r="E265" s="303" t="str">
        <f t="shared" si="54"/>
        <v>Medium</v>
      </c>
      <c r="F265" s="340">
        <f>VLOOKUP(A265,'Household Information'!$H$2:$M$49,6,FALSE)</f>
        <v>4.0714439771379274</v>
      </c>
      <c r="G265" s="196">
        <f t="shared" si="49"/>
        <v>180205</v>
      </c>
      <c r="H265" s="213">
        <f>Area!L11</f>
        <v>130.59295722140669</v>
      </c>
      <c r="J265" s="32">
        <f>D265*Variables!$C$20</f>
        <v>660.3240484687035</v>
      </c>
      <c r="K265" s="202">
        <f t="shared" si="45"/>
        <v>718.84568000000002</v>
      </c>
      <c r="L265" s="32">
        <f t="shared" si="50"/>
        <v>0</v>
      </c>
      <c r="S265" s="198">
        <f>$L265*Variables!$C$21/100</f>
        <v>0</v>
      </c>
      <c r="T265" s="198">
        <f>$L265*Variables!$C$22/100</f>
        <v>0</v>
      </c>
      <c r="U265" s="198">
        <f>$L265*Variables!$C$23/100</f>
        <v>0</v>
      </c>
      <c r="V265" s="198">
        <f>$L265*Variables!$C$24/100</f>
        <v>0</v>
      </c>
      <c r="W265" s="22">
        <f>S265*Variables!$E$25*Variables!$C$15+'Cost Calculations'!T265*Variables!$E$26*Variables!$C$15+'Cost Calculations'!U265*Variables!$E$27*Variables!$C$15+V265*Variables!$E$28*Variables!$C$15</f>
        <v>0</v>
      </c>
      <c r="X265" s="20">
        <f>J265*Variables!$E$29*Variables!$C$15</f>
        <v>112875.79284524018</v>
      </c>
      <c r="Z265" s="33">
        <f>D265*(IF(D265&lt;50000,0,IF(D265&gt;Variables!$C$7,Variables!$C$37,IF(D265&gt;Variables!$C$6,Variables!$C$36,IF(D265&gt;Variables!$C$5,Variables!$C$35)))))</f>
        <v>366.84669359372418</v>
      </c>
      <c r="AA265" s="34">
        <f t="shared" si="44"/>
        <v>358</v>
      </c>
      <c r="AB265" s="35">
        <f t="shared" si="51"/>
        <v>9</v>
      </c>
      <c r="AC265" s="22">
        <f>AB265*Variables!$E$41</f>
        <v>3326400.0000000005</v>
      </c>
      <c r="AD265" s="115">
        <f>ROUND(IF(D265&lt;50000,0,(H265/(3.14*Variables!$C$34^2))),0)</f>
        <v>166</v>
      </c>
      <c r="AE265" s="116">
        <f t="shared" si="46"/>
        <v>164</v>
      </c>
      <c r="AF265" s="117">
        <f t="shared" si="52"/>
        <v>2</v>
      </c>
      <c r="AG265" s="107">
        <f>AF265*Variables!$E$42*Variables!$C$15</f>
        <v>1355.088</v>
      </c>
      <c r="AH265" s="199">
        <f>ROUND((Z265)/Variables!$C$40,0)</f>
        <v>3</v>
      </c>
      <c r="AI265" s="33">
        <f t="shared" si="47"/>
        <v>3</v>
      </c>
      <c r="AJ265" s="199">
        <f t="shared" si="55"/>
        <v>0</v>
      </c>
      <c r="AK265" s="22">
        <f>AJ265*Variables!$E$43*Variables!$C$15</f>
        <v>0</v>
      </c>
      <c r="AL265" s="20">
        <f>Z265*Variables!$E$38*Variables!$C$15</f>
        <v>65034035.577739917</v>
      </c>
      <c r="AN265" s="200">
        <f t="shared" si="48"/>
        <v>0.25221875000000005</v>
      </c>
      <c r="AO265" s="201">
        <f t="shared" si="53"/>
        <v>61.613670636525413</v>
      </c>
      <c r="AP265" s="321">
        <f>VLOOKUP(A265,'Household Information'!H:Q,10,FALSE)</f>
        <v>39.775337624637132</v>
      </c>
      <c r="AQ265" s="122">
        <f>IF(12*(AO265-Variables!$C$3*AP265*F265)*(G265/5)&lt;0,0,12*(AO265-Variables!$C$3*AP265*F265)*(G265/5))</f>
        <v>16141558.032274358</v>
      </c>
    </row>
    <row r="266" spans="1:43" ht="14.25" customHeight="1" x14ac:dyDescent="0.35">
      <c r="A266" s="30">
        <v>11</v>
      </c>
      <c r="B266" s="28" t="s">
        <v>164</v>
      </c>
      <c r="C266" s="28">
        <v>2025</v>
      </c>
      <c r="D266" s="196">
        <f>Population!J12</f>
        <v>286178.49633113679</v>
      </c>
      <c r="E266" s="303" t="str">
        <f t="shared" si="54"/>
        <v>Medium</v>
      </c>
      <c r="F266" s="340">
        <f>VLOOKUP(A266,'Household Information'!$H$2:$M$49,6,FALSE)</f>
        <v>4.5669760538732476</v>
      </c>
      <c r="G266" s="196">
        <f t="shared" si="49"/>
        <v>62663</v>
      </c>
      <c r="H266" s="213">
        <f>Area!L12</f>
        <v>167.49801647525422</v>
      </c>
      <c r="J266" s="32">
        <f>D266*Variables!$C$20</f>
        <v>257.56064669802311</v>
      </c>
      <c r="K266" s="202">
        <f t="shared" si="45"/>
        <v>251.59777932795063</v>
      </c>
      <c r="L266" s="32">
        <f t="shared" si="50"/>
        <v>5.9628673700724732</v>
      </c>
      <c r="S266" s="198">
        <f>$L266*Variables!$C$21/100</f>
        <v>0.32377560380484011</v>
      </c>
      <c r="T266" s="198">
        <f>$L266*Variables!$C$22/100</f>
        <v>0.56660730665847037</v>
      </c>
      <c r="U266" s="198">
        <f>$L266*Variables!$C$23/100</f>
        <v>0.59358860697554039</v>
      </c>
      <c r="V266" s="198">
        <f>$L266*Variables!$C$24/100</f>
        <v>4.3170080507312028</v>
      </c>
      <c r="W266" s="22">
        <f>S266*Variables!$E$25*Variables!$C$15+'Cost Calculations'!T266*Variables!$E$26*Variables!$C$15+'Cost Calculations'!U266*Variables!$E$27*Variables!$C$15+V266*Variables!$E$28*Variables!$C$15</f>
        <v>3999544.0003857575</v>
      </c>
      <c r="X266" s="20">
        <f>J266*Variables!$E$29*Variables!$C$15</f>
        <v>44027.416946560072</v>
      </c>
      <c r="Z266" s="33">
        <f>D266*(IF(D266&lt;50000,0,IF(D266&gt;Variables!$C$7,Variables!$C$37,IF(D266&gt;Variables!$C$6,Variables!$C$36,IF(D266&gt;Variables!$C$5,Variables!$C$35)))))</f>
        <v>143.08924816556839</v>
      </c>
      <c r="AA266" s="34">
        <f t="shared" si="44"/>
        <v>140</v>
      </c>
      <c r="AB266" s="35">
        <f t="shared" si="51"/>
        <v>3</v>
      </c>
      <c r="AC266" s="22">
        <f>AB266*Variables!$E$41</f>
        <v>1108800.0000000002</v>
      </c>
      <c r="AD266" s="115">
        <f>ROUND(IF(D266&lt;50000,0,(H266/(3.14*Variables!$C$34^2))),0)</f>
        <v>213</v>
      </c>
      <c r="AE266" s="116">
        <f t="shared" si="46"/>
        <v>210</v>
      </c>
      <c r="AF266" s="117">
        <f t="shared" si="52"/>
        <v>3</v>
      </c>
      <c r="AG266" s="107">
        <f>AF266*Variables!$E$42*Variables!$C$15</f>
        <v>2032.6320000000001</v>
      </c>
      <c r="AH266" s="199">
        <f>ROUND((Z266)/Variables!$C$40,0)</f>
        <v>1</v>
      </c>
      <c r="AI266" s="33">
        <f t="shared" si="47"/>
        <v>1</v>
      </c>
      <c r="AJ266" s="199">
        <f t="shared" si="55"/>
        <v>0</v>
      </c>
      <c r="AK266" s="22">
        <f>AJ266*Variables!$E$43*Variables!$C$15</f>
        <v>0</v>
      </c>
      <c r="AL266" s="20">
        <f>Z266*Variables!$E$38*Variables!$C$15</f>
        <v>25366648.84404679</v>
      </c>
      <c r="AN266" s="200">
        <f t="shared" si="48"/>
        <v>0.315</v>
      </c>
      <c r="AO266" s="201">
        <f t="shared" si="53"/>
        <v>86.31584741820437</v>
      </c>
      <c r="AP266" s="321">
        <f>VLOOKUP(A266,'Household Information'!H:Q,10,FALSE)</f>
        <v>93.297993184399843</v>
      </c>
      <c r="AQ266" s="122">
        <f>IF(12*(AO266-Variables!$C$3*AP266*F266)*(G266/5)&lt;0,0,12*(AO266-Variables!$C$3*AP266*F266)*(G266/5))</f>
        <v>3369122.6617801599</v>
      </c>
    </row>
    <row r="267" spans="1:43" ht="14.25" customHeight="1" x14ac:dyDescent="0.35">
      <c r="A267" s="30">
        <v>12</v>
      </c>
      <c r="B267" s="28" t="s">
        <v>165</v>
      </c>
      <c r="C267" s="28">
        <v>2025</v>
      </c>
      <c r="D267" s="196">
        <f>Population!J13</f>
        <v>139206.06441896319</v>
      </c>
      <c r="E267" s="303" t="str">
        <f t="shared" si="54"/>
        <v>Medium</v>
      </c>
      <c r="F267" s="340">
        <f>VLOOKUP(A267,'Household Information'!$H$2:$M$49,6,FALSE)</f>
        <v>4.2184831531569431</v>
      </c>
      <c r="G267" s="196">
        <f t="shared" si="49"/>
        <v>32999</v>
      </c>
      <c r="H267" s="213">
        <f>Area!L13</f>
        <v>27.916336079209039</v>
      </c>
      <c r="J267" s="32">
        <f>D267*Variables!$C$20</f>
        <v>125.28545797706687</v>
      </c>
      <c r="K267" s="202">
        <f t="shared" si="45"/>
        <v>122.38493501716015</v>
      </c>
      <c r="L267" s="32">
        <f t="shared" si="50"/>
        <v>2.9005229599067235</v>
      </c>
      <c r="S267" s="198">
        <f>$L267*Variables!$C$21/100</f>
        <v>0.15749445936145101</v>
      </c>
      <c r="T267" s="198">
        <f>$L267*Variables!$C$22/100</f>
        <v>0.27561530388253935</v>
      </c>
      <c r="U267" s="198">
        <f>$L267*Variables!$C$23/100</f>
        <v>0.2887398421626603</v>
      </c>
      <c r="V267" s="198">
        <f>$L267*Variables!$C$24/100</f>
        <v>2.0999261248193473</v>
      </c>
      <c r="W267" s="22">
        <f>S267*Variables!$E$25*Variables!$C$15+'Cost Calculations'!T267*Variables!$E$26*Variables!$C$15+'Cost Calculations'!U267*Variables!$E$27*Variables!$C$15+V267*Variables!$E$28*Variables!$C$15</f>
        <v>1945501.8001071317</v>
      </c>
      <c r="X267" s="20">
        <f>J267*Variables!$E$29*Variables!$C$15</f>
        <v>21416.296186599811</v>
      </c>
      <c r="Z267" s="33">
        <f>D267*(IF(D267&lt;50000,0,IF(D267&gt;Variables!$C$7,Variables!$C$37,IF(D267&gt;Variables!$C$6,Variables!$C$36,IF(D267&gt;Variables!$C$5,Variables!$C$35)))))</f>
        <v>69.603032209481597</v>
      </c>
      <c r="AA267" s="34">
        <f t="shared" si="44"/>
        <v>68</v>
      </c>
      <c r="AB267" s="35">
        <f t="shared" si="51"/>
        <v>2</v>
      </c>
      <c r="AC267" s="22">
        <f>AB267*Variables!$E$41</f>
        <v>739200.00000000012</v>
      </c>
      <c r="AD267" s="115">
        <f>ROUND(IF(D267&lt;50000,0,(H267/(3.14*Variables!$C$34^2))),0)</f>
        <v>36</v>
      </c>
      <c r="AE267" s="116">
        <f t="shared" si="46"/>
        <v>35</v>
      </c>
      <c r="AF267" s="117">
        <f t="shared" si="52"/>
        <v>1</v>
      </c>
      <c r="AG267" s="107">
        <f>AF267*Variables!$E$42*Variables!$C$15</f>
        <v>677.54399999999998</v>
      </c>
      <c r="AH267" s="199">
        <f>ROUND((Z267)/Variables!$C$40,0)</f>
        <v>1</v>
      </c>
      <c r="AI267" s="33">
        <f t="shared" si="47"/>
        <v>1</v>
      </c>
      <c r="AJ267" s="199">
        <f t="shared" si="55"/>
        <v>0</v>
      </c>
      <c r="AK267" s="22">
        <f>AJ267*Variables!$E$43*Variables!$C$15</f>
        <v>0</v>
      </c>
      <c r="AL267" s="20">
        <f>Z267*Variables!$E$38*Variables!$C$15</f>
        <v>12339121.9059019</v>
      </c>
      <c r="AN267" s="200">
        <f t="shared" si="48"/>
        <v>0.28000000000000003</v>
      </c>
      <c r="AO267" s="201">
        <f t="shared" si="53"/>
        <v>70.870516973036644</v>
      </c>
      <c r="AP267" s="321">
        <f>VLOOKUP(A267,'Household Information'!H:Q,10,FALSE)</f>
        <v>108.65462509082352</v>
      </c>
      <c r="AQ267" s="122">
        <f>IF(12*(AO267-Variables!$C$3*AP267*F267)*(G267/5)&lt;0,0,12*(AO267-Variables!$C$3*AP267*F267)*(G267/5))</f>
        <v>167650.32295404605</v>
      </c>
    </row>
    <row r="268" spans="1:43" ht="14.25" customHeight="1" x14ac:dyDescent="0.35">
      <c r="A268" s="30">
        <v>13</v>
      </c>
      <c r="B268" s="28" t="s">
        <v>166</v>
      </c>
      <c r="C268" s="28">
        <v>2025</v>
      </c>
      <c r="D268" s="196">
        <f>Population!J14</f>
        <v>9344335.1254904196</v>
      </c>
      <c r="E268" s="303" t="str">
        <f t="shared" si="54"/>
        <v>Large</v>
      </c>
      <c r="F268" s="340">
        <f>VLOOKUP(A268,'Household Information'!$H$2:$M$49,6,FALSE)</f>
        <v>4.33</v>
      </c>
      <c r="G268" s="196">
        <f t="shared" si="49"/>
        <v>2158045</v>
      </c>
      <c r="H268" s="213">
        <f>Area!L14</f>
        <v>902.4065908320656</v>
      </c>
      <c r="J268" s="32">
        <f>D268*Variables!$C$20</f>
        <v>8409.9016129413776</v>
      </c>
      <c r="K268" s="202">
        <f t="shared" si="45"/>
        <v>8215.2013411559783</v>
      </c>
      <c r="L268" s="32">
        <f t="shared" si="50"/>
        <v>194.70027178539931</v>
      </c>
      <c r="S268" s="198">
        <f>$L268*Variables!$C$21/100</f>
        <v>10.571960458935708</v>
      </c>
      <c r="T268" s="198">
        <f>$L268*Variables!$C$22/100</f>
        <v>18.500930803137493</v>
      </c>
      <c r="U268" s="198">
        <f>$L268*Variables!$C$23/100</f>
        <v>19.3819275080488</v>
      </c>
      <c r="V268" s="198">
        <f>$L268*Variables!$C$24/100</f>
        <v>140.95947278580945</v>
      </c>
      <c r="W268" s="22">
        <f>S268*Variables!$E$25*Variables!$C$15+'Cost Calculations'!T268*Variables!$E$26*Variables!$C$15+'Cost Calculations'!U268*Variables!$E$27*Variables!$C$15+V268*Variables!$E$28*Variables!$C$15</f>
        <v>130593597.9393259</v>
      </c>
      <c r="X268" s="20">
        <f>J268*Variables!$E$29*Variables!$C$15</f>
        <v>1437588.5817161992</v>
      </c>
      <c r="Z268" s="33">
        <f>D268*(IF(D268&lt;50000,0,IF(D268&gt;Variables!$C$7,Variables!$C$37,IF(D268&gt;Variables!$C$6,Variables!$C$36,IF(D268&gt;Variables!$C$5,Variables!$C$35)))))</f>
        <v>4672.1675627452096</v>
      </c>
      <c r="AA268" s="34">
        <f t="shared" si="44"/>
        <v>4564</v>
      </c>
      <c r="AB268" s="35">
        <f t="shared" si="51"/>
        <v>108</v>
      </c>
      <c r="AC268" s="22">
        <f>AB268*Variables!$E$41</f>
        <v>39916800.000000007</v>
      </c>
      <c r="AD268" s="115">
        <f>ROUND(IF(D268&lt;50000,0,(H268/(3.14*Variables!$C$34^2))),0)</f>
        <v>1150</v>
      </c>
      <c r="AE268" s="116">
        <f t="shared" si="46"/>
        <v>1138</v>
      </c>
      <c r="AF268" s="117">
        <f t="shared" si="52"/>
        <v>12</v>
      </c>
      <c r="AG268" s="107">
        <f>AF268*Variables!$E$42*Variables!$C$15</f>
        <v>8130.5280000000002</v>
      </c>
      <c r="AH268" s="199">
        <f>ROUND((Z268)/Variables!$C$40,0)</f>
        <v>37</v>
      </c>
      <c r="AI268" s="33">
        <f t="shared" si="47"/>
        <v>37</v>
      </c>
      <c r="AJ268" s="199">
        <f t="shared" si="55"/>
        <v>0</v>
      </c>
      <c r="AK268" s="22">
        <f>AJ268*Variables!$E$43*Variables!$C$15</f>
        <v>0</v>
      </c>
      <c r="AL268" s="20">
        <f>Z268*Variables!$E$38*Variables!$C$15</f>
        <v>828274908.31154239</v>
      </c>
      <c r="AN268" s="200">
        <f t="shared" si="48"/>
        <v>0.28000000000000003</v>
      </c>
      <c r="AO268" s="201">
        <f t="shared" si="53"/>
        <v>72.744</v>
      </c>
      <c r="AP268" s="321">
        <f>VLOOKUP(A268,'Household Information'!H:Q,10,FALSE)</f>
        <v>139.85863940426606</v>
      </c>
      <c r="AQ268" s="122">
        <f>IF(12*(AO268-Variables!$C$3*AP268*F268)*(G268/5)&lt;0,0,12*(AO268-Variables!$C$3*AP268*F268)*(G268/5))</f>
        <v>0</v>
      </c>
    </row>
    <row r="269" spans="1:43" ht="14.25" customHeight="1" x14ac:dyDescent="0.35">
      <c r="A269" s="30">
        <v>14</v>
      </c>
      <c r="B269" s="28" t="s">
        <v>167</v>
      </c>
      <c r="C269" s="28">
        <v>2025</v>
      </c>
      <c r="D269" s="196">
        <f>Population!J15</f>
        <v>372345.61492068629</v>
      </c>
      <c r="E269" s="303" t="str">
        <f t="shared" si="54"/>
        <v>Medium</v>
      </c>
      <c r="F269" s="340">
        <f>VLOOKUP(A269,'Household Information'!$H$2:$M$49,6,FALSE)</f>
        <v>4.6437746693442286</v>
      </c>
      <c r="G269" s="196">
        <f t="shared" si="49"/>
        <v>80182</v>
      </c>
      <c r="H269" s="213">
        <f>Area!L15</f>
        <v>44.078425388224794</v>
      </c>
      <c r="J269" s="32">
        <f>D269*Variables!$C$20</f>
        <v>335.11105342861765</v>
      </c>
      <c r="K269" s="202">
        <f t="shared" si="45"/>
        <v>327.35279225223951</v>
      </c>
      <c r="L269" s="32">
        <f t="shared" si="50"/>
        <v>7.7582611763781415</v>
      </c>
      <c r="S269" s="198">
        <f>$L269*Variables!$C$21/100</f>
        <v>0.42126305030107553</v>
      </c>
      <c r="T269" s="198">
        <f>$L269*Variables!$C$22/100</f>
        <v>0.73721033802688229</v>
      </c>
      <c r="U269" s="198">
        <f>$L269*Variables!$C$23/100</f>
        <v>0.77231559221863844</v>
      </c>
      <c r="V269" s="198">
        <f>$L269*Variables!$C$24/100</f>
        <v>5.6168406706810075</v>
      </c>
      <c r="W269" s="22">
        <f>S269*Variables!$E$25*Variables!$C$15+'Cost Calculations'!T269*Variables!$E$26*Variables!$C$15+'Cost Calculations'!U269*Variables!$E$27*Variables!$C$15+V269*Variables!$E$28*Variables!$C$15</f>
        <v>5203789.5555325439</v>
      </c>
      <c r="X269" s="20">
        <f>J269*Variables!$E$29*Variables!$C$15</f>
        <v>57283.883473087903</v>
      </c>
      <c r="Z269" s="33">
        <f>D269*(IF(D269&lt;50000,0,IF(D269&gt;Variables!$C$7,Variables!$C$37,IF(D269&gt;Variables!$C$6,Variables!$C$36,IF(D269&gt;Variables!$C$5,Variables!$C$35)))))</f>
        <v>186.17280746034314</v>
      </c>
      <c r="AA269" s="34">
        <f t="shared" si="44"/>
        <v>182</v>
      </c>
      <c r="AB269" s="35">
        <f t="shared" si="51"/>
        <v>4</v>
      </c>
      <c r="AC269" s="22">
        <f>AB269*Variables!$E$41</f>
        <v>1478400.0000000002</v>
      </c>
      <c r="AD269" s="115">
        <f>ROUND(IF(D269&lt;50000,0,(H269/(3.14*Variables!$C$34^2))),0)</f>
        <v>56</v>
      </c>
      <c r="AE269" s="116">
        <f t="shared" si="46"/>
        <v>55</v>
      </c>
      <c r="AF269" s="117">
        <f t="shared" si="52"/>
        <v>1</v>
      </c>
      <c r="AG269" s="107">
        <f>AF269*Variables!$E$42*Variables!$C$15</f>
        <v>677.54399999999998</v>
      </c>
      <c r="AH269" s="199">
        <f>ROUND((Z269)/Variables!$C$40,0)</f>
        <v>1</v>
      </c>
      <c r="AI269" s="33">
        <f t="shared" si="47"/>
        <v>1</v>
      </c>
      <c r="AJ269" s="199">
        <f t="shared" si="55"/>
        <v>0</v>
      </c>
      <c r="AK269" s="22">
        <f>AJ269*Variables!$E$43*Variables!$C$15</f>
        <v>0</v>
      </c>
      <c r="AL269" s="20">
        <f>Z269*Variables!$E$38*Variables!$C$15</f>
        <v>33004438.081136376</v>
      </c>
      <c r="AN269" s="200">
        <f t="shared" si="48"/>
        <v>0.21</v>
      </c>
      <c r="AO269" s="201">
        <f t="shared" si="53"/>
        <v>58.511560833737278</v>
      </c>
      <c r="AP269" s="321">
        <f>VLOOKUP(A269,'Household Information'!H:Q,10,FALSE)</f>
        <v>108.65462509082352</v>
      </c>
      <c r="AQ269" s="122">
        <f>IF(12*(AO269-Variables!$C$3*AP269*F269)*(G269/5)&lt;0,0,12*(AO269-Variables!$C$3*AP269*F269)*(G269/5))</f>
        <v>0</v>
      </c>
    </row>
    <row r="270" spans="1:43" ht="14.25" customHeight="1" x14ac:dyDescent="0.35">
      <c r="A270" s="30">
        <v>15</v>
      </c>
      <c r="B270" s="28" t="s">
        <v>168</v>
      </c>
      <c r="C270" s="28">
        <v>2025</v>
      </c>
      <c r="D270" s="196">
        <f>Population!J16</f>
        <v>82577.516027003978</v>
      </c>
      <c r="E270" s="303" t="str">
        <f t="shared" si="54"/>
        <v>Small</v>
      </c>
      <c r="F270" s="340">
        <f>VLOOKUP(A270,'Household Information'!$H$2:$M$49,6,FALSE)</f>
        <v>4.4181210545859635</v>
      </c>
      <c r="G270" s="196">
        <f t="shared" si="49"/>
        <v>18691</v>
      </c>
      <c r="H270" s="213">
        <f>Area!L16</f>
        <v>245.36990132778465</v>
      </c>
      <c r="J270" s="32">
        <f>D270*Variables!$C$20</f>
        <v>74.319764424303571</v>
      </c>
      <c r="K270" s="202">
        <f t="shared" si="45"/>
        <v>72.599164232005037</v>
      </c>
      <c r="L270" s="32">
        <f t="shared" si="50"/>
        <v>1.7206001922985337</v>
      </c>
      <c r="S270" s="198">
        <f>$L270*Variables!$C$21/100</f>
        <v>9.342625478544074E-2</v>
      </c>
      <c r="T270" s="198">
        <f>$L270*Variables!$C$22/100</f>
        <v>0.16349594587452132</v>
      </c>
      <c r="U270" s="198">
        <f>$L270*Variables!$C$23/100</f>
        <v>0.17128146710664136</v>
      </c>
      <c r="V270" s="198">
        <f>$L270*Variables!$C$24/100</f>
        <v>1.2456833971392098</v>
      </c>
      <c r="W270" s="22">
        <f>S270*Variables!$E$25*Variables!$C$15+'Cost Calculations'!T270*Variables!$E$26*Variables!$C$15+'Cost Calculations'!U270*Variables!$E$27*Variables!$C$15+V270*Variables!$E$28*Variables!$C$15</f>
        <v>1154078.3567833307</v>
      </c>
      <c r="X270" s="20">
        <f>J270*Variables!$E$29*Variables!$C$15</f>
        <v>12704.220530690453</v>
      </c>
      <c r="Z270" s="33">
        <f>D270*(IF(D270&lt;50000,0,IF(D270&gt;Variables!$C$7,Variables!$C$37,IF(D270&gt;Variables!$C$6,Variables!$C$36,IF(D270&gt;Variables!$C$5,Variables!$C$35)))))</f>
        <v>41.28875801350199</v>
      </c>
      <c r="AA270" s="34">
        <f t="shared" si="44"/>
        <v>40</v>
      </c>
      <c r="AB270" s="35">
        <f t="shared" si="51"/>
        <v>1</v>
      </c>
      <c r="AC270" s="22">
        <f>AB270*Variables!$E$41</f>
        <v>369600.00000000006</v>
      </c>
      <c r="AD270" s="115">
        <f>ROUND(IF(D270&lt;50000,0,(H270/(3.14*Variables!$C$34^2))),0)</f>
        <v>313</v>
      </c>
      <c r="AE270" s="116">
        <f t="shared" si="46"/>
        <v>308</v>
      </c>
      <c r="AF270" s="117">
        <f t="shared" si="52"/>
        <v>5</v>
      </c>
      <c r="AG270" s="107">
        <f>AF270*Variables!$E$42*Variables!$C$15</f>
        <v>3387.7200000000003</v>
      </c>
      <c r="AH270" s="199">
        <f>ROUND((Z270)/Variables!$C$40,0)</f>
        <v>0</v>
      </c>
      <c r="AI270" s="33">
        <f t="shared" si="47"/>
        <v>0</v>
      </c>
      <c r="AJ270" s="199">
        <f t="shared" si="55"/>
        <v>0</v>
      </c>
      <c r="AK270" s="22">
        <f>AJ270*Variables!$E$43*Variables!$C$15</f>
        <v>0</v>
      </c>
      <c r="AL270" s="20">
        <f>Z270*Variables!$E$38*Variables!$C$15</f>
        <v>7319609.5385408131</v>
      </c>
      <c r="AN270" s="200">
        <f t="shared" si="48"/>
        <v>0.28000000000000003</v>
      </c>
      <c r="AO270" s="201">
        <f t="shared" si="53"/>
        <v>74.224433717044192</v>
      </c>
      <c r="AP270" s="321">
        <f>VLOOKUP(A270,'Household Information'!H:Q,10,FALSE)</f>
        <v>119.4497033951786</v>
      </c>
      <c r="AQ270" s="122">
        <f>IF(12*(AO270-Variables!$C$3*AP270*F270)*(G270/5)&lt;0,0,12*(AO270-Variables!$C$3*AP270*F270)*(G270/5))</f>
        <v>0</v>
      </c>
    </row>
    <row r="271" spans="1:43" ht="14.25" customHeight="1" x14ac:dyDescent="0.35">
      <c r="A271" s="30">
        <v>16</v>
      </c>
      <c r="B271" s="28" t="s">
        <v>169</v>
      </c>
      <c r="C271" s="28">
        <v>2025</v>
      </c>
      <c r="D271" s="196">
        <f>Population!J17</f>
        <v>4228350.545526416</v>
      </c>
      <c r="E271" s="303" t="str">
        <f t="shared" si="54"/>
        <v>Large</v>
      </c>
      <c r="F271" s="340">
        <f>VLOOKUP(A271,'Household Information'!$H$2:$M$49,6,FALSE)</f>
        <v>5.0811133147736394</v>
      </c>
      <c r="G271" s="196">
        <f t="shared" si="49"/>
        <v>832170</v>
      </c>
      <c r="H271" s="213">
        <f>Area!L17</f>
        <v>361.37530214830281</v>
      </c>
      <c r="J271" s="32">
        <f>D271*Variables!$C$20</f>
        <v>3805.5154909737744</v>
      </c>
      <c r="K271" s="202">
        <f t="shared" si="45"/>
        <v>3717.4128074375053</v>
      </c>
      <c r="L271" s="32">
        <f t="shared" si="50"/>
        <v>88.102683536269069</v>
      </c>
      <c r="S271" s="198">
        <f>$L271*Variables!$C$21/100</f>
        <v>4.7838561196164191</v>
      </c>
      <c r="T271" s="198">
        <f>$L271*Variables!$C$22/100</f>
        <v>8.3717482093287359</v>
      </c>
      <c r="U271" s="198">
        <f>$L271*Variables!$C$23/100</f>
        <v>8.7704028859634366</v>
      </c>
      <c r="V271" s="198">
        <f>$L271*Variables!$C$24/100</f>
        <v>63.784748261552267</v>
      </c>
      <c r="W271" s="22">
        <f>S271*Variables!$E$25*Variables!$C$15+'Cost Calculations'!T271*Variables!$E$26*Variables!$C$15+'Cost Calculations'!U271*Variables!$E$27*Variables!$C$15+V271*Variables!$E$28*Variables!$C$15</f>
        <v>59094146.739521936</v>
      </c>
      <c r="X271" s="20">
        <f>J271*Variables!$E$29*Variables!$C$15</f>
        <v>650514.8180270571</v>
      </c>
      <c r="Z271" s="33">
        <f>D271*(IF(D271&lt;50000,0,IF(D271&gt;Variables!$C$7,Variables!$C$37,IF(D271&gt;Variables!$C$6,Variables!$C$36,IF(D271&gt;Variables!$C$5,Variables!$C$35)))))</f>
        <v>2114.1752727632079</v>
      </c>
      <c r="AA271" s="34">
        <f t="shared" si="44"/>
        <v>3249</v>
      </c>
      <c r="AB271" s="35">
        <f t="shared" si="51"/>
        <v>0</v>
      </c>
      <c r="AC271" s="22">
        <f>AB271*Variables!$E$41</f>
        <v>0</v>
      </c>
      <c r="AD271" s="115">
        <f>ROUND(IF(D271&lt;50000,0,(H271/(3.14*Variables!$C$34^2))),0)</f>
        <v>460</v>
      </c>
      <c r="AE271" s="116">
        <f t="shared" si="46"/>
        <v>566</v>
      </c>
      <c r="AF271" s="117">
        <f t="shared" si="52"/>
        <v>0</v>
      </c>
      <c r="AG271" s="107">
        <f>AF271*Variables!$E$42*Variables!$C$15</f>
        <v>0</v>
      </c>
      <c r="AH271" s="199">
        <f>ROUND((Z271)/Variables!$C$40,0)</f>
        <v>17</v>
      </c>
      <c r="AI271" s="33">
        <f t="shared" si="47"/>
        <v>17</v>
      </c>
      <c r="AJ271" s="199">
        <f t="shared" si="55"/>
        <v>0</v>
      </c>
      <c r="AK271" s="22">
        <f>AJ271*Variables!$E$43*Variables!$C$15</f>
        <v>0</v>
      </c>
      <c r="AL271" s="20">
        <f>Z271*Variables!$E$38*Variables!$C$15</f>
        <v>374797844.1881004</v>
      </c>
      <c r="AN271" s="200">
        <f t="shared" si="48"/>
        <v>0.21</v>
      </c>
      <c r="AO271" s="201">
        <f t="shared" si="53"/>
        <v>64.022027766147858</v>
      </c>
      <c r="AP271" s="321">
        <f>VLOOKUP(A271,'Household Information'!H:Q,10,FALSE)</f>
        <v>125.45752871387103</v>
      </c>
      <c r="AQ271" s="122">
        <f>IF(12*(AO271-Variables!$C$3*AP271*F271)*(G271/5)&lt;0,0,12*(AO271-Variables!$C$3*AP271*F271)*(G271/5))</f>
        <v>0</v>
      </c>
    </row>
    <row r="272" spans="1:43" ht="14.25" customHeight="1" x14ac:dyDescent="0.35">
      <c r="A272" s="30">
        <v>17</v>
      </c>
      <c r="B272" s="28" t="s">
        <v>170</v>
      </c>
      <c r="C272" s="28">
        <v>2025</v>
      </c>
      <c r="D272" s="196">
        <f>Population!J18</f>
        <v>15560.496800516297</v>
      </c>
      <c r="E272" s="303" t="str">
        <f t="shared" si="54"/>
        <v>Small</v>
      </c>
      <c r="F272" s="340">
        <f>VLOOKUP(A272,'Household Information'!$H$2:$M$49,6,FALSE)</f>
        <v>4.9910952804986639</v>
      </c>
      <c r="G272" s="196">
        <f t="shared" si="49"/>
        <v>3118</v>
      </c>
      <c r="H272" s="213">
        <f>Area!L18</f>
        <v>2.8403968195655969</v>
      </c>
      <c r="J272" s="32">
        <f>D272*Variables!$C$20</f>
        <v>14.004447120464667</v>
      </c>
      <c r="K272" s="202">
        <f t="shared" si="45"/>
        <v>13.680225769722249</v>
      </c>
      <c r="L272" s="32">
        <f t="shared" si="50"/>
        <v>0.32422135074241787</v>
      </c>
      <c r="S272" s="198">
        <f>$L272*Variables!$C$21/100</f>
        <v>1.7604779225832642E-2</v>
      </c>
      <c r="T272" s="198">
        <f>$L272*Variables!$C$22/100</f>
        <v>3.0808363645207129E-2</v>
      </c>
      <c r="U272" s="198">
        <f>$L272*Variables!$C$23/100</f>
        <v>3.2275428580693183E-2</v>
      </c>
      <c r="V272" s="198">
        <f>$L272*Variables!$C$24/100</f>
        <v>0.23473038967776857</v>
      </c>
      <c r="W272" s="22">
        <f>S272*Variables!$E$25*Variables!$C$15+'Cost Calculations'!T272*Variables!$E$26*Variables!$C$15+'Cost Calculations'!U272*Variables!$E$27*Variables!$C$15+V272*Variables!$E$28*Variables!$C$15</f>
        <v>217468.79104960588</v>
      </c>
      <c r="X272" s="20">
        <f>J272*Variables!$E$29*Variables!$C$15</f>
        <v>2393.9201907722299</v>
      </c>
      <c r="Z272" s="33">
        <f>D272*(IF(D272&lt;50000,0,IF(D272&gt;Variables!$C$7,Variables!$C$37,IF(D272&gt;Variables!$C$6,Variables!$C$36,IF(D272&gt;Variables!$C$5,Variables!$C$35)))))</f>
        <v>0</v>
      </c>
      <c r="AA272" s="34">
        <f t="shared" si="44"/>
        <v>0</v>
      </c>
      <c r="AB272" s="35">
        <f t="shared" si="51"/>
        <v>0</v>
      </c>
      <c r="AC272" s="22">
        <f>AB272*Variables!$E$41</f>
        <v>0</v>
      </c>
      <c r="AD272" s="115">
        <f>ROUND(IF(D272&lt;50000,0,(H272/(3.14*Variables!$C$34^2))),0)</f>
        <v>0</v>
      </c>
      <c r="AE272" s="116">
        <f t="shared" si="46"/>
        <v>0</v>
      </c>
      <c r="AF272" s="117">
        <f t="shared" si="52"/>
        <v>0</v>
      </c>
      <c r="AG272" s="107">
        <f>AF272*Variables!$E$42*Variables!$C$15</f>
        <v>0</v>
      </c>
      <c r="AH272" s="199">
        <f>ROUND((Z272)/Variables!$C$40,0)</f>
        <v>0</v>
      </c>
      <c r="AI272" s="33">
        <f t="shared" si="47"/>
        <v>0</v>
      </c>
      <c r="AJ272" s="199">
        <f t="shared" si="55"/>
        <v>0</v>
      </c>
      <c r="AK272" s="22">
        <f>AJ272*Variables!$E$43*Variables!$C$15</f>
        <v>0</v>
      </c>
      <c r="AL272" s="20">
        <f>Z272*Variables!$E$38*Variables!$C$15</f>
        <v>0</v>
      </c>
      <c r="AN272" s="200">
        <f t="shared" si="48"/>
        <v>0.25221875000000005</v>
      </c>
      <c r="AO272" s="201">
        <f t="shared" si="53"/>
        <v>75.530868766696358</v>
      </c>
      <c r="AP272" s="321">
        <f>VLOOKUP(A272,'Household Information'!H:Q,10,FALSE)</f>
        <v>108.65462509082352</v>
      </c>
      <c r="AQ272" s="122">
        <f>IF(12*(AO272-Variables!$C$3*AP272*F272)*(G272/5)&lt;0,0,12*(AO272-Variables!$C$3*AP272*F272)*(G272/5))</f>
        <v>0</v>
      </c>
    </row>
    <row r="273" spans="1:43" ht="14.25" customHeight="1" x14ac:dyDescent="0.35">
      <c r="A273" s="30">
        <v>18</v>
      </c>
      <c r="B273" s="28" t="s">
        <v>171</v>
      </c>
      <c r="C273" s="28">
        <v>2025</v>
      </c>
      <c r="D273" s="196">
        <f>Population!J19</f>
        <v>137475.11531011004</v>
      </c>
      <c r="E273" s="303" t="str">
        <f t="shared" si="54"/>
        <v>Medium</v>
      </c>
      <c r="F273" s="340">
        <f>VLOOKUP(A273,'Household Information'!$H$2:$M$49,6,FALSE)</f>
        <v>4.4388221584797423</v>
      </c>
      <c r="G273" s="196">
        <f t="shared" si="49"/>
        <v>30971</v>
      </c>
      <c r="H273" s="213">
        <f>Area!L19</f>
        <v>29.385616925483198</v>
      </c>
      <c r="J273" s="32">
        <f>D273*Variables!$C$20</f>
        <v>123.72760377909903</v>
      </c>
      <c r="K273" s="202">
        <f t="shared" si="45"/>
        <v>120.86314719067991</v>
      </c>
      <c r="L273" s="32">
        <f t="shared" si="50"/>
        <v>2.8644565884191167</v>
      </c>
      <c r="S273" s="198">
        <f>$L273*Variables!$C$21/100</f>
        <v>0.15553610434854931</v>
      </c>
      <c r="T273" s="198">
        <f>$L273*Variables!$C$22/100</f>
        <v>0.2721881826099613</v>
      </c>
      <c r="U273" s="198">
        <f>$L273*Variables!$C$23/100</f>
        <v>0.28514952463900711</v>
      </c>
      <c r="V273" s="198">
        <f>$L273*Variables!$C$24/100</f>
        <v>2.073814724647324</v>
      </c>
      <c r="W273" s="22">
        <f>S273*Variables!$E$25*Variables!$C$15+'Cost Calculations'!T273*Variables!$E$26*Variables!$C$15+'Cost Calculations'!U273*Variables!$E$27*Variables!$C$15+V273*Variables!$E$28*Variables!$C$15</f>
        <v>1921310.579550571</v>
      </c>
      <c r="X273" s="20">
        <f>J273*Variables!$E$29*Variables!$C$15</f>
        <v>21149.996589999188</v>
      </c>
      <c r="Z273" s="33">
        <f>D273*(IF(D273&lt;50000,0,IF(D273&gt;Variables!$C$7,Variables!$C$37,IF(D273&gt;Variables!$C$6,Variables!$C$36,IF(D273&gt;Variables!$C$5,Variables!$C$35)))))</f>
        <v>68.737557655055014</v>
      </c>
      <c r="AA273" s="34">
        <f t="shared" si="44"/>
        <v>94</v>
      </c>
      <c r="AB273" s="35">
        <f t="shared" si="51"/>
        <v>0</v>
      </c>
      <c r="AC273" s="22">
        <f>AB273*Variables!$E$41</f>
        <v>0</v>
      </c>
      <c r="AD273" s="115">
        <f>ROUND(IF(D273&lt;50000,0,(H273/(3.14*Variables!$C$34^2))),0)</f>
        <v>37</v>
      </c>
      <c r="AE273" s="116">
        <f t="shared" si="46"/>
        <v>37</v>
      </c>
      <c r="AF273" s="117">
        <f t="shared" si="52"/>
        <v>0</v>
      </c>
      <c r="AG273" s="107">
        <f>AF273*Variables!$E$42*Variables!$C$15</f>
        <v>0</v>
      </c>
      <c r="AH273" s="199">
        <f>ROUND((Z273)/Variables!$C$40,0)</f>
        <v>1</v>
      </c>
      <c r="AI273" s="33">
        <f t="shared" si="47"/>
        <v>1</v>
      </c>
      <c r="AJ273" s="199">
        <f t="shared" si="55"/>
        <v>0</v>
      </c>
      <c r="AK273" s="22">
        <f>AJ273*Variables!$E$43*Variables!$C$15</f>
        <v>0</v>
      </c>
      <c r="AL273" s="20">
        <f>Z273*Variables!$E$38*Variables!$C$15</f>
        <v>12185691.865650419</v>
      </c>
      <c r="AN273" s="200">
        <f t="shared" si="48"/>
        <v>0.25221875000000005</v>
      </c>
      <c r="AO273" s="201">
        <f t="shared" si="53"/>
        <v>67.17325057704376</v>
      </c>
      <c r="AP273" s="321">
        <f>VLOOKUP(A273,'Household Information'!H:Q,10,FALSE)</f>
        <v>98.76688123185663</v>
      </c>
      <c r="AQ273" s="122">
        <f>IF(12*(AO273-Variables!$C$3*AP273*F273)*(G273/5)&lt;0,0,12*(AO273-Variables!$C$3*AP273*F273)*(G273/5))</f>
        <v>104951.36104979653</v>
      </c>
    </row>
    <row r="274" spans="1:43" ht="14.25" customHeight="1" x14ac:dyDescent="0.35">
      <c r="A274" s="30">
        <v>19</v>
      </c>
      <c r="B274" s="28" t="s">
        <v>172</v>
      </c>
      <c r="C274" s="28">
        <v>2025</v>
      </c>
      <c r="D274" s="196">
        <f>Population!J20</f>
        <v>6241819.1436129194</v>
      </c>
      <c r="E274" s="303" t="str">
        <f t="shared" si="54"/>
        <v>Large</v>
      </c>
      <c r="F274" s="340">
        <f>VLOOKUP(A274,'Household Information'!$H$2:$M$49,6,FALSE)</f>
        <v>4.3873267195354213</v>
      </c>
      <c r="G274" s="196">
        <f t="shared" si="49"/>
        <v>1422693</v>
      </c>
      <c r="H274" s="213">
        <f>Area!L20</f>
        <v>1092.6365965014975</v>
      </c>
      <c r="J274" s="32">
        <f>D274*Variables!$C$20</f>
        <v>5617.6372292516271</v>
      </c>
      <c r="K274" s="202">
        <f t="shared" si="45"/>
        <v>5487.581546597271</v>
      </c>
      <c r="L274" s="32">
        <f t="shared" si="50"/>
        <v>130.05568265435613</v>
      </c>
      <c r="S274" s="198">
        <f>$L274*Variables!$C$21/100</f>
        <v>7.0618470219559875</v>
      </c>
      <c r="T274" s="198">
        <f>$L274*Variables!$C$22/100</f>
        <v>12.358232288422981</v>
      </c>
      <c r="U274" s="198">
        <f>$L274*Variables!$C$23/100</f>
        <v>12.946719540252648</v>
      </c>
      <c r="V274" s="198">
        <f>$L274*Variables!$C$24/100</f>
        <v>94.157960292746523</v>
      </c>
      <c r="W274" s="22">
        <f>S274*Variables!$E$25*Variables!$C$15+'Cost Calculations'!T274*Variables!$E$26*Variables!$C$15+'Cost Calculations'!U274*Variables!$E$27*Variables!$C$15+V274*Variables!$E$28*Variables!$C$15</f>
        <v>87233774.121322095</v>
      </c>
      <c r="X274" s="20">
        <f>J274*Variables!$E$29*Variables!$C$15</f>
        <v>960278.90796827315</v>
      </c>
      <c r="Z274" s="33">
        <f>D274*(IF(D274&lt;50000,0,IF(D274&gt;Variables!$C$7,Variables!$C$37,IF(D274&gt;Variables!$C$6,Variables!$C$36,IF(D274&gt;Variables!$C$5,Variables!$C$35)))))</f>
        <v>3120.9095718064596</v>
      </c>
      <c r="AA274" s="34">
        <f t="shared" si="44"/>
        <v>5267</v>
      </c>
      <c r="AB274" s="35">
        <f t="shared" si="51"/>
        <v>0</v>
      </c>
      <c r="AC274" s="22">
        <f>AB274*Variables!$E$41</f>
        <v>0</v>
      </c>
      <c r="AD274" s="115">
        <f>ROUND(IF(D274&lt;50000,0,(H274/(3.14*Variables!$C$34^2))),0)</f>
        <v>1392</v>
      </c>
      <c r="AE274" s="116">
        <f t="shared" si="46"/>
        <v>1469</v>
      </c>
      <c r="AF274" s="117">
        <f t="shared" si="52"/>
        <v>0</v>
      </c>
      <c r="AG274" s="107">
        <f>AF274*Variables!$E$42*Variables!$C$15</f>
        <v>0</v>
      </c>
      <c r="AH274" s="199">
        <f>ROUND((Z274)/Variables!$C$40,0)</f>
        <v>25</v>
      </c>
      <c r="AI274" s="33">
        <f t="shared" si="47"/>
        <v>24</v>
      </c>
      <c r="AJ274" s="199">
        <f t="shared" si="55"/>
        <v>1</v>
      </c>
      <c r="AK274" s="22">
        <f>AJ274*Variables!$E$43*Variables!$C$15</f>
        <v>552717.39600000007</v>
      </c>
      <c r="AL274" s="20">
        <f>Z274*Variables!$E$38*Variables!$C$15</f>
        <v>553270201.61874664</v>
      </c>
      <c r="AN274" s="200">
        <f t="shared" si="48"/>
        <v>0.14000000000000001</v>
      </c>
      <c r="AO274" s="201">
        <f t="shared" si="53"/>
        <v>36.853544444097544</v>
      </c>
      <c r="AP274" s="321">
        <f>VLOOKUP(A274,'Household Information'!H:Q,10,FALSE)</f>
        <v>155.49665530733307</v>
      </c>
      <c r="AQ274" s="122">
        <f>IF(12*(AO274-Variables!$C$3*AP274*F274)*(G274/5)&lt;0,0,12*(AO274-Variables!$C$3*AP274*F274)*(G274/5))</f>
        <v>0</v>
      </c>
    </row>
    <row r="275" spans="1:43" ht="14.25" customHeight="1" x14ac:dyDescent="0.35">
      <c r="A275" s="30">
        <v>20</v>
      </c>
      <c r="B275" s="28" t="s">
        <v>173</v>
      </c>
      <c r="C275" s="28">
        <v>2025</v>
      </c>
      <c r="D275" s="196">
        <f>Population!J21</f>
        <v>3910397.2648722981</v>
      </c>
      <c r="E275" s="303" t="str">
        <f t="shared" si="54"/>
        <v>Large</v>
      </c>
      <c r="F275" s="340">
        <f>VLOOKUP(A275,'Household Information'!$H$2:$M$49,6,FALSE)</f>
        <v>5.2348048588773741</v>
      </c>
      <c r="G275" s="196">
        <f t="shared" si="49"/>
        <v>747000</v>
      </c>
      <c r="H275" s="213">
        <f>Area!L21</f>
        <v>495.14764519439183</v>
      </c>
      <c r="J275" s="32">
        <f>D275*Variables!$C$20</f>
        <v>3519.357538385068</v>
      </c>
      <c r="K275" s="202">
        <f t="shared" si="45"/>
        <v>3437.8797874231395</v>
      </c>
      <c r="L275" s="32">
        <f t="shared" si="50"/>
        <v>81.47775096192845</v>
      </c>
      <c r="S275" s="198">
        <f>$L275*Variables!$C$21/100</f>
        <v>4.4241312739508656</v>
      </c>
      <c r="T275" s="198">
        <f>$L275*Variables!$C$22/100</f>
        <v>7.7422297294140154</v>
      </c>
      <c r="U275" s="198">
        <f>$L275*Variables!$C$23/100</f>
        <v>8.1109073355765879</v>
      </c>
      <c r="V275" s="198">
        <f>$L275*Variables!$C$24/100</f>
        <v>58.988416986011543</v>
      </c>
      <c r="W275" s="22">
        <f>S275*Variables!$E$25*Variables!$C$15+'Cost Calculations'!T275*Variables!$E$26*Variables!$C$15+'Cost Calculations'!U275*Variables!$E$27*Variables!$C$15+V275*Variables!$E$28*Variables!$C$15</f>
        <v>54650527.975896448</v>
      </c>
      <c r="X275" s="20">
        <f>J275*Variables!$E$29*Variables!$C$15</f>
        <v>601598.97761154349</v>
      </c>
      <c r="Z275" s="33">
        <f>D275*(IF(D275&lt;50000,0,IF(D275&gt;Variables!$C$7,Variables!$C$37,IF(D275&gt;Variables!$C$6,Variables!$C$36,IF(D275&gt;Variables!$C$5,Variables!$C$35)))))</f>
        <v>1955.1986324361492</v>
      </c>
      <c r="AA275" s="34">
        <f t="shared" si="44"/>
        <v>3353</v>
      </c>
      <c r="AB275" s="35">
        <f t="shared" si="51"/>
        <v>0</v>
      </c>
      <c r="AC275" s="22">
        <f>AB275*Variables!$E$41</f>
        <v>0</v>
      </c>
      <c r="AD275" s="115">
        <f>ROUND(IF(D275&lt;50000,0,(H275/(3.14*Variables!$C$34^2))),0)</f>
        <v>631</v>
      </c>
      <c r="AE275" s="116">
        <f t="shared" si="46"/>
        <v>622</v>
      </c>
      <c r="AF275" s="117">
        <f t="shared" si="52"/>
        <v>9</v>
      </c>
      <c r="AG275" s="107">
        <f>AF275*Variables!$E$42*Variables!$C$15</f>
        <v>6097.8960000000006</v>
      </c>
      <c r="AH275" s="199">
        <f>ROUND((Z275)/Variables!$C$40,0)</f>
        <v>16</v>
      </c>
      <c r="AI275" s="33">
        <f t="shared" si="47"/>
        <v>15</v>
      </c>
      <c r="AJ275" s="199">
        <f t="shared" si="55"/>
        <v>1</v>
      </c>
      <c r="AK275" s="22">
        <f>AJ275*Variables!$E$43*Variables!$C$15</f>
        <v>552717.39600000007</v>
      </c>
      <c r="AL275" s="20">
        <f>Z275*Variables!$E$38*Variables!$C$15</f>
        <v>346614702.11919677</v>
      </c>
      <c r="AN275" s="200">
        <f t="shared" si="48"/>
        <v>0.56000000000000005</v>
      </c>
      <c r="AO275" s="201">
        <f t="shared" si="53"/>
        <v>175.88944325827978</v>
      </c>
      <c r="AP275" s="321">
        <f>VLOOKUP(A275,'Household Information'!H:Q,10,FALSE)</f>
        <v>92.944591695065014</v>
      </c>
      <c r="AQ275" s="122">
        <f>IF(12*(AO275-Variables!$C$3*AP275*F275)*(G275/5)&lt;0,0,12*(AO275-Variables!$C$3*AP275*F275)*(G275/5))</f>
        <v>184492428.36051363</v>
      </c>
    </row>
    <row r="276" spans="1:43" ht="14.25" customHeight="1" x14ac:dyDescent="0.35">
      <c r="A276" s="30">
        <v>21</v>
      </c>
      <c r="B276" s="30" t="s">
        <v>174</v>
      </c>
      <c r="C276" s="28">
        <v>2025</v>
      </c>
      <c r="D276" s="196">
        <f>Population!J22</f>
        <v>17271142.306630719</v>
      </c>
      <c r="E276" s="303" t="str">
        <f t="shared" si="54"/>
        <v>Large</v>
      </c>
      <c r="F276" s="340">
        <f>VLOOKUP(A276,'Household Information'!$H$2:$M$49,6,FALSE)</f>
        <v>4.4756737410071938</v>
      </c>
      <c r="G276" s="196">
        <f t="shared" si="49"/>
        <v>3858892</v>
      </c>
      <c r="H276" s="213">
        <f>Area!L22</f>
        <v>678.53705486044248</v>
      </c>
      <c r="J276" s="32">
        <f>D276*Variables!$C$20</f>
        <v>15544.028075967648</v>
      </c>
      <c r="K276" s="202">
        <f t="shared" si="45"/>
        <v>15184.163403309216</v>
      </c>
      <c r="L276" s="32">
        <f t="shared" si="50"/>
        <v>359.86467265843203</v>
      </c>
      <c r="S276" s="198">
        <f>$L276*Variables!$C$21/100</f>
        <v>19.540163221272326</v>
      </c>
      <c r="T276" s="198">
        <f>$L276*Variables!$C$22/100</f>
        <v>34.195285637226569</v>
      </c>
      <c r="U276" s="198">
        <f>$L276*Variables!$C$23/100</f>
        <v>35.823632572332599</v>
      </c>
      <c r="V276" s="198">
        <f>$L276*Variables!$C$24/100</f>
        <v>260.53550961696436</v>
      </c>
      <c r="W276" s="22">
        <f>S276*Variables!$E$25*Variables!$C$15+'Cost Calculations'!T276*Variables!$E$26*Variables!$C$15+'Cost Calculations'!U276*Variables!$E$27*Variables!$C$15+V276*Variables!$E$28*Variables!$C$15</f>
        <v>241376254.60287958</v>
      </c>
      <c r="X276" s="20">
        <f>J276*Variables!$E$29*Variables!$C$15</f>
        <v>2657096.1593059096</v>
      </c>
      <c r="Z276" s="33">
        <f>D276*(IF(D276&lt;50000,0,IF(D276&gt;Variables!$C$7,Variables!$C$37,IF(D276&gt;Variables!$C$6,Variables!$C$36,IF(D276&gt;Variables!$C$5,Variables!$C$35)))))</f>
        <v>8635.5711533153608</v>
      </c>
      <c r="AA276" s="34">
        <f t="shared" si="44"/>
        <v>8436</v>
      </c>
      <c r="AB276" s="35">
        <f t="shared" si="51"/>
        <v>200</v>
      </c>
      <c r="AC276" s="22">
        <f>AB276*Variables!$E$41</f>
        <v>73920000.000000015</v>
      </c>
      <c r="AD276" s="115">
        <f>ROUND(IF(D276&lt;50000,0,(H276/(3.14*Variables!$C$34^2))),0)</f>
        <v>864</v>
      </c>
      <c r="AE276" s="116">
        <f t="shared" si="46"/>
        <v>1087</v>
      </c>
      <c r="AF276" s="117">
        <f t="shared" si="52"/>
        <v>0</v>
      </c>
      <c r="AG276" s="107">
        <f>AF276*Variables!$E$42*Variables!$C$15</f>
        <v>0</v>
      </c>
      <c r="AH276" s="199">
        <f>ROUND((Z276)/Variables!$C$40,0)</f>
        <v>69</v>
      </c>
      <c r="AI276" s="33">
        <f t="shared" si="47"/>
        <v>67</v>
      </c>
      <c r="AJ276" s="199">
        <f t="shared" si="55"/>
        <v>2</v>
      </c>
      <c r="AK276" s="22">
        <f>AJ276*Variables!$E$43*Variables!$C$15</f>
        <v>1105434.7920000001</v>
      </c>
      <c r="AL276" s="20">
        <f>Z276*Variables!$E$38*Variables!$C$15</f>
        <v>1530901195.0392113</v>
      </c>
      <c r="AN276" s="200">
        <f t="shared" si="48"/>
        <v>0.28000000000000003</v>
      </c>
      <c r="AO276" s="201">
        <f t="shared" si="53"/>
        <v>75.191318848920858</v>
      </c>
      <c r="AP276" s="321">
        <f>VLOOKUP(A276,'Household Information'!H:Q,10,FALSE)</f>
        <v>254.44907232109051</v>
      </c>
      <c r="AQ276" s="122">
        <f>IF(12*(AO276-Variables!$C$3*AP276*F276)*(G276/5)&lt;0,0,12*(AO276-Variables!$C$3*AP276*F276)*(G276/5))</f>
        <v>0</v>
      </c>
    </row>
    <row r="277" spans="1:43" ht="14.25" customHeight="1" x14ac:dyDescent="0.35">
      <c r="A277" s="30">
        <v>22</v>
      </c>
      <c r="B277" s="28" t="s">
        <v>175</v>
      </c>
      <c r="C277" s="28">
        <v>2025</v>
      </c>
      <c r="D277" s="196">
        <f>Population!J23</f>
        <v>15316963.226817226</v>
      </c>
      <c r="E277" s="303" t="str">
        <f t="shared" si="54"/>
        <v>Large</v>
      </c>
      <c r="F277" s="340">
        <f>VLOOKUP(A277,'Household Information'!$H$2:$M$49,6,FALSE)</f>
        <v>4.7768636363636361</v>
      </c>
      <c r="G277" s="196">
        <f t="shared" si="49"/>
        <v>3206490</v>
      </c>
      <c r="H277" s="213">
        <f>Area!L23</f>
        <v>1148.9776217863928</v>
      </c>
      <c r="J277" s="32">
        <f>D277*Variables!$C$20</f>
        <v>13785.266904135504</v>
      </c>
      <c r="K277" s="202">
        <f t="shared" si="45"/>
        <v>19972.544550000002</v>
      </c>
      <c r="L277" s="32">
        <f t="shared" si="50"/>
        <v>0</v>
      </c>
      <c r="S277" s="198">
        <f>$L277*Variables!$C$21/100</f>
        <v>0</v>
      </c>
      <c r="T277" s="198">
        <f>$L277*Variables!$C$22/100</f>
        <v>0</v>
      </c>
      <c r="U277" s="198">
        <f>$L277*Variables!$C$23/100</f>
        <v>0</v>
      </c>
      <c r="V277" s="198">
        <f>$L277*Variables!$C$24/100</f>
        <v>0</v>
      </c>
      <c r="W277" s="22">
        <f>S277*Variables!$E$25*Variables!$C$15+'Cost Calculations'!T277*Variables!$E$26*Variables!$C$15+'Cost Calculations'!U277*Variables!$E$27*Variables!$C$15+V277*Variables!$E$28*Variables!$C$15</f>
        <v>0</v>
      </c>
      <c r="X277" s="20">
        <f>J277*Variables!$E$29*Variables!$C$15</f>
        <v>2356453.524592923</v>
      </c>
      <c r="Z277" s="33">
        <f>D277*(IF(D277&lt;50000,0,IF(D277&gt;Variables!$C$7,Variables!$C$37,IF(D277&gt;Variables!$C$6,Variables!$C$36,IF(D277&gt;Variables!$C$5,Variables!$C$35)))))</f>
        <v>7658.4816134086132</v>
      </c>
      <c r="AA277" s="34">
        <f t="shared" si="44"/>
        <v>7481</v>
      </c>
      <c r="AB277" s="35">
        <f t="shared" si="51"/>
        <v>177</v>
      </c>
      <c r="AC277" s="22">
        <f>AB277*Variables!$E$41</f>
        <v>65419200.000000007</v>
      </c>
      <c r="AD277" s="115">
        <f>ROUND(IF(D277&lt;50000,0,(H277/(3.14*Variables!$C$34^2))),0)</f>
        <v>1464</v>
      </c>
      <c r="AE277" s="116">
        <f t="shared" si="46"/>
        <v>1443</v>
      </c>
      <c r="AF277" s="117">
        <f t="shared" si="52"/>
        <v>21</v>
      </c>
      <c r="AG277" s="107">
        <f>AF277*Variables!$E$42*Variables!$C$15</f>
        <v>14228.424000000001</v>
      </c>
      <c r="AH277" s="199">
        <f>ROUND((Z277)/Variables!$C$40,0)</f>
        <v>61</v>
      </c>
      <c r="AI277" s="33">
        <f t="shared" si="47"/>
        <v>69</v>
      </c>
      <c r="AJ277" s="199">
        <f t="shared" si="55"/>
        <v>0</v>
      </c>
      <c r="AK277" s="22">
        <f>AJ277*Variables!$E$43*Variables!$C$15</f>
        <v>0</v>
      </c>
      <c r="AL277" s="20">
        <f>Z277*Variables!$E$38*Variables!$C$15</f>
        <v>1357684216.3649893</v>
      </c>
      <c r="AN277" s="200">
        <f t="shared" si="48"/>
        <v>0.42</v>
      </c>
      <c r="AO277" s="201">
        <f t="shared" si="53"/>
        <v>120.37696363636363</v>
      </c>
      <c r="AP277" s="321">
        <f>VLOOKUP(A277,'Household Information'!H:Q,10,FALSE)</f>
        <v>150.91303799066011</v>
      </c>
      <c r="AQ277" s="122">
        <f>IF(12*(AO277-Variables!$C$3*AP277*F277)*(G277/5)&lt;0,0,12*(AO277-Variables!$C$3*AP277*F277)*(G277/5))</f>
        <v>94219346.620235041</v>
      </c>
    </row>
    <row r="278" spans="1:43" ht="14.25" customHeight="1" x14ac:dyDescent="0.35">
      <c r="A278" s="30">
        <v>23</v>
      </c>
      <c r="B278" s="28" t="s">
        <v>176</v>
      </c>
      <c r="C278" s="28">
        <v>2025</v>
      </c>
      <c r="D278" s="196">
        <f>Population!J24</f>
        <v>55547.225732940293</v>
      </c>
      <c r="E278" s="303" t="str">
        <f t="shared" si="54"/>
        <v>Small</v>
      </c>
      <c r="F278" s="340">
        <f>VLOOKUP(A278,'Household Information'!$H$2:$M$49,6,FALSE)</f>
        <v>3.9394565859421147</v>
      </c>
      <c r="G278" s="196">
        <f t="shared" si="49"/>
        <v>14100</v>
      </c>
      <c r="H278" s="213">
        <f>Area!L24</f>
        <v>109.01396443786496</v>
      </c>
      <c r="J278" s="32">
        <f>D278*Variables!$C$20</f>
        <v>49.992503159646262</v>
      </c>
      <c r="K278" s="202">
        <f t="shared" si="45"/>
        <v>53.622780000000006</v>
      </c>
      <c r="L278" s="32">
        <f t="shared" si="50"/>
        <v>0</v>
      </c>
      <c r="S278" s="198">
        <f>$L278*Variables!$C$21/100</f>
        <v>0</v>
      </c>
      <c r="T278" s="198">
        <f>$L278*Variables!$C$22/100</f>
        <v>0</v>
      </c>
      <c r="U278" s="198">
        <f>$L278*Variables!$C$23/100</f>
        <v>0</v>
      </c>
      <c r="V278" s="198">
        <f>$L278*Variables!$C$24/100</f>
        <v>0</v>
      </c>
      <c r="W278" s="22">
        <f>S278*Variables!$E$25*Variables!$C$15+'Cost Calculations'!T278*Variables!$E$26*Variables!$C$15+'Cost Calculations'!U278*Variables!$E$27*Variables!$C$15+V278*Variables!$E$28*Variables!$C$15</f>
        <v>0</v>
      </c>
      <c r="X278" s="20">
        <f>J278*Variables!$E$29*Variables!$C$15</f>
        <v>8545.7184901099317</v>
      </c>
      <c r="Z278" s="33">
        <f>D278*(IF(D278&lt;50000,0,IF(D278&gt;Variables!$C$7,Variables!$C$37,IF(D278&gt;Variables!$C$6,Variables!$C$36,IF(D278&gt;Variables!$C$5,Variables!$C$35)))))</f>
        <v>27.773612866470145</v>
      </c>
      <c r="AA278" s="34">
        <f t="shared" si="44"/>
        <v>374.4</v>
      </c>
      <c r="AB278" s="35">
        <f t="shared" si="51"/>
        <v>0</v>
      </c>
      <c r="AC278" s="22">
        <f>AB278*Variables!$E$41</f>
        <v>0</v>
      </c>
      <c r="AD278" s="115">
        <f>ROUND(IF(D278&lt;50000,0,(H278/(3.14*Variables!$C$34^2))),0)</f>
        <v>139</v>
      </c>
      <c r="AE278" s="116">
        <f t="shared" si="46"/>
        <v>137</v>
      </c>
      <c r="AF278" s="117">
        <f t="shared" si="52"/>
        <v>2</v>
      </c>
      <c r="AG278" s="107">
        <f>AF278*Variables!$E$42*Variables!$C$15</f>
        <v>1355.088</v>
      </c>
      <c r="AH278" s="199">
        <f>ROUND((Z278)/Variables!$C$40,0)</f>
        <v>0</v>
      </c>
      <c r="AI278" s="33">
        <f t="shared" si="47"/>
        <v>1</v>
      </c>
      <c r="AJ278" s="199">
        <f t="shared" si="55"/>
        <v>0</v>
      </c>
      <c r="AK278" s="22">
        <f>AJ278*Variables!$E$43*Variables!$C$15</f>
        <v>0</v>
      </c>
      <c r="AL278" s="20">
        <f>Z278*Variables!$E$38*Variables!$C$15</f>
        <v>4923664.731951382</v>
      </c>
      <c r="AN278" s="200">
        <f t="shared" si="48"/>
        <v>0.42</v>
      </c>
      <c r="AO278" s="201">
        <f t="shared" si="53"/>
        <v>99.274305965741291</v>
      </c>
      <c r="AP278" s="321">
        <f>VLOOKUP(A278,'Household Information'!H:Q,10,FALSE)</f>
        <v>127.00366022971097</v>
      </c>
      <c r="AQ278" s="122">
        <f>IF(12*(AO278-Variables!$C$3*AP278*F278)*(G278/5)&lt;0,0,12*(AO278-Variables!$C$3*AP278*F278)*(G278/5))</f>
        <v>819790.7543917055</v>
      </c>
    </row>
    <row r="279" spans="1:43" ht="14.25" customHeight="1" x14ac:dyDescent="0.35">
      <c r="A279" s="30">
        <v>24</v>
      </c>
      <c r="B279" s="28" t="s">
        <v>177</v>
      </c>
      <c r="C279" s="28">
        <v>2025</v>
      </c>
      <c r="D279" s="196">
        <f>Population!J25</f>
        <v>2337852.9029758396</v>
      </c>
      <c r="E279" s="303" t="str">
        <f t="shared" si="54"/>
        <v>Large</v>
      </c>
      <c r="F279" s="340">
        <f>VLOOKUP(A279,'Household Information'!$H$2:$M$49,6,FALSE)</f>
        <v>5.7167460931666056</v>
      </c>
      <c r="G279" s="196">
        <f t="shared" si="49"/>
        <v>408948</v>
      </c>
      <c r="H279" s="213">
        <f>Area!L25</f>
        <v>111.66534431683617</v>
      </c>
      <c r="J279" s="32">
        <f>D279*Variables!$C$20</f>
        <v>2104.0676126782555</v>
      </c>
      <c r="K279" s="202">
        <f t="shared" si="45"/>
        <v>2055.35568299136</v>
      </c>
      <c r="L279" s="32">
        <f t="shared" si="50"/>
        <v>48.711929686895473</v>
      </c>
      <c r="S279" s="198">
        <f>$L279*Variables!$C$21/100</f>
        <v>2.6449916572069934</v>
      </c>
      <c r="T279" s="198">
        <f>$L279*Variables!$C$22/100</f>
        <v>4.6287354001122392</v>
      </c>
      <c r="U279" s="198">
        <f>$L279*Variables!$C$23/100</f>
        <v>4.8491513715461556</v>
      </c>
      <c r="V279" s="198">
        <f>$L279*Variables!$C$24/100</f>
        <v>35.266555429426582</v>
      </c>
      <c r="W279" s="22">
        <f>S279*Variables!$E$25*Variables!$C$15+'Cost Calculations'!T279*Variables!$E$26*Variables!$C$15+'Cost Calculations'!U279*Variables!$E$27*Variables!$C$15+V279*Variables!$E$28*Variables!$C$15</f>
        <v>32673124.192609321</v>
      </c>
      <c r="X279" s="20">
        <f>J279*Variables!$E$29*Variables!$C$15</f>
        <v>359669.31771122105</v>
      </c>
      <c r="Z279" s="33">
        <f>D279*(IF(D279&lt;50000,0,IF(D279&gt;Variables!$C$7,Variables!$C$37,IF(D279&gt;Variables!$C$6,Variables!$C$36,IF(D279&gt;Variables!$C$5,Variables!$C$35)))))</f>
        <v>1168.9264514879198</v>
      </c>
      <c r="AA279" s="34">
        <f t="shared" si="44"/>
        <v>1141.5999999999999</v>
      </c>
      <c r="AB279" s="35">
        <f t="shared" si="51"/>
        <v>27</v>
      </c>
      <c r="AC279" s="22">
        <f>AB279*Variables!$E$41</f>
        <v>9979200.0000000019</v>
      </c>
      <c r="AD279" s="115">
        <f>ROUND(IF(D279&lt;50000,0,(H279/(3.14*Variables!$C$34^2))),0)</f>
        <v>142</v>
      </c>
      <c r="AE279" s="116">
        <f t="shared" si="46"/>
        <v>140</v>
      </c>
      <c r="AF279" s="117">
        <f t="shared" si="52"/>
        <v>2</v>
      </c>
      <c r="AG279" s="107">
        <f>AF279*Variables!$E$42*Variables!$C$15</f>
        <v>1355.088</v>
      </c>
      <c r="AH279" s="199">
        <f>ROUND((Z279)/Variables!$C$40,0)</f>
        <v>9</v>
      </c>
      <c r="AI279" s="33">
        <f t="shared" si="47"/>
        <v>9</v>
      </c>
      <c r="AJ279" s="199">
        <f t="shared" si="55"/>
        <v>0</v>
      </c>
      <c r="AK279" s="22">
        <f>AJ279*Variables!$E$43*Variables!$C$15</f>
        <v>0</v>
      </c>
      <c r="AL279" s="20">
        <f>Z279*Variables!$E$38*Variables!$C$15</f>
        <v>207225540.69961816</v>
      </c>
      <c r="AN279" s="200">
        <f t="shared" si="48"/>
        <v>0.14000000000000001</v>
      </c>
      <c r="AO279" s="201">
        <f t="shared" si="53"/>
        <v>48.020667182599489</v>
      </c>
      <c r="AP279" s="321">
        <f>VLOOKUP(A279,'Household Information'!H:Q,10,FALSE)</f>
        <v>84.816357440363504</v>
      </c>
      <c r="AQ279" s="122">
        <f>IF(12*(AO279-Variables!$C$3*AP279*F279)*(G279/5)&lt;0,0,12*(AO279-Variables!$C$3*AP279*F279)*(G279/5))</f>
        <v>0</v>
      </c>
    </row>
    <row r="280" spans="1:43" ht="14.25" customHeight="1" x14ac:dyDescent="0.35">
      <c r="A280" s="30">
        <v>25</v>
      </c>
      <c r="B280" s="28" t="s">
        <v>178</v>
      </c>
      <c r="C280" s="28">
        <v>2025</v>
      </c>
      <c r="D280" s="196">
        <f>Population!J26</f>
        <v>335602.85396531905</v>
      </c>
      <c r="E280" s="303" t="str">
        <f t="shared" si="54"/>
        <v>Medium</v>
      </c>
      <c r="F280" s="340">
        <f>VLOOKUP(A280,'Household Information'!$H$2:$M$49,6,FALSE)</f>
        <v>4.4000000000000004</v>
      </c>
      <c r="G280" s="196">
        <f t="shared" si="49"/>
        <v>76273</v>
      </c>
      <c r="H280" s="213">
        <f>Area!L26</f>
        <v>198.3529142470116</v>
      </c>
      <c r="J280" s="32">
        <f>D280*Variables!$C$20</f>
        <v>302.04256856878715</v>
      </c>
      <c r="K280" s="202">
        <f t="shared" si="45"/>
        <v>295.04988626432265</v>
      </c>
      <c r="L280" s="32">
        <f t="shared" si="50"/>
        <v>6.9926823044644948</v>
      </c>
      <c r="S280" s="198">
        <f>$L280*Variables!$C$21/100</f>
        <v>0.37969315680350191</v>
      </c>
      <c r="T280" s="198">
        <f>$L280*Variables!$C$22/100</f>
        <v>0.66446302440612837</v>
      </c>
      <c r="U280" s="198">
        <f>$L280*Variables!$C$23/100</f>
        <v>0.69610412080642037</v>
      </c>
      <c r="V280" s="198">
        <f>$L280*Variables!$C$24/100</f>
        <v>5.0625754240466936</v>
      </c>
      <c r="W280" s="22">
        <f>S280*Variables!$E$25*Variables!$C$15+'Cost Calculations'!T280*Variables!$E$26*Variables!$C$15+'Cost Calculations'!U280*Variables!$E$27*Variables!$C$15+V280*Variables!$E$28*Variables!$C$15</f>
        <v>4690283.8553467114</v>
      </c>
      <c r="X280" s="20">
        <f>J280*Variables!$E$29*Variables!$C$15</f>
        <v>51631.156671148477</v>
      </c>
      <c r="Z280" s="33">
        <f>D280*(IF(D280&lt;50000,0,IF(D280&gt;Variables!$C$7,Variables!$C$37,IF(D280&gt;Variables!$C$6,Variables!$C$36,IF(D280&gt;Variables!$C$5,Variables!$C$35)))))</f>
        <v>167.80142698265954</v>
      </c>
      <c r="AA280" s="34">
        <f t="shared" si="44"/>
        <v>164</v>
      </c>
      <c r="AB280" s="35">
        <f t="shared" si="51"/>
        <v>4</v>
      </c>
      <c r="AC280" s="22">
        <f>AB280*Variables!$E$41</f>
        <v>1478400.0000000002</v>
      </c>
      <c r="AD280" s="115">
        <f>ROUND(IF(D280&lt;50000,0,(H280/(3.14*Variables!$C$34^2))),0)</f>
        <v>253</v>
      </c>
      <c r="AE280" s="116">
        <f t="shared" si="46"/>
        <v>249</v>
      </c>
      <c r="AF280" s="117">
        <f t="shared" si="52"/>
        <v>4</v>
      </c>
      <c r="AG280" s="107">
        <f>AF280*Variables!$E$42*Variables!$C$15</f>
        <v>2710.1759999999999</v>
      </c>
      <c r="AH280" s="199">
        <f>ROUND((Z280)/Variables!$C$40,0)</f>
        <v>1</v>
      </c>
      <c r="AI280" s="33">
        <f t="shared" si="47"/>
        <v>1</v>
      </c>
      <c r="AJ280" s="199">
        <f t="shared" si="55"/>
        <v>0</v>
      </c>
      <c r="AK280" s="22">
        <f>AJ280*Variables!$E$43*Variables!$C$15</f>
        <v>0</v>
      </c>
      <c r="AL280" s="20">
        <f>Z280*Variables!$E$38*Variables!$C$15</f>
        <v>29747587.106431801</v>
      </c>
      <c r="AN280" s="200">
        <f t="shared" si="48"/>
        <v>0.14000000000000001</v>
      </c>
      <c r="AO280" s="201">
        <f t="shared" si="53"/>
        <v>36.960000000000008</v>
      </c>
      <c r="AP280" s="321">
        <f>VLOOKUP(A280,'Household Information'!H:Q,10,FALSE)</f>
        <v>100.80777483276538</v>
      </c>
      <c r="AQ280" s="122">
        <f>IF(12*(AO280-Variables!$C$3*AP280*F280)*(G280/5)&lt;0,0,12*(AO280-Variables!$C$3*AP280*F280)*(G280/5))</f>
        <v>0</v>
      </c>
    </row>
    <row r="281" spans="1:43" ht="14.25" customHeight="1" x14ac:dyDescent="0.35">
      <c r="A281" s="30">
        <v>26</v>
      </c>
      <c r="B281" s="28" t="s">
        <v>179</v>
      </c>
      <c r="C281" s="28">
        <v>2025</v>
      </c>
      <c r="D281" s="196">
        <f>Population!J27</f>
        <v>139067.25534848581</v>
      </c>
      <c r="E281" s="303" t="str">
        <f t="shared" si="54"/>
        <v>Medium</v>
      </c>
      <c r="F281" s="340">
        <f>VLOOKUP(A281,'Household Information'!$H$2:$M$49,6,FALSE)</f>
        <v>3.9948981478058339</v>
      </c>
      <c r="G281" s="196">
        <f t="shared" si="49"/>
        <v>34811</v>
      </c>
      <c r="H281" s="213">
        <f>Area!L27</f>
        <v>708.19336790414502</v>
      </c>
      <c r="J281" s="32">
        <f>D281*Variables!$C$20</f>
        <v>125.16052981363723</v>
      </c>
      <c r="K281" s="202">
        <f t="shared" si="45"/>
        <v>122.26289910485221</v>
      </c>
      <c r="L281" s="32">
        <f t="shared" si="50"/>
        <v>2.8976307087850159</v>
      </c>
      <c r="S281" s="198">
        <f>$L281*Variables!$C$21/100</f>
        <v>0.15733741405167506</v>
      </c>
      <c r="T281" s="198">
        <f>$L281*Variables!$C$22/100</f>
        <v>0.27534047459043137</v>
      </c>
      <c r="U281" s="198">
        <f>$L281*Variables!$C$23/100</f>
        <v>0.28845192576140433</v>
      </c>
      <c r="V281" s="198">
        <f>$L281*Variables!$C$24/100</f>
        <v>2.0978321873556673</v>
      </c>
      <c r="W281" s="22">
        <f>S281*Variables!$E$25*Variables!$C$15+'Cost Calculations'!T281*Variables!$E$26*Variables!$C$15+'Cost Calculations'!U281*Variables!$E$27*Variables!$C$15+V281*Variables!$E$28*Variables!$C$15</f>
        <v>1943561.8465741228</v>
      </c>
      <c r="X281" s="20">
        <f>J281*Variables!$E$29*Variables!$C$15</f>
        <v>21394.940966343147</v>
      </c>
      <c r="Z281" s="33">
        <f>D281*(IF(D281&lt;50000,0,IF(D281&gt;Variables!$C$7,Variables!$C$37,IF(D281&gt;Variables!$C$6,Variables!$C$36,IF(D281&gt;Variables!$C$5,Variables!$C$35)))))</f>
        <v>69.533627674242908</v>
      </c>
      <c r="AA281" s="34">
        <f t="shared" si="44"/>
        <v>139</v>
      </c>
      <c r="AB281" s="35">
        <f t="shared" si="51"/>
        <v>0</v>
      </c>
      <c r="AC281" s="22">
        <f>AB281*Variables!$E$41</f>
        <v>0</v>
      </c>
      <c r="AD281" s="115">
        <f>ROUND(IF(D281&lt;50000,0,(H281/(3.14*Variables!$C$34^2))),0)</f>
        <v>902</v>
      </c>
      <c r="AE281" s="116">
        <f t="shared" si="46"/>
        <v>890</v>
      </c>
      <c r="AF281" s="117">
        <f t="shared" si="52"/>
        <v>12</v>
      </c>
      <c r="AG281" s="107">
        <f>AF281*Variables!$E$42*Variables!$C$15</f>
        <v>8130.5280000000002</v>
      </c>
      <c r="AH281" s="199">
        <f>ROUND((Z281)/Variables!$C$40,0)</f>
        <v>1</v>
      </c>
      <c r="AI281" s="33">
        <f t="shared" si="47"/>
        <v>1</v>
      </c>
      <c r="AJ281" s="199">
        <f t="shared" si="55"/>
        <v>0</v>
      </c>
      <c r="AK281" s="22">
        <f>AJ281*Variables!$E$43*Variables!$C$15</f>
        <v>0</v>
      </c>
      <c r="AL281" s="20">
        <f>Z281*Variables!$E$38*Variables!$C$15</f>
        <v>12326817.973243402</v>
      </c>
      <c r="AN281" s="200">
        <f t="shared" si="48"/>
        <v>0.25221875000000005</v>
      </c>
      <c r="AO281" s="201">
        <f t="shared" si="53"/>
        <v>60.455293033014172</v>
      </c>
      <c r="AP281" s="321">
        <f>VLOOKUP(A281,'Household Information'!H:Q,10,FALSE)</f>
        <v>108.65462509082352</v>
      </c>
      <c r="AQ281" s="122">
        <f>IF(12*(AO281-Variables!$C$3*AP281*F281)*(G281/5)&lt;0,0,12*(AO281-Variables!$C$3*AP281*F281)*(G281/5))</f>
        <v>0</v>
      </c>
    </row>
    <row r="282" spans="1:43" ht="14.25" customHeight="1" x14ac:dyDescent="0.35">
      <c r="A282" s="30">
        <v>27</v>
      </c>
      <c r="B282" s="28" t="s">
        <v>180</v>
      </c>
      <c r="C282" s="28">
        <v>2025</v>
      </c>
      <c r="D282" s="196">
        <f>Population!J28</f>
        <v>1402572.6550968853</v>
      </c>
      <c r="E282" s="303" t="str">
        <f t="shared" si="54"/>
        <v>Large</v>
      </c>
      <c r="F282" s="340">
        <f>VLOOKUP(A282,'Household Information'!$H$2:$M$49,6,FALSE)</f>
        <v>4.6947316089524085</v>
      </c>
      <c r="G282" s="196">
        <f t="shared" si="49"/>
        <v>298755</v>
      </c>
      <c r="H282" s="213">
        <f>Area!L28</f>
        <v>132.23324450666877</v>
      </c>
      <c r="J282" s="32">
        <f>D282*Variables!$C$20</f>
        <v>1262.3153895871967</v>
      </c>
      <c r="K282" s="202">
        <f t="shared" si="45"/>
        <v>2162.4648561170238</v>
      </c>
      <c r="L282" s="32">
        <f t="shared" si="50"/>
        <v>0</v>
      </c>
      <c r="S282" s="198">
        <f>$L282*Variables!$C$21/100</f>
        <v>0</v>
      </c>
      <c r="T282" s="198">
        <f>$L282*Variables!$C$22/100</f>
        <v>0</v>
      </c>
      <c r="U282" s="198">
        <f>$L282*Variables!$C$23/100</f>
        <v>0</v>
      </c>
      <c r="V282" s="198">
        <f>$L282*Variables!$C$24/100</f>
        <v>0</v>
      </c>
      <c r="W282" s="22">
        <f>S282*Variables!$E$25*Variables!$C$15+'Cost Calculations'!T282*Variables!$E$26*Variables!$C$15+'Cost Calculations'!U282*Variables!$E$27*Variables!$C$15+V282*Variables!$E$28*Variables!$C$15</f>
        <v>0</v>
      </c>
      <c r="X282" s="20">
        <f>J282*Variables!$E$29*Variables!$C$15</f>
        <v>215780.19269603543</v>
      </c>
      <c r="Z282" s="33">
        <f>D282*(IF(D282&lt;50000,0,IF(D282&gt;Variables!$C$7,Variables!$C$37,IF(D282&gt;Variables!$C$6,Variables!$C$36,IF(D282&gt;Variables!$C$5,Variables!$C$35)))))</f>
        <v>701.28632754844261</v>
      </c>
      <c r="AA282" s="34">
        <f t="shared" si="44"/>
        <v>685</v>
      </c>
      <c r="AB282" s="35">
        <f t="shared" si="51"/>
        <v>16</v>
      </c>
      <c r="AC282" s="22">
        <f>AB282*Variables!$E$41</f>
        <v>5913600.0000000009</v>
      </c>
      <c r="AD282" s="115">
        <f>ROUND(IF(D282&lt;50000,0,(H282/(3.14*Variables!$C$34^2))),0)</f>
        <v>168</v>
      </c>
      <c r="AE282" s="116">
        <f t="shared" si="46"/>
        <v>166</v>
      </c>
      <c r="AF282" s="117">
        <f t="shared" si="52"/>
        <v>2</v>
      </c>
      <c r="AG282" s="107">
        <f>AF282*Variables!$E$42*Variables!$C$15</f>
        <v>1355.088</v>
      </c>
      <c r="AH282" s="199">
        <f>ROUND((Z282)/Variables!$C$40,0)</f>
        <v>6</v>
      </c>
      <c r="AI282" s="33">
        <f t="shared" si="47"/>
        <v>110</v>
      </c>
      <c r="AJ282" s="199">
        <f t="shared" si="55"/>
        <v>0</v>
      </c>
      <c r="AK282" s="22">
        <f>AJ282*Variables!$E$43*Variables!$C$15</f>
        <v>0</v>
      </c>
      <c r="AL282" s="20">
        <f>Z282*Variables!$E$38*Variables!$C$15</f>
        <v>124322995.87924708</v>
      </c>
      <c r="AN282" s="200">
        <f t="shared" si="48"/>
        <v>0.14000000000000001</v>
      </c>
      <c r="AO282" s="201">
        <f t="shared" si="53"/>
        <v>39.435745515200232</v>
      </c>
      <c r="AP282" s="321">
        <f>VLOOKUP(A282,'Household Information'!H:Q,10,FALSE)</f>
        <v>58.94736842105263</v>
      </c>
      <c r="AQ282" s="122">
        <f>IF(12*(AO282-Variables!$C$3*AP282*F282)*(G282/5)&lt;0,0,12*(AO282-Variables!$C$3*AP282*F282)*(G282/5))</f>
        <v>0</v>
      </c>
    </row>
    <row r="283" spans="1:43" ht="14.25" customHeight="1" x14ac:dyDescent="0.35">
      <c r="A283" s="30">
        <v>28</v>
      </c>
      <c r="B283" s="28" t="s">
        <v>181</v>
      </c>
      <c r="C283" s="28">
        <v>2025</v>
      </c>
      <c r="D283" s="196">
        <f>Population!J29</f>
        <v>1490014.0409534173</v>
      </c>
      <c r="E283" s="303" t="str">
        <f t="shared" si="54"/>
        <v>Large</v>
      </c>
      <c r="F283" s="340">
        <f>VLOOKUP(A283,'Household Information'!$H$2:$M$49,6,FALSE)</f>
        <v>3.2903489815623708</v>
      </c>
      <c r="G283" s="196">
        <f t="shared" si="49"/>
        <v>452844</v>
      </c>
      <c r="H283" s="213">
        <f>Area!L29</f>
        <v>170.43657816780245</v>
      </c>
      <c r="J283" s="32">
        <f>D283*Variables!$C$20</f>
        <v>1341.0126368580754</v>
      </c>
      <c r="K283" s="202">
        <f t="shared" si="45"/>
        <v>1309.9664324099592</v>
      </c>
      <c r="L283" s="32">
        <f t="shared" si="50"/>
        <v>31.046204448116214</v>
      </c>
      <c r="S283" s="198">
        <f>$L283*Variables!$C$21/100</f>
        <v>1.685766757363776</v>
      </c>
      <c r="T283" s="198">
        <f>$L283*Variables!$C$22/100</f>
        <v>2.9500918253866089</v>
      </c>
      <c r="U283" s="198">
        <f>$L283*Variables!$C$23/100</f>
        <v>3.0905723885002567</v>
      </c>
      <c r="V283" s="198">
        <f>$L283*Variables!$C$24/100</f>
        <v>22.476890098183684</v>
      </c>
      <c r="W283" s="22">
        <f>S283*Variables!$E$25*Variables!$C$15+'Cost Calculations'!T283*Variables!$E$26*Variables!$C$15+'Cost Calculations'!U283*Variables!$E$27*Variables!$C$15+V283*Variables!$E$28*Variables!$C$15</f>
        <v>20823985.010705285</v>
      </c>
      <c r="X283" s="20">
        <f>J283*Variables!$E$29*Variables!$C$15</f>
        <v>229232.70014451942</v>
      </c>
      <c r="Z283" s="33">
        <f>D283*(IF(D283&lt;50000,0,IF(D283&gt;Variables!$C$7,Variables!$C$37,IF(D283&gt;Variables!$C$6,Variables!$C$36,IF(D283&gt;Variables!$C$5,Variables!$C$35)))))</f>
        <v>745.0070204767087</v>
      </c>
      <c r="AA283" s="34">
        <f t="shared" si="44"/>
        <v>728</v>
      </c>
      <c r="AB283" s="35">
        <f t="shared" si="51"/>
        <v>17</v>
      </c>
      <c r="AC283" s="22">
        <f>AB283*Variables!$E$41</f>
        <v>6283200.0000000009</v>
      </c>
      <c r="AD283" s="115">
        <f>ROUND(IF(D283&lt;50000,0,(H283/(3.14*Variables!$C$34^2))),0)</f>
        <v>217</v>
      </c>
      <c r="AE283" s="116">
        <f t="shared" si="46"/>
        <v>214</v>
      </c>
      <c r="AF283" s="117">
        <f t="shared" si="52"/>
        <v>3</v>
      </c>
      <c r="AG283" s="107">
        <f>AF283*Variables!$E$42*Variables!$C$15</f>
        <v>2032.6320000000001</v>
      </c>
      <c r="AH283" s="199">
        <f>ROUND((Z283)/Variables!$C$40,0)</f>
        <v>6</v>
      </c>
      <c r="AI283" s="33">
        <f t="shared" si="47"/>
        <v>6</v>
      </c>
      <c r="AJ283" s="199">
        <f t="shared" si="55"/>
        <v>0</v>
      </c>
      <c r="AK283" s="22">
        <f>AJ283*Variables!$E$43*Variables!$C$15</f>
        <v>0</v>
      </c>
      <c r="AL283" s="20">
        <f>Z283*Variables!$E$38*Variables!$C$15</f>
        <v>132073735.2181417</v>
      </c>
      <c r="AN283" s="200">
        <f t="shared" si="48"/>
        <v>0.21</v>
      </c>
      <c r="AO283" s="201">
        <f t="shared" si="53"/>
        <v>41.458397167685874</v>
      </c>
      <c r="AP283" s="321">
        <f>VLOOKUP(A283,'Household Information'!H:Q,10,FALSE)</f>
        <v>53.01022340022719</v>
      </c>
      <c r="AQ283" s="122">
        <f>IF(12*(AO283-Variables!$C$3*AP283*F283)*(G283/5)&lt;0,0,12*(AO283-Variables!$C$3*AP283*F283)*(G283/5))</f>
        <v>16623081.217015175</v>
      </c>
    </row>
    <row r="284" spans="1:43" ht="14.25" customHeight="1" x14ac:dyDescent="0.35">
      <c r="A284" s="30">
        <v>29</v>
      </c>
      <c r="B284" s="28" t="s">
        <v>182</v>
      </c>
      <c r="C284" s="28">
        <v>2025</v>
      </c>
      <c r="D284" s="196">
        <f>Population!J30</f>
        <v>198814.84355407214</v>
      </c>
      <c r="E284" s="303" t="str">
        <f t="shared" si="54"/>
        <v>Medium</v>
      </c>
      <c r="F284" s="340">
        <f>VLOOKUP(A284,'Household Information'!$H$2:$M$49,6,FALSE)</f>
        <v>4.6165672844480259</v>
      </c>
      <c r="G284" s="196">
        <f t="shared" si="49"/>
        <v>43066</v>
      </c>
      <c r="H284" s="213">
        <f>Area!L30</f>
        <v>957.97111177075215</v>
      </c>
      <c r="J284" s="32">
        <f>D284*Variables!$C$20</f>
        <v>178.93335919866493</v>
      </c>
      <c r="K284" s="202">
        <f t="shared" si="45"/>
        <v>174.79081683956716</v>
      </c>
      <c r="L284" s="32">
        <f t="shared" si="50"/>
        <v>4.1425423590977744</v>
      </c>
      <c r="S284" s="198">
        <f>$L284*Variables!$C$21/100</f>
        <v>0.22493442673834069</v>
      </c>
      <c r="T284" s="198">
        <f>$L284*Variables!$C$22/100</f>
        <v>0.39363524679209616</v>
      </c>
      <c r="U284" s="198">
        <f>$L284*Variables!$C$23/100</f>
        <v>0.4123797823536246</v>
      </c>
      <c r="V284" s="198">
        <f>$L284*Variables!$C$24/100</f>
        <v>2.9991256898445426</v>
      </c>
      <c r="W284" s="22">
        <f>S284*Variables!$E$25*Variables!$C$15+'Cost Calculations'!T284*Variables!$E$26*Variables!$C$15+'Cost Calculations'!U284*Variables!$E$27*Variables!$C$15+V284*Variables!$E$28*Variables!$C$15</f>
        <v>2778576.0457844953</v>
      </c>
      <c r="X284" s="20">
        <f>J284*Variables!$E$29*Variables!$C$15</f>
        <v>30586.868421419786</v>
      </c>
      <c r="Z284" s="33">
        <f>D284*(IF(D284&lt;50000,0,IF(D284&gt;Variables!$C$7,Variables!$C$37,IF(D284&gt;Variables!$C$6,Variables!$C$36,IF(D284&gt;Variables!$C$5,Variables!$C$35)))))</f>
        <v>99.407421777036078</v>
      </c>
      <c r="AA284" s="34">
        <f t="shared" si="44"/>
        <v>206</v>
      </c>
      <c r="AB284" s="35">
        <f t="shared" si="51"/>
        <v>0</v>
      </c>
      <c r="AC284" s="22">
        <f>AB284*Variables!$E$41</f>
        <v>0</v>
      </c>
      <c r="AD284" s="115">
        <f>ROUND(IF(D284&lt;50000,0,(H284/(3.14*Variables!$C$34^2))),0)</f>
        <v>1220</v>
      </c>
      <c r="AE284" s="116">
        <f t="shared" si="46"/>
        <v>1203</v>
      </c>
      <c r="AF284" s="117">
        <f t="shared" si="52"/>
        <v>17</v>
      </c>
      <c r="AG284" s="107">
        <f>AF284*Variables!$E$42*Variables!$C$15</f>
        <v>11518.248</v>
      </c>
      <c r="AH284" s="199">
        <f>ROUND((Z284)/Variables!$C$40,0)</f>
        <v>1</v>
      </c>
      <c r="AI284" s="33">
        <f t="shared" si="47"/>
        <v>1</v>
      </c>
      <c r="AJ284" s="199">
        <f t="shared" si="55"/>
        <v>0</v>
      </c>
      <c r="AK284" s="22">
        <f>AJ284*Variables!$E$43*Variables!$C$15</f>
        <v>0</v>
      </c>
      <c r="AL284" s="20">
        <f>Z284*Variables!$E$38*Variables!$C$15</f>
        <v>17622799.707440946</v>
      </c>
      <c r="AN284" s="200">
        <f t="shared" si="48"/>
        <v>0.14000000000000001</v>
      </c>
      <c r="AO284" s="201">
        <f t="shared" si="53"/>
        <v>38.779165189363418</v>
      </c>
      <c r="AP284" s="321">
        <f>VLOOKUP(A284,'Household Information'!H:Q,10,FALSE)</f>
        <v>91.707686482393044</v>
      </c>
      <c r="AQ284" s="122">
        <f>IF(12*(AO284-Variables!$C$3*AP284*F284)*(G284/5)&lt;0,0,12*(AO284-Variables!$C$3*AP284*F284)*(G284/5))</f>
        <v>0</v>
      </c>
    </row>
    <row r="285" spans="1:43" ht="14.25" customHeight="1" x14ac:dyDescent="0.35">
      <c r="A285" s="30">
        <v>30</v>
      </c>
      <c r="B285" s="28" t="s">
        <v>183</v>
      </c>
      <c r="C285" s="28">
        <v>2025</v>
      </c>
      <c r="D285" s="196">
        <f>Population!J31</f>
        <v>136400.73310461498</v>
      </c>
      <c r="E285" s="303" t="str">
        <f t="shared" si="54"/>
        <v>Medium</v>
      </c>
      <c r="F285" s="340">
        <f>VLOOKUP(A285,'Household Information'!$H$2:$M$49,6,FALSE)</f>
        <v>4.0765401369010581</v>
      </c>
      <c r="G285" s="196">
        <f t="shared" si="49"/>
        <v>33460</v>
      </c>
      <c r="H285" s="213">
        <f>Area!L31</f>
        <v>95.5032550078204</v>
      </c>
      <c r="J285" s="32">
        <f>D285*Variables!$C$20</f>
        <v>122.76065979415348</v>
      </c>
      <c r="K285" s="202">
        <f t="shared" si="45"/>
        <v>119.91858922941628</v>
      </c>
      <c r="L285" s="32">
        <f t="shared" si="50"/>
        <v>2.8420705647371989</v>
      </c>
      <c r="S285" s="198">
        <f>$L285*Variables!$C$21/100</f>
        <v>0.15432057365088861</v>
      </c>
      <c r="T285" s="198">
        <f>$L285*Variables!$C$22/100</f>
        <v>0.27006100388905507</v>
      </c>
      <c r="U285" s="198">
        <f>$L285*Variables!$C$23/100</f>
        <v>0.28292105169329579</v>
      </c>
      <c r="V285" s="198">
        <f>$L285*Variables!$C$24/100</f>
        <v>2.0576076486785149</v>
      </c>
      <c r="W285" s="22">
        <f>S285*Variables!$E$25*Variables!$C$15+'Cost Calculations'!T285*Variables!$E$26*Variables!$C$15+'Cost Calculations'!U285*Variables!$E$27*Variables!$C$15+V285*Variables!$E$28*Variables!$C$15</f>
        <v>1906295.3392051498</v>
      </c>
      <c r="X285" s="20">
        <f>J285*Variables!$E$29*Variables!$C$15</f>
        <v>20984.707185212596</v>
      </c>
      <c r="Z285" s="33">
        <f>D285*(IF(D285&lt;50000,0,IF(D285&gt;Variables!$C$7,Variables!$C$37,IF(D285&gt;Variables!$C$6,Variables!$C$36,IF(D285&gt;Variables!$C$5,Variables!$C$35)))))</f>
        <v>68.200366552307486</v>
      </c>
      <c r="AA285" s="34">
        <f t="shared" si="44"/>
        <v>67</v>
      </c>
      <c r="AB285" s="35">
        <f t="shared" si="51"/>
        <v>1</v>
      </c>
      <c r="AC285" s="22">
        <f>AB285*Variables!$E$41</f>
        <v>369600.00000000006</v>
      </c>
      <c r="AD285" s="115">
        <f>ROUND(IF(D285&lt;50000,0,(H285/(3.14*Variables!$C$34^2))),0)</f>
        <v>122</v>
      </c>
      <c r="AE285" s="116">
        <f t="shared" si="46"/>
        <v>120</v>
      </c>
      <c r="AF285" s="117">
        <f t="shared" si="52"/>
        <v>2</v>
      </c>
      <c r="AG285" s="107">
        <f>AF285*Variables!$E$42*Variables!$C$15</f>
        <v>1355.088</v>
      </c>
      <c r="AH285" s="199">
        <f>ROUND((Z285)/Variables!$C$40,0)</f>
        <v>1</v>
      </c>
      <c r="AI285" s="33">
        <f t="shared" si="47"/>
        <v>21</v>
      </c>
      <c r="AJ285" s="199">
        <f t="shared" si="55"/>
        <v>0</v>
      </c>
      <c r="AK285" s="22">
        <f>AJ285*Variables!$E$43*Variables!$C$15</f>
        <v>0</v>
      </c>
      <c r="AL285" s="20">
        <f>Z285*Variables!$E$38*Variables!$C$15</f>
        <v>12090459.426873641</v>
      </c>
      <c r="AN285" s="200">
        <f t="shared" si="48"/>
        <v>0.25221875000000005</v>
      </c>
      <c r="AO285" s="201">
        <f t="shared" si="53"/>
        <v>61.690791459240835</v>
      </c>
      <c r="AP285" s="321">
        <f>VLOOKUP(A285,'Household Information'!H:Q,10,FALSE)</f>
        <v>60.413984601792251</v>
      </c>
      <c r="AQ285" s="122">
        <f>IF(12*(AO285-Variables!$C$3*AP285*F285)*(G285/5)&lt;0,0,12*(AO285-Variables!$C$3*AP285*F285)*(G285/5))</f>
        <v>1987426.5511234277</v>
      </c>
    </row>
    <row r="286" spans="1:43" ht="14.25" customHeight="1" x14ac:dyDescent="0.35">
      <c r="A286" s="30">
        <v>31</v>
      </c>
      <c r="B286" s="28" t="s">
        <v>184</v>
      </c>
      <c r="C286" s="28">
        <v>2025</v>
      </c>
      <c r="D286" s="196">
        <f>Population!J32</f>
        <v>235389.64553416171</v>
      </c>
      <c r="E286" s="303" t="str">
        <f t="shared" si="54"/>
        <v>Medium</v>
      </c>
      <c r="F286" s="340">
        <f>VLOOKUP(A286,'Household Information'!$H$2:$M$49,6,FALSE)</f>
        <v>3.6621172202306398</v>
      </c>
      <c r="G286" s="196">
        <f t="shared" si="49"/>
        <v>64277</v>
      </c>
      <c r="H286" s="213">
        <f>Area!L32</f>
        <v>721.41689552061246</v>
      </c>
      <c r="J286" s="32">
        <f>D286*Variables!$C$20</f>
        <v>211.85068098074552</v>
      </c>
      <c r="K286" s="202">
        <f t="shared" si="45"/>
        <v>522.30024000000003</v>
      </c>
      <c r="L286" s="32">
        <f t="shared" si="50"/>
        <v>0</v>
      </c>
      <c r="S286" s="198">
        <f>$L286*Variables!$C$21/100</f>
        <v>0</v>
      </c>
      <c r="T286" s="198">
        <f>$L286*Variables!$C$22/100</f>
        <v>0</v>
      </c>
      <c r="U286" s="198">
        <f>$L286*Variables!$C$23/100</f>
        <v>0</v>
      </c>
      <c r="V286" s="198">
        <f>$L286*Variables!$C$24/100</f>
        <v>0</v>
      </c>
      <c r="W286" s="22">
        <f>S286*Variables!$E$25*Variables!$C$15+'Cost Calculations'!T286*Variables!$E$26*Variables!$C$15+'Cost Calculations'!U286*Variables!$E$27*Variables!$C$15+V286*Variables!$E$28*Variables!$C$15</f>
        <v>0</v>
      </c>
      <c r="X286" s="20">
        <f>J286*Variables!$E$29*Variables!$C$15</f>
        <v>36213.755406848642</v>
      </c>
      <c r="Z286" s="33">
        <f>D286*(IF(D286&lt;50000,0,IF(D286&gt;Variables!$C$7,Variables!$C$37,IF(D286&gt;Variables!$C$6,Variables!$C$36,IF(D286&gt;Variables!$C$5,Variables!$C$35)))))</f>
        <v>117.69482276708086</v>
      </c>
      <c r="AA286" s="34">
        <f t="shared" si="44"/>
        <v>3158</v>
      </c>
      <c r="AB286" s="35">
        <f t="shared" si="51"/>
        <v>0</v>
      </c>
      <c r="AC286" s="22">
        <f>AB286*Variables!$E$41</f>
        <v>0</v>
      </c>
      <c r="AD286" s="115">
        <f>ROUND(IF(D286&lt;50000,0,(H286/(3.14*Variables!$C$34^2))),0)</f>
        <v>919</v>
      </c>
      <c r="AE286" s="116">
        <f t="shared" si="46"/>
        <v>906</v>
      </c>
      <c r="AF286" s="117">
        <f t="shared" si="52"/>
        <v>13</v>
      </c>
      <c r="AG286" s="107">
        <f>AF286*Variables!$E$42*Variables!$C$15</f>
        <v>8808.0720000000001</v>
      </c>
      <c r="AH286" s="199">
        <f>ROUND((Z286)/Variables!$C$40,0)</f>
        <v>1</v>
      </c>
      <c r="AI286" s="33">
        <f t="shared" si="47"/>
        <v>27</v>
      </c>
      <c r="AJ286" s="199">
        <f t="shared" si="55"/>
        <v>0</v>
      </c>
      <c r="AK286" s="22">
        <f>AJ286*Variables!$E$43*Variables!$C$15</f>
        <v>0</v>
      </c>
      <c r="AL286" s="20">
        <f>Z286*Variables!$E$38*Variables!$C$15</f>
        <v>20864762.923628744</v>
      </c>
      <c r="AN286" s="200">
        <f t="shared" si="48"/>
        <v>0.14000000000000001</v>
      </c>
      <c r="AO286" s="201">
        <f t="shared" si="53"/>
        <v>30.761784649937375</v>
      </c>
      <c r="AP286" s="321">
        <f>VLOOKUP(A286,'Household Information'!H:Q,10,FALSE)</f>
        <v>118.33648870377382</v>
      </c>
      <c r="AQ286" s="122">
        <f>IF(12*(AO286-Variables!$C$3*AP286*F286)*(G286/5)&lt;0,0,12*(AO286-Variables!$C$3*AP286*F286)*(G286/5))</f>
        <v>0</v>
      </c>
    </row>
    <row r="287" spans="1:43" ht="14.25" customHeight="1" x14ac:dyDescent="0.35">
      <c r="A287" s="30">
        <v>32</v>
      </c>
      <c r="B287" s="28" t="s">
        <v>185</v>
      </c>
      <c r="C287" s="28">
        <v>2025</v>
      </c>
      <c r="D287" s="196">
        <f>Population!J33</f>
        <v>1638738.2433350156</v>
      </c>
      <c r="E287" s="303" t="str">
        <f t="shared" si="54"/>
        <v>Large</v>
      </c>
      <c r="F287" s="340">
        <f>VLOOKUP(A287,'Household Information'!$H$2:$M$49,6,FALSE)</f>
        <v>6.457235996477583</v>
      </c>
      <c r="G287" s="196">
        <f t="shared" si="49"/>
        <v>253783</v>
      </c>
      <c r="H287" s="213">
        <f>Area!L33</f>
        <v>42.609144541950634</v>
      </c>
      <c r="J287" s="32">
        <f>D287*Variables!$C$20</f>
        <v>1474.8644190015141</v>
      </c>
      <c r="K287" s="202">
        <f t="shared" si="45"/>
        <v>1440.7193699340762</v>
      </c>
      <c r="L287" s="32">
        <f t="shared" si="50"/>
        <v>34.145049067437867</v>
      </c>
      <c r="S287" s="198">
        <f>$L287*Variables!$C$21/100</f>
        <v>1.8540298136165356</v>
      </c>
      <c r="T287" s="198">
        <f>$L287*Variables!$C$22/100</f>
        <v>3.2445521738289376</v>
      </c>
      <c r="U287" s="198">
        <f>$L287*Variables!$C$23/100</f>
        <v>3.3990546582969823</v>
      </c>
      <c r="V287" s="198">
        <f>$L287*Variables!$C$24/100</f>
        <v>24.720397514887146</v>
      </c>
      <c r="W287" s="22">
        <f>S287*Variables!$E$25*Variables!$C$15+'Cost Calculations'!T287*Variables!$E$26*Variables!$C$15+'Cost Calculations'!U287*Variables!$E$27*Variables!$C$15+V287*Variables!$E$28*Variables!$C$15</f>
        <v>22902509.424570449</v>
      </c>
      <c r="X287" s="20">
        <f>J287*Variables!$E$29*Variables!$C$15</f>
        <v>252113.32378411884</v>
      </c>
      <c r="Z287" s="33">
        <f>D287*(IF(D287&lt;50000,0,IF(D287&gt;Variables!$C$7,Variables!$C$37,IF(D287&gt;Variables!$C$6,Variables!$C$36,IF(D287&gt;Variables!$C$5,Variables!$C$35)))))</f>
        <v>819.36912166750778</v>
      </c>
      <c r="AA287" s="34">
        <f t="shared" si="44"/>
        <v>800</v>
      </c>
      <c r="AB287" s="35">
        <f t="shared" si="51"/>
        <v>19</v>
      </c>
      <c r="AC287" s="22">
        <f>AB287*Variables!$E$41</f>
        <v>7022400.0000000009</v>
      </c>
      <c r="AD287" s="115">
        <f>ROUND(IF(D287&lt;50000,0,(H287/(3.14*Variables!$C$34^2))),0)</f>
        <v>54</v>
      </c>
      <c r="AE287" s="116">
        <f t="shared" si="46"/>
        <v>54</v>
      </c>
      <c r="AF287" s="117">
        <f t="shared" si="52"/>
        <v>0</v>
      </c>
      <c r="AG287" s="107">
        <f>AF287*Variables!$E$42*Variables!$C$15</f>
        <v>0</v>
      </c>
      <c r="AH287" s="199">
        <f>ROUND((Z287)/Variables!$C$40,0)</f>
        <v>7</v>
      </c>
      <c r="AI287" s="33">
        <f t="shared" si="47"/>
        <v>6</v>
      </c>
      <c r="AJ287" s="199">
        <f t="shared" si="55"/>
        <v>1</v>
      </c>
      <c r="AK287" s="22">
        <f>AJ287*Variables!$E$43*Variables!$C$15</f>
        <v>552717.39600000007</v>
      </c>
      <c r="AL287" s="20">
        <f>Z287*Variables!$E$38*Variables!$C$15</f>
        <v>145256537.78643683</v>
      </c>
      <c r="AN287" s="200">
        <f t="shared" si="48"/>
        <v>0.14000000000000001</v>
      </c>
      <c r="AO287" s="201">
        <f t="shared" si="53"/>
        <v>54.240782370411701</v>
      </c>
      <c r="AP287" s="321">
        <f>VLOOKUP(A287,'Household Information'!H:Q,10,FALSE)</f>
        <v>105.97627161428754</v>
      </c>
      <c r="AQ287" s="122">
        <f>IF(12*(AO287-Variables!$C$3*AP287*F287)*(G287/5)&lt;0,0,12*(AO287-Variables!$C$3*AP287*F287)*(G287/5))</f>
        <v>0</v>
      </c>
    </row>
    <row r="288" spans="1:43" ht="14.25" customHeight="1" x14ac:dyDescent="0.35">
      <c r="A288" s="30">
        <v>33</v>
      </c>
      <c r="B288" s="28" t="s">
        <v>186</v>
      </c>
      <c r="C288" s="28">
        <v>2025</v>
      </c>
      <c r="D288" s="196">
        <f>Population!J34</f>
        <v>1032310.5643240648</v>
      </c>
      <c r="E288" s="303" t="str">
        <f t="shared" si="54"/>
        <v>Large</v>
      </c>
      <c r="F288" s="340">
        <f>VLOOKUP(A288,'Household Information'!$H$2:$M$49,6,FALSE)</f>
        <v>3.9813857124502121</v>
      </c>
      <c r="G288" s="196">
        <f t="shared" si="49"/>
        <v>259284</v>
      </c>
      <c r="H288" s="213">
        <f>Area!L34</f>
        <v>355.56596479834656</v>
      </c>
      <c r="J288" s="32">
        <f>D288*Variables!$C$20</f>
        <v>929.0795078916583</v>
      </c>
      <c r="K288" s="202">
        <f t="shared" si="45"/>
        <v>1137.8472300000001</v>
      </c>
      <c r="L288" s="32">
        <f t="shared" si="50"/>
        <v>0</v>
      </c>
      <c r="S288" s="198">
        <f>$L288*Variables!$C$21/100</f>
        <v>0</v>
      </c>
      <c r="T288" s="198">
        <f>$L288*Variables!$C$22/100</f>
        <v>0</v>
      </c>
      <c r="U288" s="198">
        <f>$L288*Variables!$C$23/100</f>
        <v>0</v>
      </c>
      <c r="V288" s="198">
        <f>$L288*Variables!$C$24/100</f>
        <v>0</v>
      </c>
      <c r="W288" s="22">
        <f>S288*Variables!$E$25*Variables!$C$15+'Cost Calculations'!T288*Variables!$E$26*Variables!$C$15+'Cost Calculations'!U288*Variables!$E$27*Variables!$C$15+V288*Variables!$E$28*Variables!$C$15</f>
        <v>0</v>
      </c>
      <c r="X288" s="20">
        <f>J288*Variables!$E$29*Variables!$C$15</f>
        <v>158816.85107900007</v>
      </c>
      <c r="Z288" s="33">
        <f>D288*(IF(D288&lt;50000,0,IF(D288&gt;Variables!$C$7,Variables!$C$37,IF(D288&gt;Variables!$C$6,Variables!$C$36,IF(D288&gt;Variables!$C$5,Variables!$C$35)))))</f>
        <v>516.15528216203234</v>
      </c>
      <c r="AA288" s="34">
        <f t="shared" si="44"/>
        <v>504</v>
      </c>
      <c r="AB288" s="35">
        <f t="shared" si="51"/>
        <v>12</v>
      </c>
      <c r="AC288" s="22">
        <f>AB288*Variables!$E$41</f>
        <v>4435200.0000000009</v>
      </c>
      <c r="AD288" s="115">
        <f>ROUND(IF(D288&lt;50000,0,(H288/(3.14*Variables!$C$34^2))),0)</f>
        <v>453</v>
      </c>
      <c r="AE288" s="116">
        <f t="shared" si="46"/>
        <v>447</v>
      </c>
      <c r="AF288" s="117">
        <f t="shared" si="52"/>
        <v>6</v>
      </c>
      <c r="AG288" s="107">
        <f>AF288*Variables!$E$42*Variables!$C$15</f>
        <v>4065.2640000000001</v>
      </c>
      <c r="AH288" s="199">
        <f>ROUND((Z288)/Variables!$C$40,0)</f>
        <v>4</v>
      </c>
      <c r="AI288" s="33">
        <f t="shared" si="47"/>
        <v>4</v>
      </c>
      <c r="AJ288" s="199">
        <f t="shared" si="55"/>
        <v>0</v>
      </c>
      <c r="AK288" s="22">
        <f>AJ288*Variables!$E$43*Variables!$C$15</f>
        <v>0</v>
      </c>
      <c r="AL288" s="20">
        <f>Z288*Variables!$E$38*Variables!$C$15</f>
        <v>91503239.827314764</v>
      </c>
      <c r="AN288" s="200">
        <f t="shared" si="48"/>
        <v>0.14000000000000001</v>
      </c>
      <c r="AO288" s="201">
        <f t="shared" si="53"/>
        <v>33.443639984581786</v>
      </c>
      <c r="AP288" s="321">
        <f>VLOOKUP(A288,'Household Information'!H:Q,10,FALSE)</f>
        <v>212.04089360090876</v>
      </c>
      <c r="AQ288" s="122">
        <f>IF(12*(AO288-Variables!$C$3*AP288*F288)*(G288/5)&lt;0,0,12*(AO288-Variables!$C$3*AP288*F288)*(G288/5))</f>
        <v>0</v>
      </c>
    </row>
    <row r="289" spans="1:43" ht="14.25" customHeight="1" x14ac:dyDescent="0.35">
      <c r="A289" s="30">
        <v>34</v>
      </c>
      <c r="B289" s="28" t="s">
        <v>187</v>
      </c>
      <c r="C289" s="28">
        <v>2025</v>
      </c>
      <c r="D289" s="196">
        <f>Population!J35</f>
        <v>597176.05446363229</v>
      </c>
      <c r="E289" s="303" t="str">
        <f t="shared" si="54"/>
        <v>Medium</v>
      </c>
      <c r="F289" s="340">
        <f>VLOOKUP(A289,'Household Information'!$H$2:$M$49,6,FALSE)</f>
        <v>4.3021399999999996</v>
      </c>
      <c r="G289" s="196">
        <f t="shared" si="49"/>
        <v>138809</v>
      </c>
      <c r="H289" s="213">
        <f>Area!L35</f>
        <v>108.16522825978586</v>
      </c>
      <c r="J289" s="32">
        <f>D289*Variables!$C$20</f>
        <v>537.458449017269</v>
      </c>
      <c r="K289" s="202">
        <f t="shared" si="45"/>
        <v>525.01557977656444</v>
      </c>
      <c r="L289" s="32">
        <f t="shared" si="50"/>
        <v>12.442869240704567</v>
      </c>
      <c r="S289" s="198">
        <f>$L289*Variables!$C$21/100</f>
        <v>0.67563090899753309</v>
      </c>
      <c r="T289" s="198">
        <f>$L289*Variables!$C$22/100</f>
        <v>1.1823540907456829</v>
      </c>
      <c r="U289" s="198">
        <f>$L289*Variables!$C$23/100</f>
        <v>1.2386566664954772</v>
      </c>
      <c r="V289" s="198">
        <f>$L289*Variables!$C$24/100</f>
        <v>9.0084121199671081</v>
      </c>
      <c r="W289" s="22">
        <f>S289*Variables!$E$25*Variables!$C$15+'Cost Calculations'!T289*Variables!$E$26*Variables!$C$15+'Cost Calculations'!U289*Variables!$E$27*Variables!$C$15+V289*Variables!$E$28*Variables!$C$15</f>
        <v>8345951.6924723387</v>
      </c>
      <c r="X289" s="20">
        <f>J289*Variables!$E$29*Variables!$C$15</f>
        <v>91873.147275011972</v>
      </c>
      <c r="Z289" s="33">
        <f>D289*(IF(D289&lt;50000,0,IF(D289&gt;Variables!$C$7,Variables!$C$37,IF(D289&gt;Variables!$C$6,Variables!$C$36,IF(D289&gt;Variables!$C$5,Variables!$C$35)))))</f>
        <v>298.58802723181617</v>
      </c>
      <c r="AA289" s="34">
        <f t="shared" si="44"/>
        <v>1061</v>
      </c>
      <c r="AB289" s="35">
        <f t="shared" si="51"/>
        <v>0</v>
      </c>
      <c r="AC289" s="22">
        <f>AB289*Variables!$E$41</f>
        <v>0</v>
      </c>
      <c r="AD289" s="115">
        <f>ROUND(IF(D289&lt;50000,0,(H289/(3.14*Variables!$C$34^2))),0)</f>
        <v>138</v>
      </c>
      <c r="AE289" s="116">
        <f t="shared" si="46"/>
        <v>136</v>
      </c>
      <c r="AF289" s="117">
        <f t="shared" si="52"/>
        <v>2</v>
      </c>
      <c r="AG289" s="107">
        <f>AF289*Variables!$E$42*Variables!$C$15</f>
        <v>1355.088</v>
      </c>
      <c r="AH289" s="199">
        <f>ROUND((Z289)/Variables!$C$40,0)</f>
        <v>2</v>
      </c>
      <c r="AI289" s="33">
        <f t="shared" si="47"/>
        <v>2</v>
      </c>
      <c r="AJ289" s="199">
        <f t="shared" si="55"/>
        <v>0</v>
      </c>
      <c r="AK289" s="22">
        <f>AJ289*Variables!$E$43*Variables!$C$15</f>
        <v>0</v>
      </c>
      <c r="AL289" s="20">
        <f>Z289*Variables!$E$38*Variables!$C$15</f>
        <v>52933240.847433127</v>
      </c>
      <c r="AN289" s="200">
        <f t="shared" si="48"/>
        <v>0.21</v>
      </c>
      <c r="AO289" s="201">
        <f t="shared" si="53"/>
        <v>54.206963999999992</v>
      </c>
      <c r="AP289" s="321">
        <f>VLOOKUP(A289,'Household Information'!H:Q,10,FALSE)</f>
        <v>71.56380159030671</v>
      </c>
      <c r="AQ289" s="122">
        <f>IF(12*(AO289-Variables!$C$3*AP289*F289)*(G289/5)&lt;0,0,12*(AO289-Variables!$C$3*AP289*F289)*(G289/5))</f>
        <v>2673574.6061257231</v>
      </c>
    </row>
    <row r="290" spans="1:43" ht="14.25" customHeight="1" x14ac:dyDescent="0.35">
      <c r="A290" s="30">
        <v>35</v>
      </c>
      <c r="B290" s="28" t="s">
        <v>188</v>
      </c>
      <c r="C290" s="28">
        <v>2025</v>
      </c>
      <c r="D290" s="196">
        <f>Population!J36</f>
        <v>254412.04055238431</v>
      </c>
      <c r="E290" s="303" t="str">
        <f t="shared" si="54"/>
        <v>Medium</v>
      </c>
      <c r="F290" s="340">
        <f>VLOOKUP(A290,'Household Information'!$H$2:$M$49,6,FALSE)</f>
        <v>5.0911666666666671</v>
      </c>
      <c r="G290" s="196">
        <f t="shared" si="49"/>
        <v>49971</v>
      </c>
      <c r="H290" s="213">
        <f>Area!L36</f>
        <v>36.783682950696225</v>
      </c>
      <c r="J290" s="32">
        <f>D290*Variables!$C$20</f>
        <v>228.97083649714588</v>
      </c>
      <c r="K290" s="202">
        <f t="shared" si="45"/>
        <v>223.66986079627412</v>
      </c>
      <c r="L290" s="32">
        <f t="shared" si="50"/>
        <v>5.30097570087176</v>
      </c>
      <c r="S290" s="198">
        <f>$L290*Variables!$C$21/100</f>
        <v>0.28783578466271997</v>
      </c>
      <c r="T290" s="198">
        <f>$L290*Variables!$C$22/100</f>
        <v>0.50371262315975995</v>
      </c>
      <c r="U290" s="198">
        <f>$L290*Variables!$C$23/100</f>
        <v>0.52769893854831995</v>
      </c>
      <c r="V290" s="198">
        <f>$L290*Variables!$C$24/100</f>
        <v>3.8378104621695996</v>
      </c>
      <c r="W290" s="22">
        <f>S290*Variables!$E$25*Variables!$C$15+'Cost Calculations'!T290*Variables!$E$26*Variables!$C$15+'Cost Calculations'!U290*Variables!$E$27*Variables!$C$15+V290*Variables!$E$28*Variables!$C$15</f>
        <v>3555585.6343580969</v>
      </c>
      <c r="X290" s="20">
        <f>J290*Variables!$E$29*Variables!$C$15</f>
        <v>39140.274790822121</v>
      </c>
      <c r="Z290" s="33">
        <f>D290*(IF(D290&lt;50000,0,IF(D290&gt;Variables!$C$7,Variables!$C$37,IF(D290&gt;Variables!$C$6,Variables!$C$36,IF(D290&gt;Variables!$C$5,Variables!$C$35)))))</f>
        <v>127.20602027619216</v>
      </c>
      <c r="AA290" s="34">
        <f t="shared" si="44"/>
        <v>124</v>
      </c>
      <c r="AB290" s="35">
        <f t="shared" si="51"/>
        <v>3</v>
      </c>
      <c r="AC290" s="22">
        <f>AB290*Variables!$E$41</f>
        <v>1108800.0000000002</v>
      </c>
      <c r="AD290" s="115">
        <f>ROUND(IF(D290&lt;50000,0,(H290/(3.14*Variables!$C$34^2))),0)</f>
        <v>47</v>
      </c>
      <c r="AE290" s="116">
        <f t="shared" si="46"/>
        <v>46</v>
      </c>
      <c r="AF290" s="117">
        <f t="shared" si="52"/>
        <v>1</v>
      </c>
      <c r="AG290" s="107">
        <f>AF290*Variables!$E$42*Variables!$C$15</f>
        <v>677.54399999999998</v>
      </c>
      <c r="AH290" s="199">
        <f>ROUND((Z290)/Variables!$C$40,0)</f>
        <v>1</v>
      </c>
      <c r="AI290" s="33">
        <f t="shared" si="47"/>
        <v>1</v>
      </c>
      <c r="AJ290" s="199">
        <f t="shared" si="55"/>
        <v>0</v>
      </c>
      <c r="AK290" s="22">
        <f>AJ290*Variables!$E$43*Variables!$C$15</f>
        <v>0</v>
      </c>
      <c r="AL290" s="20">
        <f>Z290*Variables!$E$38*Variables!$C$15</f>
        <v>22550893.855149392</v>
      </c>
      <c r="AN290" s="200">
        <f t="shared" si="48"/>
        <v>0.25221875000000005</v>
      </c>
      <c r="AO290" s="201">
        <f t="shared" si="53"/>
        <v>77.045261562500016</v>
      </c>
      <c r="AP290" s="321">
        <f>VLOOKUP(A290,'Household Information'!H:Q,10,FALSE)</f>
        <v>112.55837435314906</v>
      </c>
      <c r="AQ290" s="122">
        <f>IF(12*(AO290-Variables!$C$3*AP290*F290)*(G290/5)&lt;0,0,12*(AO290-Variables!$C$3*AP290*F290)*(G290/5))</f>
        <v>0</v>
      </c>
    </row>
    <row r="291" spans="1:43" ht="14.25" customHeight="1" x14ac:dyDescent="0.35">
      <c r="A291" s="30">
        <v>36</v>
      </c>
      <c r="B291" s="28" t="s">
        <v>189</v>
      </c>
      <c r="C291" s="28">
        <v>2025</v>
      </c>
      <c r="D291" s="196">
        <f>Population!J37</f>
        <v>1631167.5966311784</v>
      </c>
      <c r="E291" s="303" t="str">
        <f t="shared" si="54"/>
        <v>Large</v>
      </c>
      <c r="F291" s="340">
        <f>VLOOKUP(A291,'Household Information'!$H$2:$M$49,6,FALSE)</f>
        <v>4.8963166666666664</v>
      </c>
      <c r="G291" s="196">
        <f t="shared" si="49"/>
        <v>333142</v>
      </c>
      <c r="H291" s="213">
        <f>Area!L37</f>
        <v>68.887784934292071</v>
      </c>
      <c r="J291" s="32">
        <f>D291*Variables!$C$20</f>
        <v>1468.0508369680606</v>
      </c>
      <c r="K291" s="202">
        <f t="shared" si="45"/>
        <v>1434.0635312768002</v>
      </c>
      <c r="L291" s="32">
        <f t="shared" si="50"/>
        <v>33.987305691260417</v>
      </c>
      <c r="S291" s="198">
        <f>$L291*Variables!$C$21/100</f>
        <v>1.8454645624213799</v>
      </c>
      <c r="T291" s="198">
        <f>$L291*Variables!$C$22/100</f>
        <v>3.2295629842374156</v>
      </c>
      <c r="U291" s="198">
        <f>$L291*Variables!$C$23/100</f>
        <v>3.3833516977725306</v>
      </c>
      <c r="V291" s="198">
        <f>$L291*Variables!$C$24/100</f>
        <v>24.606194165618398</v>
      </c>
      <c r="W291" s="22">
        <f>S291*Variables!$E$25*Variables!$C$15+'Cost Calculations'!T291*Variables!$E$26*Variables!$C$15+'Cost Calculations'!U291*Variables!$E$27*Variables!$C$15+V291*Variables!$E$28*Variables!$C$15</f>
        <v>22796704.358880471</v>
      </c>
      <c r="X291" s="20">
        <f>J291*Variables!$E$29*Variables!$C$15</f>
        <v>250948.61007132026</v>
      </c>
      <c r="Z291" s="33">
        <f>D291*(IF(D291&lt;50000,0,IF(D291&gt;Variables!$C$7,Variables!$C$37,IF(D291&gt;Variables!$C$6,Variables!$C$36,IF(D291&gt;Variables!$C$5,Variables!$C$35)))))</f>
        <v>815.58379831558921</v>
      </c>
      <c r="AA291" s="34">
        <f t="shared" si="44"/>
        <v>797</v>
      </c>
      <c r="AB291" s="35">
        <f t="shared" si="51"/>
        <v>19</v>
      </c>
      <c r="AC291" s="22">
        <f>AB291*Variables!$E$41</f>
        <v>7022400.0000000009</v>
      </c>
      <c r="AD291" s="115">
        <f>ROUND(IF(D291&lt;50000,0,(H291/(3.14*Variables!$C$34^2))),0)</f>
        <v>88</v>
      </c>
      <c r="AE291" s="116">
        <f t="shared" si="46"/>
        <v>87</v>
      </c>
      <c r="AF291" s="117">
        <f t="shared" si="52"/>
        <v>1</v>
      </c>
      <c r="AG291" s="107">
        <f>AF291*Variables!$E$42*Variables!$C$15</f>
        <v>677.54399999999998</v>
      </c>
      <c r="AH291" s="199">
        <f>ROUND((Z291)/Variables!$C$40,0)</f>
        <v>7</v>
      </c>
      <c r="AI291" s="33">
        <f t="shared" si="47"/>
        <v>6</v>
      </c>
      <c r="AJ291" s="199">
        <f t="shared" si="55"/>
        <v>1</v>
      </c>
      <c r="AK291" s="22">
        <f>AJ291*Variables!$E$43*Variables!$C$15</f>
        <v>552717.39600000007</v>
      </c>
      <c r="AL291" s="20">
        <f>Z291*Variables!$E$38*Variables!$C$15</f>
        <v>144585481.29924232</v>
      </c>
      <c r="AN291" s="200">
        <f t="shared" si="48"/>
        <v>0.28000000000000003</v>
      </c>
      <c r="AO291" s="201">
        <f t="shared" si="53"/>
        <v>82.258120000000005</v>
      </c>
      <c r="AP291" s="321">
        <f>VLOOKUP(A291,'Household Information'!H:Q,10,FALSE)</f>
        <v>50.200681560015155</v>
      </c>
      <c r="AQ291" s="122">
        <f>IF(12*(AO291-Variables!$C$3*AP291*F291)*(G291/5)&lt;0,0,12*(AO291-Variables!$C$3*AP291*F291)*(G291/5))</f>
        <v>36289841.611376792</v>
      </c>
    </row>
    <row r="292" spans="1:43" ht="14.25" customHeight="1" x14ac:dyDescent="0.35">
      <c r="A292" s="30">
        <v>37</v>
      </c>
      <c r="B292" s="28" t="s">
        <v>190</v>
      </c>
      <c r="C292" s="28">
        <v>2025</v>
      </c>
      <c r="D292" s="196">
        <f>Population!J38</f>
        <v>272144.89930587186</v>
      </c>
      <c r="E292" s="303" t="str">
        <f t="shared" si="54"/>
        <v>Medium</v>
      </c>
      <c r="F292" s="340">
        <f>VLOOKUP(A292,'Household Information'!$H$2:$M$49,6,FALSE)</f>
        <v>5.027102564102564</v>
      </c>
      <c r="G292" s="196">
        <f t="shared" si="49"/>
        <v>54136</v>
      </c>
      <c r="H292" s="213">
        <f>Area!L38</f>
        <v>28.948105517411829</v>
      </c>
      <c r="J292" s="32">
        <f>D292*Variables!$C$20</f>
        <v>244.93040937528468</v>
      </c>
      <c r="K292" s="202">
        <f t="shared" si="45"/>
        <v>239.25994859361595</v>
      </c>
      <c r="L292" s="32">
        <f t="shared" si="50"/>
        <v>5.6704607816687371</v>
      </c>
      <c r="S292" s="198">
        <f>$L292*Variables!$C$21/100</f>
        <v>0.30789832298653774</v>
      </c>
      <c r="T292" s="198">
        <f>$L292*Variables!$C$22/100</f>
        <v>0.53882206522644116</v>
      </c>
      <c r="U292" s="198">
        <f>$L292*Variables!$C$23/100</f>
        <v>0.5644802588086526</v>
      </c>
      <c r="V292" s="198">
        <f>$L292*Variables!$C$24/100</f>
        <v>4.1053109731538369</v>
      </c>
      <c r="W292" s="22">
        <f>S292*Variables!$E$25*Variables!$C$15+'Cost Calculations'!T292*Variables!$E$26*Variables!$C$15+'Cost Calculations'!U292*Variables!$E$27*Variables!$C$15+V292*Variables!$E$28*Variables!$C$15</f>
        <v>3803414.698199179</v>
      </c>
      <c r="X292" s="20">
        <f>J292*Variables!$E$29*Variables!$C$15</f>
        <v>41868.40417861117</v>
      </c>
      <c r="Z292" s="33">
        <f>D292*(IF(D292&lt;50000,0,IF(D292&gt;Variables!$C$7,Variables!$C$37,IF(D292&gt;Variables!$C$6,Variables!$C$36,IF(D292&gt;Variables!$C$5,Variables!$C$35)))))</f>
        <v>136.07244965293594</v>
      </c>
      <c r="AA292" s="34">
        <f t="shared" si="44"/>
        <v>133</v>
      </c>
      <c r="AB292" s="35">
        <f t="shared" si="51"/>
        <v>3</v>
      </c>
      <c r="AC292" s="22">
        <f>AB292*Variables!$E$41</f>
        <v>1108800.0000000002</v>
      </c>
      <c r="AD292" s="115">
        <f>ROUND(IF(D292&lt;50000,0,(H292/(3.14*Variables!$C$34^2))),0)</f>
        <v>37</v>
      </c>
      <c r="AE292" s="116">
        <f t="shared" si="46"/>
        <v>36</v>
      </c>
      <c r="AF292" s="117">
        <f t="shared" si="52"/>
        <v>1</v>
      </c>
      <c r="AG292" s="107">
        <f>AF292*Variables!$E$42*Variables!$C$15</f>
        <v>677.54399999999998</v>
      </c>
      <c r="AH292" s="199">
        <f>ROUND((Z292)/Variables!$C$40,0)</f>
        <v>1</v>
      </c>
      <c r="AI292" s="33">
        <f t="shared" si="47"/>
        <v>1</v>
      </c>
      <c r="AJ292" s="199">
        <f t="shared" si="55"/>
        <v>0</v>
      </c>
      <c r="AK292" s="22">
        <f>AJ292*Variables!$E$43*Variables!$C$15</f>
        <v>0</v>
      </c>
      <c r="AL292" s="20">
        <f>Z292*Variables!$E$38*Variables!$C$15</f>
        <v>24122721.252272584</v>
      </c>
      <c r="AN292" s="200">
        <f t="shared" si="48"/>
        <v>0.14000000000000001</v>
      </c>
      <c r="AO292" s="201">
        <f t="shared" si="53"/>
        <v>42.22766153846154</v>
      </c>
      <c r="AP292" s="321">
        <f>VLOOKUP(A292,'Household Information'!H:Q,10,FALSE)</f>
        <v>74.965290925154619</v>
      </c>
      <c r="AQ292" s="122">
        <f>IF(12*(AO292-Variables!$C$3*AP292*F292)*(G292/5)&lt;0,0,12*(AO292-Variables!$C$3*AP292*F292)*(G292/5))</f>
        <v>0</v>
      </c>
    </row>
    <row r="293" spans="1:43" ht="14.25" customHeight="1" x14ac:dyDescent="0.35">
      <c r="A293" s="30">
        <v>38</v>
      </c>
      <c r="B293" s="28" t="s">
        <v>191</v>
      </c>
      <c r="C293" s="28">
        <v>2025</v>
      </c>
      <c r="D293" s="196">
        <f>Population!J39</f>
        <v>1196806.2532933049</v>
      </c>
      <c r="E293" s="303" t="str">
        <f t="shared" si="54"/>
        <v>Large</v>
      </c>
      <c r="F293" s="340">
        <f>VLOOKUP(A293,'Household Information'!$H$2:$M$49,6,FALSE)</f>
        <v>4.5378736842105267</v>
      </c>
      <c r="G293" s="196">
        <f t="shared" si="49"/>
        <v>263737</v>
      </c>
      <c r="H293" s="213">
        <f>Area!L39</f>
        <v>116.44538685575434</v>
      </c>
      <c r="J293" s="32">
        <f>D293*Variables!$C$20</f>
        <v>1077.1256279639745</v>
      </c>
      <c r="K293" s="202">
        <f t="shared" si="45"/>
        <v>1052.1887544827334</v>
      </c>
      <c r="L293" s="32">
        <f t="shared" si="50"/>
        <v>24.936873481241037</v>
      </c>
      <c r="S293" s="198">
        <f>$L293*Variables!$C$21/100</f>
        <v>1.3540383790719113</v>
      </c>
      <c r="T293" s="198">
        <f>$L293*Variables!$C$22/100</f>
        <v>2.3695671633758453</v>
      </c>
      <c r="U293" s="198">
        <f>$L293*Variables!$C$23/100</f>
        <v>2.4824036949651709</v>
      </c>
      <c r="V293" s="198">
        <f>$L293*Variables!$C$24/100</f>
        <v>18.053845054292154</v>
      </c>
      <c r="W293" s="22">
        <f>S293*Variables!$E$25*Variables!$C$15+'Cost Calculations'!T293*Variables!$E$26*Variables!$C$15+'Cost Calculations'!U293*Variables!$E$27*Variables!$C$15+V293*Variables!$E$28*Variables!$C$15</f>
        <v>16726201.763408346</v>
      </c>
      <c r="X293" s="20">
        <f>J293*Variables!$E$29*Variables!$C$15</f>
        <v>184123.8548441618</v>
      </c>
      <c r="Z293" s="33">
        <f>D293*(IF(D293&lt;50000,0,IF(D293&gt;Variables!$C$7,Variables!$C$37,IF(D293&gt;Variables!$C$6,Variables!$C$36,IF(D293&gt;Variables!$C$5,Variables!$C$35)))))</f>
        <v>598.40312664665248</v>
      </c>
      <c r="AA293" s="34">
        <f t="shared" si="44"/>
        <v>585</v>
      </c>
      <c r="AB293" s="35">
        <f t="shared" si="51"/>
        <v>13</v>
      </c>
      <c r="AC293" s="22">
        <f>AB293*Variables!$E$41</f>
        <v>4804800.0000000009</v>
      </c>
      <c r="AD293" s="115">
        <f>ROUND(IF(D293&lt;50000,0,(H293/(3.14*Variables!$C$34^2))),0)</f>
        <v>148</v>
      </c>
      <c r="AE293" s="116">
        <f t="shared" si="46"/>
        <v>146</v>
      </c>
      <c r="AF293" s="117">
        <f t="shared" si="52"/>
        <v>2</v>
      </c>
      <c r="AG293" s="107">
        <f>AF293*Variables!$E$42*Variables!$C$15</f>
        <v>1355.088</v>
      </c>
      <c r="AH293" s="199">
        <f>ROUND((Z293)/Variables!$C$40,0)</f>
        <v>5</v>
      </c>
      <c r="AI293" s="33">
        <f t="shared" si="47"/>
        <v>5</v>
      </c>
      <c r="AJ293" s="199">
        <f t="shared" si="55"/>
        <v>0</v>
      </c>
      <c r="AK293" s="22">
        <f>AJ293*Variables!$E$43*Variables!$C$15</f>
        <v>0</v>
      </c>
      <c r="AL293" s="20">
        <f>Z293*Variables!$E$38*Variables!$C$15</f>
        <v>106084015.22426851</v>
      </c>
      <c r="AN293" s="200">
        <f t="shared" si="48"/>
        <v>0.21</v>
      </c>
      <c r="AO293" s="201">
        <f t="shared" si="53"/>
        <v>57.177208421052633</v>
      </c>
      <c r="AP293" s="321">
        <f>VLOOKUP(A293,'Household Information'!H:Q,10,FALSE)</f>
        <v>100.71942446043167</v>
      </c>
      <c r="AQ293" s="122">
        <f>IF(12*(AO293-Variables!$C$3*AP293*F293)*(G293/5)&lt;0,0,12*(AO293-Variables!$C$3*AP293*F293)*(G293/5))</f>
        <v>0</v>
      </c>
    </row>
    <row r="294" spans="1:43" ht="14.25" customHeight="1" x14ac:dyDescent="0.35">
      <c r="A294" s="30">
        <v>39</v>
      </c>
      <c r="B294" s="28" t="s">
        <v>192</v>
      </c>
      <c r="C294" s="28">
        <v>2025</v>
      </c>
      <c r="D294" s="196">
        <f>Population!J40</f>
        <v>98526.67822485698</v>
      </c>
      <c r="E294" s="303" t="str">
        <f t="shared" si="54"/>
        <v>Small</v>
      </c>
      <c r="F294" s="340">
        <f>VLOOKUP(A294,'Household Information'!$H$2:$M$49,6,FALSE)</f>
        <v>3.6693548387096775</v>
      </c>
      <c r="G294" s="196">
        <f t="shared" si="49"/>
        <v>26851</v>
      </c>
      <c r="H294" s="213">
        <f>Area!L40</f>
        <v>27.751003409548932</v>
      </c>
      <c r="J294" s="32">
        <f>D294*Variables!$C$20</f>
        <v>88.67401040237128</v>
      </c>
      <c r="K294" s="202">
        <f t="shared" si="45"/>
        <v>86.621090556189571</v>
      </c>
      <c r="L294" s="32">
        <f t="shared" si="50"/>
        <v>2.0529198461817089</v>
      </c>
      <c r="S294" s="198">
        <f>$L294*Variables!$C$21/100</f>
        <v>0.1114707608786448</v>
      </c>
      <c r="T294" s="198">
        <f>$L294*Variables!$C$22/100</f>
        <v>0.19507383153762844</v>
      </c>
      <c r="U294" s="198">
        <f>$L294*Variables!$C$23/100</f>
        <v>0.20436306161084886</v>
      </c>
      <c r="V294" s="198">
        <f>$L294*Variables!$C$24/100</f>
        <v>1.4862768117152643</v>
      </c>
      <c r="W294" s="22">
        <f>S294*Variables!$E$25*Variables!$C$15+'Cost Calculations'!T294*Variables!$E$26*Variables!$C$15+'Cost Calculations'!U294*Variables!$E$27*Variables!$C$15+V294*Variables!$E$28*Variables!$C$15</f>
        <v>1376979.017725345</v>
      </c>
      <c r="X294" s="20">
        <f>J294*Variables!$E$29*Variables!$C$15</f>
        <v>15157.935338181347</v>
      </c>
      <c r="Z294" s="33">
        <f>D294*(IF(D294&lt;50000,0,IF(D294&gt;Variables!$C$7,Variables!$C$37,IF(D294&gt;Variables!$C$6,Variables!$C$36,IF(D294&gt;Variables!$C$5,Variables!$C$35)))))</f>
        <v>49.26333911242849</v>
      </c>
      <c r="AA294" s="34">
        <f t="shared" si="44"/>
        <v>48</v>
      </c>
      <c r="AB294" s="35">
        <f t="shared" si="51"/>
        <v>1</v>
      </c>
      <c r="AC294" s="22">
        <f>AB294*Variables!$E$41</f>
        <v>369600.00000000006</v>
      </c>
      <c r="AD294" s="115">
        <f>ROUND(IF(D294&lt;50000,0,(H294/(3.14*Variables!$C$34^2))),0)</f>
        <v>35</v>
      </c>
      <c r="AE294" s="116">
        <f t="shared" si="46"/>
        <v>35</v>
      </c>
      <c r="AF294" s="117">
        <f t="shared" si="52"/>
        <v>0</v>
      </c>
      <c r="AG294" s="107">
        <f>AF294*Variables!$E$42*Variables!$C$15</f>
        <v>0</v>
      </c>
      <c r="AH294" s="199">
        <f>ROUND((Z294)/Variables!$C$40,0)</f>
        <v>0</v>
      </c>
      <c r="AI294" s="33">
        <f t="shared" si="47"/>
        <v>0</v>
      </c>
      <c r="AJ294" s="199">
        <f t="shared" si="55"/>
        <v>0</v>
      </c>
      <c r="AK294" s="22">
        <f>AJ294*Variables!$E$43*Variables!$C$15</f>
        <v>0</v>
      </c>
      <c r="AL294" s="20">
        <f>Z294*Variables!$E$38*Variables!$C$15</f>
        <v>8733331.4010023009</v>
      </c>
      <c r="AN294" s="200">
        <f t="shared" si="48"/>
        <v>0.25221875000000005</v>
      </c>
      <c r="AO294" s="201">
        <f t="shared" si="53"/>
        <v>55.5288054435484</v>
      </c>
      <c r="AP294" s="321">
        <f>VLOOKUP(A294,'Household Information'!H:Q,10,FALSE)</f>
        <v>69.973494888299896</v>
      </c>
      <c r="AQ294" s="122">
        <f>IF(12*(AO294-Variables!$C$3*AP294*F294)*(G294/5)&lt;0,0,12*(AO294-Variables!$C$3*AP294*F294)*(G294/5))</f>
        <v>1096498.2710923208</v>
      </c>
    </row>
    <row r="295" spans="1:43" ht="14.25" customHeight="1" x14ac:dyDescent="0.35">
      <c r="A295" s="30">
        <v>40</v>
      </c>
      <c r="B295" s="28" t="s">
        <v>193</v>
      </c>
      <c r="C295" s="28">
        <v>2025</v>
      </c>
      <c r="D295" s="196">
        <f>Population!J41</f>
        <v>175921.06356023491</v>
      </c>
      <c r="E295" s="303" t="str">
        <f t="shared" si="54"/>
        <v>Medium</v>
      </c>
      <c r="F295" s="340">
        <f>VLOOKUP(A295,'Household Information'!$H$2:$M$49,6,FALSE)</f>
        <v>4.2245333333333335</v>
      </c>
      <c r="G295" s="196">
        <f t="shared" si="49"/>
        <v>41643</v>
      </c>
      <c r="H295" s="213">
        <f>Area!L41</f>
        <v>38.742577309017335</v>
      </c>
      <c r="J295" s="32">
        <f>D295*Variables!$C$20</f>
        <v>158.32895720421141</v>
      </c>
      <c r="K295" s="202">
        <f t="shared" si="45"/>
        <v>172.36096000000003</v>
      </c>
      <c r="L295" s="32">
        <f t="shared" si="50"/>
        <v>0</v>
      </c>
      <c r="S295" s="198">
        <f>$L295*Variables!$C$21/100</f>
        <v>0</v>
      </c>
      <c r="T295" s="198">
        <f>$L295*Variables!$C$22/100</f>
        <v>0</v>
      </c>
      <c r="U295" s="198">
        <f>$L295*Variables!$C$23/100</f>
        <v>0</v>
      </c>
      <c r="V295" s="198">
        <f>$L295*Variables!$C$24/100</f>
        <v>0</v>
      </c>
      <c r="W295" s="22">
        <f>S295*Variables!$E$25*Variables!$C$15+'Cost Calculations'!T295*Variables!$E$26*Variables!$C$15+'Cost Calculations'!U295*Variables!$E$27*Variables!$C$15+V295*Variables!$E$28*Variables!$C$15</f>
        <v>0</v>
      </c>
      <c r="X295" s="20">
        <f>J295*Variables!$E$29*Variables!$C$15</f>
        <v>27064.7519444879</v>
      </c>
      <c r="Z295" s="33">
        <f>D295*(IF(D295&lt;50000,0,IF(D295&gt;Variables!$C$7,Variables!$C$37,IF(D295&gt;Variables!$C$6,Variables!$C$36,IF(D295&gt;Variables!$C$5,Variables!$C$35)))))</f>
        <v>87.960531780117449</v>
      </c>
      <c r="AA295" s="34">
        <f t="shared" si="44"/>
        <v>86</v>
      </c>
      <c r="AB295" s="35">
        <f t="shared" si="51"/>
        <v>2</v>
      </c>
      <c r="AC295" s="22">
        <f>AB295*Variables!$E$41</f>
        <v>739200.00000000012</v>
      </c>
      <c r="AD295" s="115">
        <f>ROUND(IF(D295&lt;50000,0,(H295/(3.14*Variables!$C$34^2))),0)</f>
        <v>49</v>
      </c>
      <c r="AE295" s="116">
        <f t="shared" si="46"/>
        <v>49</v>
      </c>
      <c r="AF295" s="117">
        <f t="shared" si="52"/>
        <v>0</v>
      </c>
      <c r="AG295" s="107">
        <f>AF295*Variables!$E$42*Variables!$C$15</f>
        <v>0</v>
      </c>
      <c r="AH295" s="199">
        <f>ROUND((Z295)/Variables!$C$40,0)</f>
        <v>1</v>
      </c>
      <c r="AI295" s="33">
        <f t="shared" si="47"/>
        <v>1</v>
      </c>
      <c r="AJ295" s="199">
        <f t="shared" si="55"/>
        <v>0</v>
      </c>
      <c r="AK295" s="22">
        <f>AJ295*Variables!$E$43*Variables!$C$15</f>
        <v>0</v>
      </c>
      <c r="AL295" s="20">
        <f>Z295*Variables!$E$38*Variables!$C$15</f>
        <v>15593512.094074775</v>
      </c>
      <c r="AN295" s="200">
        <f t="shared" si="48"/>
        <v>0.28000000000000003</v>
      </c>
      <c r="AO295" s="201">
        <f t="shared" si="53"/>
        <v>70.972160000000002</v>
      </c>
      <c r="AP295" s="321">
        <f>VLOOKUP(A295,'Household Information'!H:Q,10,FALSE)</f>
        <v>73.754890824182766</v>
      </c>
      <c r="AQ295" s="122">
        <f>IF(12*(AO295-Variables!$C$3*AP295*F295)*(G295/5)&lt;0,0,12*(AO295-Variables!$C$3*AP295*F295)*(G295/5))</f>
        <v>2422139.5211207387</v>
      </c>
    </row>
    <row r="296" spans="1:43" ht="14.25" customHeight="1" x14ac:dyDescent="0.35">
      <c r="A296" s="30">
        <v>41</v>
      </c>
      <c r="B296" s="28" t="s">
        <v>194</v>
      </c>
      <c r="C296" s="28">
        <v>2025</v>
      </c>
      <c r="D296" s="196">
        <f>Population!J42</f>
        <v>84673.532991212676</v>
      </c>
      <c r="E296" s="303" t="str">
        <f t="shared" si="54"/>
        <v>Small</v>
      </c>
      <c r="F296" s="340">
        <f>VLOOKUP(A296,'Household Information'!$H$2:$M$49,6,FALSE)</f>
        <v>6.1423824388279122</v>
      </c>
      <c r="G296" s="196">
        <f t="shared" si="49"/>
        <v>13785</v>
      </c>
      <c r="H296" s="213">
        <f>Area!L42</f>
        <v>15.453499937866463</v>
      </c>
      <c r="J296" s="32">
        <f>D296*Variables!$C$20</f>
        <v>76.206179692091411</v>
      </c>
      <c r="K296" s="202">
        <f t="shared" si="45"/>
        <v>74.441906507855222</v>
      </c>
      <c r="L296" s="32">
        <f t="shared" si="50"/>
        <v>1.7642731842361883</v>
      </c>
      <c r="S296" s="198">
        <f>$L296*Variables!$C$21/100</f>
        <v>9.5797638963050935E-2</v>
      </c>
      <c r="T296" s="198">
        <f>$L296*Variables!$C$22/100</f>
        <v>0.16764586818533916</v>
      </c>
      <c r="U296" s="198">
        <f>$L296*Variables!$C$23/100</f>
        <v>0.17562900476559343</v>
      </c>
      <c r="V296" s="198">
        <f>$L296*Variables!$C$24/100</f>
        <v>1.2773018528406792</v>
      </c>
      <c r="W296" s="22">
        <f>S296*Variables!$E$25*Variables!$C$15+'Cost Calculations'!T296*Variables!$E$26*Variables!$C$15+'Cost Calculations'!U296*Variables!$E$27*Variables!$C$15+V296*Variables!$E$28*Variables!$C$15</f>
        <v>1183371.6551316753</v>
      </c>
      <c r="X296" s="20">
        <f>J296*Variables!$E$29*Variables!$C$15</f>
        <v>13026.684356566106</v>
      </c>
      <c r="Z296" s="33">
        <f>D296*(IF(D296&lt;50000,0,IF(D296&gt;Variables!$C$7,Variables!$C$37,IF(D296&gt;Variables!$C$6,Variables!$C$36,IF(D296&gt;Variables!$C$5,Variables!$C$35)))))</f>
        <v>42.336766495606341</v>
      </c>
      <c r="AA296" s="34">
        <f t="shared" si="44"/>
        <v>41</v>
      </c>
      <c r="AB296" s="35">
        <f t="shared" si="51"/>
        <v>1</v>
      </c>
      <c r="AC296" s="22">
        <f>AB296*Variables!$E$41</f>
        <v>369600.00000000006</v>
      </c>
      <c r="AD296" s="115">
        <f>ROUND(IF(D296&lt;50000,0,(H296/(3.14*Variables!$C$34^2))),0)</f>
        <v>20</v>
      </c>
      <c r="AE296" s="116">
        <f t="shared" si="46"/>
        <v>19</v>
      </c>
      <c r="AF296" s="117">
        <f t="shared" si="52"/>
        <v>1</v>
      </c>
      <c r="AG296" s="107">
        <f>AF296*Variables!$E$42*Variables!$C$15</f>
        <v>677.54399999999998</v>
      </c>
      <c r="AH296" s="199">
        <f>ROUND((Z296)/Variables!$C$40,0)</f>
        <v>0</v>
      </c>
      <c r="AI296" s="33">
        <f t="shared" si="47"/>
        <v>0</v>
      </c>
      <c r="AJ296" s="199">
        <f t="shared" si="55"/>
        <v>0</v>
      </c>
      <c r="AK296" s="22">
        <f>AJ296*Variables!$E$43*Variables!$C$15</f>
        <v>0</v>
      </c>
      <c r="AL296" s="20">
        <f>Z296*Variables!$E$38*Variables!$C$15</f>
        <v>7505398.9216841413</v>
      </c>
      <c r="AN296" s="200">
        <f t="shared" si="48"/>
        <v>0.25221875000000005</v>
      </c>
      <c r="AO296" s="201">
        <f t="shared" si="53"/>
        <v>92.953441244587665</v>
      </c>
      <c r="AP296" s="321">
        <f>VLOOKUP(A296,'Household Information'!H:Q,10,FALSE)</f>
        <v>110.04922377887165</v>
      </c>
      <c r="AQ296" s="122">
        <f>IF(12*(AO296-Variables!$C$3*AP296*F296)*(G296/5)&lt;0,0,12*(AO296-Variables!$C$3*AP296*F296)*(G296/5))</f>
        <v>0</v>
      </c>
    </row>
    <row r="297" spans="1:43" ht="14.25" customHeight="1" x14ac:dyDescent="0.35">
      <c r="A297" s="30">
        <v>42</v>
      </c>
      <c r="B297" s="28" t="s">
        <v>195</v>
      </c>
      <c r="C297" s="28">
        <v>2025</v>
      </c>
      <c r="D297" s="196">
        <f>Population!J43</f>
        <v>104856.37183862632</v>
      </c>
      <c r="E297" s="303" t="str">
        <f t="shared" si="54"/>
        <v>Medium</v>
      </c>
      <c r="F297" s="340">
        <f>VLOOKUP(A297,'Household Information'!$H$2:$M$49,6,FALSE)</f>
        <v>4.2419137466307282</v>
      </c>
      <c r="G297" s="196">
        <f t="shared" si="49"/>
        <v>24719</v>
      </c>
      <c r="H297" s="213">
        <f>Area!L43</f>
        <v>16.324119652675844</v>
      </c>
      <c r="J297" s="32">
        <f>D297*Variables!$C$20</f>
        <v>94.37073465476368</v>
      </c>
      <c r="K297" s="202">
        <f t="shared" si="45"/>
        <v>110.2884</v>
      </c>
      <c r="L297" s="32">
        <f t="shared" si="50"/>
        <v>0</v>
      </c>
      <c r="S297" s="198">
        <f>$L297*Variables!$C$21/100</f>
        <v>0</v>
      </c>
      <c r="T297" s="198">
        <f>$L297*Variables!$C$22/100</f>
        <v>0</v>
      </c>
      <c r="U297" s="198">
        <f>$L297*Variables!$C$23/100</f>
        <v>0</v>
      </c>
      <c r="V297" s="198">
        <f>$L297*Variables!$C$24/100</f>
        <v>0</v>
      </c>
      <c r="W297" s="22">
        <f>S297*Variables!$E$25*Variables!$C$15+'Cost Calculations'!T297*Variables!$E$26*Variables!$C$15+'Cost Calculations'!U297*Variables!$E$27*Variables!$C$15+V297*Variables!$E$28*Variables!$C$15</f>
        <v>0</v>
      </c>
      <c r="X297" s="20">
        <f>J297*Variables!$E$29*Variables!$C$15</f>
        <v>16131.733381885304</v>
      </c>
      <c r="Z297" s="33">
        <f>D297*(IF(D297&lt;50000,0,IF(D297&gt;Variables!$C$7,Variables!$C$37,IF(D297&gt;Variables!$C$6,Variables!$C$36,IF(D297&gt;Variables!$C$5,Variables!$C$35)))))</f>
        <v>52.428185919313158</v>
      </c>
      <c r="AA297" s="34">
        <f t="shared" si="44"/>
        <v>51</v>
      </c>
      <c r="AB297" s="35">
        <f t="shared" si="51"/>
        <v>1</v>
      </c>
      <c r="AC297" s="22">
        <f>AB297*Variables!$E$41</f>
        <v>369600.00000000006</v>
      </c>
      <c r="AD297" s="115">
        <f>ROUND(IF(D297&lt;50000,0,(H297/(3.14*Variables!$C$34^2))),0)</f>
        <v>21</v>
      </c>
      <c r="AE297" s="116">
        <f t="shared" si="46"/>
        <v>21</v>
      </c>
      <c r="AF297" s="117">
        <f t="shared" si="52"/>
        <v>0</v>
      </c>
      <c r="AG297" s="107">
        <f>AF297*Variables!$E$42*Variables!$C$15</f>
        <v>0</v>
      </c>
      <c r="AH297" s="199">
        <f>ROUND((Z297)/Variables!$C$40,0)</f>
        <v>0</v>
      </c>
      <c r="AI297" s="33">
        <f t="shared" si="47"/>
        <v>0</v>
      </c>
      <c r="AJ297" s="199">
        <f t="shared" si="55"/>
        <v>0</v>
      </c>
      <c r="AK297" s="22">
        <f>AJ297*Variables!$E$43*Variables!$C$15</f>
        <v>0</v>
      </c>
      <c r="AL297" s="20">
        <f>Z297*Variables!$E$38*Variables!$C$15</f>
        <v>9294390.7302298341</v>
      </c>
      <c r="AN297" s="200">
        <f t="shared" si="48"/>
        <v>0.25221875000000005</v>
      </c>
      <c r="AO297" s="201">
        <f t="shared" si="53"/>
        <v>64.193410966981148</v>
      </c>
      <c r="AP297" s="321">
        <f>VLOOKUP(A297,'Household Information'!H:Q,10,FALSE)</f>
        <v>81.833648870377388</v>
      </c>
      <c r="AQ297" s="122">
        <f>IF(12*(AO297-Variables!$C$3*AP297*F297)*(G297/5)&lt;0,0,12*(AO297-Variables!$C$3*AP297*F297)*(G297/5))</f>
        <v>719246.9012337965</v>
      </c>
    </row>
    <row r="298" spans="1:43" ht="14.25" customHeight="1" x14ac:dyDescent="0.35">
      <c r="A298" s="30">
        <v>1</v>
      </c>
      <c r="B298" s="28" t="s">
        <v>154</v>
      </c>
      <c r="C298" s="28">
        <v>2026</v>
      </c>
      <c r="D298" s="196">
        <f>Population!K2</f>
        <v>568401.06574466662</v>
      </c>
      <c r="E298" s="303" t="str">
        <f t="shared" si="54"/>
        <v>Medium</v>
      </c>
      <c r="F298" s="340">
        <f>VLOOKUP(A298,'Household Information'!$H$2:$M$49,6,FALSE)</f>
        <v>3.974207650273224</v>
      </c>
      <c r="G298" s="196">
        <f t="shared" si="49"/>
        <v>143022</v>
      </c>
      <c r="H298" s="213">
        <f>Area!M2</f>
        <v>113.25085630510765</v>
      </c>
      <c r="J298" s="32">
        <f>D298*Variables!$C$20</f>
        <v>511.56095917019996</v>
      </c>
      <c r="K298" s="202">
        <f t="shared" si="45"/>
        <v>499.71765084516943</v>
      </c>
      <c r="L298" s="32">
        <f t="shared" si="50"/>
        <v>11.843308325030534</v>
      </c>
      <c r="S298" s="198">
        <f>$L298*Variables!$C$21/100</f>
        <v>0.64307556516002895</v>
      </c>
      <c r="T298" s="198">
        <f>$L298*Variables!$C$22/100</f>
        <v>1.1253822390300507</v>
      </c>
      <c r="U298" s="198">
        <f>$L298*Variables!$C$23/100</f>
        <v>1.1789718694600533</v>
      </c>
      <c r="V298" s="198">
        <f>$L298*Variables!$C$24/100</f>
        <v>8.5743408688003857</v>
      </c>
      <c r="W298" s="22">
        <f>S298*Variables!$E$25*Variables!$C$15+'Cost Calculations'!T298*Variables!$E$26*Variables!$C$15+'Cost Calculations'!U298*Variables!$E$27*Variables!$C$15+V298*Variables!$E$28*Variables!$C$15</f>
        <v>7943801.164156843</v>
      </c>
      <c r="X298" s="20">
        <f>J298*Variables!$E$29*Variables!$C$15</f>
        <v>87446.230360553978</v>
      </c>
      <c r="Z298" s="33">
        <f>D298*(IF(D298&lt;50000,0,IF(D298&gt;Variables!$C$7,Variables!$C$37,IF(D298&gt;Variables!$C$6,Variables!$C$36,IF(D298&gt;Variables!$C$5,Variables!$C$35)))))</f>
        <v>284.20053287233333</v>
      </c>
      <c r="AA298" s="34">
        <f t="shared" si="44"/>
        <v>278</v>
      </c>
      <c r="AB298" s="35">
        <f t="shared" si="51"/>
        <v>6</v>
      </c>
      <c r="AC298" s="22">
        <f>AB298*Variables!$E$41</f>
        <v>2217600.0000000005</v>
      </c>
      <c r="AD298" s="115">
        <f>ROUND(IF(D298&lt;50000,0,(H298/(3.14*Variables!$C$34^2))),0)</f>
        <v>144</v>
      </c>
      <c r="AE298" s="116">
        <f t="shared" si="46"/>
        <v>142</v>
      </c>
      <c r="AF298" s="117">
        <f t="shared" si="52"/>
        <v>2</v>
      </c>
      <c r="AG298" s="107">
        <f>AF298*Variables!$E$42*Variables!$C$15</f>
        <v>1355.088</v>
      </c>
      <c r="AH298" s="199">
        <f>ROUND((Z298)/Variables!$C$40,0)</f>
        <v>2</v>
      </c>
      <c r="AI298" s="33">
        <f t="shared" si="47"/>
        <v>2</v>
      </c>
      <c r="AJ298" s="199">
        <f t="shared" si="55"/>
        <v>0</v>
      </c>
      <c r="AK298" s="22">
        <f>AJ298*Variables!$E$43*Variables!$C$15</f>
        <v>0</v>
      </c>
      <c r="AL298" s="20">
        <f>Z298*Variables!$E$38*Variables!$C$15</f>
        <v>50382647.271454543</v>
      </c>
      <c r="AN298" s="200">
        <f t="shared" si="48"/>
        <v>0.14000000000000001</v>
      </c>
      <c r="AO298" s="201">
        <f t="shared" si="53"/>
        <v>33.383344262295083</v>
      </c>
      <c r="AP298" s="321">
        <f>VLOOKUP(A298,'Household Information'!H:Q,10,FALSE)</f>
        <v>73.860911270983223</v>
      </c>
      <c r="AQ298" s="122">
        <f>IF(12*(AO298-Variables!$C$3*AP298*F298)*(G298/5)&lt;0,0,12*(AO298-Variables!$C$3*AP298*F298)*(G298/5))</f>
        <v>0</v>
      </c>
    </row>
    <row r="299" spans="1:43" ht="14.25" customHeight="1" x14ac:dyDescent="0.35">
      <c r="A299" s="30">
        <v>2</v>
      </c>
      <c r="B299" s="28" t="s">
        <v>155</v>
      </c>
      <c r="C299" s="28">
        <v>2026</v>
      </c>
      <c r="D299" s="196">
        <f>Population!K3</f>
        <v>416940.74835885921</v>
      </c>
      <c r="E299" s="303" t="str">
        <f t="shared" si="54"/>
        <v>Medium</v>
      </c>
      <c r="F299" s="340">
        <f>VLOOKUP(A299,'Household Information'!$H$2:$M$49,6,FALSE)</f>
        <v>4.8390533520244086</v>
      </c>
      <c r="G299" s="196">
        <f t="shared" si="49"/>
        <v>86162</v>
      </c>
      <c r="H299" s="213">
        <f>Area!M3</f>
        <v>680.99528067676579</v>
      </c>
      <c r="J299" s="32">
        <f>D299*Variables!$C$20</f>
        <v>375.24667352297331</v>
      </c>
      <c r="K299" s="202">
        <f t="shared" si="45"/>
        <v>366.55922000876541</v>
      </c>
      <c r="L299" s="32">
        <f t="shared" si="50"/>
        <v>8.6874535142079026</v>
      </c>
      <c r="S299" s="198">
        <f>$L299*Variables!$C$21/100</f>
        <v>0.47171693289816657</v>
      </c>
      <c r="T299" s="198">
        <f>$L299*Variables!$C$22/100</f>
        <v>0.82550463257179163</v>
      </c>
      <c r="U299" s="198">
        <f>$L299*Variables!$C$23/100</f>
        <v>0.86481437697997221</v>
      </c>
      <c r="V299" s="198">
        <f>$L299*Variables!$C$24/100</f>
        <v>6.2895591053088893</v>
      </c>
      <c r="W299" s="22">
        <f>S299*Variables!$E$25*Variables!$C$15+'Cost Calculations'!T299*Variables!$E$26*Variables!$C$15+'Cost Calculations'!U299*Variables!$E$27*Variables!$C$15+V299*Variables!$E$28*Variables!$C$15</f>
        <v>5827037.6355793532</v>
      </c>
      <c r="X299" s="20">
        <f>J299*Variables!$E$29*Variables!$C$15</f>
        <v>64144.666372017062</v>
      </c>
      <c r="Z299" s="33">
        <f>D299*(IF(D299&lt;50000,0,IF(D299&gt;Variables!$C$7,Variables!$C$37,IF(D299&gt;Variables!$C$6,Variables!$C$36,IF(D299&gt;Variables!$C$5,Variables!$C$35)))))</f>
        <v>208.4703741794296</v>
      </c>
      <c r="AA299" s="34">
        <f t="shared" si="44"/>
        <v>262</v>
      </c>
      <c r="AB299" s="35">
        <f t="shared" si="51"/>
        <v>0</v>
      </c>
      <c r="AC299" s="22">
        <f>AB299*Variables!$E$41</f>
        <v>0</v>
      </c>
      <c r="AD299" s="115">
        <f>ROUND(IF(D299&lt;50000,0,(H299/(3.14*Variables!$C$34^2))),0)</f>
        <v>868</v>
      </c>
      <c r="AE299" s="116">
        <f t="shared" si="46"/>
        <v>855</v>
      </c>
      <c r="AF299" s="117">
        <f t="shared" si="52"/>
        <v>13</v>
      </c>
      <c r="AG299" s="107">
        <f>AF299*Variables!$E$42*Variables!$C$15</f>
        <v>8808.0720000000001</v>
      </c>
      <c r="AH299" s="199">
        <f>ROUND((Z299)/Variables!$C$40,0)</f>
        <v>2</v>
      </c>
      <c r="AI299" s="33">
        <f t="shared" si="47"/>
        <v>2</v>
      </c>
      <c r="AJ299" s="199">
        <f t="shared" si="55"/>
        <v>0</v>
      </c>
      <c r="AK299" s="22">
        <f>AJ299*Variables!$E$43*Variables!$C$15</f>
        <v>0</v>
      </c>
      <c r="AL299" s="20">
        <f>Z299*Variables!$E$38*Variables!$C$15</f>
        <v>36957317.506327696</v>
      </c>
      <c r="AN299" s="200">
        <f t="shared" si="48"/>
        <v>0.49</v>
      </c>
      <c r="AO299" s="201">
        <f t="shared" si="53"/>
        <v>142.26816854951761</v>
      </c>
      <c r="AP299" s="321">
        <f>VLOOKUP(A299,'Household Information'!H:Q,10,FALSE)</f>
        <v>166.27540073204597</v>
      </c>
      <c r="AQ299" s="122">
        <f>IF(12*(AO299-Variables!$C$3*AP299*F299)*(G299/5)&lt;0,0,12*(AO299-Variables!$C$3*AP299*F299)*(G299/5))</f>
        <v>4461641.702526438</v>
      </c>
    </row>
    <row r="300" spans="1:43" ht="14.25" customHeight="1" x14ac:dyDescent="0.35">
      <c r="A300" s="30">
        <v>3</v>
      </c>
      <c r="B300" s="28" t="s">
        <v>156</v>
      </c>
      <c r="C300" s="28">
        <v>2026</v>
      </c>
      <c r="D300" s="196">
        <f>Population!K4</f>
        <v>11998364.688357111</v>
      </c>
      <c r="E300" s="303" t="str">
        <f t="shared" si="54"/>
        <v>Large</v>
      </c>
      <c r="F300" s="340">
        <f>VLOOKUP(A300,'Household Information'!$H$2:$M$49,6,FALSE)</f>
        <v>4.0172949204764796</v>
      </c>
      <c r="G300" s="196">
        <f t="shared" si="49"/>
        <v>2986678</v>
      </c>
      <c r="H300" s="213">
        <f>Area!M4</f>
        <v>803.18699405859252</v>
      </c>
      <c r="J300" s="32">
        <f>D300*Variables!$C$20</f>
        <v>10798.5282195214</v>
      </c>
      <c r="K300" s="202">
        <f t="shared" si="45"/>
        <v>10548.52810346918</v>
      </c>
      <c r="L300" s="32">
        <f t="shared" si="50"/>
        <v>250.00011605222062</v>
      </c>
      <c r="S300" s="198">
        <f>$L300*Variables!$C$21/100</f>
        <v>13.574666934962204</v>
      </c>
      <c r="T300" s="198">
        <f>$L300*Variables!$C$22/100</f>
        <v>23.75566713618386</v>
      </c>
      <c r="U300" s="198">
        <f>$L300*Variables!$C$23/100</f>
        <v>24.886889380764046</v>
      </c>
      <c r="V300" s="198">
        <f>$L300*Variables!$C$24/100</f>
        <v>180.99555913282941</v>
      </c>
      <c r="W300" s="22">
        <f>S300*Variables!$E$25*Variables!$C$15+'Cost Calculations'!T300*Variables!$E$26*Variables!$C$15+'Cost Calculations'!U300*Variables!$E$27*Variables!$C$15+V300*Variables!$E$28*Variables!$C$15</f>
        <v>167685511.38179171</v>
      </c>
      <c r="X300" s="20">
        <f>J300*Variables!$E$29*Variables!$C$15</f>
        <v>1845900.4138449882</v>
      </c>
      <c r="Z300" s="33">
        <f>D300*(IF(D300&lt;50000,0,IF(D300&gt;Variables!$C$7,Variables!$C$37,IF(D300&gt;Variables!$C$6,Variables!$C$36,IF(D300&gt;Variables!$C$5,Variables!$C$35)))))</f>
        <v>5999.1823441785555</v>
      </c>
      <c r="AA300" s="34">
        <f t="shared" si="44"/>
        <v>5860</v>
      </c>
      <c r="AB300" s="35">
        <f t="shared" si="51"/>
        <v>139</v>
      </c>
      <c r="AC300" s="22">
        <f>AB300*Variables!$E$41</f>
        <v>51374400.000000007</v>
      </c>
      <c r="AD300" s="115">
        <f>ROUND(IF(D300&lt;50000,0,(H300/(3.14*Variables!$C$34^2))),0)</f>
        <v>1023</v>
      </c>
      <c r="AE300" s="116">
        <f t="shared" si="46"/>
        <v>1009</v>
      </c>
      <c r="AF300" s="117">
        <f t="shared" si="52"/>
        <v>14</v>
      </c>
      <c r="AG300" s="107">
        <f>AF300*Variables!$E$42*Variables!$C$15</f>
        <v>9485.616</v>
      </c>
      <c r="AH300" s="199">
        <f>ROUND((Z300)/Variables!$C$40,0)</f>
        <v>48</v>
      </c>
      <c r="AI300" s="33">
        <f t="shared" si="47"/>
        <v>47</v>
      </c>
      <c r="AJ300" s="199">
        <f t="shared" si="55"/>
        <v>1</v>
      </c>
      <c r="AK300" s="22">
        <f>AJ300*Variables!$E$43*Variables!$C$15</f>
        <v>552717.39600000007</v>
      </c>
      <c r="AL300" s="20">
        <f>Z300*Variables!$E$38*Variables!$C$15</f>
        <v>1063526112.7383699</v>
      </c>
      <c r="AN300" s="200">
        <f t="shared" si="48"/>
        <v>0.42</v>
      </c>
      <c r="AO300" s="201">
        <f t="shared" si="53"/>
        <v>101.23583199600728</v>
      </c>
      <c r="AP300" s="321">
        <f>VLOOKUP(A300,'Household Information'!H:Q,10,FALSE)</f>
        <v>132.525558500568</v>
      </c>
      <c r="AQ300" s="122">
        <f>IF(12*(AO300-Variables!$C$3*AP300*F300)*(G300/5)&lt;0,0,12*(AO300-Variables!$C$3*AP300*F300)*(G300/5))</f>
        <v>153228724.3703953</v>
      </c>
    </row>
    <row r="301" spans="1:43" ht="14.25" customHeight="1" x14ac:dyDescent="0.35">
      <c r="A301" s="30">
        <v>4</v>
      </c>
      <c r="B301" s="28" t="s">
        <v>157</v>
      </c>
      <c r="C301" s="28">
        <v>2026</v>
      </c>
      <c r="D301" s="196">
        <f>Population!K5</f>
        <v>2555247.0166329411</v>
      </c>
      <c r="E301" s="303" t="str">
        <f t="shared" si="54"/>
        <v>Large</v>
      </c>
      <c r="F301" s="340">
        <f>VLOOKUP(A301,'Household Information'!$H$2:$M$49,6,FALSE)</f>
        <v>4.6988894405393395</v>
      </c>
      <c r="G301" s="196">
        <f t="shared" si="49"/>
        <v>543798</v>
      </c>
      <c r="H301" s="213">
        <f>Area!M5</f>
        <v>444.06256814371164</v>
      </c>
      <c r="J301" s="32">
        <f>D301*Variables!$C$20</f>
        <v>2299.722314969647</v>
      </c>
      <c r="K301" s="202">
        <f t="shared" si="45"/>
        <v>2246.4807218615283</v>
      </c>
      <c r="L301" s="32">
        <f t="shared" si="50"/>
        <v>53.24159310811865</v>
      </c>
      <c r="S301" s="198">
        <f>$L301*Variables!$C$21/100</f>
        <v>2.8909462321150396</v>
      </c>
      <c r="T301" s="198">
        <f>$L301*Variables!$C$22/100</f>
        <v>5.0591559062013198</v>
      </c>
      <c r="U301" s="198">
        <f>$L301*Variables!$C$23/100</f>
        <v>5.300068092210906</v>
      </c>
      <c r="V301" s="198">
        <f>$L301*Variables!$C$24/100</f>
        <v>38.545949761533862</v>
      </c>
      <c r="W301" s="22">
        <f>S301*Variables!$E$25*Variables!$C$15+'Cost Calculations'!T301*Variables!$E$26*Variables!$C$15+'Cost Calculations'!U301*Variables!$E$27*Variables!$C$15+V301*Variables!$E$28*Variables!$C$15</f>
        <v>35711358.490934789</v>
      </c>
      <c r="X301" s="20">
        <f>J301*Variables!$E$29*Variables!$C$15</f>
        <v>393114.53252091148</v>
      </c>
      <c r="Z301" s="33">
        <f>D301*(IF(D301&lt;50000,0,IF(D301&gt;Variables!$C$7,Variables!$C$37,IF(D301&gt;Variables!$C$6,Variables!$C$36,IF(D301&gt;Variables!$C$5,Variables!$C$35)))))</f>
        <v>1277.6235083164706</v>
      </c>
      <c r="AA301" s="34">
        <f t="shared" si="44"/>
        <v>1248</v>
      </c>
      <c r="AB301" s="35">
        <f t="shared" si="51"/>
        <v>30</v>
      </c>
      <c r="AC301" s="22">
        <f>AB301*Variables!$E$41</f>
        <v>11088000.000000002</v>
      </c>
      <c r="AD301" s="115">
        <f>ROUND(IF(D301&lt;50000,0,(H301/(3.14*Variables!$C$34^2))),0)</f>
        <v>566</v>
      </c>
      <c r="AE301" s="116">
        <f t="shared" si="46"/>
        <v>558</v>
      </c>
      <c r="AF301" s="117">
        <f t="shared" si="52"/>
        <v>8</v>
      </c>
      <c r="AG301" s="107">
        <f>AF301*Variables!$E$42*Variables!$C$15</f>
        <v>5420.3519999999999</v>
      </c>
      <c r="AH301" s="199">
        <f>ROUND((Z301)/Variables!$C$40,0)</f>
        <v>10</v>
      </c>
      <c r="AI301" s="33">
        <f t="shared" si="47"/>
        <v>10</v>
      </c>
      <c r="AJ301" s="199">
        <f t="shared" si="55"/>
        <v>0</v>
      </c>
      <c r="AK301" s="22">
        <f>AJ301*Variables!$E$43*Variables!$C$15</f>
        <v>0</v>
      </c>
      <c r="AL301" s="20">
        <f>Z301*Variables!$E$38*Variables!$C$15</f>
        <v>226495193.07602036</v>
      </c>
      <c r="AN301" s="200">
        <f t="shared" si="48"/>
        <v>0.28000000000000003</v>
      </c>
      <c r="AO301" s="201">
        <f t="shared" si="53"/>
        <v>78.94134260106091</v>
      </c>
      <c r="AP301" s="321">
        <f>VLOOKUP(A301,'Household Information'!H:Q,10,FALSE)</f>
        <v>108.65462509082352</v>
      </c>
      <c r="AQ301" s="122">
        <f>IF(12*(AO301-Variables!$C$3*AP301*F301)*(G301/5)&lt;0,0,12*(AO301-Variables!$C$3*AP301*F301)*(G301/5))</f>
        <v>3077372.9267939036</v>
      </c>
    </row>
    <row r="302" spans="1:43" ht="14.25" customHeight="1" x14ac:dyDescent="0.35">
      <c r="A302" s="30">
        <v>5</v>
      </c>
      <c r="B302" s="28" t="s">
        <v>158</v>
      </c>
      <c r="C302" s="28">
        <v>2026</v>
      </c>
      <c r="D302" s="196">
        <f>Population!K6</f>
        <v>1198464.5044829135</v>
      </c>
      <c r="E302" s="303" t="str">
        <f t="shared" si="54"/>
        <v>Large</v>
      </c>
      <c r="F302" s="340">
        <f>VLOOKUP(A302,'Household Information'!$H$2:$M$49,6,FALSE)</f>
        <v>4.2814892277702192</v>
      </c>
      <c r="G302" s="196">
        <f t="shared" si="49"/>
        <v>279918</v>
      </c>
      <c r="H302" s="213">
        <f>Area!M6</f>
        <v>201.16928422617812</v>
      </c>
      <c r="J302" s="32">
        <f>D302*Variables!$C$20</f>
        <v>1078.6180540346222</v>
      </c>
      <c r="K302" s="202">
        <f t="shared" si="45"/>
        <v>2378.3936399999998</v>
      </c>
      <c r="L302" s="32">
        <f t="shared" si="50"/>
        <v>0</v>
      </c>
      <c r="S302" s="198">
        <f>$L302*Variables!$C$21/100</f>
        <v>0</v>
      </c>
      <c r="T302" s="198">
        <f>$L302*Variables!$C$22/100</f>
        <v>0</v>
      </c>
      <c r="U302" s="198">
        <f>$L302*Variables!$C$23/100</f>
        <v>0</v>
      </c>
      <c r="V302" s="198">
        <f>$L302*Variables!$C$24/100</f>
        <v>0</v>
      </c>
      <c r="W302" s="22">
        <f>S302*Variables!$E$25*Variables!$C$15+'Cost Calculations'!T302*Variables!$E$26*Variables!$C$15+'Cost Calculations'!U302*Variables!$E$27*Variables!$C$15+V302*Variables!$E$28*Variables!$C$15</f>
        <v>0</v>
      </c>
      <c r="X302" s="20">
        <f>J302*Variables!$E$29*Variables!$C$15</f>
        <v>184378.97015667835</v>
      </c>
      <c r="Z302" s="33">
        <f>D302*(IF(D302&lt;50000,0,IF(D302&gt;Variables!$C$7,Variables!$C$37,IF(D302&gt;Variables!$C$6,Variables!$C$36,IF(D302&gt;Variables!$C$5,Variables!$C$35)))))</f>
        <v>599.23225224145676</v>
      </c>
      <c r="AA302" s="34">
        <f t="shared" ref="AA302:AA365" si="56">AA260+AB260</f>
        <v>585</v>
      </c>
      <c r="AB302" s="35">
        <f t="shared" si="51"/>
        <v>14</v>
      </c>
      <c r="AC302" s="22">
        <f>AB302*Variables!$E$41</f>
        <v>5174400.0000000009</v>
      </c>
      <c r="AD302" s="115">
        <f>ROUND(IF(D302&lt;50000,0,(H302/(3.14*Variables!$C$34^2))),0)</f>
        <v>256</v>
      </c>
      <c r="AE302" s="116">
        <f t="shared" si="46"/>
        <v>253</v>
      </c>
      <c r="AF302" s="117">
        <f t="shared" si="52"/>
        <v>3</v>
      </c>
      <c r="AG302" s="107">
        <f>AF302*Variables!$E$42*Variables!$C$15</f>
        <v>2032.6320000000001</v>
      </c>
      <c r="AH302" s="199">
        <f>ROUND((Z302)/Variables!$C$40,0)</f>
        <v>5</v>
      </c>
      <c r="AI302" s="33">
        <f t="shared" si="47"/>
        <v>5</v>
      </c>
      <c r="AJ302" s="199">
        <f t="shared" si="55"/>
        <v>0</v>
      </c>
      <c r="AK302" s="22">
        <f>AJ302*Variables!$E$43*Variables!$C$15</f>
        <v>0</v>
      </c>
      <c r="AL302" s="20">
        <f>Z302*Variables!$E$38*Variables!$C$15</f>
        <v>106231001.3750845</v>
      </c>
      <c r="AN302" s="200">
        <f t="shared" si="48"/>
        <v>0.28000000000000003</v>
      </c>
      <c r="AO302" s="201">
        <f t="shared" si="53"/>
        <v>71.929019026539692</v>
      </c>
      <c r="AP302" s="321">
        <f>VLOOKUP(A302,'Household Information'!H:Q,10,FALSE)</f>
        <v>70.680297866969596</v>
      </c>
      <c r="AQ302" s="122">
        <f>IF(12*(AO302-Variables!$C$3*AP302*F302)*(G302/5)&lt;0,0,12*(AO302-Variables!$C$3*AP302*F302)*(G302/5))</f>
        <v>17827291.466331463</v>
      </c>
    </row>
    <row r="303" spans="1:43" ht="14.25" customHeight="1" x14ac:dyDescent="0.35">
      <c r="A303" s="30">
        <v>6</v>
      </c>
      <c r="B303" s="28" t="s">
        <v>159</v>
      </c>
      <c r="C303" s="28">
        <v>2026</v>
      </c>
      <c r="D303" s="196">
        <f>Population!K7</f>
        <v>1366404.0249752922</v>
      </c>
      <c r="E303" s="303" t="str">
        <f t="shared" si="54"/>
        <v>Large</v>
      </c>
      <c r="F303" s="340">
        <f>VLOOKUP(A303,'Household Information'!$H$2:$M$49,6,FALSE)</f>
        <v>4.4091899104485828</v>
      </c>
      <c r="G303" s="196">
        <f t="shared" si="49"/>
        <v>309899</v>
      </c>
      <c r="H303" s="213">
        <f>Area!M7</f>
        <v>173.28511057945281</v>
      </c>
      <c r="J303" s="32">
        <f>D303*Variables!$C$20</f>
        <v>1229.763622477763</v>
      </c>
      <c r="K303" s="202">
        <f t="shared" ref="K303:K366" si="57">K261+L261</f>
        <v>1201.292978878346</v>
      </c>
      <c r="L303" s="32">
        <f t="shared" si="50"/>
        <v>28.470643599416917</v>
      </c>
      <c r="S303" s="198">
        <f>$L303*Variables!$C$21/100</f>
        <v>1.5459172995158506</v>
      </c>
      <c r="T303" s="198">
        <f>$L303*Variables!$C$22/100</f>
        <v>2.7053552741527387</v>
      </c>
      <c r="U303" s="198">
        <f>$L303*Variables!$C$23/100</f>
        <v>2.8341817157790596</v>
      </c>
      <c r="V303" s="198">
        <f>$L303*Variables!$C$24/100</f>
        <v>20.612230660211345</v>
      </c>
      <c r="W303" s="22">
        <f>S303*Variables!$E$25*Variables!$C$15+'Cost Calculations'!T303*Variables!$E$26*Variables!$C$15+'Cost Calculations'!U303*Variables!$E$27*Variables!$C$15+V303*Variables!$E$28*Variables!$C$15</f>
        <v>19096448.860606659</v>
      </c>
      <c r="X303" s="20">
        <f>J303*Variables!$E$29*Variables!$C$15</f>
        <v>210215.79362634881</v>
      </c>
      <c r="Z303" s="33">
        <f>D303*(IF(D303&lt;50000,0,IF(D303&gt;Variables!$C$7,Variables!$C$37,IF(D303&gt;Variables!$C$6,Variables!$C$36,IF(D303&gt;Variables!$C$5,Variables!$C$35)))))</f>
        <v>683.20201248764613</v>
      </c>
      <c r="AA303" s="34">
        <f t="shared" si="56"/>
        <v>667</v>
      </c>
      <c r="AB303" s="35">
        <f t="shared" si="51"/>
        <v>16</v>
      </c>
      <c r="AC303" s="22">
        <f>AB303*Variables!$E$41</f>
        <v>5913600.0000000009</v>
      </c>
      <c r="AD303" s="115">
        <f>ROUND(IF(D303&lt;50000,0,(H303/(3.14*Variables!$C$34^2))),0)</f>
        <v>221</v>
      </c>
      <c r="AE303" s="116">
        <f t="shared" ref="AE303:AE366" si="58">AE261+AF261</f>
        <v>218</v>
      </c>
      <c r="AF303" s="117">
        <f t="shared" si="52"/>
        <v>3</v>
      </c>
      <c r="AG303" s="107">
        <f>AF303*Variables!$E$42*Variables!$C$15</f>
        <v>2032.6320000000001</v>
      </c>
      <c r="AH303" s="199">
        <f>ROUND((Z303)/Variables!$C$40,0)</f>
        <v>5</v>
      </c>
      <c r="AI303" s="33">
        <f t="shared" ref="AI303:AI366" si="59">AI261+AJ261</f>
        <v>5</v>
      </c>
      <c r="AJ303" s="199">
        <f t="shared" si="55"/>
        <v>0</v>
      </c>
      <c r="AK303" s="22">
        <f>AJ303*Variables!$E$43*Variables!$C$15</f>
        <v>0</v>
      </c>
      <c r="AL303" s="20">
        <f>Z303*Variables!$E$38*Variables!$C$15</f>
        <v>121117035.43418606</v>
      </c>
      <c r="AN303" s="200">
        <f t="shared" ref="AN303:AN366" si="60">AN261</f>
        <v>0.28000000000000003</v>
      </c>
      <c r="AO303" s="201">
        <f t="shared" si="53"/>
        <v>74.074390495536193</v>
      </c>
      <c r="AP303" s="321">
        <f>VLOOKUP(A303,'Household Information'!H:Q,10,FALSE)</f>
        <v>228.82746434431402</v>
      </c>
      <c r="AQ303" s="122">
        <f>IF(12*(AO303-Variables!$C$3*AP303*F303)*(G303/5)&lt;0,0,12*(AO303-Variables!$C$3*AP303*F303)*(G303/5))</f>
        <v>0</v>
      </c>
    </row>
    <row r="304" spans="1:43" ht="14.25" customHeight="1" x14ac:dyDescent="0.35">
      <c r="A304" s="30">
        <v>7</v>
      </c>
      <c r="B304" s="28" t="s">
        <v>160</v>
      </c>
      <c r="C304" s="28">
        <v>2026</v>
      </c>
      <c r="D304" s="196">
        <f>Population!K8</f>
        <v>6602952.5230493853</v>
      </c>
      <c r="E304" s="303" t="str">
        <f t="shared" si="54"/>
        <v>Large</v>
      </c>
      <c r="F304" s="340">
        <f>VLOOKUP(A304,'Household Information'!$H$2:$M$49,6,FALSE)</f>
        <v>4.0232072880789485</v>
      </c>
      <c r="G304" s="196">
        <f t="shared" si="49"/>
        <v>1641216</v>
      </c>
      <c r="H304" s="213">
        <f>Area!M8</f>
        <v>1174.232562742432</v>
      </c>
      <c r="J304" s="32">
        <f>D304*Variables!$C$20</f>
        <v>5942.6572707444466</v>
      </c>
      <c r="K304" s="202">
        <f t="shared" si="57"/>
        <v>5805.0769470982177</v>
      </c>
      <c r="L304" s="32">
        <f t="shared" si="50"/>
        <v>137.58032364622886</v>
      </c>
      <c r="S304" s="198">
        <f>$L304*Variables!$C$21/100</f>
        <v>7.4704248133698918</v>
      </c>
      <c r="T304" s="198">
        <f>$L304*Variables!$C$22/100</f>
        <v>13.073243423397312</v>
      </c>
      <c r="U304" s="198">
        <f>$L304*Variables!$C$23/100</f>
        <v>13.695778824511471</v>
      </c>
      <c r="V304" s="198">
        <f>$L304*Variables!$C$24/100</f>
        <v>99.605664178265229</v>
      </c>
      <c r="W304" s="22">
        <f>S304*Variables!$E$25*Variables!$C$15+'Cost Calculations'!T304*Variables!$E$26*Variables!$C$15+'Cost Calculations'!U304*Variables!$E$27*Variables!$C$15+V304*Variables!$E$28*Variables!$C$15</f>
        <v>92280864.86916402</v>
      </c>
      <c r="X304" s="20">
        <f>J304*Variables!$E$29*Variables!$C$15</f>
        <v>1015837.8338610557</v>
      </c>
      <c r="Z304" s="33">
        <f>D304*(IF(D304&lt;50000,0,IF(D304&gt;Variables!$C$7,Variables!$C$37,IF(D304&gt;Variables!$C$6,Variables!$C$36,IF(D304&gt;Variables!$C$5,Variables!$C$35)))))</f>
        <v>3301.4762615246927</v>
      </c>
      <c r="AA304" s="34">
        <f t="shared" si="56"/>
        <v>4599</v>
      </c>
      <c r="AB304" s="35">
        <f t="shared" si="51"/>
        <v>0</v>
      </c>
      <c r="AC304" s="22">
        <f>AB304*Variables!$E$41</f>
        <v>0</v>
      </c>
      <c r="AD304" s="115">
        <f>ROUND(IF(D304&lt;50000,0,(H304/(3.14*Variables!$C$34^2))),0)</f>
        <v>1496</v>
      </c>
      <c r="AE304" s="116">
        <f t="shared" si="58"/>
        <v>1475</v>
      </c>
      <c r="AF304" s="117">
        <f t="shared" si="52"/>
        <v>21</v>
      </c>
      <c r="AG304" s="107">
        <f>AF304*Variables!$E$42*Variables!$C$15</f>
        <v>14228.424000000001</v>
      </c>
      <c r="AH304" s="199">
        <f>ROUND((Z304)/Variables!$C$40,0)</f>
        <v>26</v>
      </c>
      <c r="AI304" s="33">
        <f t="shared" si="59"/>
        <v>26</v>
      </c>
      <c r="AJ304" s="199">
        <f t="shared" si="55"/>
        <v>0</v>
      </c>
      <c r="AK304" s="22">
        <f>AJ304*Variables!$E$43*Variables!$C$15</f>
        <v>0</v>
      </c>
      <c r="AL304" s="20">
        <f>Z304*Variables!$E$38*Variables!$C$15</f>
        <v>585280795.49449635</v>
      </c>
      <c r="AN304" s="200">
        <f t="shared" si="60"/>
        <v>0.28000000000000003</v>
      </c>
      <c r="AO304" s="201">
        <f t="shared" si="53"/>
        <v>67.589882439726338</v>
      </c>
      <c r="AP304" s="321">
        <f>VLOOKUP(A304,'Household Information'!H:Q,10,FALSE)</f>
        <v>141.36059573393919</v>
      </c>
      <c r="AQ304" s="122">
        <f>IF(12*(AO304-Variables!$C$3*AP304*F304)*(G304/5)&lt;0,0,12*(AO304-Variables!$C$3*AP304*F304)*(G304/5))</f>
        <v>0</v>
      </c>
    </row>
    <row r="305" spans="1:43" ht="14.25" customHeight="1" x14ac:dyDescent="0.35">
      <c r="A305" s="30">
        <v>8</v>
      </c>
      <c r="B305" s="28" t="s">
        <v>161</v>
      </c>
      <c r="C305" s="28">
        <v>2026</v>
      </c>
      <c r="D305" s="196">
        <f>Population!K9</f>
        <v>62924.210741155912</v>
      </c>
      <c r="E305" s="303" t="str">
        <f t="shared" si="54"/>
        <v>Small</v>
      </c>
      <c r="F305" s="340">
        <f>VLOOKUP(A305,'Household Information'!$H$2:$M$49,6,FALSE)</f>
        <v>4.332028957151242</v>
      </c>
      <c r="G305" s="196">
        <f t="shared" si="49"/>
        <v>14525</v>
      </c>
      <c r="H305" s="213">
        <f>Area!M9</f>
        <v>165.40585591930196</v>
      </c>
      <c r="J305" s="32">
        <f>D305*Variables!$C$20</f>
        <v>56.631789667040316</v>
      </c>
      <c r="K305" s="202">
        <f t="shared" si="57"/>
        <v>55.32068932992118</v>
      </c>
      <c r="L305" s="32">
        <f t="shared" si="50"/>
        <v>1.3111003371191359</v>
      </c>
      <c r="S305" s="198">
        <f>$L305*Variables!$C$21/100</f>
        <v>7.1190968531355786E-2</v>
      </c>
      <c r="T305" s="198">
        <f>$L305*Variables!$C$22/100</f>
        <v>0.12458419492987265</v>
      </c>
      <c r="U305" s="198">
        <f>$L305*Variables!$C$23/100</f>
        <v>0.13051677564081895</v>
      </c>
      <c r="V305" s="198">
        <f>$L305*Variables!$C$24/100</f>
        <v>0.94921291375141048</v>
      </c>
      <c r="W305" s="22">
        <f>S305*Variables!$E$25*Variables!$C$15+'Cost Calculations'!T305*Variables!$E$26*Variables!$C$15+'Cost Calculations'!U305*Variables!$E$27*Variables!$C$15+V305*Variables!$E$28*Variables!$C$15</f>
        <v>879409.71378084668</v>
      </c>
      <c r="X305" s="20">
        <f>J305*Variables!$E$29*Variables!$C$15</f>
        <v>9680.6381256838722</v>
      </c>
      <c r="Z305" s="33">
        <f>D305*(IF(D305&lt;50000,0,IF(D305&gt;Variables!$C$7,Variables!$C$37,IF(D305&gt;Variables!$C$6,Variables!$C$36,IF(D305&gt;Variables!$C$5,Variables!$C$35)))))</f>
        <v>31.462105370577955</v>
      </c>
      <c r="AA305" s="34">
        <f t="shared" si="56"/>
        <v>31</v>
      </c>
      <c r="AB305" s="35">
        <f t="shared" si="51"/>
        <v>0</v>
      </c>
      <c r="AC305" s="22">
        <f>AB305*Variables!$E$41</f>
        <v>0</v>
      </c>
      <c r="AD305" s="115">
        <f>ROUND(IF(D305&lt;50000,0,(H305/(3.14*Variables!$C$34^2))),0)</f>
        <v>211</v>
      </c>
      <c r="AE305" s="116">
        <f t="shared" si="58"/>
        <v>208</v>
      </c>
      <c r="AF305" s="117">
        <f t="shared" si="52"/>
        <v>3</v>
      </c>
      <c r="AG305" s="107">
        <f>AF305*Variables!$E$42*Variables!$C$15</f>
        <v>2032.6320000000001</v>
      </c>
      <c r="AH305" s="199">
        <f>ROUND((Z305)/Variables!$C$40,0)</f>
        <v>0</v>
      </c>
      <c r="AI305" s="33">
        <f t="shared" si="59"/>
        <v>0</v>
      </c>
      <c r="AJ305" s="199">
        <f t="shared" si="55"/>
        <v>0</v>
      </c>
      <c r="AK305" s="22">
        <f>AJ305*Variables!$E$43*Variables!$C$15</f>
        <v>0</v>
      </c>
      <c r="AL305" s="20">
        <f>Z305*Variables!$E$38*Variables!$C$15</f>
        <v>5577555.1906344686</v>
      </c>
      <c r="AN305" s="200">
        <f t="shared" si="60"/>
        <v>0.25221875000000005</v>
      </c>
      <c r="AO305" s="201">
        <f t="shared" si="53"/>
        <v>65.557135712189407</v>
      </c>
      <c r="AP305" s="321">
        <f>VLOOKUP(A305,'Household Information'!H:Q,10,FALSE)</f>
        <v>39.775337624637132</v>
      </c>
      <c r="AQ305" s="122">
        <f>IF(12*(AO305-Variables!$C$3*AP305*F305)*(G305/5)&lt;0,0,12*(AO305-Variables!$C$3*AP305*F305)*(G305/5))</f>
        <v>1384323.6666841256</v>
      </c>
    </row>
    <row r="306" spans="1:43" ht="14.25" customHeight="1" x14ac:dyDescent="0.35">
      <c r="A306" s="30">
        <v>9</v>
      </c>
      <c r="B306" s="28" t="s">
        <v>162</v>
      </c>
      <c r="C306" s="28">
        <v>2026</v>
      </c>
      <c r="D306" s="196">
        <f>Population!K10</f>
        <v>809363.76192417007</v>
      </c>
      <c r="E306" s="303" t="str">
        <f t="shared" si="54"/>
        <v>Medium</v>
      </c>
      <c r="F306" s="340">
        <f>VLOOKUP(A306,'Household Information'!$H$2:$M$49,6,FALSE)</f>
        <v>4.5911864516077028</v>
      </c>
      <c r="G306" s="196">
        <f t="shared" si="49"/>
        <v>176286</v>
      </c>
      <c r="H306" s="213">
        <f>Area!M10</f>
        <v>447.04285383595129</v>
      </c>
      <c r="J306" s="32">
        <f>D306*Variables!$C$20</f>
        <v>728.42738573175302</v>
      </c>
      <c r="K306" s="202">
        <f t="shared" si="57"/>
        <v>711.56333469937772</v>
      </c>
      <c r="L306" s="32">
        <f t="shared" si="50"/>
        <v>16.864051032375301</v>
      </c>
      <c r="S306" s="198">
        <f>$L306*Variables!$C$21/100</f>
        <v>0.91569507868101174</v>
      </c>
      <c r="T306" s="198">
        <f>$L306*Variables!$C$22/100</f>
        <v>1.6024663876917706</v>
      </c>
      <c r="U306" s="198">
        <f>$L306*Variables!$C$23/100</f>
        <v>1.6787743109151885</v>
      </c>
      <c r="V306" s="198">
        <f>$L306*Variables!$C$24/100</f>
        <v>12.209267715746824</v>
      </c>
      <c r="W306" s="22">
        <f>S306*Variables!$E$25*Variables!$C$15+'Cost Calculations'!T306*Variables!$E$26*Variables!$C$15+'Cost Calculations'!U306*Variables!$E$27*Variables!$C$15+V306*Variables!$E$28*Variables!$C$15</f>
        <v>11311422.834466984</v>
      </c>
      <c r="X306" s="20">
        <f>J306*Variables!$E$29*Variables!$C$15</f>
        <v>124517.37731698586</v>
      </c>
      <c r="Z306" s="33">
        <f>D306*(IF(D306&lt;50000,0,IF(D306&gt;Variables!$C$7,Variables!$C$37,IF(D306&gt;Variables!$C$6,Variables!$C$36,IF(D306&gt;Variables!$C$5,Variables!$C$35)))))</f>
        <v>404.68188096208502</v>
      </c>
      <c r="AA306" s="34">
        <f t="shared" si="56"/>
        <v>430</v>
      </c>
      <c r="AB306" s="35">
        <f t="shared" si="51"/>
        <v>0</v>
      </c>
      <c r="AC306" s="22">
        <f>AB306*Variables!$E$41</f>
        <v>0</v>
      </c>
      <c r="AD306" s="115">
        <f>ROUND(IF(D306&lt;50000,0,(H306/(3.14*Variables!$C$34^2))),0)</f>
        <v>569</v>
      </c>
      <c r="AE306" s="116">
        <f t="shared" si="58"/>
        <v>562</v>
      </c>
      <c r="AF306" s="117">
        <f t="shared" si="52"/>
        <v>7</v>
      </c>
      <c r="AG306" s="107">
        <f>AF306*Variables!$E$42*Variables!$C$15</f>
        <v>4742.808</v>
      </c>
      <c r="AH306" s="199">
        <f>ROUND((Z306)/Variables!$C$40,0)</f>
        <v>3</v>
      </c>
      <c r="AI306" s="33">
        <f t="shared" si="59"/>
        <v>3</v>
      </c>
      <c r="AJ306" s="199">
        <f t="shared" si="55"/>
        <v>0</v>
      </c>
      <c r="AK306" s="22">
        <f>AJ306*Variables!$E$43*Variables!$C$15</f>
        <v>0</v>
      </c>
      <c r="AL306" s="20">
        <f>Z306*Variables!$E$38*Variables!$C$15</f>
        <v>71741401.254938781</v>
      </c>
      <c r="AN306" s="200">
        <f t="shared" si="60"/>
        <v>0.19600000000000001</v>
      </c>
      <c r="AO306" s="201">
        <f t="shared" si="53"/>
        <v>53.992352670906584</v>
      </c>
      <c r="AP306" s="321">
        <f>VLOOKUP(A306,'Household Information'!H:Q,10,FALSE)</f>
        <v>137.82658084059071</v>
      </c>
      <c r="AQ306" s="122">
        <f>IF(12*(AO306-Variables!$C$3*AP306*F306)*(G306/5)&lt;0,0,12*(AO306-Variables!$C$3*AP306*F306)*(G306/5))</f>
        <v>0</v>
      </c>
    </row>
    <row r="307" spans="1:43" ht="14.25" customHeight="1" x14ac:dyDescent="0.35">
      <c r="A307" s="30">
        <v>10</v>
      </c>
      <c r="B307" s="28" t="s">
        <v>163</v>
      </c>
      <c r="C307" s="28">
        <v>2026</v>
      </c>
      <c r="D307" s="196">
        <f>Population!K11</f>
        <v>751081.920463791</v>
      </c>
      <c r="E307" s="303" t="str">
        <f t="shared" si="54"/>
        <v>Medium</v>
      </c>
      <c r="F307" s="340">
        <f>VLOOKUP(A307,'Household Information'!$H$2:$M$49,6,FALSE)</f>
        <v>4.0714439771379274</v>
      </c>
      <c r="G307" s="196">
        <f t="shared" si="49"/>
        <v>184476</v>
      </c>
      <c r="H307" s="213">
        <f>Area!M11</f>
        <v>132.44721827728875</v>
      </c>
      <c r="J307" s="32">
        <f>D307*Variables!$C$20</f>
        <v>675.97372841741185</v>
      </c>
      <c r="K307" s="202">
        <f t="shared" si="57"/>
        <v>718.84568000000002</v>
      </c>
      <c r="L307" s="32">
        <f t="shared" si="50"/>
        <v>0</v>
      </c>
      <c r="S307" s="198">
        <f>$L307*Variables!$C$21/100</f>
        <v>0</v>
      </c>
      <c r="T307" s="198">
        <f>$L307*Variables!$C$22/100</f>
        <v>0</v>
      </c>
      <c r="U307" s="198">
        <f>$L307*Variables!$C$23/100</f>
        <v>0</v>
      </c>
      <c r="V307" s="198">
        <f>$L307*Variables!$C$24/100</f>
        <v>0</v>
      </c>
      <c r="W307" s="22">
        <f>S307*Variables!$E$25*Variables!$C$15+'Cost Calculations'!T307*Variables!$E$26*Variables!$C$15+'Cost Calculations'!U307*Variables!$E$27*Variables!$C$15+V307*Variables!$E$28*Variables!$C$15</f>
        <v>0</v>
      </c>
      <c r="X307" s="20">
        <f>J307*Variables!$E$29*Variables!$C$15</f>
        <v>115550.94913567239</v>
      </c>
      <c r="Z307" s="33">
        <f>D307*(IF(D307&lt;50000,0,IF(D307&gt;Variables!$C$7,Variables!$C$37,IF(D307&gt;Variables!$C$6,Variables!$C$36,IF(D307&gt;Variables!$C$5,Variables!$C$35)))))</f>
        <v>375.5409602318955</v>
      </c>
      <c r="AA307" s="34">
        <f t="shared" si="56"/>
        <v>367</v>
      </c>
      <c r="AB307" s="35">
        <f t="shared" si="51"/>
        <v>9</v>
      </c>
      <c r="AC307" s="22">
        <f>AB307*Variables!$E$41</f>
        <v>3326400.0000000005</v>
      </c>
      <c r="AD307" s="115">
        <f>ROUND(IF(D307&lt;50000,0,(H307/(3.14*Variables!$C$34^2))),0)</f>
        <v>169</v>
      </c>
      <c r="AE307" s="116">
        <f t="shared" si="58"/>
        <v>166</v>
      </c>
      <c r="AF307" s="117">
        <f t="shared" si="52"/>
        <v>3</v>
      </c>
      <c r="AG307" s="107">
        <f>AF307*Variables!$E$42*Variables!$C$15</f>
        <v>2032.6320000000001</v>
      </c>
      <c r="AH307" s="199">
        <f>ROUND((Z307)/Variables!$C$40,0)</f>
        <v>3</v>
      </c>
      <c r="AI307" s="33">
        <f t="shared" si="59"/>
        <v>3</v>
      </c>
      <c r="AJ307" s="199">
        <f t="shared" si="55"/>
        <v>0</v>
      </c>
      <c r="AK307" s="22">
        <f>AJ307*Variables!$E$43*Variables!$C$15</f>
        <v>0</v>
      </c>
      <c r="AL307" s="20">
        <f>Z307*Variables!$E$38*Variables!$C$15</f>
        <v>66575342.220932357</v>
      </c>
      <c r="AN307" s="200">
        <f t="shared" si="60"/>
        <v>0.25221875000000005</v>
      </c>
      <c r="AO307" s="201">
        <f t="shared" si="53"/>
        <v>61.613670636525413</v>
      </c>
      <c r="AP307" s="321">
        <f>VLOOKUP(A307,'Household Information'!H:Q,10,FALSE)</f>
        <v>39.775337624637132</v>
      </c>
      <c r="AQ307" s="122">
        <f>IF(12*(AO307-Variables!$C$3*AP307*F307)*(G307/5)&lt;0,0,12*(AO307-Variables!$C$3*AP307*F307)*(G307/5))</f>
        <v>16524125.632262392</v>
      </c>
    </row>
    <row r="308" spans="1:43" ht="14.25" customHeight="1" x14ac:dyDescent="0.35">
      <c r="A308" s="30">
        <v>11</v>
      </c>
      <c r="B308" s="28" t="s">
        <v>164</v>
      </c>
      <c r="C308" s="28">
        <v>2026</v>
      </c>
      <c r="D308" s="196">
        <f>Population!K12</f>
        <v>292960.92669418477</v>
      </c>
      <c r="E308" s="303" t="str">
        <f t="shared" si="54"/>
        <v>Medium</v>
      </c>
      <c r="F308" s="340">
        <f>VLOOKUP(A308,'Household Information'!$H$2:$M$49,6,FALSE)</f>
        <v>4.5669760538732476</v>
      </c>
      <c r="G308" s="196">
        <f t="shared" si="49"/>
        <v>64148</v>
      </c>
      <c r="H308" s="213">
        <f>Area!M12</f>
        <v>169.87628445766148</v>
      </c>
      <c r="J308" s="32">
        <f>D308*Variables!$C$20</f>
        <v>263.66483402476626</v>
      </c>
      <c r="K308" s="202">
        <f t="shared" si="57"/>
        <v>257.56064669802311</v>
      </c>
      <c r="L308" s="32">
        <f t="shared" si="50"/>
        <v>6.1041873267431583</v>
      </c>
      <c r="S308" s="198">
        <f>$L308*Variables!$C$21/100</f>
        <v>0.33144908561501313</v>
      </c>
      <c r="T308" s="198">
        <f>$L308*Variables!$C$22/100</f>
        <v>0.58003589982627302</v>
      </c>
      <c r="U308" s="198">
        <f>$L308*Variables!$C$23/100</f>
        <v>0.60765665696085736</v>
      </c>
      <c r="V308" s="198">
        <f>$L308*Variables!$C$24/100</f>
        <v>4.4193211415335085</v>
      </c>
      <c r="W308" s="22">
        <f>S308*Variables!$E$25*Variables!$C$15+'Cost Calculations'!T308*Variables!$E$26*Variables!$C$15+'Cost Calculations'!U308*Variables!$E$27*Variables!$C$15+V308*Variables!$E$28*Variables!$C$15</f>
        <v>4094333.1931948783</v>
      </c>
      <c r="X308" s="20">
        <f>J308*Variables!$E$29*Variables!$C$15</f>
        <v>45070.866728193549</v>
      </c>
      <c r="Z308" s="33">
        <f>D308*(IF(D308&lt;50000,0,IF(D308&gt;Variables!$C$7,Variables!$C$37,IF(D308&gt;Variables!$C$6,Variables!$C$36,IF(D308&gt;Variables!$C$5,Variables!$C$35)))))</f>
        <v>146.48046334709238</v>
      </c>
      <c r="AA308" s="34">
        <f t="shared" si="56"/>
        <v>143</v>
      </c>
      <c r="AB308" s="35">
        <f t="shared" si="51"/>
        <v>3</v>
      </c>
      <c r="AC308" s="22">
        <f>AB308*Variables!$E$41</f>
        <v>1108800.0000000002</v>
      </c>
      <c r="AD308" s="115">
        <f>ROUND(IF(D308&lt;50000,0,(H308/(3.14*Variables!$C$34^2))),0)</f>
        <v>216</v>
      </c>
      <c r="AE308" s="116">
        <f t="shared" si="58"/>
        <v>213</v>
      </c>
      <c r="AF308" s="117">
        <f t="shared" si="52"/>
        <v>3</v>
      </c>
      <c r="AG308" s="107">
        <f>AF308*Variables!$E$42*Variables!$C$15</f>
        <v>2032.6320000000001</v>
      </c>
      <c r="AH308" s="199">
        <f>ROUND((Z308)/Variables!$C$40,0)</f>
        <v>1</v>
      </c>
      <c r="AI308" s="33">
        <f t="shared" si="59"/>
        <v>1</v>
      </c>
      <c r="AJ308" s="199">
        <f t="shared" si="55"/>
        <v>0</v>
      </c>
      <c r="AK308" s="22">
        <f>AJ308*Variables!$E$43*Variables!$C$15</f>
        <v>0</v>
      </c>
      <c r="AL308" s="20">
        <f>Z308*Variables!$E$38*Variables!$C$15</f>
        <v>25967838.421650704</v>
      </c>
      <c r="AN308" s="200">
        <f t="shared" si="60"/>
        <v>0.315</v>
      </c>
      <c r="AO308" s="201">
        <f t="shared" si="53"/>
        <v>86.31584741820437</v>
      </c>
      <c r="AP308" s="321">
        <f>VLOOKUP(A308,'Household Information'!H:Q,10,FALSE)</f>
        <v>93.297993184399843</v>
      </c>
      <c r="AQ308" s="122">
        <f>IF(12*(AO308-Variables!$C$3*AP308*F308)*(G308/5)&lt;0,0,12*(AO308-Variables!$C$3*AP308*F308)*(G308/5))</f>
        <v>3448964.7879589824</v>
      </c>
    </row>
    <row r="309" spans="1:43" ht="14.25" customHeight="1" x14ac:dyDescent="0.35">
      <c r="A309" s="30">
        <v>12</v>
      </c>
      <c r="B309" s="28" t="s">
        <v>165</v>
      </c>
      <c r="C309" s="28">
        <v>2026</v>
      </c>
      <c r="D309" s="196">
        <f>Population!K13</f>
        <v>142505.24814569263</v>
      </c>
      <c r="E309" s="303" t="str">
        <f t="shared" si="54"/>
        <v>Medium</v>
      </c>
      <c r="F309" s="340">
        <f>VLOOKUP(A309,'Household Information'!$H$2:$M$49,6,FALSE)</f>
        <v>4.2184831531569431</v>
      </c>
      <c r="G309" s="196">
        <f t="shared" si="49"/>
        <v>33781</v>
      </c>
      <c r="H309" s="213">
        <f>Area!M13</f>
        <v>28.312714076276915</v>
      </c>
      <c r="J309" s="32">
        <f>D309*Variables!$C$20</f>
        <v>128.25472333112336</v>
      </c>
      <c r="K309" s="202">
        <f t="shared" si="57"/>
        <v>125.28545797706687</v>
      </c>
      <c r="L309" s="32">
        <f t="shared" si="50"/>
        <v>2.9692653540564891</v>
      </c>
      <c r="S309" s="198">
        <f>$L309*Variables!$C$21/100</f>
        <v>0.16122707804831612</v>
      </c>
      <c r="T309" s="198">
        <f>$L309*Variables!$C$22/100</f>
        <v>0.28214738658455324</v>
      </c>
      <c r="U309" s="198">
        <f>$L309*Variables!$C$23/100</f>
        <v>0.29558297642191295</v>
      </c>
      <c r="V309" s="198">
        <f>$L309*Variables!$C$24/100</f>
        <v>2.1496943739775487</v>
      </c>
      <c r="W309" s="22">
        <f>S309*Variables!$E$25*Variables!$C$15+'Cost Calculations'!T309*Variables!$E$26*Variables!$C$15+'Cost Calculations'!U309*Variables!$E$27*Variables!$C$15+V309*Variables!$E$28*Variables!$C$15</f>
        <v>1991610.1927696548</v>
      </c>
      <c r="X309" s="20">
        <f>J309*Variables!$E$29*Variables!$C$15</f>
        <v>21923.86240622223</v>
      </c>
      <c r="Z309" s="33">
        <f>D309*(IF(D309&lt;50000,0,IF(D309&gt;Variables!$C$7,Variables!$C$37,IF(D309&gt;Variables!$C$6,Variables!$C$36,IF(D309&gt;Variables!$C$5,Variables!$C$35)))))</f>
        <v>71.252624072846316</v>
      </c>
      <c r="AA309" s="34">
        <f t="shared" si="56"/>
        <v>70</v>
      </c>
      <c r="AB309" s="35">
        <f t="shared" si="51"/>
        <v>1</v>
      </c>
      <c r="AC309" s="22">
        <f>AB309*Variables!$E$41</f>
        <v>369600.00000000006</v>
      </c>
      <c r="AD309" s="115">
        <f>ROUND(IF(D309&lt;50000,0,(H309/(3.14*Variables!$C$34^2))),0)</f>
        <v>36</v>
      </c>
      <c r="AE309" s="116">
        <f t="shared" si="58"/>
        <v>36</v>
      </c>
      <c r="AF309" s="117">
        <f t="shared" si="52"/>
        <v>0</v>
      </c>
      <c r="AG309" s="107">
        <f>AF309*Variables!$E$42*Variables!$C$15</f>
        <v>0</v>
      </c>
      <c r="AH309" s="199">
        <f>ROUND((Z309)/Variables!$C$40,0)</f>
        <v>1</v>
      </c>
      <c r="AI309" s="33">
        <f t="shared" si="59"/>
        <v>1</v>
      </c>
      <c r="AJ309" s="199">
        <f t="shared" si="55"/>
        <v>0</v>
      </c>
      <c r="AK309" s="22">
        <f>AJ309*Variables!$E$43*Variables!$C$15</f>
        <v>0</v>
      </c>
      <c r="AL309" s="20">
        <f>Z309*Variables!$E$38*Variables!$C$15</f>
        <v>12631559.095071774</v>
      </c>
      <c r="AN309" s="200">
        <f t="shared" si="60"/>
        <v>0.28000000000000003</v>
      </c>
      <c r="AO309" s="201">
        <f t="shared" si="53"/>
        <v>70.870516973036644</v>
      </c>
      <c r="AP309" s="321">
        <f>VLOOKUP(A309,'Household Information'!H:Q,10,FALSE)</f>
        <v>108.65462509082352</v>
      </c>
      <c r="AQ309" s="122">
        <f>IF(12*(AO309-Variables!$C$3*AP309*F309)*(G309/5)&lt;0,0,12*(AO309-Variables!$C$3*AP309*F309)*(G309/5))</f>
        <v>171623.24796844236</v>
      </c>
    </row>
    <row r="310" spans="1:43" ht="14.25" customHeight="1" x14ac:dyDescent="0.35">
      <c r="A310" s="30">
        <v>13</v>
      </c>
      <c r="B310" s="28" t="s">
        <v>166</v>
      </c>
      <c r="C310" s="28">
        <v>2026</v>
      </c>
      <c r="D310" s="196">
        <f>Population!K14</f>
        <v>9565795.8679645434</v>
      </c>
      <c r="E310" s="303" t="str">
        <f t="shared" si="54"/>
        <v>Large</v>
      </c>
      <c r="F310" s="340">
        <f>VLOOKUP(A310,'Household Information'!$H$2:$M$49,6,FALSE)</f>
        <v>4.33</v>
      </c>
      <c r="G310" s="196">
        <f t="shared" si="49"/>
        <v>2209191</v>
      </c>
      <c r="H310" s="213">
        <f>Area!M14</f>
        <v>911.52180892127831</v>
      </c>
      <c r="J310" s="32">
        <f>D310*Variables!$C$20</f>
        <v>8609.2162811680882</v>
      </c>
      <c r="K310" s="202">
        <f t="shared" si="57"/>
        <v>8409.9016129413776</v>
      </c>
      <c r="L310" s="32">
        <f t="shared" si="50"/>
        <v>199.31466822671064</v>
      </c>
      <c r="S310" s="198">
        <f>$L310*Variables!$C$21/100</f>
        <v>10.822515921812341</v>
      </c>
      <c r="T310" s="198">
        <f>$L310*Variables!$C$22/100</f>
        <v>18.939402863171598</v>
      </c>
      <c r="U310" s="198">
        <f>$L310*Variables!$C$23/100</f>
        <v>19.841279189989294</v>
      </c>
      <c r="V310" s="198">
        <f>$L310*Variables!$C$24/100</f>
        <v>144.30021229083121</v>
      </c>
      <c r="W310" s="22">
        <f>S310*Variables!$E$25*Variables!$C$15+'Cost Calculations'!T310*Variables!$E$26*Variables!$C$15+'Cost Calculations'!U310*Variables!$E$27*Variables!$C$15+V310*Variables!$E$28*Variables!$C$15</f>
        <v>133688666.21048614</v>
      </c>
      <c r="X310" s="20">
        <f>J310*Variables!$E$29*Variables!$C$15</f>
        <v>1471659.4311028731</v>
      </c>
      <c r="Z310" s="33">
        <f>D310*(IF(D310&lt;50000,0,IF(D310&gt;Variables!$C$7,Variables!$C$37,IF(D310&gt;Variables!$C$6,Variables!$C$36,IF(D310&gt;Variables!$C$5,Variables!$C$35)))))</f>
        <v>4782.8979339822718</v>
      </c>
      <c r="AA310" s="34">
        <f t="shared" si="56"/>
        <v>4672</v>
      </c>
      <c r="AB310" s="35">
        <f t="shared" si="51"/>
        <v>111</v>
      </c>
      <c r="AC310" s="22">
        <f>AB310*Variables!$E$41</f>
        <v>41025600.000000007</v>
      </c>
      <c r="AD310" s="115">
        <f>ROUND(IF(D310&lt;50000,0,(H310/(3.14*Variables!$C$34^2))),0)</f>
        <v>1161</v>
      </c>
      <c r="AE310" s="116">
        <f t="shared" si="58"/>
        <v>1150</v>
      </c>
      <c r="AF310" s="117">
        <f t="shared" si="52"/>
        <v>11</v>
      </c>
      <c r="AG310" s="107">
        <f>AF310*Variables!$E$42*Variables!$C$15</f>
        <v>7452.9840000000004</v>
      </c>
      <c r="AH310" s="199">
        <f>ROUND((Z310)/Variables!$C$40,0)</f>
        <v>38</v>
      </c>
      <c r="AI310" s="33">
        <f t="shared" si="59"/>
        <v>37</v>
      </c>
      <c r="AJ310" s="199">
        <f t="shared" si="55"/>
        <v>1</v>
      </c>
      <c r="AK310" s="22">
        <f>AJ310*Variables!$E$43*Variables!$C$15</f>
        <v>552717.39600000007</v>
      </c>
      <c r="AL310" s="20">
        <f>Z310*Variables!$E$38*Variables!$C$15</f>
        <v>847905023.63852608</v>
      </c>
      <c r="AN310" s="200">
        <f t="shared" si="60"/>
        <v>0.28000000000000003</v>
      </c>
      <c r="AO310" s="201">
        <f t="shared" si="53"/>
        <v>72.744</v>
      </c>
      <c r="AP310" s="321">
        <f>VLOOKUP(A310,'Household Information'!H:Q,10,FALSE)</f>
        <v>139.85863940426606</v>
      </c>
      <c r="AQ310" s="122">
        <f>IF(12*(AO310-Variables!$C$3*AP310*F310)*(G310/5)&lt;0,0,12*(AO310-Variables!$C$3*AP310*F310)*(G310/5))</f>
        <v>0</v>
      </c>
    </row>
    <row r="311" spans="1:43" ht="14.25" customHeight="1" x14ac:dyDescent="0.35">
      <c r="A311" s="30">
        <v>14</v>
      </c>
      <c r="B311" s="28" t="s">
        <v>167</v>
      </c>
      <c r="C311" s="28">
        <v>2026</v>
      </c>
      <c r="D311" s="196">
        <f>Population!K15</f>
        <v>381170.2059943066</v>
      </c>
      <c r="E311" s="303" t="str">
        <f t="shared" si="54"/>
        <v>Medium</v>
      </c>
      <c r="F311" s="340">
        <f>VLOOKUP(A311,'Household Information'!$H$2:$M$49,6,FALSE)</f>
        <v>4.6437746693442286</v>
      </c>
      <c r="G311" s="196">
        <f t="shared" si="49"/>
        <v>82082</v>
      </c>
      <c r="H311" s="213">
        <f>Area!M15</f>
        <v>44.704285383595128</v>
      </c>
      <c r="J311" s="32">
        <f>D311*Variables!$C$20</f>
        <v>343.05318539487592</v>
      </c>
      <c r="K311" s="202">
        <f t="shared" si="57"/>
        <v>335.11105342861765</v>
      </c>
      <c r="L311" s="32">
        <f t="shared" si="50"/>
        <v>7.9421319662582732</v>
      </c>
      <c r="S311" s="198">
        <f>$L311*Variables!$C$21/100</f>
        <v>0.43124698459320937</v>
      </c>
      <c r="T311" s="198">
        <f>$L311*Variables!$C$22/100</f>
        <v>0.75468222303811638</v>
      </c>
      <c r="U311" s="198">
        <f>$L311*Variables!$C$23/100</f>
        <v>0.79061947175421721</v>
      </c>
      <c r="V311" s="198">
        <f>$L311*Variables!$C$24/100</f>
        <v>5.7499597945761254</v>
      </c>
      <c r="W311" s="22">
        <f>S311*Variables!$E$25*Variables!$C$15+'Cost Calculations'!T311*Variables!$E$26*Variables!$C$15+'Cost Calculations'!U311*Variables!$E$27*Variables!$C$15+V311*Variables!$E$28*Variables!$C$15</f>
        <v>5327119.3679986447</v>
      </c>
      <c r="X311" s="20">
        <f>J311*Variables!$E$29*Variables!$C$15</f>
        <v>58641.511511400087</v>
      </c>
      <c r="Z311" s="33">
        <f>D311*(IF(D311&lt;50000,0,IF(D311&gt;Variables!$C$7,Variables!$C$37,IF(D311&gt;Variables!$C$6,Variables!$C$36,IF(D311&gt;Variables!$C$5,Variables!$C$35)))))</f>
        <v>190.58510299715331</v>
      </c>
      <c r="AA311" s="34">
        <f t="shared" si="56"/>
        <v>186</v>
      </c>
      <c r="AB311" s="35">
        <f t="shared" si="51"/>
        <v>5</v>
      </c>
      <c r="AC311" s="22">
        <f>AB311*Variables!$E$41</f>
        <v>1848000.0000000002</v>
      </c>
      <c r="AD311" s="115">
        <f>ROUND(IF(D311&lt;50000,0,(H311/(3.14*Variables!$C$34^2))),0)</f>
        <v>57</v>
      </c>
      <c r="AE311" s="116">
        <f t="shared" si="58"/>
        <v>56</v>
      </c>
      <c r="AF311" s="117">
        <f t="shared" si="52"/>
        <v>1</v>
      </c>
      <c r="AG311" s="107">
        <f>AF311*Variables!$E$42*Variables!$C$15</f>
        <v>677.54399999999998</v>
      </c>
      <c r="AH311" s="199">
        <f>ROUND((Z311)/Variables!$C$40,0)</f>
        <v>2</v>
      </c>
      <c r="AI311" s="33">
        <f t="shared" si="59"/>
        <v>1</v>
      </c>
      <c r="AJ311" s="199">
        <f t="shared" si="55"/>
        <v>1</v>
      </c>
      <c r="AK311" s="22">
        <f>AJ311*Variables!$E$43*Variables!$C$15</f>
        <v>552717.39600000007</v>
      </c>
      <c r="AL311" s="20">
        <f>Z311*Variables!$E$38*Variables!$C$15</f>
        <v>33786643.263659313</v>
      </c>
      <c r="AN311" s="200">
        <f t="shared" si="60"/>
        <v>0.21</v>
      </c>
      <c r="AO311" s="201">
        <f t="shared" si="53"/>
        <v>58.511560833737278</v>
      </c>
      <c r="AP311" s="321">
        <f>VLOOKUP(A311,'Household Information'!H:Q,10,FALSE)</f>
        <v>108.65462509082352</v>
      </c>
      <c r="AQ311" s="122">
        <f>IF(12*(AO311-Variables!$C$3*AP311*F311)*(G311/5)&lt;0,0,12*(AO311-Variables!$C$3*AP311*F311)*(G311/5))</f>
        <v>0</v>
      </c>
    </row>
    <row r="312" spans="1:43" ht="14.25" customHeight="1" x14ac:dyDescent="0.35">
      <c r="A312" s="30">
        <v>15</v>
      </c>
      <c r="B312" s="28" t="s">
        <v>168</v>
      </c>
      <c r="C312" s="28">
        <v>2026</v>
      </c>
      <c r="D312" s="196">
        <f>Population!K16</f>
        <v>84534.603156843979</v>
      </c>
      <c r="E312" s="303" t="str">
        <f t="shared" si="54"/>
        <v>Small</v>
      </c>
      <c r="F312" s="340">
        <f>VLOOKUP(A312,'Household Information'!$H$2:$M$49,6,FALSE)</f>
        <v>4.4181210545859635</v>
      </c>
      <c r="G312" s="196">
        <f t="shared" si="49"/>
        <v>19134</v>
      </c>
      <c r="H312" s="213">
        <f>Area!M16</f>
        <v>248.85385530201282</v>
      </c>
      <c r="J312" s="32">
        <f>D312*Variables!$C$20</f>
        <v>76.081142841159576</v>
      </c>
      <c r="K312" s="202">
        <f t="shared" si="57"/>
        <v>74.319764424303571</v>
      </c>
      <c r="L312" s="32">
        <f t="shared" si="50"/>
        <v>1.7613784168560045</v>
      </c>
      <c r="S312" s="198">
        <f>$L312*Variables!$C$21/100</f>
        <v>9.564045702385543E-2</v>
      </c>
      <c r="T312" s="198">
        <f>$L312*Variables!$C$22/100</f>
        <v>0.16737079979174702</v>
      </c>
      <c r="U312" s="198">
        <f>$L312*Variables!$C$23/100</f>
        <v>0.17534083787706833</v>
      </c>
      <c r="V312" s="198">
        <f>$L312*Variables!$C$24/100</f>
        <v>1.275206093651406</v>
      </c>
      <c r="W312" s="22">
        <f>S312*Variables!$E$25*Variables!$C$15+'Cost Calculations'!T312*Variables!$E$26*Variables!$C$15+'Cost Calculations'!U312*Variables!$E$27*Variables!$C$15+V312*Variables!$E$28*Variables!$C$15</f>
        <v>1181430.0138390928</v>
      </c>
      <c r="X312" s="20">
        <f>J312*Variables!$E$29*Variables!$C$15</f>
        <v>13005.310557267818</v>
      </c>
      <c r="Z312" s="33">
        <f>D312*(IF(D312&lt;50000,0,IF(D312&gt;Variables!$C$7,Variables!$C$37,IF(D312&gt;Variables!$C$6,Variables!$C$36,IF(D312&gt;Variables!$C$5,Variables!$C$35)))))</f>
        <v>42.267301578421993</v>
      </c>
      <c r="AA312" s="34">
        <f t="shared" si="56"/>
        <v>41</v>
      </c>
      <c r="AB312" s="35">
        <f t="shared" si="51"/>
        <v>1</v>
      </c>
      <c r="AC312" s="22">
        <f>AB312*Variables!$E$41</f>
        <v>369600.00000000006</v>
      </c>
      <c r="AD312" s="115">
        <f>ROUND(IF(D312&lt;50000,0,(H312/(3.14*Variables!$C$34^2))),0)</f>
        <v>317</v>
      </c>
      <c r="AE312" s="116">
        <f t="shared" si="58"/>
        <v>313</v>
      </c>
      <c r="AF312" s="117">
        <f t="shared" si="52"/>
        <v>4</v>
      </c>
      <c r="AG312" s="107">
        <f>AF312*Variables!$E$42*Variables!$C$15</f>
        <v>2710.1759999999999</v>
      </c>
      <c r="AH312" s="199">
        <f>ROUND((Z312)/Variables!$C$40,0)</f>
        <v>0</v>
      </c>
      <c r="AI312" s="33">
        <f t="shared" si="59"/>
        <v>0</v>
      </c>
      <c r="AJ312" s="199">
        <f t="shared" si="55"/>
        <v>0</v>
      </c>
      <c r="AK312" s="22">
        <f>AJ312*Variables!$E$43*Variables!$C$15</f>
        <v>0</v>
      </c>
      <c r="AL312" s="20">
        <f>Z312*Variables!$E$38*Variables!$C$15</f>
        <v>7493084.2846042318</v>
      </c>
      <c r="AN312" s="200">
        <f t="shared" si="60"/>
        <v>0.28000000000000003</v>
      </c>
      <c r="AO312" s="201">
        <f t="shared" si="53"/>
        <v>74.224433717044192</v>
      </c>
      <c r="AP312" s="321">
        <f>VLOOKUP(A312,'Household Information'!H:Q,10,FALSE)</f>
        <v>119.4497033951786</v>
      </c>
      <c r="AQ312" s="122">
        <f>IF(12*(AO312-Variables!$C$3*AP312*F312)*(G312/5)&lt;0,0,12*(AO312-Variables!$C$3*AP312*F312)*(G312/5))</f>
        <v>0</v>
      </c>
    </row>
    <row r="313" spans="1:43" ht="14.25" customHeight="1" x14ac:dyDescent="0.35">
      <c r="A313" s="30">
        <v>16</v>
      </c>
      <c r="B313" s="28" t="s">
        <v>169</v>
      </c>
      <c r="C313" s="28">
        <v>2026</v>
      </c>
      <c r="D313" s="196">
        <f>Population!K17</f>
        <v>4328562.4534553932</v>
      </c>
      <c r="E313" s="303" t="str">
        <f t="shared" si="54"/>
        <v>Large</v>
      </c>
      <c r="F313" s="340">
        <f>VLOOKUP(A313,'Household Information'!$H$2:$M$49,6,FALSE)</f>
        <v>5.0811133147736394</v>
      </c>
      <c r="G313" s="196">
        <f t="shared" si="49"/>
        <v>851893</v>
      </c>
      <c r="H313" s="213">
        <f>Area!M17</f>
        <v>349.15488130270802</v>
      </c>
      <c r="J313" s="32">
        <f>D313*Variables!$C$20</f>
        <v>3895.7062081098538</v>
      </c>
      <c r="K313" s="202">
        <f t="shared" si="57"/>
        <v>3805.5154909737744</v>
      </c>
      <c r="L313" s="32">
        <f t="shared" si="50"/>
        <v>90.190717136079456</v>
      </c>
      <c r="S313" s="198">
        <f>$L313*Variables!$C$21/100</f>
        <v>4.8972335096513726</v>
      </c>
      <c r="T313" s="198">
        <f>$L313*Variables!$C$22/100</f>
        <v>8.5701586418899041</v>
      </c>
      <c r="U313" s="198">
        <f>$L313*Variables!$C$23/100</f>
        <v>8.9782614343608511</v>
      </c>
      <c r="V313" s="198">
        <f>$L313*Variables!$C$24/100</f>
        <v>65.296446795351642</v>
      </c>
      <c r="W313" s="22">
        <f>S313*Variables!$E$25*Variables!$C$15+'Cost Calculations'!T313*Variables!$E$26*Variables!$C$15+'Cost Calculations'!U313*Variables!$E$27*Variables!$C$15+V313*Variables!$E$28*Variables!$C$15</f>
        <v>60494678.017249152</v>
      </c>
      <c r="X313" s="20">
        <f>J313*Variables!$E$29*Variables!$C$15</f>
        <v>665932.01921429834</v>
      </c>
      <c r="Z313" s="33">
        <f>D313*(IF(D313&lt;50000,0,IF(D313&gt;Variables!$C$7,Variables!$C$37,IF(D313&gt;Variables!$C$6,Variables!$C$36,IF(D313&gt;Variables!$C$5,Variables!$C$35)))))</f>
        <v>2164.2812267276968</v>
      </c>
      <c r="AA313" s="34">
        <f t="shared" si="56"/>
        <v>3249</v>
      </c>
      <c r="AB313" s="35">
        <f t="shared" si="51"/>
        <v>0</v>
      </c>
      <c r="AC313" s="22">
        <f>AB313*Variables!$E$41</f>
        <v>0</v>
      </c>
      <c r="AD313" s="115">
        <f>ROUND(IF(D313&lt;50000,0,(H313/(3.14*Variables!$C$34^2))),0)</f>
        <v>445</v>
      </c>
      <c r="AE313" s="116">
        <f t="shared" si="58"/>
        <v>566</v>
      </c>
      <c r="AF313" s="117">
        <f t="shared" si="52"/>
        <v>0</v>
      </c>
      <c r="AG313" s="107">
        <f>AF313*Variables!$E$42*Variables!$C$15</f>
        <v>0</v>
      </c>
      <c r="AH313" s="199">
        <f>ROUND((Z313)/Variables!$C$40,0)</f>
        <v>17</v>
      </c>
      <c r="AI313" s="33">
        <f t="shared" si="59"/>
        <v>17</v>
      </c>
      <c r="AJ313" s="199">
        <f t="shared" si="55"/>
        <v>0</v>
      </c>
      <c r="AK313" s="22">
        <f>AJ313*Variables!$E$43*Variables!$C$15</f>
        <v>0</v>
      </c>
      <c r="AL313" s="20">
        <f>Z313*Variables!$E$38*Variables!$C$15</f>
        <v>383680553.09535855</v>
      </c>
      <c r="AN313" s="200">
        <f t="shared" si="60"/>
        <v>0.21</v>
      </c>
      <c r="AO313" s="201">
        <f t="shared" si="53"/>
        <v>64.022027766147858</v>
      </c>
      <c r="AP313" s="321">
        <f>VLOOKUP(A313,'Household Information'!H:Q,10,FALSE)</f>
        <v>125.45752871387103</v>
      </c>
      <c r="AQ313" s="122">
        <f>IF(12*(AO313-Variables!$C$3*AP313*F313)*(G313/5)&lt;0,0,12*(AO313-Variables!$C$3*AP313*F313)*(G313/5))</f>
        <v>0</v>
      </c>
    </row>
    <row r="314" spans="1:43" ht="14.25" customHeight="1" x14ac:dyDescent="0.35">
      <c r="A314" s="30">
        <v>17</v>
      </c>
      <c r="B314" s="28" t="s">
        <v>170</v>
      </c>
      <c r="C314" s="28">
        <v>2026</v>
      </c>
      <c r="D314" s="196">
        <f>Population!K18</f>
        <v>15929.280574688535</v>
      </c>
      <c r="E314" s="303" t="str">
        <f t="shared" si="54"/>
        <v>Small</v>
      </c>
      <c r="F314" s="340">
        <f>VLOOKUP(A314,'Household Information'!$H$2:$M$49,6,FALSE)</f>
        <v>4.9910952804986639</v>
      </c>
      <c r="G314" s="196">
        <f t="shared" si="49"/>
        <v>3192</v>
      </c>
      <c r="H314" s="213">
        <f>Area!M18</f>
        <v>2.8807269975310317</v>
      </c>
      <c r="J314" s="32">
        <f>D314*Variables!$C$20</f>
        <v>14.336352517219682</v>
      </c>
      <c r="K314" s="202">
        <f t="shared" si="57"/>
        <v>14.004447120464667</v>
      </c>
      <c r="L314" s="32">
        <f t="shared" si="50"/>
        <v>0.3319053967550154</v>
      </c>
      <c r="S314" s="198">
        <f>$L314*Variables!$C$21/100</f>
        <v>1.8022012493484996E-2</v>
      </c>
      <c r="T314" s="198">
        <f>$L314*Variables!$C$22/100</f>
        <v>3.1538521863598748E-2</v>
      </c>
      <c r="U314" s="198">
        <f>$L314*Variables!$C$23/100</f>
        <v>3.3040356238055832E-2</v>
      </c>
      <c r="V314" s="198">
        <f>$L314*Variables!$C$24/100</f>
        <v>0.24029349991313331</v>
      </c>
      <c r="W314" s="22">
        <f>S314*Variables!$E$25*Variables!$C$15+'Cost Calculations'!T314*Variables!$E$26*Variables!$C$15+'Cost Calculations'!U314*Variables!$E$27*Variables!$C$15+V314*Variables!$E$28*Variables!$C$15</f>
        <v>222622.80139748304</v>
      </c>
      <c r="X314" s="20">
        <f>J314*Variables!$E$29*Variables!$C$15</f>
        <v>2450.6560992935324</v>
      </c>
      <c r="Z314" s="33">
        <f>D314*(IF(D314&lt;50000,0,IF(D314&gt;Variables!$C$7,Variables!$C$37,IF(D314&gt;Variables!$C$6,Variables!$C$36,IF(D314&gt;Variables!$C$5,Variables!$C$35)))))</f>
        <v>0</v>
      </c>
      <c r="AA314" s="34">
        <f t="shared" si="56"/>
        <v>0</v>
      </c>
      <c r="AB314" s="35">
        <f t="shared" si="51"/>
        <v>0</v>
      </c>
      <c r="AC314" s="22">
        <f>AB314*Variables!$E$41</f>
        <v>0</v>
      </c>
      <c r="AD314" s="115">
        <f>ROUND(IF(D314&lt;50000,0,(H314/(3.14*Variables!$C$34^2))),0)</f>
        <v>0</v>
      </c>
      <c r="AE314" s="116">
        <f t="shared" si="58"/>
        <v>0</v>
      </c>
      <c r="AF314" s="117">
        <f t="shared" si="52"/>
        <v>0</v>
      </c>
      <c r="AG314" s="107">
        <f>AF314*Variables!$E$42*Variables!$C$15</f>
        <v>0</v>
      </c>
      <c r="AH314" s="199">
        <f>ROUND((Z314)/Variables!$C$40,0)</f>
        <v>0</v>
      </c>
      <c r="AI314" s="33">
        <f t="shared" si="59"/>
        <v>0</v>
      </c>
      <c r="AJ314" s="199">
        <f t="shared" si="55"/>
        <v>0</v>
      </c>
      <c r="AK314" s="22">
        <f>AJ314*Variables!$E$43*Variables!$C$15</f>
        <v>0</v>
      </c>
      <c r="AL314" s="20">
        <f>Z314*Variables!$E$38*Variables!$C$15</f>
        <v>0</v>
      </c>
      <c r="AN314" s="200">
        <f t="shared" si="60"/>
        <v>0.25221875000000005</v>
      </c>
      <c r="AO314" s="201">
        <f t="shared" si="53"/>
        <v>75.530868766696358</v>
      </c>
      <c r="AP314" s="321">
        <f>VLOOKUP(A314,'Household Information'!H:Q,10,FALSE)</f>
        <v>108.65462509082352</v>
      </c>
      <c r="AQ314" s="122">
        <f>IF(12*(AO314-Variables!$C$3*AP314*F314)*(G314/5)&lt;0,0,12*(AO314-Variables!$C$3*AP314*F314)*(G314/5))</f>
        <v>0</v>
      </c>
    </row>
    <row r="315" spans="1:43" ht="14.25" customHeight="1" x14ac:dyDescent="0.35">
      <c r="A315" s="30">
        <v>18</v>
      </c>
      <c r="B315" s="28" t="s">
        <v>171</v>
      </c>
      <c r="C315" s="28">
        <v>2026</v>
      </c>
      <c r="D315" s="196">
        <f>Population!K19</f>
        <v>140733.27554295966</v>
      </c>
      <c r="E315" s="303" t="str">
        <f t="shared" si="54"/>
        <v>Medium</v>
      </c>
      <c r="F315" s="340">
        <f>VLOOKUP(A315,'Household Information'!$H$2:$M$49,6,FALSE)</f>
        <v>4.4388221584797423</v>
      </c>
      <c r="G315" s="196">
        <f t="shared" si="49"/>
        <v>31705</v>
      </c>
      <c r="H315" s="213">
        <f>Area!M19</f>
        <v>29.802856922396757</v>
      </c>
      <c r="J315" s="32">
        <f>D315*Variables!$C$20</f>
        <v>126.65994798866369</v>
      </c>
      <c r="K315" s="202">
        <f t="shared" si="57"/>
        <v>123.72760377909903</v>
      </c>
      <c r="L315" s="32">
        <f t="shared" si="50"/>
        <v>2.9323442095646612</v>
      </c>
      <c r="S315" s="198">
        <f>$L315*Variables!$C$21/100</f>
        <v>0.15922231002161055</v>
      </c>
      <c r="T315" s="198">
        <f>$L315*Variables!$C$22/100</f>
        <v>0.27863904253781852</v>
      </c>
      <c r="U315" s="198">
        <f>$L315*Variables!$C$23/100</f>
        <v>0.29190756837295273</v>
      </c>
      <c r="V315" s="198">
        <f>$L315*Variables!$C$24/100</f>
        <v>2.122964133621474</v>
      </c>
      <c r="W315" s="22">
        <f>S315*Variables!$E$25*Variables!$C$15+'Cost Calculations'!T315*Variables!$E$26*Variables!$C$15+'Cost Calculations'!U315*Variables!$E$27*Variables!$C$15+V315*Variables!$E$28*Variables!$C$15</f>
        <v>1966845.6402859271</v>
      </c>
      <c r="X315" s="20">
        <f>J315*Variables!$E$29*Variables!$C$15</f>
        <v>21651.25150918217</v>
      </c>
      <c r="Z315" s="33">
        <f>D315*(IF(D315&lt;50000,0,IF(D315&gt;Variables!$C$7,Variables!$C$37,IF(D315&gt;Variables!$C$6,Variables!$C$36,IF(D315&gt;Variables!$C$5,Variables!$C$35)))))</f>
        <v>70.36663777147983</v>
      </c>
      <c r="AA315" s="34">
        <f t="shared" si="56"/>
        <v>94</v>
      </c>
      <c r="AB315" s="35">
        <f t="shared" si="51"/>
        <v>0</v>
      </c>
      <c r="AC315" s="22">
        <f>AB315*Variables!$E$41</f>
        <v>0</v>
      </c>
      <c r="AD315" s="115">
        <f>ROUND(IF(D315&lt;50000,0,(H315/(3.14*Variables!$C$34^2))),0)</f>
        <v>38</v>
      </c>
      <c r="AE315" s="116">
        <f t="shared" si="58"/>
        <v>37</v>
      </c>
      <c r="AF315" s="117">
        <f t="shared" si="52"/>
        <v>1</v>
      </c>
      <c r="AG315" s="107">
        <f>AF315*Variables!$E$42*Variables!$C$15</f>
        <v>677.54399999999998</v>
      </c>
      <c r="AH315" s="199">
        <f>ROUND((Z315)/Variables!$C$40,0)</f>
        <v>1</v>
      </c>
      <c r="AI315" s="33">
        <f t="shared" si="59"/>
        <v>1</v>
      </c>
      <c r="AJ315" s="199">
        <f t="shared" si="55"/>
        <v>0</v>
      </c>
      <c r="AK315" s="22">
        <f>AJ315*Variables!$E$43*Variables!$C$15</f>
        <v>0</v>
      </c>
      <c r="AL315" s="20">
        <f>Z315*Variables!$E$38*Variables!$C$15</f>
        <v>12474492.762866335</v>
      </c>
      <c r="AN315" s="200">
        <f t="shared" si="60"/>
        <v>0.25221875000000005</v>
      </c>
      <c r="AO315" s="201">
        <f t="shared" si="53"/>
        <v>67.17325057704376</v>
      </c>
      <c r="AP315" s="321">
        <f>VLOOKUP(A315,'Household Information'!H:Q,10,FALSE)</f>
        <v>98.76688123185663</v>
      </c>
      <c r="AQ315" s="122">
        <f>IF(12*(AO315-Variables!$C$3*AP315*F315)*(G315/5)&lt;0,0,12*(AO315-Variables!$C$3*AP315*F315)*(G315/5))</f>
        <v>107438.66527021403</v>
      </c>
    </row>
    <row r="316" spans="1:43" ht="14.25" customHeight="1" x14ac:dyDescent="0.35">
      <c r="A316" s="30">
        <v>19</v>
      </c>
      <c r="B316" s="28" t="s">
        <v>172</v>
      </c>
      <c r="C316" s="28">
        <v>2026</v>
      </c>
      <c r="D316" s="196">
        <f>Population!K20</f>
        <v>6389750.2573165465</v>
      </c>
      <c r="E316" s="303" t="str">
        <f t="shared" si="54"/>
        <v>Large</v>
      </c>
      <c r="F316" s="340">
        <f>VLOOKUP(A316,'Household Information'!$H$2:$M$49,6,FALSE)</f>
        <v>4.3873267195354213</v>
      </c>
      <c r="G316" s="196">
        <f t="shared" si="49"/>
        <v>1456411</v>
      </c>
      <c r="H316" s="213">
        <f>Area!M20</f>
        <v>1082.8905812700671</v>
      </c>
      <c r="J316" s="32">
        <f>D316*Variables!$C$20</f>
        <v>5750.775231584892</v>
      </c>
      <c r="K316" s="202">
        <f t="shared" si="57"/>
        <v>5617.6372292516271</v>
      </c>
      <c r="L316" s="32">
        <f t="shared" si="50"/>
        <v>133.13800233326492</v>
      </c>
      <c r="S316" s="198">
        <f>$L316*Variables!$C$21/100</f>
        <v>7.2292127963763759</v>
      </c>
      <c r="T316" s="198">
        <f>$L316*Variables!$C$22/100</f>
        <v>12.651122393658657</v>
      </c>
      <c r="U316" s="198">
        <f>$L316*Variables!$C$23/100</f>
        <v>13.25355679335669</v>
      </c>
      <c r="V316" s="198">
        <f>$L316*Variables!$C$24/100</f>
        <v>96.389503951685001</v>
      </c>
      <c r="W316" s="22">
        <f>S316*Variables!$E$25*Variables!$C$15+'Cost Calculations'!T316*Variables!$E$26*Variables!$C$15+'Cost Calculations'!U316*Variables!$E$27*Variables!$C$15+V316*Variables!$E$28*Variables!$C$15</f>
        <v>89301214.567997798</v>
      </c>
      <c r="X316" s="20">
        <f>J316*Variables!$E$29*Variables!$C$15</f>
        <v>983037.51808712143</v>
      </c>
      <c r="Z316" s="33">
        <f>D316*(IF(D316&lt;50000,0,IF(D316&gt;Variables!$C$7,Variables!$C$37,IF(D316&gt;Variables!$C$6,Variables!$C$36,IF(D316&gt;Variables!$C$5,Variables!$C$35)))))</f>
        <v>3194.8751286582733</v>
      </c>
      <c r="AA316" s="34">
        <f t="shared" si="56"/>
        <v>5267</v>
      </c>
      <c r="AB316" s="35">
        <f t="shared" si="51"/>
        <v>0</v>
      </c>
      <c r="AC316" s="22">
        <f>AB316*Variables!$E$41</f>
        <v>0</v>
      </c>
      <c r="AD316" s="115">
        <f>ROUND(IF(D316&lt;50000,0,(H316/(3.14*Variables!$C$34^2))),0)</f>
        <v>1379</v>
      </c>
      <c r="AE316" s="116">
        <f t="shared" si="58"/>
        <v>1469</v>
      </c>
      <c r="AF316" s="117">
        <f t="shared" si="52"/>
        <v>0</v>
      </c>
      <c r="AG316" s="107">
        <f>AF316*Variables!$E$42*Variables!$C$15</f>
        <v>0</v>
      </c>
      <c r="AH316" s="199">
        <f>ROUND((Z316)/Variables!$C$40,0)</f>
        <v>26</v>
      </c>
      <c r="AI316" s="33">
        <f t="shared" si="59"/>
        <v>25</v>
      </c>
      <c r="AJ316" s="199">
        <f t="shared" si="55"/>
        <v>1</v>
      </c>
      <c r="AK316" s="22">
        <f>AJ316*Variables!$E$43*Variables!$C$15</f>
        <v>552717.39600000007</v>
      </c>
      <c r="AL316" s="20">
        <f>Z316*Variables!$E$38*Variables!$C$15</f>
        <v>566382705.39711106</v>
      </c>
      <c r="AN316" s="200">
        <f t="shared" si="60"/>
        <v>0.14000000000000001</v>
      </c>
      <c r="AO316" s="201">
        <f t="shared" si="53"/>
        <v>36.853544444097544</v>
      </c>
      <c r="AP316" s="321">
        <f>VLOOKUP(A316,'Household Information'!H:Q,10,FALSE)</f>
        <v>155.49665530733307</v>
      </c>
      <c r="AQ316" s="122">
        <f>IF(12*(AO316-Variables!$C$3*AP316*F316)*(G316/5)&lt;0,0,12*(AO316-Variables!$C$3*AP316*F316)*(G316/5))</f>
        <v>0</v>
      </c>
    </row>
    <row r="317" spans="1:43" ht="14.25" customHeight="1" x14ac:dyDescent="0.35">
      <c r="A317" s="30">
        <v>20</v>
      </c>
      <c r="B317" s="28" t="s">
        <v>173</v>
      </c>
      <c r="C317" s="28">
        <v>2026</v>
      </c>
      <c r="D317" s="196">
        <f>Population!K21</f>
        <v>4003073.6800497724</v>
      </c>
      <c r="E317" s="303" t="str">
        <f t="shared" si="54"/>
        <v>Large</v>
      </c>
      <c r="F317" s="340">
        <f>VLOOKUP(A317,'Household Information'!$H$2:$M$49,6,FALSE)</f>
        <v>5.2348048588773741</v>
      </c>
      <c r="G317" s="196">
        <f t="shared" si="49"/>
        <v>764704</v>
      </c>
      <c r="H317" s="213">
        <f>Area!M21</f>
        <v>502.17813914238519</v>
      </c>
      <c r="J317" s="32">
        <f>D317*Variables!$C$20</f>
        <v>3602.7663120447951</v>
      </c>
      <c r="K317" s="202">
        <f t="shared" si="57"/>
        <v>3519.357538385068</v>
      </c>
      <c r="L317" s="32">
        <f t="shared" si="50"/>
        <v>83.408773659727103</v>
      </c>
      <c r="S317" s="198">
        <f>$L317*Variables!$C$21/100</f>
        <v>4.5289831851435522</v>
      </c>
      <c r="T317" s="198">
        <f>$L317*Variables!$C$22/100</f>
        <v>7.9257205740012182</v>
      </c>
      <c r="U317" s="198">
        <f>$L317*Variables!$C$23/100</f>
        <v>8.3031358394298476</v>
      </c>
      <c r="V317" s="198">
        <f>$L317*Variables!$C$24/100</f>
        <v>60.386442468580711</v>
      </c>
      <c r="W317" s="22">
        <f>S317*Variables!$E$25*Variables!$C$15+'Cost Calculations'!T317*Variables!$E$26*Variables!$C$15+'Cost Calculations'!U317*Variables!$E$27*Variables!$C$15+V317*Variables!$E$28*Variables!$C$15</f>
        <v>55945745.488925837</v>
      </c>
      <c r="X317" s="20">
        <f>J317*Variables!$E$29*Variables!$C$15</f>
        <v>615856.87338093738</v>
      </c>
      <c r="Z317" s="33">
        <f>D317*(IF(D317&lt;50000,0,IF(D317&gt;Variables!$C$7,Variables!$C$37,IF(D317&gt;Variables!$C$6,Variables!$C$36,IF(D317&gt;Variables!$C$5,Variables!$C$35)))))</f>
        <v>2001.5368400248863</v>
      </c>
      <c r="AA317" s="34">
        <f t="shared" si="56"/>
        <v>3353</v>
      </c>
      <c r="AB317" s="35">
        <f t="shared" si="51"/>
        <v>0</v>
      </c>
      <c r="AC317" s="22">
        <f>AB317*Variables!$E$41</f>
        <v>0</v>
      </c>
      <c r="AD317" s="115">
        <f>ROUND(IF(D317&lt;50000,0,(H317/(3.14*Variables!$C$34^2))),0)</f>
        <v>640</v>
      </c>
      <c r="AE317" s="116">
        <f t="shared" si="58"/>
        <v>631</v>
      </c>
      <c r="AF317" s="117">
        <f t="shared" si="52"/>
        <v>9</v>
      </c>
      <c r="AG317" s="107">
        <f>AF317*Variables!$E$42*Variables!$C$15</f>
        <v>6097.8960000000006</v>
      </c>
      <c r="AH317" s="199">
        <f>ROUND((Z317)/Variables!$C$40,0)</f>
        <v>16</v>
      </c>
      <c r="AI317" s="33">
        <f t="shared" si="59"/>
        <v>16</v>
      </c>
      <c r="AJ317" s="199">
        <f t="shared" si="55"/>
        <v>0</v>
      </c>
      <c r="AK317" s="22">
        <f>AJ317*Variables!$E$43*Variables!$C$15</f>
        <v>0</v>
      </c>
      <c r="AL317" s="20">
        <f>Z317*Variables!$E$38*Variables!$C$15</f>
        <v>354829470.55942178</v>
      </c>
      <c r="AN317" s="200">
        <f t="shared" si="60"/>
        <v>0.56000000000000005</v>
      </c>
      <c r="AO317" s="201">
        <f t="shared" si="53"/>
        <v>175.88944325827978</v>
      </c>
      <c r="AP317" s="321">
        <f>VLOOKUP(A317,'Household Information'!H:Q,10,FALSE)</f>
        <v>92.944591695065014</v>
      </c>
      <c r="AQ317" s="122">
        <f>IF(12*(AO317-Variables!$C$3*AP317*F317)*(G317/5)&lt;0,0,12*(AO317-Variables!$C$3*AP317*F317)*(G317/5))</f>
        <v>188864923.61043939</v>
      </c>
    </row>
    <row r="318" spans="1:43" ht="14.25" customHeight="1" x14ac:dyDescent="0.35">
      <c r="A318" s="30">
        <v>21</v>
      </c>
      <c r="B318" s="30" t="s">
        <v>174</v>
      </c>
      <c r="C318" s="28">
        <v>2026</v>
      </c>
      <c r="D318" s="196">
        <f>Population!K22</f>
        <v>17680468.379297871</v>
      </c>
      <c r="E318" s="303" t="str">
        <f t="shared" si="54"/>
        <v>Large</v>
      </c>
      <c r="F318" s="340">
        <f>VLOOKUP(A318,'Household Information'!$H$2:$M$49,6,FALSE)</f>
        <v>4.4756737410071938</v>
      </c>
      <c r="G318" s="196">
        <f t="shared" si="49"/>
        <v>3950348</v>
      </c>
      <c r="H318" s="213">
        <f>Area!M22</f>
        <v>653.06742527472818</v>
      </c>
      <c r="J318" s="32">
        <f>D318*Variables!$C$20</f>
        <v>15912.421541368083</v>
      </c>
      <c r="K318" s="202">
        <f t="shared" si="57"/>
        <v>15544.028075967648</v>
      </c>
      <c r="L318" s="32">
        <f t="shared" si="50"/>
        <v>368.39346540043516</v>
      </c>
      <c r="S318" s="198">
        <f>$L318*Variables!$C$21/100</f>
        <v>20.003265089616388</v>
      </c>
      <c r="T318" s="198">
        <f>$L318*Variables!$C$22/100</f>
        <v>35.005713906828682</v>
      </c>
      <c r="U318" s="198">
        <f>$L318*Variables!$C$23/100</f>
        <v>36.672652664296713</v>
      </c>
      <c r="V318" s="198">
        <f>$L318*Variables!$C$24/100</f>
        <v>266.7102011948852</v>
      </c>
      <c r="W318" s="22">
        <f>S318*Variables!$E$25*Variables!$C$15+'Cost Calculations'!T318*Variables!$E$26*Variables!$C$15+'Cost Calculations'!U318*Variables!$E$27*Variables!$C$15+V318*Variables!$E$28*Variables!$C$15</f>
        <v>247096871.83696672</v>
      </c>
      <c r="X318" s="20">
        <f>J318*Variables!$E$29*Variables!$C$15</f>
        <v>2720069.3382814601</v>
      </c>
      <c r="Z318" s="33">
        <f>D318*(IF(D318&lt;50000,0,IF(D318&gt;Variables!$C$7,Variables!$C$37,IF(D318&gt;Variables!$C$6,Variables!$C$36,IF(D318&gt;Variables!$C$5,Variables!$C$35)))))</f>
        <v>8840.2341896489361</v>
      </c>
      <c r="AA318" s="34">
        <f t="shared" si="56"/>
        <v>8636</v>
      </c>
      <c r="AB318" s="35">
        <f t="shared" si="51"/>
        <v>204</v>
      </c>
      <c r="AC318" s="22">
        <f>AB318*Variables!$E$41</f>
        <v>75398400.000000015</v>
      </c>
      <c r="AD318" s="115">
        <f>ROUND(IF(D318&lt;50000,0,(H318/(3.14*Variables!$C$34^2))),0)</f>
        <v>832</v>
      </c>
      <c r="AE318" s="116">
        <f t="shared" si="58"/>
        <v>1087</v>
      </c>
      <c r="AF318" s="117">
        <f t="shared" si="52"/>
        <v>0</v>
      </c>
      <c r="AG318" s="107">
        <f>AF318*Variables!$E$42*Variables!$C$15</f>
        <v>0</v>
      </c>
      <c r="AH318" s="199">
        <f>ROUND((Z318)/Variables!$C$40,0)</f>
        <v>71</v>
      </c>
      <c r="AI318" s="33">
        <f t="shared" si="59"/>
        <v>69</v>
      </c>
      <c r="AJ318" s="199">
        <f t="shared" si="55"/>
        <v>2</v>
      </c>
      <c r="AK318" s="22">
        <f>AJ318*Variables!$E$43*Variables!$C$15</f>
        <v>1105434.7920000001</v>
      </c>
      <c r="AL318" s="20">
        <f>Z318*Variables!$E$38*Variables!$C$15</f>
        <v>1567183553.3616407</v>
      </c>
      <c r="AN318" s="200">
        <f t="shared" si="60"/>
        <v>0.28000000000000003</v>
      </c>
      <c r="AO318" s="201">
        <f t="shared" si="53"/>
        <v>75.191318848920858</v>
      </c>
      <c r="AP318" s="321">
        <f>VLOOKUP(A318,'Household Information'!H:Q,10,FALSE)</f>
        <v>254.44907232109051</v>
      </c>
      <c r="AQ318" s="122">
        <f>IF(12*(AO318-Variables!$C$3*AP318*F318)*(G318/5)&lt;0,0,12*(AO318-Variables!$C$3*AP318*F318)*(G318/5))</f>
        <v>0</v>
      </c>
    </row>
    <row r="319" spans="1:43" ht="14.25" customHeight="1" x14ac:dyDescent="0.35">
      <c r="A319" s="30">
        <v>22</v>
      </c>
      <c r="B319" s="28" t="s">
        <v>175</v>
      </c>
      <c r="C319" s="28">
        <v>2026</v>
      </c>
      <c r="D319" s="196">
        <f>Population!K23</f>
        <v>15679975.255292797</v>
      </c>
      <c r="E319" s="303" t="str">
        <f t="shared" si="54"/>
        <v>Large</v>
      </c>
      <c r="F319" s="340">
        <f>VLOOKUP(A319,'Household Information'!$H$2:$M$49,6,FALSE)</f>
        <v>4.7768636363636361</v>
      </c>
      <c r="G319" s="196">
        <f t="shared" si="49"/>
        <v>3282483</v>
      </c>
      <c r="H319" s="213">
        <f>Area!M23</f>
        <v>1165.2917056657127</v>
      </c>
      <c r="J319" s="32">
        <f>D319*Variables!$C$20</f>
        <v>14111.977729763517</v>
      </c>
      <c r="K319" s="202">
        <f t="shared" si="57"/>
        <v>19972.544550000002</v>
      </c>
      <c r="L319" s="32">
        <f t="shared" si="50"/>
        <v>0</v>
      </c>
      <c r="S319" s="198">
        <f>$L319*Variables!$C$21/100</f>
        <v>0</v>
      </c>
      <c r="T319" s="198">
        <f>$L319*Variables!$C$22/100</f>
        <v>0</v>
      </c>
      <c r="U319" s="198">
        <f>$L319*Variables!$C$23/100</f>
        <v>0</v>
      </c>
      <c r="V319" s="198">
        <f>$L319*Variables!$C$24/100</f>
        <v>0</v>
      </c>
      <c r="W319" s="22">
        <f>S319*Variables!$E$25*Variables!$C$15+'Cost Calculations'!T319*Variables!$E$26*Variables!$C$15+'Cost Calculations'!U319*Variables!$E$27*Variables!$C$15+V319*Variables!$E$28*Variables!$C$15</f>
        <v>0</v>
      </c>
      <c r="X319" s="20">
        <f>J319*Variables!$E$29*Variables!$C$15</f>
        <v>2412301.4731257758</v>
      </c>
      <c r="Z319" s="33">
        <f>D319*(IF(D319&lt;50000,0,IF(D319&gt;Variables!$C$7,Variables!$C$37,IF(D319&gt;Variables!$C$6,Variables!$C$36,IF(D319&gt;Variables!$C$5,Variables!$C$35)))))</f>
        <v>7839.9876276463992</v>
      </c>
      <c r="AA319" s="34">
        <f t="shared" si="56"/>
        <v>7658</v>
      </c>
      <c r="AB319" s="35">
        <f t="shared" si="51"/>
        <v>182</v>
      </c>
      <c r="AC319" s="22">
        <f>AB319*Variables!$E$41</f>
        <v>67267200.000000015</v>
      </c>
      <c r="AD319" s="115">
        <f>ROUND(IF(D319&lt;50000,0,(H319/(3.14*Variables!$C$34^2))),0)</f>
        <v>1484</v>
      </c>
      <c r="AE319" s="116">
        <f t="shared" si="58"/>
        <v>1464</v>
      </c>
      <c r="AF319" s="117">
        <f t="shared" si="52"/>
        <v>20</v>
      </c>
      <c r="AG319" s="107">
        <f>AF319*Variables!$E$42*Variables!$C$15</f>
        <v>13550.880000000001</v>
      </c>
      <c r="AH319" s="199">
        <f>ROUND((Z319)/Variables!$C$40,0)</f>
        <v>63</v>
      </c>
      <c r="AI319" s="33">
        <f t="shared" si="59"/>
        <v>69</v>
      </c>
      <c r="AJ319" s="199">
        <f t="shared" si="55"/>
        <v>0</v>
      </c>
      <c r="AK319" s="22">
        <f>AJ319*Variables!$E$43*Variables!$C$15</f>
        <v>0</v>
      </c>
      <c r="AL319" s="20">
        <f>Z319*Variables!$E$38*Variables!$C$15</f>
        <v>1389861332.2928398</v>
      </c>
      <c r="AN319" s="200">
        <f t="shared" si="60"/>
        <v>0.42</v>
      </c>
      <c r="AO319" s="201">
        <f t="shared" si="53"/>
        <v>120.37696363636363</v>
      </c>
      <c r="AP319" s="321">
        <f>VLOOKUP(A319,'Household Information'!H:Q,10,FALSE)</f>
        <v>150.91303799066011</v>
      </c>
      <c r="AQ319" s="122">
        <f>IF(12*(AO319-Variables!$C$3*AP319*F319)*(G319/5)&lt;0,0,12*(AO319-Variables!$C$3*AP319*F319)*(G319/5))</f>
        <v>96452321.245982036</v>
      </c>
    </row>
    <row r="320" spans="1:43" ht="14.25" customHeight="1" x14ac:dyDescent="0.35">
      <c r="A320" s="30">
        <v>23</v>
      </c>
      <c r="B320" s="28" t="s">
        <v>176</v>
      </c>
      <c r="C320" s="28">
        <v>2026</v>
      </c>
      <c r="D320" s="196">
        <f>Population!K24</f>
        <v>56863.694982810986</v>
      </c>
      <c r="E320" s="303" t="str">
        <f t="shared" si="54"/>
        <v>Small</v>
      </c>
      <c r="F320" s="340">
        <f>VLOOKUP(A320,'Household Information'!$H$2:$M$49,6,FALSE)</f>
        <v>3.9394565859421147</v>
      </c>
      <c r="G320" s="196">
        <f t="shared" si="49"/>
        <v>14434</v>
      </c>
      <c r="H320" s="213">
        <f>Area!M24</f>
        <v>110.56183005868657</v>
      </c>
      <c r="J320" s="32">
        <f>D320*Variables!$C$20</f>
        <v>51.177325484529888</v>
      </c>
      <c r="K320" s="202">
        <f t="shared" si="57"/>
        <v>53.622780000000006</v>
      </c>
      <c r="L320" s="32">
        <f t="shared" si="50"/>
        <v>0</v>
      </c>
      <c r="S320" s="198">
        <f>$L320*Variables!$C$21/100</f>
        <v>0</v>
      </c>
      <c r="T320" s="198">
        <f>$L320*Variables!$C$22/100</f>
        <v>0</v>
      </c>
      <c r="U320" s="198">
        <f>$L320*Variables!$C$23/100</f>
        <v>0</v>
      </c>
      <c r="V320" s="198">
        <f>$L320*Variables!$C$24/100</f>
        <v>0</v>
      </c>
      <c r="W320" s="22">
        <f>S320*Variables!$E$25*Variables!$C$15+'Cost Calculations'!T320*Variables!$E$26*Variables!$C$15+'Cost Calculations'!U320*Variables!$E$27*Variables!$C$15+V320*Variables!$E$28*Variables!$C$15</f>
        <v>0</v>
      </c>
      <c r="X320" s="20">
        <f>J320*Variables!$E$29*Variables!$C$15</f>
        <v>8748.2520183255383</v>
      </c>
      <c r="Z320" s="33">
        <f>D320*(IF(D320&lt;50000,0,IF(D320&gt;Variables!$C$7,Variables!$C$37,IF(D320&gt;Variables!$C$6,Variables!$C$36,IF(D320&gt;Variables!$C$5,Variables!$C$35)))))</f>
        <v>28.431847491405495</v>
      </c>
      <c r="AA320" s="34">
        <f t="shared" si="56"/>
        <v>374.4</v>
      </c>
      <c r="AB320" s="35">
        <f t="shared" si="51"/>
        <v>0</v>
      </c>
      <c r="AC320" s="22">
        <f>AB320*Variables!$E$41</f>
        <v>0</v>
      </c>
      <c r="AD320" s="115">
        <f>ROUND(IF(D320&lt;50000,0,(H320/(3.14*Variables!$C$34^2))),0)</f>
        <v>141</v>
      </c>
      <c r="AE320" s="116">
        <f t="shared" si="58"/>
        <v>139</v>
      </c>
      <c r="AF320" s="117">
        <f t="shared" si="52"/>
        <v>2</v>
      </c>
      <c r="AG320" s="107">
        <f>AF320*Variables!$E$42*Variables!$C$15</f>
        <v>1355.088</v>
      </c>
      <c r="AH320" s="199">
        <f>ROUND((Z320)/Variables!$C$40,0)</f>
        <v>0</v>
      </c>
      <c r="AI320" s="33">
        <f t="shared" si="59"/>
        <v>1</v>
      </c>
      <c r="AJ320" s="199">
        <f t="shared" si="55"/>
        <v>0</v>
      </c>
      <c r="AK320" s="22">
        <f>AJ320*Variables!$E$43*Variables!$C$15</f>
        <v>0</v>
      </c>
      <c r="AL320" s="20">
        <f>Z320*Variables!$E$38*Variables!$C$15</f>
        <v>5040355.5860986309</v>
      </c>
      <c r="AN320" s="200">
        <f t="shared" si="60"/>
        <v>0.42</v>
      </c>
      <c r="AO320" s="201">
        <f t="shared" si="53"/>
        <v>99.274305965741291</v>
      </c>
      <c r="AP320" s="321">
        <f>VLOOKUP(A320,'Household Information'!H:Q,10,FALSE)</f>
        <v>127.00366022971097</v>
      </c>
      <c r="AQ320" s="122">
        <f>IF(12*(AO320-Variables!$C$3*AP320*F320)*(G320/5)&lt;0,0,12*(AO320-Variables!$C$3*AP320*F320)*(G320/5))</f>
        <v>839209.91126878571</v>
      </c>
    </row>
    <row r="321" spans="1:43" ht="14.25" customHeight="1" x14ac:dyDescent="0.35">
      <c r="A321" s="30">
        <v>24</v>
      </c>
      <c r="B321" s="28" t="s">
        <v>177</v>
      </c>
      <c r="C321" s="28">
        <v>2026</v>
      </c>
      <c r="D321" s="196">
        <f>Population!K25</f>
        <v>2393260.0167763671</v>
      </c>
      <c r="E321" s="303" t="str">
        <f t="shared" si="54"/>
        <v>Large</v>
      </c>
      <c r="F321" s="340">
        <f>VLOOKUP(A321,'Household Information'!$H$2:$M$49,6,FALSE)</f>
        <v>5.7167460931666056</v>
      </c>
      <c r="G321" s="196">
        <f t="shared" si="49"/>
        <v>418640</v>
      </c>
      <c r="H321" s="213">
        <f>Area!M25</f>
        <v>113.25085630510767</v>
      </c>
      <c r="J321" s="32">
        <f>D321*Variables!$C$20</f>
        <v>2153.9340150987305</v>
      </c>
      <c r="K321" s="202">
        <f t="shared" si="57"/>
        <v>2104.0676126782555</v>
      </c>
      <c r="L321" s="32">
        <f t="shared" si="50"/>
        <v>49.866402420474969</v>
      </c>
      <c r="S321" s="198">
        <f>$L321*Variables!$C$21/100</f>
        <v>2.7076779594828038</v>
      </c>
      <c r="T321" s="198">
        <f>$L321*Variables!$C$22/100</f>
        <v>4.7384364290949064</v>
      </c>
      <c r="U321" s="198">
        <f>$L321*Variables!$C$23/100</f>
        <v>4.964076259051807</v>
      </c>
      <c r="V321" s="198">
        <f>$L321*Variables!$C$24/100</f>
        <v>36.102372793104053</v>
      </c>
      <c r="W321" s="22">
        <f>S321*Variables!$E$25*Variables!$C$15+'Cost Calculations'!T321*Variables!$E$26*Variables!$C$15+'Cost Calculations'!U321*Variables!$E$27*Variables!$C$15+V321*Variables!$E$28*Variables!$C$15</f>
        <v>33447477.235974219</v>
      </c>
      <c r="X321" s="20">
        <f>J321*Variables!$E$29*Variables!$C$15</f>
        <v>368193.48054097703</v>
      </c>
      <c r="Z321" s="33">
        <f>D321*(IF(D321&lt;50000,0,IF(D321&gt;Variables!$C$7,Variables!$C$37,IF(D321&gt;Variables!$C$6,Variables!$C$36,IF(D321&gt;Variables!$C$5,Variables!$C$35)))))</f>
        <v>1196.6300083881836</v>
      </c>
      <c r="AA321" s="34">
        <f t="shared" si="56"/>
        <v>1168.5999999999999</v>
      </c>
      <c r="AB321" s="35">
        <f t="shared" si="51"/>
        <v>28</v>
      </c>
      <c r="AC321" s="22">
        <f>AB321*Variables!$E$41</f>
        <v>10348800.000000002</v>
      </c>
      <c r="AD321" s="115">
        <f>ROUND(IF(D321&lt;50000,0,(H321/(3.14*Variables!$C$34^2))),0)</f>
        <v>144</v>
      </c>
      <c r="AE321" s="116">
        <f t="shared" si="58"/>
        <v>142</v>
      </c>
      <c r="AF321" s="117">
        <f t="shared" si="52"/>
        <v>2</v>
      </c>
      <c r="AG321" s="107">
        <f>AF321*Variables!$E$42*Variables!$C$15</f>
        <v>1355.088</v>
      </c>
      <c r="AH321" s="199">
        <f>ROUND((Z321)/Variables!$C$40,0)</f>
        <v>10</v>
      </c>
      <c r="AI321" s="33">
        <f t="shared" si="59"/>
        <v>9</v>
      </c>
      <c r="AJ321" s="199">
        <f t="shared" si="55"/>
        <v>1</v>
      </c>
      <c r="AK321" s="22">
        <f>AJ321*Variables!$E$43*Variables!$C$15</f>
        <v>552717.39600000007</v>
      </c>
      <c r="AL321" s="20">
        <f>Z321*Variables!$E$38*Variables!$C$15</f>
        <v>212136786.01419914</v>
      </c>
      <c r="AN321" s="200">
        <f t="shared" si="60"/>
        <v>0.14000000000000001</v>
      </c>
      <c r="AO321" s="201">
        <f t="shared" si="53"/>
        <v>48.020667182599489</v>
      </c>
      <c r="AP321" s="321">
        <f>VLOOKUP(A321,'Household Information'!H:Q,10,FALSE)</f>
        <v>84.816357440363504</v>
      </c>
      <c r="AQ321" s="122">
        <f>IF(12*(AO321-Variables!$C$3*AP321*F321)*(G321/5)&lt;0,0,12*(AO321-Variables!$C$3*AP321*F321)*(G321/5))</f>
        <v>0</v>
      </c>
    </row>
    <row r="322" spans="1:43" ht="14.25" customHeight="1" x14ac:dyDescent="0.35">
      <c r="A322" s="30">
        <v>25</v>
      </c>
      <c r="B322" s="28" t="s">
        <v>178</v>
      </c>
      <c r="C322" s="28">
        <v>2026</v>
      </c>
      <c r="D322" s="196">
        <f>Population!K26</f>
        <v>343556.64160429715</v>
      </c>
      <c r="E322" s="303" t="str">
        <f t="shared" si="54"/>
        <v>Medium</v>
      </c>
      <c r="F322" s="340">
        <f>VLOOKUP(A322,'Household Information'!$H$2:$M$49,6,FALSE)</f>
        <v>4.4000000000000004</v>
      </c>
      <c r="G322" s="196">
        <f t="shared" si="49"/>
        <v>78081</v>
      </c>
      <c r="H322" s="213">
        <f>Area!M26</f>
        <v>201.16928422617809</v>
      </c>
      <c r="J322" s="32">
        <f>D322*Variables!$C$20</f>
        <v>309.20097744386743</v>
      </c>
      <c r="K322" s="202">
        <f t="shared" si="57"/>
        <v>302.04256856878715</v>
      </c>
      <c r="L322" s="32">
        <f t="shared" si="50"/>
        <v>7.1584088750802835</v>
      </c>
      <c r="S322" s="198">
        <f>$L322*Variables!$C$21/100</f>
        <v>0.3886918846197438</v>
      </c>
      <c r="T322" s="198">
        <f>$L322*Variables!$C$22/100</f>
        <v>0.68021079808455187</v>
      </c>
      <c r="U322" s="198">
        <f>$L322*Variables!$C$23/100</f>
        <v>0.71260178846953048</v>
      </c>
      <c r="V322" s="198">
        <f>$L322*Variables!$C$24/100</f>
        <v>5.1825584615965852</v>
      </c>
      <c r="W322" s="22">
        <f>S322*Variables!$E$25*Variables!$C$15+'Cost Calculations'!T322*Variables!$E$26*Variables!$C$15+'Cost Calculations'!U322*Variables!$E$27*Variables!$C$15+V322*Variables!$E$28*Variables!$C$15</f>
        <v>4801443.5827184152</v>
      </c>
      <c r="X322" s="20">
        <f>J322*Variables!$E$29*Variables!$C$15</f>
        <v>52854.815084254704</v>
      </c>
      <c r="Z322" s="33">
        <f>D322*(IF(D322&lt;50000,0,IF(D322&gt;Variables!$C$7,Variables!$C$37,IF(D322&gt;Variables!$C$6,Variables!$C$36,IF(D322&gt;Variables!$C$5,Variables!$C$35)))))</f>
        <v>171.77832080214858</v>
      </c>
      <c r="AA322" s="34">
        <f t="shared" si="56"/>
        <v>168</v>
      </c>
      <c r="AB322" s="35">
        <f t="shared" si="51"/>
        <v>4</v>
      </c>
      <c r="AC322" s="22">
        <f>AB322*Variables!$E$41</f>
        <v>1478400.0000000002</v>
      </c>
      <c r="AD322" s="115">
        <f>ROUND(IF(D322&lt;50000,0,(H322/(3.14*Variables!$C$34^2))),0)</f>
        <v>256</v>
      </c>
      <c r="AE322" s="116">
        <f t="shared" si="58"/>
        <v>253</v>
      </c>
      <c r="AF322" s="117">
        <f t="shared" si="52"/>
        <v>3</v>
      </c>
      <c r="AG322" s="107">
        <f>AF322*Variables!$E$42*Variables!$C$15</f>
        <v>2032.6320000000001</v>
      </c>
      <c r="AH322" s="199">
        <f>ROUND((Z322)/Variables!$C$40,0)</f>
        <v>1</v>
      </c>
      <c r="AI322" s="33">
        <f t="shared" si="59"/>
        <v>1</v>
      </c>
      <c r="AJ322" s="199">
        <f t="shared" si="55"/>
        <v>0</v>
      </c>
      <c r="AK322" s="22">
        <f>AJ322*Variables!$E$43*Variables!$C$15</f>
        <v>0</v>
      </c>
      <c r="AL322" s="20">
        <f>Z322*Variables!$E$38*Variables!$C$15</f>
        <v>30452604.920854237</v>
      </c>
      <c r="AN322" s="200">
        <f t="shared" si="60"/>
        <v>0.14000000000000001</v>
      </c>
      <c r="AO322" s="201">
        <f t="shared" si="53"/>
        <v>36.960000000000008</v>
      </c>
      <c r="AP322" s="321">
        <f>VLOOKUP(A322,'Household Information'!H:Q,10,FALSE)</f>
        <v>100.80777483276538</v>
      </c>
      <c r="AQ322" s="122">
        <f>IF(12*(AO322-Variables!$C$3*AP322*F322)*(G322/5)&lt;0,0,12*(AO322-Variables!$C$3*AP322*F322)*(G322/5))</f>
        <v>0</v>
      </c>
    </row>
    <row r="323" spans="1:43" ht="14.25" customHeight="1" x14ac:dyDescent="0.35">
      <c r="A323" s="30">
        <v>26</v>
      </c>
      <c r="B323" s="28" t="s">
        <v>179</v>
      </c>
      <c r="C323" s="28">
        <v>2026</v>
      </c>
      <c r="D323" s="196">
        <f>Population!K27</f>
        <v>142363.14930024493</v>
      </c>
      <c r="E323" s="303" t="str">
        <f t="shared" si="54"/>
        <v>Medium</v>
      </c>
      <c r="F323" s="340">
        <f>VLOOKUP(A323,'Household Information'!$H$2:$M$49,6,FALSE)</f>
        <v>3.9948981478058339</v>
      </c>
      <c r="G323" s="196">
        <f t="shared" si="49"/>
        <v>35636</v>
      </c>
      <c r="H323" s="213">
        <f>Area!M27</f>
        <v>718.24885182976175</v>
      </c>
      <c r="J323" s="32">
        <f>D323*Variables!$C$20</f>
        <v>128.12683437022042</v>
      </c>
      <c r="K323" s="202">
        <f t="shared" si="57"/>
        <v>125.16052981363723</v>
      </c>
      <c r="L323" s="32">
        <f t="shared" si="50"/>
        <v>2.9663045565831965</v>
      </c>
      <c r="S323" s="198">
        <f>$L323*Variables!$C$21/100</f>
        <v>0.16106631076469843</v>
      </c>
      <c r="T323" s="198">
        <f>$L323*Variables!$C$22/100</f>
        <v>0.28186604383822228</v>
      </c>
      <c r="U323" s="198">
        <f>$L323*Variables!$C$23/100</f>
        <v>0.29528823640194718</v>
      </c>
      <c r="V323" s="198">
        <f>$L323*Variables!$C$24/100</f>
        <v>2.147550810195979</v>
      </c>
      <c r="W323" s="22">
        <f>S323*Variables!$E$25*Variables!$C$15+'Cost Calculations'!T323*Variables!$E$26*Variables!$C$15+'Cost Calculations'!U323*Variables!$E$27*Variables!$C$15+V323*Variables!$E$28*Variables!$C$15</f>
        <v>1989624.2623379133</v>
      </c>
      <c r="X323" s="20">
        <f>J323*Variables!$E$29*Variables!$C$15</f>
        <v>21902.001067245481</v>
      </c>
      <c r="Z323" s="33">
        <f>D323*(IF(D323&lt;50000,0,IF(D323&gt;Variables!$C$7,Variables!$C$37,IF(D323&gt;Variables!$C$6,Variables!$C$36,IF(D323&gt;Variables!$C$5,Variables!$C$35)))))</f>
        <v>71.181574650122471</v>
      </c>
      <c r="AA323" s="34">
        <f t="shared" si="56"/>
        <v>139</v>
      </c>
      <c r="AB323" s="35">
        <f t="shared" si="51"/>
        <v>0</v>
      </c>
      <c r="AC323" s="22">
        <f>AB323*Variables!$E$41</f>
        <v>0</v>
      </c>
      <c r="AD323" s="115">
        <f>ROUND(IF(D323&lt;50000,0,(H323/(3.14*Variables!$C$34^2))),0)</f>
        <v>915</v>
      </c>
      <c r="AE323" s="116">
        <f t="shared" si="58"/>
        <v>902</v>
      </c>
      <c r="AF323" s="117">
        <f t="shared" si="52"/>
        <v>13</v>
      </c>
      <c r="AG323" s="107">
        <f>AF323*Variables!$E$42*Variables!$C$15</f>
        <v>8808.0720000000001</v>
      </c>
      <c r="AH323" s="199">
        <f>ROUND((Z323)/Variables!$C$40,0)</f>
        <v>1</v>
      </c>
      <c r="AI323" s="33">
        <f t="shared" si="59"/>
        <v>1</v>
      </c>
      <c r="AJ323" s="199">
        <f t="shared" si="55"/>
        <v>0</v>
      </c>
      <c r="AK323" s="22">
        <f>AJ323*Variables!$E$43*Variables!$C$15</f>
        <v>0</v>
      </c>
      <c r="AL323" s="20">
        <f>Z323*Variables!$E$38*Variables!$C$15</f>
        <v>12618963.55920927</v>
      </c>
      <c r="AN323" s="200">
        <f t="shared" si="60"/>
        <v>0.25221875000000005</v>
      </c>
      <c r="AO323" s="201">
        <f t="shared" si="53"/>
        <v>60.455293033014172</v>
      </c>
      <c r="AP323" s="321">
        <f>VLOOKUP(A323,'Household Information'!H:Q,10,FALSE)</f>
        <v>108.65462509082352</v>
      </c>
      <c r="AQ323" s="122">
        <f>IF(12*(AO323-Variables!$C$3*AP323*F323)*(G323/5)&lt;0,0,12*(AO323-Variables!$C$3*AP323*F323)*(G323/5))</f>
        <v>0</v>
      </c>
    </row>
    <row r="324" spans="1:43" ht="14.25" customHeight="1" x14ac:dyDescent="0.35">
      <c r="A324" s="30">
        <v>27</v>
      </c>
      <c r="B324" s="28" t="s">
        <v>180</v>
      </c>
      <c r="C324" s="28">
        <v>2026</v>
      </c>
      <c r="D324" s="196">
        <f>Population!K28</f>
        <v>1435813.6270226818</v>
      </c>
      <c r="E324" s="303" t="str">
        <f t="shared" si="54"/>
        <v>Large</v>
      </c>
      <c r="F324" s="340">
        <f>VLOOKUP(A324,'Household Information'!$H$2:$M$49,6,FALSE)</f>
        <v>4.6947316089524085</v>
      </c>
      <c r="G324" s="196">
        <f t="shared" ref="G324:G387" si="61">ROUND(D324/F324,0)</f>
        <v>305835</v>
      </c>
      <c r="H324" s="213">
        <f>Area!M28</f>
        <v>134.11079564570872</v>
      </c>
      <c r="J324" s="32">
        <f>D324*Variables!$C$20</f>
        <v>1292.2322643204136</v>
      </c>
      <c r="K324" s="202">
        <f t="shared" si="57"/>
        <v>2162.4648561170238</v>
      </c>
      <c r="L324" s="32">
        <f t="shared" ref="L324:L387" si="62">IF(J324-K324&lt;0,0,J324-K324)</f>
        <v>0</v>
      </c>
      <c r="S324" s="198">
        <f>$L324*Variables!$C$21/100</f>
        <v>0</v>
      </c>
      <c r="T324" s="198">
        <f>$L324*Variables!$C$22/100</f>
        <v>0</v>
      </c>
      <c r="U324" s="198">
        <f>$L324*Variables!$C$23/100</f>
        <v>0</v>
      </c>
      <c r="V324" s="198">
        <f>$L324*Variables!$C$24/100</f>
        <v>0</v>
      </c>
      <c r="W324" s="22">
        <f>S324*Variables!$E$25*Variables!$C$15+'Cost Calculations'!T324*Variables!$E$26*Variables!$C$15+'Cost Calculations'!U324*Variables!$E$27*Variables!$C$15+V324*Variables!$E$28*Variables!$C$15</f>
        <v>0</v>
      </c>
      <c r="X324" s="20">
        <f>J324*Variables!$E$29*Variables!$C$15</f>
        <v>220894.1832629315</v>
      </c>
      <c r="Z324" s="33">
        <f>D324*(IF(D324&lt;50000,0,IF(D324&gt;Variables!$C$7,Variables!$C$37,IF(D324&gt;Variables!$C$6,Variables!$C$36,IF(D324&gt;Variables!$C$5,Variables!$C$35)))))</f>
        <v>717.90681351134094</v>
      </c>
      <c r="AA324" s="34">
        <f t="shared" si="56"/>
        <v>701</v>
      </c>
      <c r="AB324" s="35">
        <f t="shared" ref="AB324:AB387" si="63">IF(Z324-AA324&lt;0,0, ROUND(Z324-AA324,0))</f>
        <v>17</v>
      </c>
      <c r="AC324" s="22">
        <f>AB324*Variables!$E$41</f>
        <v>6283200.0000000009</v>
      </c>
      <c r="AD324" s="115">
        <f>ROUND(IF(D324&lt;50000,0,(H324/(3.14*Variables!$C$34^2))),0)</f>
        <v>171</v>
      </c>
      <c r="AE324" s="116">
        <f t="shared" si="58"/>
        <v>168</v>
      </c>
      <c r="AF324" s="117">
        <f t="shared" ref="AF324:AF387" si="64">IF(AD324-AE324&lt;0,0,AD324-AE324)</f>
        <v>3</v>
      </c>
      <c r="AG324" s="107">
        <f>AF324*Variables!$E$42*Variables!$C$15</f>
        <v>2032.6320000000001</v>
      </c>
      <c r="AH324" s="199">
        <f>ROUND((Z324)/Variables!$C$40,0)</f>
        <v>6</v>
      </c>
      <c r="AI324" s="33">
        <f t="shared" si="59"/>
        <v>110</v>
      </c>
      <c r="AJ324" s="199">
        <f t="shared" si="55"/>
        <v>0</v>
      </c>
      <c r="AK324" s="22">
        <f>AJ324*Variables!$E$43*Variables!$C$15</f>
        <v>0</v>
      </c>
      <c r="AL324" s="20">
        <f>Z324*Variables!$E$38*Variables!$C$15</f>
        <v>127269450.88158527</v>
      </c>
      <c r="AN324" s="200">
        <f t="shared" si="60"/>
        <v>0.14000000000000001</v>
      </c>
      <c r="AO324" s="201">
        <f t="shared" ref="AO324:AO387" si="65">AN324*2*30*F324</f>
        <v>39.435745515200232</v>
      </c>
      <c r="AP324" s="321">
        <f>VLOOKUP(A324,'Household Information'!H:Q,10,FALSE)</f>
        <v>58.94736842105263</v>
      </c>
      <c r="AQ324" s="122">
        <f>IF(12*(AO324-Variables!$C$3*AP324*F324)*(G324/5)&lt;0,0,12*(AO324-Variables!$C$3*AP324*F324)*(G324/5))</f>
        <v>0</v>
      </c>
    </row>
    <row r="325" spans="1:43" ht="14.25" customHeight="1" x14ac:dyDescent="0.35">
      <c r="A325" s="30">
        <v>28</v>
      </c>
      <c r="B325" s="28" t="s">
        <v>181</v>
      </c>
      <c r="C325" s="28">
        <v>2026</v>
      </c>
      <c r="D325" s="196">
        <f>Population!K29</f>
        <v>1525327.3737240136</v>
      </c>
      <c r="E325" s="303" t="str">
        <f t="shared" ref="E325:E388" si="66">IF(D325&lt;100000,"Small",IF(D325&lt;1000000,"Medium","Large"))</f>
        <v>Large</v>
      </c>
      <c r="F325" s="340">
        <f>VLOOKUP(A325,'Household Information'!$H$2:$M$49,6,FALSE)</f>
        <v>3.2903489815623708</v>
      </c>
      <c r="G325" s="196">
        <f t="shared" si="61"/>
        <v>463576</v>
      </c>
      <c r="H325" s="213">
        <f>Area!M29</f>
        <v>172.85657014990107</v>
      </c>
      <c r="J325" s="32">
        <f>D325*Variables!$C$20</f>
        <v>1372.7946363516121</v>
      </c>
      <c r="K325" s="202">
        <f t="shared" si="57"/>
        <v>1341.0126368580754</v>
      </c>
      <c r="L325" s="32">
        <f t="shared" si="62"/>
        <v>31.781999493536659</v>
      </c>
      <c r="S325" s="198">
        <f>$L325*Variables!$C$21/100</f>
        <v>1.7257194295133025</v>
      </c>
      <c r="T325" s="198">
        <f>$L325*Variables!$C$22/100</f>
        <v>3.0200090016482801</v>
      </c>
      <c r="U325" s="198">
        <f>$L325*Variables!$C$23/100</f>
        <v>3.1638189541077217</v>
      </c>
      <c r="V325" s="198">
        <f>$L325*Variables!$C$24/100</f>
        <v>23.009592393510701</v>
      </c>
      <c r="W325" s="22">
        <f>S325*Variables!$E$25*Variables!$C$15+'Cost Calculations'!T325*Variables!$E$26*Variables!$C$15+'Cost Calculations'!U325*Variables!$E$27*Variables!$C$15+V325*Variables!$E$28*Variables!$C$15</f>
        <v>21317513.455459058</v>
      </c>
      <c r="X325" s="20">
        <f>J325*Variables!$E$29*Variables!$C$15</f>
        <v>234665.51513794457</v>
      </c>
      <c r="Z325" s="33">
        <f>D325*(IF(D325&lt;50000,0,IF(D325&gt;Variables!$C$7,Variables!$C$37,IF(D325&gt;Variables!$C$6,Variables!$C$36,IF(D325&gt;Variables!$C$5,Variables!$C$35)))))</f>
        <v>762.66368686200678</v>
      </c>
      <c r="AA325" s="34">
        <f t="shared" si="56"/>
        <v>745</v>
      </c>
      <c r="AB325" s="35">
        <f t="shared" si="63"/>
        <v>18</v>
      </c>
      <c r="AC325" s="22">
        <f>AB325*Variables!$E$41</f>
        <v>6652800.0000000009</v>
      </c>
      <c r="AD325" s="115">
        <f>ROUND(IF(D325&lt;50000,0,(H325/(3.14*Variables!$C$34^2))),0)</f>
        <v>220</v>
      </c>
      <c r="AE325" s="116">
        <f t="shared" si="58"/>
        <v>217</v>
      </c>
      <c r="AF325" s="117">
        <f t="shared" si="64"/>
        <v>3</v>
      </c>
      <c r="AG325" s="107">
        <f>AF325*Variables!$E$42*Variables!$C$15</f>
        <v>2032.6320000000001</v>
      </c>
      <c r="AH325" s="199">
        <f>ROUND((Z325)/Variables!$C$40,0)</f>
        <v>6</v>
      </c>
      <c r="AI325" s="33">
        <f t="shared" si="59"/>
        <v>6</v>
      </c>
      <c r="AJ325" s="199">
        <f t="shared" ref="AJ325:AJ388" si="67">IF(AH325-AI325&lt;0,0,AH325-AI325)</f>
        <v>0</v>
      </c>
      <c r="AK325" s="22">
        <f>AJ325*Variables!$E$43*Variables!$C$15</f>
        <v>0</v>
      </c>
      <c r="AL325" s="20">
        <f>Z325*Variables!$E$38*Variables!$C$15</f>
        <v>135203882.74281165</v>
      </c>
      <c r="AN325" s="200">
        <f t="shared" si="60"/>
        <v>0.21</v>
      </c>
      <c r="AO325" s="201">
        <f t="shared" si="65"/>
        <v>41.458397167685874</v>
      </c>
      <c r="AP325" s="321">
        <f>VLOOKUP(A325,'Household Information'!H:Q,10,FALSE)</f>
        <v>53.01022340022719</v>
      </c>
      <c r="AQ325" s="122">
        <f>IF(12*(AO325-Variables!$C$3*AP325*F325)*(G325/5)&lt;0,0,12*(AO325-Variables!$C$3*AP325*F325)*(G325/5))</f>
        <v>17017033.455801614</v>
      </c>
    </row>
    <row r="326" spans="1:43" ht="14.25" customHeight="1" x14ac:dyDescent="0.35">
      <c r="A326" s="30">
        <v>29</v>
      </c>
      <c r="B326" s="28" t="s">
        <v>182</v>
      </c>
      <c r="C326" s="28">
        <v>2026</v>
      </c>
      <c r="D326" s="196">
        <f>Population!K30</f>
        <v>203526.75534630369</v>
      </c>
      <c r="E326" s="303" t="str">
        <f t="shared" si="66"/>
        <v>Medium</v>
      </c>
      <c r="F326" s="340">
        <f>VLOOKUP(A326,'Household Information'!$H$2:$M$49,6,FALSE)</f>
        <v>4.6165672844480259</v>
      </c>
      <c r="G326" s="196">
        <f t="shared" si="61"/>
        <v>44086</v>
      </c>
      <c r="H326" s="213">
        <f>Area!M30</f>
        <v>971.57313567013409</v>
      </c>
      <c r="J326" s="32">
        <f>D326*Variables!$C$20</f>
        <v>183.17407981167332</v>
      </c>
      <c r="K326" s="202">
        <f t="shared" si="57"/>
        <v>178.93335919866493</v>
      </c>
      <c r="L326" s="32">
        <f t="shared" si="62"/>
        <v>4.2407206130083921</v>
      </c>
      <c r="S326" s="198">
        <f>$L326*Variables!$C$21/100</f>
        <v>0.23026537265203934</v>
      </c>
      <c r="T326" s="198">
        <f>$L326*Variables!$C$22/100</f>
        <v>0.40296440214106893</v>
      </c>
      <c r="U326" s="198">
        <f>$L326*Variables!$C$23/100</f>
        <v>0.42215318319540557</v>
      </c>
      <c r="V326" s="198">
        <f>$L326*Variables!$C$24/100</f>
        <v>3.0702049686938584</v>
      </c>
      <c r="W326" s="22">
        <f>S326*Variables!$E$25*Variables!$C$15+'Cost Calculations'!T326*Variables!$E$26*Variables!$C$15+'Cost Calculations'!U326*Variables!$E$27*Variables!$C$15+V326*Variables!$E$28*Variables!$C$15</f>
        <v>2844428.2980695879</v>
      </c>
      <c r="X326" s="20">
        <f>J326*Variables!$E$29*Variables!$C$15</f>
        <v>31311.777203007441</v>
      </c>
      <c r="Z326" s="33">
        <f>D326*(IF(D326&lt;50000,0,IF(D326&gt;Variables!$C$7,Variables!$C$37,IF(D326&gt;Variables!$C$6,Variables!$C$36,IF(D326&gt;Variables!$C$5,Variables!$C$35)))))</f>
        <v>101.76337767315185</v>
      </c>
      <c r="AA326" s="34">
        <f t="shared" si="56"/>
        <v>206</v>
      </c>
      <c r="AB326" s="35">
        <f t="shared" si="63"/>
        <v>0</v>
      </c>
      <c r="AC326" s="22">
        <f>AB326*Variables!$E$41</f>
        <v>0</v>
      </c>
      <c r="AD326" s="115">
        <f>ROUND(IF(D326&lt;50000,0,(H326/(3.14*Variables!$C$34^2))),0)</f>
        <v>1238</v>
      </c>
      <c r="AE326" s="116">
        <f t="shared" si="58"/>
        <v>1220</v>
      </c>
      <c r="AF326" s="117">
        <f t="shared" si="64"/>
        <v>18</v>
      </c>
      <c r="AG326" s="107">
        <f>AF326*Variables!$E$42*Variables!$C$15</f>
        <v>12195.792000000001</v>
      </c>
      <c r="AH326" s="199">
        <f>ROUND((Z326)/Variables!$C$40,0)</f>
        <v>1</v>
      </c>
      <c r="AI326" s="33">
        <f t="shared" si="59"/>
        <v>1</v>
      </c>
      <c r="AJ326" s="199">
        <f t="shared" si="67"/>
        <v>0</v>
      </c>
      <c r="AK326" s="22">
        <f>AJ326*Variables!$E$43*Variables!$C$15</f>
        <v>0</v>
      </c>
      <c r="AL326" s="20">
        <f>Z326*Variables!$E$38*Variables!$C$15</f>
        <v>18040460.060507305</v>
      </c>
      <c r="AN326" s="200">
        <f t="shared" si="60"/>
        <v>0.14000000000000001</v>
      </c>
      <c r="AO326" s="201">
        <f t="shared" si="65"/>
        <v>38.779165189363418</v>
      </c>
      <c r="AP326" s="321">
        <f>VLOOKUP(A326,'Household Information'!H:Q,10,FALSE)</f>
        <v>91.707686482393044</v>
      </c>
      <c r="AQ326" s="122">
        <f>IF(12*(AO326-Variables!$C$3*AP326*F326)*(G326/5)&lt;0,0,12*(AO326-Variables!$C$3*AP326*F326)*(G326/5))</f>
        <v>0</v>
      </c>
    </row>
    <row r="327" spans="1:43" ht="14.25" customHeight="1" x14ac:dyDescent="0.35">
      <c r="A327" s="30">
        <v>30</v>
      </c>
      <c r="B327" s="28" t="s">
        <v>183</v>
      </c>
      <c r="C327" s="28">
        <v>2026</v>
      </c>
      <c r="D327" s="196">
        <f>Population!K31</f>
        <v>139633.43047919439</v>
      </c>
      <c r="E327" s="303" t="str">
        <f t="shared" si="66"/>
        <v>Medium</v>
      </c>
      <c r="F327" s="340">
        <f>VLOOKUP(A327,'Household Information'!$H$2:$M$49,6,FALSE)</f>
        <v>4.0765401369010581</v>
      </c>
      <c r="G327" s="196">
        <f t="shared" si="61"/>
        <v>34253</v>
      </c>
      <c r="H327" s="213">
        <f>Area!M31</f>
        <v>96.859284997789459</v>
      </c>
      <c r="J327" s="32">
        <f>D327*Variables!$C$20</f>
        <v>125.67008743127495</v>
      </c>
      <c r="K327" s="202">
        <f t="shared" si="57"/>
        <v>122.76065979415348</v>
      </c>
      <c r="L327" s="32">
        <f t="shared" si="62"/>
        <v>2.9094276371214676</v>
      </c>
      <c r="S327" s="198">
        <f>$L327*Variables!$C$21/100</f>
        <v>0.15797797124641449</v>
      </c>
      <c r="T327" s="198">
        <f>$L327*Variables!$C$22/100</f>
        <v>0.27646144968122544</v>
      </c>
      <c r="U327" s="198">
        <f>$L327*Variables!$C$23/100</f>
        <v>0.28962628061842666</v>
      </c>
      <c r="V327" s="198">
        <f>$L327*Variables!$C$24/100</f>
        <v>2.1063729499521937</v>
      </c>
      <c r="W327" s="22">
        <f>S327*Variables!$E$25*Variables!$C$15+'Cost Calculations'!T327*Variables!$E$26*Variables!$C$15+'Cost Calculations'!U327*Variables!$E$27*Variables!$C$15+V327*Variables!$E$28*Variables!$C$15</f>
        <v>1951474.5387443099</v>
      </c>
      <c r="X327" s="20">
        <f>J327*Variables!$E$29*Variables!$C$15</f>
        <v>21482.044745502142</v>
      </c>
      <c r="Z327" s="33">
        <f>D327*(IF(D327&lt;50000,0,IF(D327&gt;Variables!$C$7,Variables!$C$37,IF(D327&gt;Variables!$C$6,Variables!$C$36,IF(D327&gt;Variables!$C$5,Variables!$C$35)))))</f>
        <v>69.816715239597201</v>
      </c>
      <c r="AA327" s="34">
        <f t="shared" si="56"/>
        <v>68</v>
      </c>
      <c r="AB327" s="35">
        <f t="shared" si="63"/>
        <v>2</v>
      </c>
      <c r="AC327" s="22">
        <f>AB327*Variables!$E$41</f>
        <v>739200.00000000012</v>
      </c>
      <c r="AD327" s="115">
        <f>ROUND(IF(D327&lt;50000,0,(H327/(3.14*Variables!$C$34^2))),0)</f>
        <v>123</v>
      </c>
      <c r="AE327" s="116">
        <f t="shared" si="58"/>
        <v>122</v>
      </c>
      <c r="AF327" s="117">
        <f t="shared" si="64"/>
        <v>1</v>
      </c>
      <c r="AG327" s="107">
        <f>AF327*Variables!$E$42*Variables!$C$15</f>
        <v>677.54399999999998</v>
      </c>
      <c r="AH327" s="199">
        <f>ROUND((Z327)/Variables!$C$40,0)</f>
        <v>1</v>
      </c>
      <c r="AI327" s="33">
        <f t="shared" si="59"/>
        <v>21</v>
      </c>
      <c r="AJ327" s="199">
        <f t="shared" si="67"/>
        <v>0</v>
      </c>
      <c r="AK327" s="22">
        <f>AJ327*Variables!$E$43*Variables!$C$15</f>
        <v>0</v>
      </c>
      <c r="AL327" s="20">
        <f>Z327*Variables!$E$38*Variables!$C$15</f>
        <v>12377003.315290552</v>
      </c>
      <c r="AN327" s="200">
        <f t="shared" si="60"/>
        <v>0.25221875000000005</v>
      </c>
      <c r="AO327" s="201">
        <f t="shared" si="65"/>
        <v>61.690791459240835</v>
      </c>
      <c r="AP327" s="321">
        <f>VLOOKUP(A327,'Household Information'!H:Q,10,FALSE)</f>
        <v>60.413984601792251</v>
      </c>
      <c r="AQ327" s="122">
        <f>IF(12*(AO327-Variables!$C$3*AP327*F327)*(G327/5)&lt;0,0,12*(AO327-Variables!$C$3*AP327*F327)*(G327/5))</f>
        <v>2034528.4415908777</v>
      </c>
    </row>
    <row r="328" spans="1:43" ht="14.25" customHeight="1" x14ac:dyDescent="0.35">
      <c r="A328" s="30">
        <v>31</v>
      </c>
      <c r="B328" s="28" t="s">
        <v>184</v>
      </c>
      <c r="C328" s="28">
        <v>2026</v>
      </c>
      <c r="D328" s="196">
        <f>Population!K32</f>
        <v>240968.38013332136</v>
      </c>
      <c r="E328" s="303" t="str">
        <f t="shared" si="66"/>
        <v>Medium</v>
      </c>
      <c r="F328" s="340">
        <f>VLOOKUP(A328,'Household Information'!$H$2:$M$49,6,FALSE)</f>
        <v>3.6621172202306398</v>
      </c>
      <c r="G328" s="196">
        <f t="shared" si="61"/>
        <v>65800</v>
      </c>
      <c r="H328" s="213">
        <f>Area!M32</f>
        <v>731.66013744484019</v>
      </c>
      <c r="J328" s="32">
        <f>D328*Variables!$C$20</f>
        <v>216.87154211998921</v>
      </c>
      <c r="K328" s="202">
        <f t="shared" si="57"/>
        <v>522.30024000000003</v>
      </c>
      <c r="L328" s="32">
        <f t="shared" si="62"/>
        <v>0</v>
      </c>
      <c r="S328" s="198">
        <f>$L328*Variables!$C$21/100</f>
        <v>0</v>
      </c>
      <c r="T328" s="198">
        <f>$L328*Variables!$C$22/100</f>
        <v>0</v>
      </c>
      <c r="U328" s="198">
        <f>$L328*Variables!$C$23/100</f>
        <v>0</v>
      </c>
      <c r="V328" s="198">
        <f>$L328*Variables!$C$24/100</f>
        <v>0</v>
      </c>
      <c r="W328" s="22">
        <f>S328*Variables!$E$25*Variables!$C$15+'Cost Calculations'!T328*Variables!$E$26*Variables!$C$15+'Cost Calculations'!U328*Variables!$E$27*Variables!$C$15+V328*Variables!$E$28*Variables!$C$15</f>
        <v>0</v>
      </c>
      <c r="X328" s="20">
        <f>J328*Variables!$E$29*Variables!$C$15</f>
        <v>37072.021409990957</v>
      </c>
      <c r="Z328" s="33">
        <f>D328*(IF(D328&lt;50000,0,IF(D328&gt;Variables!$C$7,Variables!$C$37,IF(D328&gt;Variables!$C$6,Variables!$C$36,IF(D328&gt;Variables!$C$5,Variables!$C$35)))))</f>
        <v>120.48419006666069</v>
      </c>
      <c r="AA328" s="34">
        <f t="shared" si="56"/>
        <v>3158</v>
      </c>
      <c r="AB328" s="35">
        <f t="shared" si="63"/>
        <v>0</v>
      </c>
      <c r="AC328" s="22">
        <f>AB328*Variables!$E$41</f>
        <v>0</v>
      </c>
      <c r="AD328" s="115">
        <f>ROUND(IF(D328&lt;50000,0,(H328/(3.14*Variables!$C$34^2))),0)</f>
        <v>932</v>
      </c>
      <c r="AE328" s="116">
        <f t="shared" si="58"/>
        <v>919</v>
      </c>
      <c r="AF328" s="117">
        <f t="shared" si="64"/>
        <v>13</v>
      </c>
      <c r="AG328" s="107">
        <f>AF328*Variables!$E$42*Variables!$C$15</f>
        <v>8808.0720000000001</v>
      </c>
      <c r="AH328" s="199">
        <f>ROUND((Z328)/Variables!$C$40,0)</f>
        <v>1</v>
      </c>
      <c r="AI328" s="33">
        <f t="shared" si="59"/>
        <v>27</v>
      </c>
      <c r="AJ328" s="199">
        <f t="shared" si="67"/>
        <v>0</v>
      </c>
      <c r="AK328" s="22">
        <f>AJ328*Variables!$E$43*Variables!$C$15</f>
        <v>0</v>
      </c>
      <c r="AL328" s="20">
        <f>Z328*Variables!$E$38*Variables!$C$15</f>
        <v>21359257.804918744</v>
      </c>
      <c r="AN328" s="200">
        <f t="shared" si="60"/>
        <v>0.14000000000000001</v>
      </c>
      <c r="AO328" s="201">
        <f t="shared" si="65"/>
        <v>30.761784649937375</v>
      </c>
      <c r="AP328" s="321">
        <f>VLOOKUP(A328,'Household Information'!H:Q,10,FALSE)</f>
        <v>118.33648870377382</v>
      </c>
      <c r="AQ328" s="122">
        <f>IF(12*(AO328-Variables!$C$3*AP328*F328)*(G328/5)&lt;0,0,12*(AO328-Variables!$C$3*AP328*F328)*(G328/5))</f>
        <v>0</v>
      </c>
    </row>
    <row r="329" spans="1:43" ht="14.25" customHeight="1" x14ac:dyDescent="0.35">
      <c r="A329" s="30">
        <v>32</v>
      </c>
      <c r="B329" s="28" t="s">
        <v>185</v>
      </c>
      <c r="C329" s="28">
        <v>2026</v>
      </c>
      <c r="D329" s="196">
        <f>Population!K33</f>
        <v>1677576.3397020558</v>
      </c>
      <c r="E329" s="303" t="str">
        <f t="shared" si="66"/>
        <v>Large</v>
      </c>
      <c r="F329" s="340">
        <f>VLOOKUP(A329,'Household Information'!$H$2:$M$49,6,FALSE)</f>
        <v>6.457235996477583</v>
      </c>
      <c r="G329" s="196">
        <f t="shared" si="61"/>
        <v>259798</v>
      </c>
      <c r="H329" s="213">
        <f>Area!M33</f>
        <v>43.21414253747529</v>
      </c>
      <c r="J329" s="32">
        <f>D329*Variables!$C$20</f>
        <v>1509.8187057318501</v>
      </c>
      <c r="K329" s="202">
        <f t="shared" si="57"/>
        <v>1474.8644190015141</v>
      </c>
      <c r="L329" s="32">
        <f t="shared" si="62"/>
        <v>34.95428673033598</v>
      </c>
      <c r="S329" s="198">
        <f>$L329*Variables!$C$21/100</f>
        <v>1.8979703201992384</v>
      </c>
      <c r="T329" s="198">
        <f>$L329*Variables!$C$22/100</f>
        <v>3.321448060348668</v>
      </c>
      <c r="U329" s="198">
        <f>$L329*Variables!$C$23/100</f>
        <v>3.4796122536986043</v>
      </c>
      <c r="V329" s="198">
        <f>$L329*Variables!$C$24/100</f>
        <v>25.306270935989851</v>
      </c>
      <c r="W329" s="22">
        <f>S329*Variables!$E$25*Variables!$C$15+'Cost Calculations'!T329*Variables!$E$26*Variables!$C$15+'Cost Calculations'!U329*Variables!$E$27*Variables!$C$15+V329*Variables!$E$28*Variables!$C$15</f>
        <v>23445298.89793266</v>
      </c>
      <c r="X329" s="20">
        <f>J329*Variables!$E$29*Variables!$C$15</f>
        <v>258088.40955780246</v>
      </c>
      <c r="Z329" s="33">
        <f>D329*(IF(D329&lt;50000,0,IF(D329&gt;Variables!$C$7,Variables!$C$37,IF(D329&gt;Variables!$C$6,Variables!$C$36,IF(D329&gt;Variables!$C$5,Variables!$C$35)))))</f>
        <v>838.78816985102787</v>
      </c>
      <c r="AA329" s="34">
        <f t="shared" si="56"/>
        <v>819</v>
      </c>
      <c r="AB329" s="35">
        <f t="shared" si="63"/>
        <v>20</v>
      </c>
      <c r="AC329" s="22">
        <f>AB329*Variables!$E$41</f>
        <v>7392000.0000000009</v>
      </c>
      <c r="AD329" s="115">
        <f>ROUND(IF(D329&lt;50000,0,(H329/(3.14*Variables!$C$34^2))),0)</f>
        <v>55</v>
      </c>
      <c r="AE329" s="116">
        <f t="shared" si="58"/>
        <v>54</v>
      </c>
      <c r="AF329" s="117">
        <f t="shared" si="64"/>
        <v>1</v>
      </c>
      <c r="AG329" s="107">
        <f>AF329*Variables!$E$42*Variables!$C$15</f>
        <v>677.54399999999998</v>
      </c>
      <c r="AH329" s="199">
        <f>ROUND((Z329)/Variables!$C$40,0)</f>
        <v>7</v>
      </c>
      <c r="AI329" s="33">
        <f t="shared" si="59"/>
        <v>7</v>
      </c>
      <c r="AJ329" s="199">
        <f t="shared" si="67"/>
        <v>0</v>
      </c>
      <c r="AK329" s="22">
        <f>AJ329*Variables!$E$43*Variables!$C$15</f>
        <v>0</v>
      </c>
      <c r="AL329" s="20">
        <f>Z329*Variables!$E$38*Variables!$C$15</f>
        <v>148699117.73197541</v>
      </c>
      <c r="AN329" s="200">
        <f t="shared" si="60"/>
        <v>0.14000000000000001</v>
      </c>
      <c r="AO329" s="201">
        <f t="shared" si="65"/>
        <v>54.240782370411701</v>
      </c>
      <c r="AP329" s="321">
        <f>VLOOKUP(A329,'Household Information'!H:Q,10,FALSE)</f>
        <v>105.97627161428754</v>
      </c>
      <c r="AQ329" s="122">
        <f>IF(12*(AO329-Variables!$C$3*AP329*F329)*(G329/5)&lt;0,0,12*(AO329-Variables!$C$3*AP329*F329)*(G329/5))</f>
        <v>0</v>
      </c>
    </row>
    <row r="330" spans="1:43" ht="14.25" customHeight="1" x14ac:dyDescent="0.35">
      <c r="A330" s="30">
        <v>33</v>
      </c>
      <c r="B330" s="28" t="s">
        <v>186</v>
      </c>
      <c r="C330" s="28">
        <v>2026</v>
      </c>
      <c r="D330" s="196">
        <f>Population!K34</f>
        <v>1056776.3246985453</v>
      </c>
      <c r="E330" s="303" t="str">
        <f t="shared" si="66"/>
        <v>Large</v>
      </c>
      <c r="F330" s="340">
        <f>VLOOKUP(A330,'Household Information'!$H$2:$M$49,6,FALSE)</f>
        <v>3.9813857124502121</v>
      </c>
      <c r="G330" s="196">
        <f t="shared" si="61"/>
        <v>265429</v>
      </c>
      <c r="H330" s="213">
        <f>Area!M34</f>
        <v>360.61456876100056</v>
      </c>
      <c r="J330" s="32">
        <f>D330*Variables!$C$20</f>
        <v>951.09869222869077</v>
      </c>
      <c r="K330" s="202">
        <f t="shared" si="57"/>
        <v>1137.8472300000001</v>
      </c>
      <c r="L330" s="32">
        <f t="shared" si="62"/>
        <v>0</v>
      </c>
      <c r="S330" s="198">
        <f>$L330*Variables!$C$21/100</f>
        <v>0</v>
      </c>
      <c r="T330" s="198">
        <f>$L330*Variables!$C$22/100</f>
        <v>0</v>
      </c>
      <c r="U330" s="198">
        <f>$L330*Variables!$C$23/100</f>
        <v>0</v>
      </c>
      <c r="V330" s="198">
        <f>$L330*Variables!$C$24/100</f>
        <v>0</v>
      </c>
      <c r="W330" s="22">
        <f>S330*Variables!$E$25*Variables!$C$15+'Cost Calculations'!T330*Variables!$E$26*Variables!$C$15+'Cost Calculations'!U330*Variables!$E$27*Variables!$C$15+V330*Variables!$E$28*Variables!$C$15</f>
        <v>0</v>
      </c>
      <c r="X330" s="20">
        <f>J330*Variables!$E$29*Variables!$C$15</f>
        <v>162580.8104495724</v>
      </c>
      <c r="Z330" s="33">
        <f>D330*(IF(D330&lt;50000,0,IF(D330&gt;Variables!$C$7,Variables!$C$37,IF(D330&gt;Variables!$C$6,Variables!$C$36,IF(D330&gt;Variables!$C$5,Variables!$C$35)))))</f>
        <v>528.38816234927265</v>
      </c>
      <c r="AA330" s="34">
        <f t="shared" si="56"/>
        <v>516</v>
      </c>
      <c r="AB330" s="35">
        <f t="shared" si="63"/>
        <v>12</v>
      </c>
      <c r="AC330" s="22">
        <f>AB330*Variables!$E$41</f>
        <v>4435200.0000000009</v>
      </c>
      <c r="AD330" s="115">
        <f>ROUND(IF(D330&lt;50000,0,(H330/(3.14*Variables!$C$34^2))),0)</f>
        <v>459</v>
      </c>
      <c r="AE330" s="116">
        <f t="shared" si="58"/>
        <v>453</v>
      </c>
      <c r="AF330" s="117">
        <f t="shared" si="64"/>
        <v>6</v>
      </c>
      <c r="AG330" s="107">
        <f>AF330*Variables!$E$42*Variables!$C$15</f>
        <v>4065.2640000000001</v>
      </c>
      <c r="AH330" s="199">
        <f>ROUND((Z330)/Variables!$C$40,0)</f>
        <v>4</v>
      </c>
      <c r="AI330" s="33">
        <f t="shared" si="59"/>
        <v>4</v>
      </c>
      <c r="AJ330" s="199">
        <f t="shared" si="67"/>
        <v>0</v>
      </c>
      <c r="AK330" s="22">
        <f>AJ330*Variables!$E$43*Variables!$C$15</f>
        <v>0</v>
      </c>
      <c r="AL330" s="20">
        <f>Z330*Variables!$E$38*Variables!$C$15</f>
        <v>93671866.611222148</v>
      </c>
      <c r="AN330" s="200">
        <f t="shared" si="60"/>
        <v>0.14000000000000001</v>
      </c>
      <c r="AO330" s="201">
        <f t="shared" si="65"/>
        <v>33.443639984581786</v>
      </c>
      <c r="AP330" s="321">
        <f>VLOOKUP(A330,'Household Information'!H:Q,10,FALSE)</f>
        <v>212.04089360090876</v>
      </c>
      <c r="AQ330" s="122">
        <f>IF(12*(AO330-Variables!$C$3*AP330*F330)*(G330/5)&lt;0,0,12*(AO330-Variables!$C$3*AP330*F330)*(G330/5))</f>
        <v>0</v>
      </c>
    </row>
    <row r="331" spans="1:43" ht="14.25" customHeight="1" x14ac:dyDescent="0.35">
      <c r="A331" s="30">
        <v>34</v>
      </c>
      <c r="B331" s="28" t="s">
        <v>187</v>
      </c>
      <c r="C331" s="28">
        <v>2026</v>
      </c>
      <c r="D331" s="196">
        <f>Population!K35</f>
        <v>611329.12695442047</v>
      </c>
      <c r="E331" s="303" t="str">
        <f t="shared" si="66"/>
        <v>Medium</v>
      </c>
      <c r="F331" s="340">
        <f>VLOOKUP(A331,'Household Information'!$H$2:$M$49,6,FALSE)</f>
        <v>4.3021399999999996</v>
      </c>
      <c r="G331" s="196">
        <f t="shared" si="61"/>
        <v>142099</v>
      </c>
      <c r="H331" s="213">
        <f>Area!M35</f>
        <v>109.7010428598234</v>
      </c>
      <c r="J331" s="32">
        <f>D331*Variables!$C$20</f>
        <v>550.19621425897844</v>
      </c>
      <c r="K331" s="202">
        <f t="shared" si="57"/>
        <v>537.458449017269</v>
      </c>
      <c r="L331" s="32">
        <f t="shared" si="62"/>
        <v>12.73776524170944</v>
      </c>
      <c r="S331" s="198">
        <f>$L331*Variables!$C$21/100</f>
        <v>0.69164336154078399</v>
      </c>
      <c r="T331" s="198">
        <f>$L331*Variables!$C$22/100</f>
        <v>1.2103758826963722</v>
      </c>
      <c r="U331" s="198">
        <f>$L331*Variables!$C$23/100</f>
        <v>1.2680128294914375</v>
      </c>
      <c r="V331" s="198">
        <f>$L331*Variables!$C$24/100</f>
        <v>9.2219114872104537</v>
      </c>
      <c r="W331" s="22">
        <f>S331*Variables!$E$25*Variables!$C$15+'Cost Calculations'!T331*Variables!$E$26*Variables!$C$15+'Cost Calculations'!U331*Variables!$E$27*Variables!$C$15+V331*Variables!$E$28*Variables!$C$15</f>
        <v>8543750.7475840487</v>
      </c>
      <c r="X331" s="20">
        <f>J331*Variables!$E$29*Variables!$C$15</f>
        <v>94050.540865429779</v>
      </c>
      <c r="Z331" s="33">
        <f>D331*(IF(D331&lt;50000,0,IF(D331&gt;Variables!$C$7,Variables!$C$37,IF(D331&gt;Variables!$C$6,Variables!$C$36,IF(D331&gt;Variables!$C$5,Variables!$C$35)))))</f>
        <v>305.66456347721027</v>
      </c>
      <c r="AA331" s="34">
        <f t="shared" si="56"/>
        <v>1061</v>
      </c>
      <c r="AB331" s="35">
        <f t="shared" si="63"/>
        <v>0</v>
      </c>
      <c r="AC331" s="22">
        <f>AB331*Variables!$E$41</f>
        <v>0</v>
      </c>
      <c r="AD331" s="115">
        <f>ROUND(IF(D331&lt;50000,0,(H331/(3.14*Variables!$C$34^2))),0)</f>
        <v>140</v>
      </c>
      <c r="AE331" s="116">
        <f t="shared" si="58"/>
        <v>138</v>
      </c>
      <c r="AF331" s="117">
        <f t="shared" si="64"/>
        <v>2</v>
      </c>
      <c r="AG331" s="107">
        <f>AF331*Variables!$E$42*Variables!$C$15</f>
        <v>1355.088</v>
      </c>
      <c r="AH331" s="199">
        <f>ROUND((Z331)/Variables!$C$40,0)</f>
        <v>2</v>
      </c>
      <c r="AI331" s="33">
        <f t="shared" si="59"/>
        <v>2</v>
      </c>
      <c r="AJ331" s="199">
        <f t="shared" si="67"/>
        <v>0</v>
      </c>
      <c r="AK331" s="22">
        <f>AJ331*Variables!$E$43*Variables!$C$15</f>
        <v>0</v>
      </c>
      <c r="AL331" s="20">
        <f>Z331*Variables!$E$38*Variables!$C$15</f>
        <v>54187758.65551731</v>
      </c>
      <c r="AN331" s="200">
        <f t="shared" si="60"/>
        <v>0.21</v>
      </c>
      <c r="AO331" s="201">
        <f t="shared" si="65"/>
        <v>54.206963999999992</v>
      </c>
      <c r="AP331" s="321">
        <f>VLOOKUP(A331,'Household Information'!H:Q,10,FALSE)</f>
        <v>71.56380159030671</v>
      </c>
      <c r="AQ331" s="122">
        <f>IF(12*(AO331-Variables!$C$3*AP331*F331)*(G331/5)&lt;0,0,12*(AO331-Variables!$C$3*AP331*F331)*(G331/5))</f>
        <v>2736942.6907178867</v>
      </c>
    </row>
    <row r="332" spans="1:43" ht="14.25" customHeight="1" x14ac:dyDescent="0.35">
      <c r="A332" s="30">
        <v>35</v>
      </c>
      <c r="B332" s="28" t="s">
        <v>188</v>
      </c>
      <c r="C332" s="28">
        <v>2026</v>
      </c>
      <c r="D332" s="196">
        <f>Population!K36</f>
        <v>260441.60591347585</v>
      </c>
      <c r="E332" s="303" t="str">
        <f t="shared" si="66"/>
        <v>Medium</v>
      </c>
      <c r="F332" s="340">
        <f>VLOOKUP(A332,'Household Information'!$H$2:$M$49,6,FALSE)</f>
        <v>5.0911666666666671</v>
      </c>
      <c r="G332" s="196">
        <f t="shared" si="61"/>
        <v>51156</v>
      </c>
      <c r="H332" s="213">
        <f>Area!M36</f>
        <v>37.305966481436329</v>
      </c>
      <c r="J332" s="32">
        <f>D332*Variables!$C$20</f>
        <v>234.39744532212825</v>
      </c>
      <c r="K332" s="202">
        <f t="shared" si="57"/>
        <v>228.97083649714588</v>
      </c>
      <c r="L332" s="32">
        <f t="shared" si="62"/>
        <v>5.4266088249823667</v>
      </c>
      <c r="S332" s="198">
        <f>$L332*Variables!$C$21/100</f>
        <v>0.29465749275922348</v>
      </c>
      <c r="T332" s="198">
        <f>$L332*Variables!$C$22/100</f>
        <v>0.51565061232864118</v>
      </c>
      <c r="U332" s="198">
        <f>$L332*Variables!$C$23/100</f>
        <v>0.54020540339190981</v>
      </c>
      <c r="V332" s="198">
        <f>$L332*Variables!$C$24/100</f>
        <v>3.9287665701229804</v>
      </c>
      <c r="W332" s="22">
        <f>S332*Variables!$E$25*Variables!$C$15+'Cost Calculations'!T332*Variables!$E$26*Variables!$C$15+'Cost Calculations'!U332*Variables!$E$27*Variables!$C$15+V332*Variables!$E$28*Variables!$C$15</f>
        <v>3639853.0138923475</v>
      </c>
      <c r="X332" s="20">
        <f>J332*Variables!$E$29*Variables!$C$15</f>
        <v>40067.899303364604</v>
      </c>
      <c r="Z332" s="33">
        <f>D332*(IF(D332&lt;50000,0,IF(D332&gt;Variables!$C$7,Variables!$C$37,IF(D332&gt;Variables!$C$6,Variables!$C$36,IF(D332&gt;Variables!$C$5,Variables!$C$35)))))</f>
        <v>130.22080295673794</v>
      </c>
      <c r="AA332" s="34">
        <f t="shared" si="56"/>
        <v>127</v>
      </c>
      <c r="AB332" s="35">
        <f t="shared" si="63"/>
        <v>3</v>
      </c>
      <c r="AC332" s="22">
        <f>AB332*Variables!$E$41</f>
        <v>1108800.0000000002</v>
      </c>
      <c r="AD332" s="115">
        <f>ROUND(IF(D332&lt;50000,0,(H332/(3.14*Variables!$C$34^2))),0)</f>
        <v>48</v>
      </c>
      <c r="AE332" s="116">
        <f t="shared" si="58"/>
        <v>47</v>
      </c>
      <c r="AF332" s="117">
        <f t="shared" si="64"/>
        <v>1</v>
      </c>
      <c r="AG332" s="107">
        <f>AF332*Variables!$E$42*Variables!$C$15</f>
        <v>677.54399999999998</v>
      </c>
      <c r="AH332" s="199">
        <f>ROUND((Z332)/Variables!$C$40,0)</f>
        <v>1</v>
      </c>
      <c r="AI332" s="33">
        <f t="shared" si="59"/>
        <v>1</v>
      </c>
      <c r="AJ332" s="199">
        <f t="shared" si="67"/>
        <v>0</v>
      </c>
      <c r="AK332" s="22">
        <f>AJ332*Variables!$E$43*Variables!$C$15</f>
        <v>0</v>
      </c>
      <c r="AL332" s="20">
        <f>Z332*Variables!$E$38*Variables!$C$15</f>
        <v>23085350.039516438</v>
      </c>
      <c r="AN332" s="200">
        <f t="shared" si="60"/>
        <v>0.25221875000000005</v>
      </c>
      <c r="AO332" s="201">
        <f t="shared" si="65"/>
        <v>77.045261562500016</v>
      </c>
      <c r="AP332" s="321">
        <f>VLOOKUP(A332,'Household Information'!H:Q,10,FALSE)</f>
        <v>112.55837435314906</v>
      </c>
      <c r="AQ332" s="122">
        <f>IF(12*(AO332-Variables!$C$3*AP332*F332)*(G332/5)&lt;0,0,12*(AO332-Variables!$C$3*AP332*F332)*(G332/5))</f>
        <v>0</v>
      </c>
    </row>
    <row r="333" spans="1:43" ht="14.25" customHeight="1" x14ac:dyDescent="0.35">
      <c r="A333" s="30">
        <v>36</v>
      </c>
      <c r="B333" s="28" t="s">
        <v>189</v>
      </c>
      <c r="C333" s="28">
        <v>2026</v>
      </c>
      <c r="D333" s="196">
        <f>Population!K37</f>
        <v>1669826.2686713375</v>
      </c>
      <c r="E333" s="303" t="str">
        <f t="shared" si="66"/>
        <v>Large</v>
      </c>
      <c r="F333" s="340">
        <f>VLOOKUP(A333,'Household Information'!$H$2:$M$49,6,FALSE)</f>
        <v>4.8963166666666664</v>
      </c>
      <c r="G333" s="196">
        <f t="shared" si="61"/>
        <v>341037</v>
      </c>
      <c r="H333" s="213">
        <f>Area!M37</f>
        <v>69.865907641269843</v>
      </c>
      <c r="J333" s="32">
        <f>D333*Variables!$C$20</f>
        <v>1502.8436418042038</v>
      </c>
      <c r="K333" s="202">
        <f t="shared" si="57"/>
        <v>1468.0508369680606</v>
      </c>
      <c r="L333" s="32">
        <f t="shared" si="62"/>
        <v>34.792804836143205</v>
      </c>
      <c r="S333" s="198">
        <f>$L333*Variables!$C$21/100</f>
        <v>1.8892020725507621</v>
      </c>
      <c r="T333" s="198">
        <f>$L333*Variables!$C$22/100</f>
        <v>3.306103626963834</v>
      </c>
      <c r="U333" s="198">
        <f>$L333*Variables!$C$23/100</f>
        <v>3.4635371330097309</v>
      </c>
      <c r="V333" s="198">
        <f>$L333*Variables!$C$24/100</f>
        <v>25.189360967343497</v>
      </c>
      <c r="W333" s="22">
        <f>S333*Variables!$E$25*Variables!$C$15+'Cost Calculations'!T333*Variables!$E$26*Variables!$C$15+'Cost Calculations'!U333*Variables!$E$27*Variables!$C$15+V333*Variables!$E$28*Variables!$C$15</f>
        <v>23336986.252185889</v>
      </c>
      <c r="X333" s="20">
        <f>J333*Variables!$E$29*Variables!$C$15</f>
        <v>256896.0921300106</v>
      </c>
      <c r="Z333" s="33">
        <f>D333*(IF(D333&lt;50000,0,IF(D333&gt;Variables!$C$7,Variables!$C$37,IF(D333&gt;Variables!$C$6,Variables!$C$36,IF(D333&gt;Variables!$C$5,Variables!$C$35)))))</f>
        <v>834.91313433566881</v>
      </c>
      <c r="AA333" s="34">
        <f t="shared" si="56"/>
        <v>816</v>
      </c>
      <c r="AB333" s="35">
        <f t="shared" si="63"/>
        <v>19</v>
      </c>
      <c r="AC333" s="22">
        <f>AB333*Variables!$E$41</f>
        <v>7022400.0000000009</v>
      </c>
      <c r="AD333" s="115">
        <f>ROUND(IF(D333&lt;50000,0,(H333/(3.14*Variables!$C$34^2))),0)</f>
        <v>89</v>
      </c>
      <c r="AE333" s="116">
        <f t="shared" si="58"/>
        <v>88</v>
      </c>
      <c r="AF333" s="117">
        <f t="shared" si="64"/>
        <v>1</v>
      </c>
      <c r="AG333" s="107">
        <f>AF333*Variables!$E$42*Variables!$C$15</f>
        <v>677.54399999999998</v>
      </c>
      <c r="AH333" s="199">
        <f>ROUND((Z333)/Variables!$C$40,0)</f>
        <v>7</v>
      </c>
      <c r="AI333" s="33">
        <f t="shared" si="59"/>
        <v>7</v>
      </c>
      <c r="AJ333" s="199">
        <f t="shared" si="67"/>
        <v>0</v>
      </c>
      <c r="AK333" s="22">
        <f>AJ333*Variables!$E$43*Variables!$C$15</f>
        <v>0</v>
      </c>
      <c r="AL333" s="20">
        <f>Z333*Variables!$E$38*Variables!$C$15</f>
        <v>148012157.20603439</v>
      </c>
      <c r="AN333" s="200">
        <f t="shared" si="60"/>
        <v>0.28000000000000003</v>
      </c>
      <c r="AO333" s="201">
        <f t="shared" si="65"/>
        <v>82.258120000000005</v>
      </c>
      <c r="AP333" s="321">
        <f>VLOOKUP(A333,'Household Information'!H:Q,10,FALSE)</f>
        <v>50.200681560015155</v>
      </c>
      <c r="AQ333" s="122">
        <f>IF(12*(AO333-Variables!$C$3*AP333*F333)*(G333/5)&lt;0,0,12*(AO333-Variables!$C$3*AP333*F333)*(G333/5))</f>
        <v>37149860.160589501</v>
      </c>
    </row>
    <row r="334" spans="1:43" ht="14.25" customHeight="1" x14ac:dyDescent="0.35">
      <c r="A334" s="30">
        <v>37</v>
      </c>
      <c r="B334" s="28" t="s">
        <v>190</v>
      </c>
      <c r="C334" s="28">
        <v>2026</v>
      </c>
      <c r="D334" s="196">
        <f>Population!K38</f>
        <v>278594.73341942107</v>
      </c>
      <c r="E334" s="303" t="str">
        <f t="shared" si="66"/>
        <v>Medium</v>
      </c>
      <c r="F334" s="340">
        <f>VLOOKUP(A334,'Household Information'!$H$2:$M$49,6,FALSE)</f>
        <v>5.027102564102564</v>
      </c>
      <c r="G334" s="196">
        <f t="shared" si="61"/>
        <v>55419</v>
      </c>
      <c r="H334" s="213">
        <f>Area!M38</f>
        <v>29.359133384799016</v>
      </c>
      <c r="J334" s="32">
        <f>D334*Variables!$C$20</f>
        <v>250.73526007747896</v>
      </c>
      <c r="K334" s="202">
        <f t="shared" si="57"/>
        <v>244.93040937528468</v>
      </c>
      <c r="L334" s="32">
        <f t="shared" si="62"/>
        <v>5.8048507021942726</v>
      </c>
      <c r="S334" s="198">
        <f>$L334*Variables!$C$21/100</f>
        <v>0.31519551324131795</v>
      </c>
      <c r="T334" s="198">
        <f>$L334*Variables!$C$22/100</f>
        <v>0.5515921481723064</v>
      </c>
      <c r="U334" s="198">
        <f>$L334*Variables!$C$23/100</f>
        <v>0.57785844094241623</v>
      </c>
      <c r="V334" s="198">
        <f>$L334*Variables!$C$24/100</f>
        <v>4.2026068432175734</v>
      </c>
      <c r="W334" s="22">
        <f>S334*Variables!$E$25*Variables!$C$15+'Cost Calculations'!T334*Variables!$E$26*Variables!$C$15+'Cost Calculations'!U334*Variables!$E$27*Variables!$C$15+V334*Variables!$E$28*Variables!$C$15</f>
        <v>3893555.6265464909</v>
      </c>
      <c r="X334" s="20">
        <f>J334*Variables!$E$29*Variables!$C$15</f>
        <v>42860.685357644252</v>
      </c>
      <c r="Z334" s="33">
        <f>D334*(IF(D334&lt;50000,0,IF(D334&gt;Variables!$C$7,Variables!$C$37,IF(D334&gt;Variables!$C$6,Variables!$C$36,IF(D334&gt;Variables!$C$5,Variables!$C$35)))))</f>
        <v>139.29736670971053</v>
      </c>
      <c r="AA334" s="34">
        <f t="shared" si="56"/>
        <v>136</v>
      </c>
      <c r="AB334" s="35">
        <f t="shared" si="63"/>
        <v>3</v>
      </c>
      <c r="AC334" s="22">
        <f>AB334*Variables!$E$41</f>
        <v>1108800.0000000002</v>
      </c>
      <c r="AD334" s="115">
        <f>ROUND(IF(D334&lt;50000,0,(H334/(3.14*Variables!$C$34^2))),0)</f>
        <v>37</v>
      </c>
      <c r="AE334" s="116">
        <f t="shared" si="58"/>
        <v>37</v>
      </c>
      <c r="AF334" s="117">
        <f t="shared" si="64"/>
        <v>0</v>
      </c>
      <c r="AG334" s="107">
        <f>AF334*Variables!$E$42*Variables!$C$15</f>
        <v>0</v>
      </c>
      <c r="AH334" s="199">
        <f>ROUND((Z334)/Variables!$C$40,0)</f>
        <v>1</v>
      </c>
      <c r="AI334" s="33">
        <f t="shared" si="59"/>
        <v>1</v>
      </c>
      <c r="AJ334" s="199">
        <f t="shared" si="67"/>
        <v>0</v>
      </c>
      <c r="AK334" s="22">
        <f>AJ334*Variables!$E$43*Variables!$C$15</f>
        <v>0</v>
      </c>
      <c r="AL334" s="20">
        <f>Z334*Variables!$E$38*Variables!$C$15</f>
        <v>24694429.745951448</v>
      </c>
      <c r="AN334" s="200">
        <f t="shared" si="60"/>
        <v>0.14000000000000001</v>
      </c>
      <c r="AO334" s="201">
        <f t="shared" si="65"/>
        <v>42.22766153846154</v>
      </c>
      <c r="AP334" s="321">
        <f>VLOOKUP(A334,'Household Information'!H:Q,10,FALSE)</f>
        <v>74.965290925154619</v>
      </c>
      <c r="AQ334" s="122">
        <f>IF(12*(AO334-Variables!$C$3*AP334*F334)*(G334/5)&lt;0,0,12*(AO334-Variables!$C$3*AP334*F334)*(G334/5))</f>
        <v>0</v>
      </c>
    </row>
    <row r="335" spans="1:43" ht="14.25" customHeight="1" x14ac:dyDescent="0.35">
      <c r="A335" s="30">
        <v>38</v>
      </c>
      <c r="B335" s="28" t="s">
        <v>191</v>
      </c>
      <c r="C335" s="28">
        <v>2026</v>
      </c>
      <c r="D335" s="196">
        <f>Population!K39</f>
        <v>1225170.5614963565</v>
      </c>
      <c r="E335" s="303" t="str">
        <f t="shared" si="66"/>
        <v>Large</v>
      </c>
      <c r="F335" s="340">
        <f>VLOOKUP(A335,'Household Information'!$H$2:$M$49,6,FALSE)</f>
        <v>4.5378736842105267</v>
      </c>
      <c r="G335" s="196">
        <f t="shared" si="61"/>
        <v>269988</v>
      </c>
      <c r="H335" s="213">
        <f>Area!M39</f>
        <v>118.0987696305825</v>
      </c>
      <c r="J335" s="32">
        <f>D335*Variables!$C$20</f>
        <v>1102.6535053467207</v>
      </c>
      <c r="K335" s="202">
        <f t="shared" si="57"/>
        <v>1077.1256279639745</v>
      </c>
      <c r="L335" s="32">
        <f t="shared" si="62"/>
        <v>25.527877382746283</v>
      </c>
      <c r="S335" s="198">
        <f>$L335*Variables!$C$21/100</f>
        <v>1.3861290886559068</v>
      </c>
      <c r="T335" s="198">
        <f>$L335*Variables!$C$22/100</f>
        <v>2.425725905147837</v>
      </c>
      <c r="U335" s="198">
        <f>$L335*Variables!$C$23/100</f>
        <v>2.5412366625358289</v>
      </c>
      <c r="V335" s="198">
        <f>$L335*Variables!$C$24/100</f>
        <v>18.481721182078758</v>
      </c>
      <c r="W335" s="22">
        <f>S335*Variables!$E$25*Variables!$C$15+'Cost Calculations'!T335*Variables!$E$26*Variables!$C$15+'Cost Calculations'!U335*Variables!$E$27*Variables!$C$15+V335*Variables!$E$28*Variables!$C$15</f>
        <v>17122612.745201014</v>
      </c>
      <c r="X335" s="20">
        <f>J335*Variables!$E$29*Variables!$C$15</f>
        <v>188487.59020396843</v>
      </c>
      <c r="Z335" s="33">
        <f>D335*(IF(D335&lt;50000,0,IF(D335&gt;Variables!$C$7,Variables!$C$37,IF(D335&gt;Variables!$C$6,Variables!$C$36,IF(D335&gt;Variables!$C$5,Variables!$C$35)))))</f>
        <v>612.58528074817832</v>
      </c>
      <c r="AA335" s="34">
        <f t="shared" si="56"/>
        <v>598</v>
      </c>
      <c r="AB335" s="35">
        <f t="shared" si="63"/>
        <v>15</v>
      </c>
      <c r="AC335" s="22">
        <f>AB335*Variables!$E$41</f>
        <v>5544000.0000000009</v>
      </c>
      <c r="AD335" s="115">
        <f>ROUND(IF(D335&lt;50000,0,(H335/(3.14*Variables!$C$34^2))),0)</f>
        <v>150</v>
      </c>
      <c r="AE335" s="116">
        <f t="shared" si="58"/>
        <v>148</v>
      </c>
      <c r="AF335" s="117">
        <f t="shared" si="64"/>
        <v>2</v>
      </c>
      <c r="AG335" s="107">
        <f>AF335*Variables!$E$42*Variables!$C$15</f>
        <v>1355.088</v>
      </c>
      <c r="AH335" s="199">
        <f>ROUND((Z335)/Variables!$C$40,0)</f>
        <v>5</v>
      </c>
      <c r="AI335" s="33">
        <f t="shared" si="59"/>
        <v>5</v>
      </c>
      <c r="AJ335" s="199">
        <f t="shared" si="67"/>
        <v>0</v>
      </c>
      <c r="AK335" s="22">
        <f>AJ335*Variables!$E$43*Variables!$C$15</f>
        <v>0</v>
      </c>
      <c r="AL335" s="20">
        <f>Z335*Variables!$E$38*Variables!$C$15</f>
        <v>108598206.38508371</v>
      </c>
      <c r="AN335" s="200">
        <f t="shared" si="60"/>
        <v>0.21</v>
      </c>
      <c r="AO335" s="201">
        <f t="shared" si="65"/>
        <v>57.177208421052633</v>
      </c>
      <c r="AP335" s="321">
        <f>VLOOKUP(A335,'Household Information'!H:Q,10,FALSE)</f>
        <v>100.71942446043167</v>
      </c>
      <c r="AQ335" s="122">
        <f>IF(12*(AO335-Variables!$C$3*AP335*F335)*(G335/5)&lt;0,0,12*(AO335-Variables!$C$3*AP335*F335)*(G335/5))</f>
        <v>0</v>
      </c>
    </row>
    <row r="336" spans="1:43" ht="14.25" customHeight="1" x14ac:dyDescent="0.35">
      <c r="A336" s="30">
        <v>39</v>
      </c>
      <c r="B336" s="28" t="s">
        <v>192</v>
      </c>
      <c r="C336" s="28">
        <v>2026</v>
      </c>
      <c r="D336" s="196">
        <f>Population!K40</f>
        <v>100861.76049878611</v>
      </c>
      <c r="E336" s="303" t="str">
        <f t="shared" si="66"/>
        <v>Medium</v>
      </c>
      <c r="F336" s="340">
        <f>VLOOKUP(A336,'Household Information'!$H$2:$M$49,6,FALSE)</f>
        <v>3.6693548387096775</v>
      </c>
      <c r="G336" s="196">
        <f t="shared" si="61"/>
        <v>27488</v>
      </c>
      <c r="H336" s="213">
        <f>Area!M40</f>
        <v>28.145033883923865</v>
      </c>
      <c r="J336" s="32">
        <f>D336*Variables!$C$20</f>
        <v>90.775584448907495</v>
      </c>
      <c r="K336" s="202">
        <f t="shared" si="57"/>
        <v>88.67401040237128</v>
      </c>
      <c r="L336" s="32">
        <f t="shared" si="62"/>
        <v>2.1015740465362143</v>
      </c>
      <c r="S336" s="198">
        <f>$L336*Variables!$C$21/100</f>
        <v>0.11411261791146864</v>
      </c>
      <c r="T336" s="198">
        <f>$L336*Variables!$C$22/100</f>
        <v>0.19969708134507014</v>
      </c>
      <c r="U336" s="198">
        <f>$L336*Variables!$C$23/100</f>
        <v>0.20920646617102587</v>
      </c>
      <c r="V336" s="198">
        <f>$L336*Variables!$C$24/100</f>
        <v>1.5215015721529153</v>
      </c>
      <c r="W336" s="22">
        <f>S336*Variables!$E$25*Variables!$C$15+'Cost Calculations'!T336*Variables!$E$26*Variables!$C$15+'Cost Calculations'!U336*Variables!$E$27*Variables!$C$15+V336*Variables!$E$28*Variables!$C$15</f>
        <v>1409613.420445435</v>
      </c>
      <c r="X336" s="20">
        <f>J336*Variables!$E$29*Variables!$C$15</f>
        <v>15517.178405696248</v>
      </c>
      <c r="Z336" s="33">
        <f>D336*(IF(D336&lt;50000,0,IF(D336&gt;Variables!$C$7,Variables!$C$37,IF(D336&gt;Variables!$C$6,Variables!$C$36,IF(D336&gt;Variables!$C$5,Variables!$C$35)))))</f>
        <v>50.430880249393056</v>
      </c>
      <c r="AA336" s="34">
        <f t="shared" si="56"/>
        <v>49</v>
      </c>
      <c r="AB336" s="35">
        <f t="shared" si="63"/>
        <v>1</v>
      </c>
      <c r="AC336" s="22">
        <f>AB336*Variables!$E$41</f>
        <v>369600.00000000006</v>
      </c>
      <c r="AD336" s="115">
        <f>ROUND(IF(D336&lt;50000,0,(H336/(3.14*Variables!$C$34^2))),0)</f>
        <v>36</v>
      </c>
      <c r="AE336" s="116">
        <f t="shared" si="58"/>
        <v>35</v>
      </c>
      <c r="AF336" s="117">
        <f t="shared" si="64"/>
        <v>1</v>
      </c>
      <c r="AG336" s="107">
        <f>AF336*Variables!$E$42*Variables!$C$15</f>
        <v>677.54399999999998</v>
      </c>
      <c r="AH336" s="199">
        <f>ROUND((Z336)/Variables!$C$40,0)</f>
        <v>0</v>
      </c>
      <c r="AI336" s="33">
        <f t="shared" si="59"/>
        <v>0</v>
      </c>
      <c r="AJ336" s="199">
        <f t="shared" si="67"/>
        <v>0</v>
      </c>
      <c r="AK336" s="22">
        <f>AJ336*Variables!$E$43*Variables!$C$15</f>
        <v>0</v>
      </c>
      <c r="AL336" s="20">
        <f>Z336*Variables!$E$38*Variables!$C$15</f>
        <v>8940311.3552060574</v>
      </c>
      <c r="AN336" s="200">
        <f t="shared" si="60"/>
        <v>0.25221875000000005</v>
      </c>
      <c r="AO336" s="201">
        <f t="shared" si="65"/>
        <v>55.5288054435484</v>
      </c>
      <c r="AP336" s="321">
        <f>VLOOKUP(A336,'Household Information'!H:Q,10,FALSE)</f>
        <v>69.973494888299896</v>
      </c>
      <c r="AQ336" s="122">
        <f>IF(12*(AO336-Variables!$C$3*AP336*F336)*(G336/5)&lt;0,0,12*(AO336-Variables!$C$3*AP336*F336)*(G336/5))</f>
        <v>1122511.0601387552</v>
      </c>
    </row>
    <row r="337" spans="1:43" ht="14.25" customHeight="1" x14ac:dyDescent="0.35">
      <c r="A337" s="30">
        <v>40</v>
      </c>
      <c r="B337" s="28" t="s">
        <v>193</v>
      </c>
      <c r="C337" s="28">
        <v>2026</v>
      </c>
      <c r="D337" s="196">
        <f>Population!K41</f>
        <v>180090.39276661252</v>
      </c>
      <c r="E337" s="303" t="str">
        <f t="shared" si="66"/>
        <v>Medium</v>
      </c>
      <c r="F337" s="340">
        <f>VLOOKUP(A337,'Household Information'!$H$2:$M$49,6,FALSE)</f>
        <v>4.2245333333333335</v>
      </c>
      <c r="G337" s="196">
        <f t="shared" si="61"/>
        <v>42630</v>
      </c>
      <c r="H337" s="213">
        <f>Area!M41</f>
        <v>39.292674755595677</v>
      </c>
      <c r="J337" s="32">
        <f>D337*Variables!$C$20</f>
        <v>162.08135348995125</v>
      </c>
      <c r="K337" s="202">
        <f t="shared" si="57"/>
        <v>172.36096000000003</v>
      </c>
      <c r="L337" s="32">
        <f t="shared" si="62"/>
        <v>0</v>
      </c>
      <c r="S337" s="198">
        <f>$L337*Variables!$C$21/100</f>
        <v>0</v>
      </c>
      <c r="T337" s="198">
        <f>$L337*Variables!$C$22/100</f>
        <v>0</v>
      </c>
      <c r="U337" s="198">
        <f>$L337*Variables!$C$23/100</f>
        <v>0</v>
      </c>
      <c r="V337" s="198">
        <f>$L337*Variables!$C$24/100</f>
        <v>0</v>
      </c>
      <c r="W337" s="22">
        <f>S337*Variables!$E$25*Variables!$C$15+'Cost Calculations'!T337*Variables!$E$26*Variables!$C$15+'Cost Calculations'!U337*Variables!$E$27*Variables!$C$15+V337*Variables!$E$28*Variables!$C$15</f>
        <v>0</v>
      </c>
      <c r="X337" s="20">
        <f>J337*Variables!$E$29*Variables!$C$15</f>
        <v>27706.186565572265</v>
      </c>
      <c r="Z337" s="33">
        <f>D337*(IF(D337&lt;50000,0,IF(D337&gt;Variables!$C$7,Variables!$C$37,IF(D337&gt;Variables!$C$6,Variables!$C$36,IF(D337&gt;Variables!$C$5,Variables!$C$35)))))</f>
        <v>90.045196383306262</v>
      </c>
      <c r="AA337" s="34">
        <f t="shared" si="56"/>
        <v>88</v>
      </c>
      <c r="AB337" s="35">
        <f t="shared" si="63"/>
        <v>2</v>
      </c>
      <c r="AC337" s="22">
        <f>AB337*Variables!$E$41</f>
        <v>739200.00000000012</v>
      </c>
      <c r="AD337" s="115">
        <f>ROUND(IF(D337&lt;50000,0,(H337/(3.14*Variables!$C$34^2))),0)</f>
        <v>50</v>
      </c>
      <c r="AE337" s="116">
        <f t="shared" si="58"/>
        <v>49</v>
      </c>
      <c r="AF337" s="117">
        <f t="shared" si="64"/>
        <v>1</v>
      </c>
      <c r="AG337" s="107">
        <f>AF337*Variables!$E$42*Variables!$C$15</f>
        <v>677.54399999999998</v>
      </c>
      <c r="AH337" s="199">
        <f>ROUND((Z337)/Variables!$C$40,0)</f>
        <v>1</v>
      </c>
      <c r="AI337" s="33">
        <f t="shared" si="59"/>
        <v>1</v>
      </c>
      <c r="AJ337" s="199">
        <f t="shared" si="67"/>
        <v>0</v>
      </c>
      <c r="AK337" s="22">
        <f>AJ337*Variables!$E$43*Variables!$C$15</f>
        <v>0</v>
      </c>
      <c r="AL337" s="20">
        <f>Z337*Variables!$E$38*Variables!$C$15</f>
        <v>15963078.330704352</v>
      </c>
      <c r="AN337" s="200">
        <f t="shared" si="60"/>
        <v>0.28000000000000003</v>
      </c>
      <c r="AO337" s="201">
        <f t="shared" si="65"/>
        <v>70.972160000000002</v>
      </c>
      <c r="AP337" s="321">
        <f>VLOOKUP(A337,'Household Information'!H:Q,10,FALSE)</f>
        <v>73.754890824182766</v>
      </c>
      <c r="AQ337" s="122">
        <f>IF(12*(AO337-Variables!$C$3*AP337*F337)*(G337/5)&lt;0,0,12*(AO337-Variables!$C$3*AP337*F337)*(G337/5))</f>
        <v>2479547.7699823999</v>
      </c>
    </row>
    <row r="338" spans="1:43" ht="14.25" customHeight="1" x14ac:dyDescent="0.35">
      <c r="A338" s="30">
        <v>41</v>
      </c>
      <c r="B338" s="28" t="s">
        <v>194</v>
      </c>
      <c r="C338" s="28">
        <v>2026</v>
      </c>
      <c r="D338" s="196">
        <f>Population!K42</f>
        <v>86680.295723104427</v>
      </c>
      <c r="E338" s="303" t="str">
        <f t="shared" si="66"/>
        <v>Small</v>
      </c>
      <c r="F338" s="340">
        <f>VLOOKUP(A338,'Household Information'!$H$2:$M$49,6,FALSE)</f>
        <v>6.1423824388279122</v>
      </c>
      <c r="G338" s="196">
        <f t="shared" si="61"/>
        <v>14112</v>
      </c>
      <c r="H338" s="213">
        <f>Area!M42</f>
        <v>15.672920829479173</v>
      </c>
      <c r="J338" s="32">
        <f>D338*Variables!$C$20</f>
        <v>78.012266150793977</v>
      </c>
      <c r="K338" s="202">
        <f t="shared" si="57"/>
        <v>76.206179692091411</v>
      </c>
      <c r="L338" s="32">
        <f t="shared" si="62"/>
        <v>1.8060864587025662</v>
      </c>
      <c r="S338" s="198">
        <f>$L338*Variables!$C$21/100</f>
        <v>9.8068043006474176E-2</v>
      </c>
      <c r="T338" s="198">
        <f>$L338*Variables!$C$22/100</f>
        <v>0.17161907526132983</v>
      </c>
      <c r="U338" s="198">
        <f>$L338*Variables!$C$23/100</f>
        <v>0.17979141217853603</v>
      </c>
      <c r="V338" s="198">
        <f>$L338*Variables!$C$24/100</f>
        <v>1.3075739067529892</v>
      </c>
      <c r="W338" s="22">
        <f>S338*Variables!$E$25*Variables!$C$15+'Cost Calculations'!T338*Variables!$E$26*Variables!$C$15+'Cost Calculations'!U338*Variables!$E$27*Variables!$C$15+V338*Variables!$E$28*Variables!$C$15</f>
        <v>1211417.5633582831</v>
      </c>
      <c r="X338" s="20">
        <f>J338*Variables!$E$29*Variables!$C$15</f>
        <v>13335.416775816724</v>
      </c>
      <c r="Z338" s="33">
        <f>D338*(IF(D338&lt;50000,0,IF(D338&gt;Variables!$C$7,Variables!$C$37,IF(D338&gt;Variables!$C$6,Variables!$C$36,IF(D338&gt;Variables!$C$5,Variables!$C$35)))))</f>
        <v>43.340147861552218</v>
      </c>
      <c r="AA338" s="34">
        <f t="shared" si="56"/>
        <v>42</v>
      </c>
      <c r="AB338" s="35">
        <f t="shared" si="63"/>
        <v>1</v>
      </c>
      <c r="AC338" s="22">
        <f>AB338*Variables!$E$41</f>
        <v>369600.00000000006</v>
      </c>
      <c r="AD338" s="115">
        <f>ROUND(IF(D338&lt;50000,0,(H338/(3.14*Variables!$C$34^2))),0)</f>
        <v>20</v>
      </c>
      <c r="AE338" s="116">
        <f t="shared" si="58"/>
        <v>20</v>
      </c>
      <c r="AF338" s="117">
        <f t="shared" si="64"/>
        <v>0</v>
      </c>
      <c r="AG338" s="107">
        <f>AF338*Variables!$E$42*Variables!$C$15</f>
        <v>0</v>
      </c>
      <c r="AH338" s="199">
        <f>ROUND((Z338)/Variables!$C$40,0)</f>
        <v>0</v>
      </c>
      <c r="AI338" s="33">
        <f t="shared" si="59"/>
        <v>0</v>
      </c>
      <c r="AJ338" s="199">
        <f t="shared" si="67"/>
        <v>0</v>
      </c>
      <c r="AK338" s="22">
        <f>AJ338*Variables!$E$43*Variables!$C$15</f>
        <v>0</v>
      </c>
      <c r="AL338" s="20">
        <f>Z338*Variables!$E$38*Variables!$C$15</f>
        <v>7683276.8761280561</v>
      </c>
      <c r="AN338" s="200">
        <f t="shared" si="60"/>
        <v>0.25221875000000005</v>
      </c>
      <c r="AO338" s="201">
        <f t="shared" si="65"/>
        <v>92.953441244587665</v>
      </c>
      <c r="AP338" s="321">
        <f>VLOOKUP(A338,'Household Information'!H:Q,10,FALSE)</f>
        <v>110.04922377887165</v>
      </c>
      <c r="AQ338" s="122">
        <f>IF(12*(AO338-Variables!$C$3*AP338*F338)*(G338/5)&lt;0,0,12*(AO338-Variables!$C$3*AP338*F338)*(G338/5))</f>
        <v>0</v>
      </c>
    </row>
    <row r="339" spans="1:43" ht="14.25" customHeight="1" x14ac:dyDescent="0.35">
      <c r="A339" s="30">
        <v>42</v>
      </c>
      <c r="B339" s="28" t="s">
        <v>195</v>
      </c>
      <c r="C339" s="28">
        <v>2026</v>
      </c>
      <c r="D339" s="196">
        <f>Population!K43</f>
        <v>107341.46785120179</v>
      </c>
      <c r="E339" s="303" t="str">
        <f t="shared" si="66"/>
        <v>Medium</v>
      </c>
      <c r="F339" s="340">
        <f>VLOOKUP(A339,'Household Information'!$H$2:$M$49,6,FALSE)</f>
        <v>4.2419137466307282</v>
      </c>
      <c r="G339" s="196">
        <f t="shared" si="61"/>
        <v>25305</v>
      </c>
      <c r="H339" s="213">
        <f>Area!M43</f>
        <v>16.555902284661098</v>
      </c>
      <c r="J339" s="32">
        <f>D339*Variables!$C$20</f>
        <v>96.60732106608161</v>
      </c>
      <c r="K339" s="202">
        <f t="shared" si="57"/>
        <v>110.2884</v>
      </c>
      <c r="L339" s="32">
        <f t="shared" si="62"/>
        <v>0</v>
      </c>
      <c r="S339" s="198">
        <f>$L339*Variables!$C$21/100</f>
        <v>0</v>
      </c>
      <c r="T339" s="198">
        <f>$L339*Variables!$C$22/100</f>
        <v>0</v>
      </c>
      <c r="U339" s="198">
        <f>$L339*Variables!$C$23/100</f>
        <v>0</v>
      </c>
      <c r="V339" s="198">
        <f>$L339*Variables!$C$24/100</f>
        <v>0</v>
      </c>
      <c r="W339" s="22">
        <f>S339*Variables!$E$25*Variables!$C$15+'Cost Calculations'!T339*Variables!$E$26*Variables!$C$15+'Cost Calculations'!U339*Variables!$E$27*Variables!$C$15+V339*Variables!$E$28*Variables!$C$15</f>
        <v>0</v>
      </c>
      <c r="X339" s="20">
        <f>J339*Variables!$E$29*Variables!$C$15</f>
        <v>16514.055463035991</v>
      </c>
      <c r="Z339" s="33">
        <f>D339*(IF(D339&lt;50000,0,IF(D339&gt;Variables!$C$7,Variables!$C$37,IF(D339&gt;Variables!$C$6,Variables!$C$36,IF(D339&gt;Variables!$C$5,Variables!$C$35)))))</f>
        <v>53.670733925600892</v>
      </c>
      <c r="AA339" s="34">
        <f t="shared" si="56"/>
        <v>52</v>
      </c>
      <c r="AB339" s="35">
        <f t="shared" si="63"/>
        <v>2</v>
      </c>
      <c r="AC339" s="22">
        <f>AB339*Variables!$E$41</f>
        <v>739200.00000000012</v>
      </c>
      <c r="AD339" s="115">
        <f>ROUND(IF(D339&lt;50000,0,(H339/(3.14*Variables!$C$34^2))),0)</f>
        <v>21</v>
      </c>
      <c r="AE339" s="116">
        <f t="shared" si="58"/>
        <v>21</v>
      </c>
      <c r="AF339" s="117">
        <f t="shared" si="64"/>
        <v>0</v>
      </c>
      <c r="AG339" s="107">
        <f>AF339*Variables!$E$42*Variables!$C$15</f>
        <v>0</v>
      </c>
      <c r="AH339" s="199">
        <f>ROUND((Z339)/Variables!$C$40,0)</f>
        <v>0</v>
      </c>
      <c r="AI339" s="33">
        <f t="shared" si="59"/>
        <v>0</v>
      </c>
      <c r="AJ339" s="199">
        <f t="shared" si="67"/>
        <v>0</v>
      </c>
      <c r="AK339" s="22">
        <f>AJ339*Variables!$E$43*Variables!$C$15</f>
        <v>0</v>
      </c>
      <c r="AL339" s="20">
        <f>Z339*Variables!$E$38*Variables!$C$15</f>
        <v>9514667.7905362844</v>
      </c>
      <c r="AN339" s="200">
        <f t="shared" si="60"/>
        <v>0.25221875000000005</v>
      </c>
      <c r="AO339" s="201">
        <f t="shared" si="65"/>
        <v>64.193410966981148</v>
      </c>
      <c r="AP339" s="321">
        <f>VLOOKUP(A339,'Household Information'!H:Q,10,FALSE)</f>
        <v>81.833648870377388</v>
      </c>
      <c r="AQ339" s="122">
        <f>IF(12*(AO339-Variables!$C$3*AP339*F339)*(G339/5)&lt;0,0,12*(AO339-Variables!$C$3*AP339*F339)*(G339/5))</f>
        <v>736297.69957203849</v>
      </c>
    </row>
    <row r="340" spans="1:43" ht="14.25" customHeight="1" x14ac:dyDescent="0.35">
      <c r="A340" s="30">
        <v>1</v>
      </c>
      <c r="B340" s="28" t="s">
        <v>154</v>
      </c>
      <c r="C340" s="28">
        <v>2027</v>
      </c>
      <c r="D340" s="196">
        <f>Population!L2</f>
        <v>581872.17100281536</v>
      </c>
      <c r="E340" s="303" t="str">
        <f t="shared" si="66"/>
        <v>Medium</v>
      </c>
      <c r="F340" s="340">
        <f>VLOOKUP(A340,'Household Information'!$H$2:$M$49,6,FALSE)</f>
        <v>3.974207650273224</v>
      </c>
      <c r="G340" s="196">
        <f t="shared" si="61"/>
        <v>146412</v>
      </c>
      <c r="H340" s="213">
        <f>Area!N2</f>
        <v>114.85888063398342</v>
      </c>
      <c r="J340" s="32">
        <f>D340*Variables!$C$20</f>
        <v>523.68495390253383</v>
      </c>
      <c r="K340" s="202">
        <f t="shared" si="57"/>
        <v>511.56095917019996</v>
      </c>
      <c r="L340" s="32">
        <f t="shared" si="62"/>
        <v>12.12399473233387</v>
      </c>
      <c r="S340" s="198">
        <f>$L340*Variables!$C$21/100</f>
        <v>0.65831645605432765</v>
      </c>
      <c r="T340" s="198">
        <f>$L340*Variables!$C$22/100</f>
        <v>1.1520537980950736</v>
      </c>
      <c r="U340" s="198">
        <f>$L340*Variables!$C$23/100</f>
        <v>1.2069135027662676</v>
      </c>
      <c r="V340" s="198">
        <f>$L340*Variables!$C$24/100</f>
        <v>8.7775527473910362</v>
      </c>
      <c r="W340" s="22">
        <f>S340*Variables!$E$25*Variables!$C$15+'Cost Calculations'!T340*Variables!$E$26*Variables!$C$15+'Cost Calculations'!U340*Variables!$E$27*Variables!$C$15+V340*Variables!$E$28*Variables!$C$15</f>
        <v>8132069.251747435</v>
      </c>
      <c r="X340" s="20">
        <f>J340*Variables!$E$29*Variables!$C$15</f>
        <v>89518.70602009914</v>
      </c>
      <c r="Z340" s="33">
        <f>D340*(IF(D340&lt;50000,0,IF(D340&gt;Variables!$C$7,Variables!$C$37,IF(D340&gt;Variables!$C$6,Variables!$C$36,IF(D340&gt;Variables!$C$5,Variables!$C$35)))))</f>
        <v>290.93608550140766</v>
      </c>
      <c r="AA340" s="34">
        <f t="shared" si="56"/>
        <v>284</v>
      </c>
      <c r="AB340" s="35">
        <f t="shared" si="63"/>
        <v>7</v>
      </c>
      <c r="AC340" s="22">
        <f>AB340*Variables!$E$41</f>
        <v>2587200.0000000005</v>
      </c>
      <c r="AD340" s="115">
        <f>ROUND(IF(D340&lt;50000,0,(H340/(3.14*Variables!$C$34^2))),0)</f>
        <v>146</v>
      </c>
      <c r="AE340" s="116">
        <f t="shared" si="58"/>
        <v>144</v>
      </c>
      <c r="AF340" s="117">
        <f t="shared" si="64"/>
        <v>2</v>
      </c>
      <c r="AG340" s="107">
        <f>AF340*Variables!$E$42*Variables!$C$15</f>
        <v>1355.088</v>
      </c>
      <c r="AH340" s="199">
        <f>ROUND((Z340)/Variables!$C$40,0)</f>
        <v>2</v>
      </c>
      <c r="AI340" s="33">
        <f t="shared" si="59"/>
        <v>2</v>
      </c>
      <c r="AJ340" s="199">
        <f t="shared" si="67"/>
        <v>0</v>
      </c>
      <c r="AK340" s="22">
        <f>AJ340*Variables!$E$43*Variables!$C$15</f>
        <v>0</v>
      </c>
      <c r="AL340" s="20">
        <f>Z340*Variables!$E$38*Variables!$C$15</f>
        <v>51576716.011788018</v>
      </c>
      <c r="AN340" s="200">
        <f t="shared" si="60"/>
        <v>0.14000000000000001</v>
      </c>
      <c r="AO340" s="201">
        <f t="shared" si="65"/>
        <v>33.383344262295083</v>
      </c>
      <c r="AP340" s="321">
        <f>VLOOKUP(A340,'Household Information'!H:Q,10,FALSE)</f>
        <v>73.860911270983223</v>
      </c>
      <c r="AQ340" s="122">
        <f>IF(12*(AO340-Variables!$C$3*AP340*F340)*(G340/5)&lt;0,0,12*(AO340-Variables!$C$3*AP340*F340)*(G340/5))</f>
        <v>0</v>
      </c>
    </row>
    <row r="341" spans="1:43" ht="14.25" customHeight="1" x14ac:dyDescent="0.35">
      <c r="A341" s="30">
        <v>2</v>
      </c>
      <c r="B341" s="28" t="s">
        <v>155</v>
      </c>
      <c r="C341" s="28">
        <v>2027</v>
      </c>
      <c r="D341" s="196">
        <f>Population!L3</f>
        <v>426822.24409496418</v>
      </c>
      <c r="E341" s="303" t="str">
        <f t="shared" si="66"/>
        <v>Medium</v>
      </c>
      <c r="F341" s="340">
        <f>VLOOKUP(A341,'Household Information'!$H$2:$M$49,6,FALSE)</f>
        <v>4.8390533520244086</v>
      </c>
      <c r="G341" s="196">
        <f t="shared" si="61"/>
        <v>88204</v>
      </c>
      <c r="H341" s="213">
        <f>Area!N3</f>
        <v>690.66458486487409</v>
      </c>
      <c r="J341" s="32">
        <f>D341*Variables!$C$20</f>
        <v>384.14001968546773</v>
      </c>
      <c r="K341" s="202">
        <f t="shared" si="57"/>
        <v>375.24667352297331</v>
      </c>
      <c r="L341" s="32">
        <f t="shared" si="62"/>
        <v>8.8933461624944243</v>
      </c>
      <c r="S341" s="198">
        <f>$L341*Variables!$C$21/100</f>
        <v>0.48289662420784196</v>
      </c>
      <c r="T341" s="198">
        <f>$L341*Variables!$C$22/100</f>
        <v>0.84506909236372352</v>
      </c>
      <c r="U341" s="198">
        <f>$L341*Variables!$C$23/100</f>
        <v>0.8853104777143771</v>
      </c>
      <c r="V341" s="198">
        <f>$L341*Variables!$C$24/100</f>
        <v>6.4386216561045604</v>
      </c>
      <c r="W341" s="22">
        <f>S341*Variables!$E$25*Variables!$C$15+'Cost Calculations'!T341*Variables!$E$26*Variables!$C$15+'Cost Calculations'!U341*Variables!$E$27*Variables!$C$15+V341*Variables!$E$28*Variables!$C$15</f>
        <v>5965138.4275424462</v>
      </c>
      <c r="X341" s="20">
        <f>J341*Variables!$E$29*Variables!$C$15</f>
        <v>65664.894965033862</v>
      </c>
      <c r="Z341" s="33">
        <f>D341*(IF(D341&lt;50000,0,IF(D341&gt;Variables!$C$7,Variables!$C$37,IF(D341&gt;Variables!$C$6,Variables!$C$36,IF(D341&gt;Variables!$C$5,Variables!$C$35)))))</f>
        <v>213.41112204748208</v>
      </c>
      <c r="AA341" s="34">
        <f t="shared" si="56"/>
        <v>262</v>
      </c>
      <c r="AB341" s="35">
        <f t="shared" si="63"/>
        <v>0</v>
      </c>
      <c r="AC341" s="22">
        <f>AB341*Variables!$E$41</f>
        <v>0</v>
      </c>
      <c r="AD341" s="115">
        <f>ROUND(IF(D341&lt;50000,0,(H341/(3.14*Variables!$C$34^2))),0)</f>
        <v>880</v>
      </c>
      <c r="AE341" s="116">
        <f t="shared" si="58"/>
        <v>868</v>
      </c>
      <c r="AF341" s="117">
        <f t="shared" si="64"/>
        <v>12</v>
      </c>
      <c r="AG341" s="107">
        <f>AF341*Variables!$E$42*Variables!$C$15</f>
        <v>8130.5280000000002</v>
      </c>
      <c r="AH341" s="199">
        <f>ROUND((Z341)/Variables!$C$40,0)</f>
        <v>2</v>
      </c>
      <c r="AI341" s="33">
        <f t="shared" si="59"/>
        <v>2</v>
      </c>
      <c r="AJ341" s="199">
        <f t="shared" si="67"/>
        <v>0</v>
      </c>
      <c r="AK341" s="22">
        <f>AJ341*Variables!$E$43*Variables!$C$15</f>
        <v>0</v>
      </c>
      <c r="AL341" s="20">
        <f>Z341*Variables!$E$38*Variables!$C$15</f>
        <v>37833205.931227669</v>
      </c>
      <c r="AN341" s="200">
        <f t="shared" si="60"/>
        <v>0.49</v>
      </c>
      <c r="AO341" s="201">
        <f t="shared" si="65"/>
        <v>142.26816854951761</v>
      </c>
      <c r="AP341" s="321">
        <f>VLOOKUP(A341,'Household Information'!H:Q,10,FALSE)</f>
        <v>166.27540073204597</v>
      </c>
      <c r="AQ341" s="122">
        <f>IF(12*(AO341-Variables!$C$3*AP341*F341)*(G341/5)&lt;0,0,12*(AO341-Variables!$C$3*AP341*F341)*(G341/5))</f>
        <v>4567380.5706650484</v>
      </c>
    </row>
    <row r="342" spans="1:43" ht="14.25" customHeight="1" x14ac:dyDescent="0.35">
      <c r="A342" s="30">
        <v>3</v>
      </c>
      <c r="B342" s="28" t="s">
        <v>156</v>
      </c>
      <c r="C342" s="28">
        <v>2027</v>
      </c>
      <c r="D342" s="196">
        <f>Population!L4</f>
        <v>12282725.931471176</v>
      </c>
      <c r="E342" s="303" t="str">
        <f t="shared" si="66"/>
        <v>Large</v>
      </c>
      <c r="F342" s="340">
        <f>VLOOKUP(A342,'Household Information'!$H$2:$M$49,6,FALSE)</f>
        <v>4.0172949204764796</v>
      </c>
      <c r="G342" s="196">
        <f t="shared" si="61"/>
        <v>3057462</v>
      </c>
      <c r="H342" s="213">
        <f>Area!N4</f>
        <v>814.59127186469834</v>
      </c>
      <c r="J342" s="32">
        <f>D342*Variables!$C$20</f>
        <v>11054.453338324058</v>
      </c>
      <c r="K342" s="202">
        <f t="shared" si="57"/>
        <v>10798.5282195214</v>
      </c>
      <c r="L342" s="32">
        <f t="shared" si="62"/>
        <v>255.92511880265738</v>
      </c>
      <c r="S342" s="198">
        <f>$L342*Variables!$C$21/100</f>
        <v>13.89638654132076</v>
      </c>
      <c r="T342" s="198">
        <f>$L342*Variables!$C$22/100</f>
        <v>24.318676447311336</v>
      </c>
      <c r="U342" s="198">
        <f>$L342*Variables!$C$23/100</f>
        <v>25.476708659088068</v>
      </c>
      <c r="V342" s="198">
        <f>$L342*Variables!$C$24/100</f>
        <v>185.28515388427684</v>
      </c>
      <c r="W342" s="22">
        <f>S342*Variables!$E$25*Variables!$C$15+'Cost Calculations'!T342*Variables!$E$26*Variables!$C$15+'Cost Calculations'!U342*Variables!$E$27*Variables!$C$15+V342*Variables!$E$28*Variables!$C$15</f>
        <v>171659658.00153959</v>
      </c>
      <c r="X342" s="20">
        <f>J342*Variables!$E$29*Variables!$C$15</f>
        <v>1889648.2536531147</v>
      </c>
      <c r="Z342" s="33">
        <f>D342*(IF(D342&lt;50000,0,IF(D342&gt;Variables!$C$7,Variables!$C$37,IF(D342&gt;Variables!$C$6,Variables!$C$36,IF(D342&gt;Variables!$C$5,Variables!$C$35)))))</f>
        <v>6141.3629657355887</v>
      </c>
      <c r="AA342" s="34">
        <f t="shared" si="56"/>
        <v>5999</v>
      </c>
      <c r="AB342" s="35">
        <f t="shared" si="63"/>
        <v>142</v>
      </c>
      <c r="AC342" s="22">
        <f>AB342*Variables!$E$41</f>
        <v>52483200.000000007</v>
      </c>
      <c r="AD342" s="115">
        <f>ROUND(IF(D342&lt;50000,0,(H342/(3.14*Variables!$C$34^2))),0)</f>
        <v>1038</v>
      </c>
      <c r="AE342" s="116">
        <f t="shared" si="58"/>
        <v>1023</v>
      </c>
      <c r="AF342" s="117">
        <f t="shared" si="64"/>
        <v>15</v>
      </c>
      <c r="AG342" s="107">
        <f>AF342*Variables!$E$42*Variables!$C$15</f>
        <v>10163.16</v>
      </c>
      <c r="AH342" s="199">
        <f>ROUND((Z342)/Variables!$C$40,0)</f>
        <v>49</v>
      </c>
      <c r="AI342" s="33">
        <f t="shared" si="59"/>
        <v>48</v>
      </c>
      <c r="AJ342" s="199">
        <f t="shared" si="67"/>
        <v>1</v>
      </c>
      <c r="AK342" s="22">
        <f>AJ342*Variables!$E$43*Variables!$C$15</f>
        <v>552717.39600000007</v>
      </c>
      <c r="AL342" s="20">
        <f>Z342*Variables!$E$38*Variables!$C$15</f>
        <v>1088731681.6102695</v>
      </c>
      <c r="AN342" s="200">
        <f t="shared" si="60"/>
        <v>0.42</v>
      </c>
      <c r="AO342" s="201">
        <f t="shared" si="65"/>
        <v>101.23583199600728</v>
      </c>
      <c r="AP342" s="321">
        <f>VLOOKUP(A342,'Household Information'!H:Q,10,FALSE)</f>
        <v>132.525558500568</v>
      </c>
      <c r="AQ342" s="122">
        <f>IF(12*(AO342-Variables!$C$3*AP342*F342)*(G342/5)&lt;0,0,12*(AO342-Variables!$C$3*AP342*F342)*(G342/5))</f>
        <v>156860231.35770163</v>
      </c>
    </row>
    <row r="343" spans="1:43" ht="14.25" customHeight="1" x14ac:dyDescent="0.35">
      <c r="A343" s="30">
        <v>4</v>
      </c>
      <c r="B343" s="28" t="s">
        <v>157</v>
      </c>
      <c r="C343" s="28">
        <v>2027</v>
      </c>
      <c r="D343" s="196">
        <f>Population!L5</f>
        <v>2615806.370927142</v>
      </c>
      <c r="E343" s="303" t="str">
        <f t="shared" si="66"/>
        <v>Large</v>
      </c>
      <c r="F343" s="340">
        <f>VLOOKUP(A343,'Household Information'!$H$2:$M$49,6,FALSE)</f>
        <v>4.6988894405393395</v>
      </c>
      <c r="G343" s="196">
        <f t="shared" si="61"/>
        <v>556686</v>
      </c>
      <c r="H343" s="213">
        <f>Area!N5</f>
        <v>450.36771617009293</v>
      </c>
      <c r="J343" s="32">
        <f>D343*Variables!$C$20</f>
        <v>2354.2257338344275</v>
      </c>
      <c r="K343" s="202">
        <f t="shared" si="57"/>
        <v>2299.722314969647</v>
      </c>
      <c r="L343" s="32">
        <f t="shared" si="62"/>
        <v>54.503418864780542</v>
      </c>
      <c r="S343" s="198">
        <f>$L343*Variables!$C$21/100</f>
        <v>2.9594616578161377</v>
      </c>
      <c r="T343" s="198">
        <f>$L343*Variables!$C$22/100</f>
        <v>5.1790579011782416</v>
      </c>
      <c r="U343" s="198">
        <f>$L343*Variables!$C$23/100</f>
        <v>5.425679705996254</v>
      </c>
      <c r="V343" s="198">
        <f>$L343*Variables!$C$24/100</f>
        <v>39.45948877088184</v>
      </c>
      <c r="W343" s="22">
        <f>S343*Variables!$E$25*Variables!$C$15+'Cost Calculations'!T343*Variables!$E$26*Variables!$C$15+'Cost Calculations'!U343*Variables!$E$27*Variables!$C$15+V343*Variables!$E$28*Variables!$C$15</f>
        <v>36557717.687169597</v>
      </c>
      <c r="X343" s="20">
        <f>J343*Variables!$E$29*Variables!$C$15</f>
        <v>402431.34694165707</v>
      </c>
      <c r="Z343" s="33">
        <f>D343*(IF(D343&lt;50000,0,IF(D343&gt;Variables!$C$7,Variables!$C$37,IF(D343&gt;Variables!$C$6,Variables!$C$36,IF(D343&gt;Variables!$C$5,Variables!$C$35)))))</f>
        <v>1307.9031854635709</v>
      </c>
      <c r="AA343" s="34">
        <f t="shared" si="56"/>
        <v>1278</v>
      </c>
      <c r="AB343" s="35">
        <f t="shared" si="63"/>
        <v>30</v>
      </c>
      <c r="AC343" s="22">
        <f>AB343*Variables!$E$41</f>
        <v>11088000.000000002</v>
      </c>
      <c r="AD343" s="115">
        <f>ROUND(IF(D343&lt;50000,0,(H343/(3.14*Variables!$C$34^2))),0)</f>
        <v>574</v>
      </c>
      <c r="AE343" s="116">
        <f t="shared" si="58"/>
        <v>566</v>
      </c>
      <c r="AF343" s="117">
        <f t="shared" si="64"/>
        <v>8</v>
      </c>
      <c r="AG343" s="107">
        <f>AF343*Variables!$E$42*Variables!$C$15</f>
        <v>5420.3519999999999</v>
      </c>
      <c r="AH343" s="199">
        <f>ROUND((Z343)/Variables!$C$40,0)</f>
        <v>10</v>
      </c>
      <c r="AI343" s="33">
        <f t="shared" si="59"/>
        <v>10</v>
      </c>
      <c r="AJ343" s="199">
        <f t="shared" si="67"/>
        <v>0</v>
      </c>
      <c r="AK343" s="22">
        <f>AJ343*Variables!$E$43*Variables!$C$15</f>
        <v>0</v>
      </c>
      <c r="AL343" s="20">
        <f>Z343*Variables!$E$38*Variables!$C$15</f>
        <v>231863129.15192205</v>
      </c>
      <c r="AN343" s="200">
        <f t="shared" si="60"/>
        <v>0.28000000000000003</v>
      </c>
      <c r="AO343" s="201">
        <f t="shared" si="65"/>
        <v>78.94134260106091</v>
      </c>
      <c r="AP343" s="321">
        <f>VLOOKUP(A343,'Household Information'!H:Q,10,FALSE)</f>
        <v>108.65462509082352</v>
      </c>
      <c r="AQ343" s="122">
        <f>IF(12*(AO343-Variables!$C$3*AP343*F343)*(G343/5)&lt;0,0,12*(AO343-Variables!$C$3*AP343*F343)*(G343/5))</f>
        <v>3150306.5938550546</v>
      </c>
    </row>
    <row r="344" spans="1:43" ht="14.25" customHeight="1" x14ac:dyDescent="0.35">
      <c r="A344" s="30">
        <v>5</v>
      </c>
      <c r="B344" s="28" t="s">
        <v>158</v>
      </c>
      <c r="C344" s="28">
        <v>2027</v>
      </c>
      <c r="D344" s="196">
        <f>Population!L6</f>
        <v>1226868.1132391586</v>
      </c>
      <c r="E344" s="303" t="str">
        <f t="shared" si="66"/>
        <v>Large</v>
      </c>
      <c r="F344" s="340">
        <f>VLOOKUP(A344,'Household Information'!$H$2:$M$49,6,FALSE)</f>
        <v>4.2814892277702192</v>
      </c>
      <c r="G344" s="196">
        <f t="shared" si="61"/>
        <v>286552</v>
      </c>
      <c r="H344" s="213">
        <f>Area!N6</f>
        <v>204.02564323141797</v>
      </c>
      <c r="J344" s="32">
        <f>D344*Variables!$C$20</f>
        <v>1104.1813019152428</v>
      </c>
      <c r="K344" s="202">
        <f t="shared" si="57"/>
        <v>2378.3936399999998</v>
      </c>
      <c r="L344" s="32">
        <f t="shared" si="62"/>
        <v>0</v>
      </c>
      <c r="S344" s="198">
        <f>$L344*Variables!$C$21/100</f>
        <v>0</v>
      </c>
      <c r="T344" s="198">
        <f>$L344*Variables!$C$22/100</f>
        <v>0</v>
      </c>
      <c r="U344" s="198">
        <f>$L344*Variables!$C$23/100</f>
        <v>0</v>
      </c>
      <c r="V344" s="198">
        <f>$L344*Variables!$C$24/100</f>
        <v>0</v>
      </c>
      <c r="W344" s="22">
        <f>S344*Variables!$E$25*Variables!$C$15+'Cost Calculations'!T344*Variables!$E$26*Variables!$C$15+'Cost Calculations'!U344*Variables!$E$27*Variables!$C$15+V344*Variables!$E$28*Variables!$C$15</f>
        <v>0</v>
      </c>
      <c r="X344" s="20">
        <f>J344*Variables!$E$29*Variables!$C$15</f>
        <v>188748.75174939161</v>
      </c>
      <c r="Z344" s="33">
        <f>D344*(IF(D344&lt;50000,0,IF(D344&gt;Variables!$C$7,Variables!$C$37,IF(D344&gt;Variables!$C$6,Variables!$C$36,IF(D344&gt;Variables!$C$5,Variables!$C$35)))))</f>
        <v>613.43405661957934</v>
      </c>
      <c r="AA344" s="34">
        <f t="shared" si="56"/>
        <v>599</v>
      </c>
      <c r="AB344" s="35">
        <f t="shared" si="63"/>
        <v>14</v>
      </c>
      <c r="AC344" s="22">
        <f>AB344*Variables!$E$41</f>
        <v>5174400.0000000009</v>
      </c>
      <c r="AD344" s="115">
        <f>ROUND(IF(D344&lt;50000,0,(H344/(3.14*Variables!$C$34^2))),0)</f>
        <v>260</v>
      </c>
      <c r="AE344" s="116">
        <f t="shared" si="58"/>
        <v>256</v>
      </c>
      <c r="AF344" s="117">
        <f t="shared" si="64"/>
        <v>4</v>
      </c>
      <c r="AG344" s="107">
        <f>AF344*Variables!$E$42*Variables!$C$15</f>
        <v>2710.1759999999999</v>
      </c>
      <c r="AH344" s="199">
        <f>ROUND((Z344)/Variables!$C$40,0)</f>
        <v>5</v>
      </c>
      <c r="AI344" s="33">
        <f t="shared" si="59"/>
        <v>5</v>
      </c>
      <c r="AJ344" s="199">
        <f t="shared" si="67"/>
        <v>0</v>
      </c>
      <c r="AK344" s="22">
        <f>AJ344*Variables!$E$43*Variables!$C$15</f>
        <v>0</v>
      </c>
      <c r="AL344" s="20">
        <f>Z344*Variables!$E$38*Variables!$C$15</f>
        <v>108748676.10767402</v>
      </c>
      <c r="AN344" s="200">
        <f t="shared" si="60"/>
        <v>0.28000000000000003</v>
      </c>
      <c r="AO344" s="201">
        <f t="shared" si="65"/>
        <v>71.929019026539692</v>
      </c>
      <c r="AP344" s="321">
        <f>VLOOKUP(A344,'Household Information'!H:Q,10,FALSE)</f>
        <v>70.680297866969596</v>
      </c>
      <c r="AQ344" s="122">
        <f>IF(12*(AO344-Variables!$C$3*AP344*F344)*(G344/5)&lt;0,0,12*(AO344-Variables!$C$3*AP344*F344)*(G344/5))</f>
        <v>18249794.669368222</v>
      </c>
    </row>
    <row r="345" spans="1:43" ht="14.25" customHeight="1" x14ac:dyDescent="0.35">
      <c r="A345" s="30">
        <v>6</v>
      </c>
      <c r="B345" s="28" t="s">
        <v>159</v>
      </c>
      <c r="C345" s="28">
        <v>2027</v>
      </c>
      <c r="D345" s="196">
        <f>Population!L7</f>
        <v>1398787.8003672068</v>
      </c>
      <c r="E345" s="303" t="str">
        <f t="shared" si="66"/>
        <v>Large</v>
      </c>
      <c r="F345" s="340">
        <f>VLOOKUP(A345,'Household Information'!$H$2:$M$49,6,FALSE)</f>
        <v>4.4091899104485828</v>
      </c>
      <c r="G345" s="196">
        <f t="shared" si="61"/>
        <v>317244</v>
      </c>
      <c r="H345" s="213">
        <f>Area!N7</f>
        <v>175.74554825502315</v>
      </c>
      <c r="J345" s="32">
        <f>D345*Variables!$C$20</f>
        <v>1258.9090203304861</v>
      </c>
      <c r="K345" s="202">
        <f t="shared" si="57"/>
        <v>1229.763622477763</v>
      </c>
      <c r="L345" s="32">
        <f t="shared" si="62"/>
        <v>29.145397852723136</v>
      </c>
      <c r="S345" s="198">
        <f>$L345*Variables!$C$21/100</f>
        <v>1.5825555395143782</v>
      </c>
      <c r="T345" s="198">
        <f>$L345*Variables!$C$22/100</f>
        <v>2.7694721941501621</v>
      </c>
      <c r="U345" s="198">
        <f>$L345*Variables!$C$23/100</f>
        <v>2.901351822443027</v>
      </c>
      <c r="V345" s="198">
        <f>$L345*Variables!$C$24/100</f>
        <v>21.100740526858377</v>
      </c>
      <c r="W345" s="22">
        <f>S345*Variables!$E$25*Variables!$C$15+'Cost Calculations'!T345*Variables!$E$26*Variables!$C$15+'Cost Calculations'!U345*Variables!$E$27*Variables!$C$15+V345*Variables!$E$28*Variables!$C$15</f>
        <v>19549034.698603056</v>
      </c>
      <c r="X345" s="20">
        <f>J345*Variables!$E$29*Variables!$C$15</f>
        <v>215197.9079352933</v>
      </c>
      <c r="Z345" s="33">
        <f>D345*(IF(D345&lt;50000,0,IF(D345&gt;Variables!$C$7,Variables!$C$37,IF(D345&gt;Variables!$C$6,Variables!$C$36,IF(D345&gt;Variables!$C$5,Variables!$C$35)))))</f>
        <v>699.39390018360336</v>
      </c>
      <c r="AA345" s="34">
        <f t="shared" si="56"/>
        <v>683</v>
      </c>
      <c r="AB345" s="35">
        <f t="shared" si="63"/>
        <v>16</v>
      </c>
      <c r="AC345" s="22">
        <f>AB345*Variables!$E$41</f>
        <v>5913600.0000000009</v>
      </c>
      <c r="AD345" s="115">
        <f>ROUND(IF(D345&lt;50000,0,(H345/(3.14*Variables!$C$34^2))),0)</f>
        <v>224</v>
      </c>
      <c r="AE345" s="116">
        <f t="shared" si="58"/>
        <v>221</v>
      </c>
      <c r="AF345" s="117">
        <f t="shared" si="64"/>
        <v>3</v>
      </c>
      <c r="AG345" s="107">
        <f>AF345*Variables!$E$42*Variables!$C$15</f>
        <v>2032.6320000000001</v>
      </c>
      <c r="AH345" s="199">
        <f>ROUND((Z345)/Variables!$C$40,0)</f>
        <v>6</v>
      </c>
      <c r="AI345" s="33">
        <f t="shared" si="59"/>
        <v>5</v>
      </c>
      <c r="AJ345" s="199">
        <f t="shared" si="67"/>
        <v>1</v>
      </c>
      <c r="AK345" s="22">
        <f>AJ345*Variables!$E$43*Variables!$C$15</f>
        <v>552717.39600000007</v>
      </c>
      <c r="AL345" s="20">
        <f>Z345*Variables!$E$38*Variables!$C$15</f>
        <v>123987509.17397627</v>
      </c>
      <c r="AN345" s="200">
        <f t="shared" si="60"/>
        <v>0.28000000000000003</v>
      </c>
      <c r="AO345" s="201">
        <f t="shared" si="65"/>
        <v>74.074390495536193</v>
      </c>
      <c r="AP345" s="321">
        <f>VLOOKUP(A345,'Household Information'!H:Q,10,FALSE)</f>
        <v>228.82746434431402</v>
      </c>
      <c r="AQ345" s="122">
        <f>IF(12*(AO345-Variables!$C$3*AP345*F345)*(G345/5)&lt;0,0,12*(AO345-Variables!$C$3*AP345*F345)*(G345/5))</f>
        <v>0</v>
      </c>
    </row>
    <row r="346" spans="1:43" ht="14.25" customHeight="1" x14ac:dyDescent="0.35">
      <c r="A346" s="30">
        <v>7</v>
      </c>
      <c r="B346" s="28" t="s">
        <v>160</v>
      </c>
      <c r="C346" s="28">
        <v>2027</v>
      </c>
      <c r="D346" s="196">
        <f>Population!L8</f>
        <v>6759442.4978456562</v>
      </c>
      <c r="E346" s="303" t="str">
        <f t="shared" si="66"/>
        <v>Large</v>
      </c>
      <c r="F346" s="340">
        <f>VLOOKUP(A346,'Household Information'!$H$2:$M$49,6,FALSE)</f>
        <v>4.0232072880789485</v>
      </c>
      <c r="G346" s="196">
        <f t="shared" si="61"/>
        <v>1680113</v>
      </c>
      <c r="H346" s="213">
        <f>Area!N8</f>
        <v>1190.9052360470914</v>
      </c>
      <c r="J346" s="32">
        <f>D346*Variables!$C$20</f>
        <v>6083.4982480610906</v>
      </c>
      <c r="K346" s="202">
        <f t="shared" si="57"/>
        <v>5942.6572707444466</v>
      </c>
      <c r="L346" s="32">
        <f t="shared" si="62"/>
        <v>140.84097731664406</v>
      </c>
      <c r="S346" s="198">
        <f>$L346*Variables!$C$21/100</f>
        <v>7.6474738814467358</v>
      </c>
      <c r="T346" s="198">
        <f>$L346*Variables!$C$22/100</f>
        <v>13.383079292531788</v>
      </c>
      <c r="U346" s="198">
        <f>$L346*Variables!$C$23/100</f>
        <v>14.02036878265235</v>
      </c>
      <c r="V346" s="198">
        <f>$L346*Variables!$C$24/100</f>
        <v>101.96631841928982</v>
      </c>
      <c r="W346" s="22">
        <f>S346*Variables!$E$25*Variables!$C$15+'Cost Calculations'!T346*Variables!$E$26*Variables!$C$15+'Cost Calculations'!U346*Variables!$E$27*Variables!$C$15+V346*Variables!$E$28*Variables!$C$15</f>
        <v>94467921.366562933</v>
      </c>
      <c r="X346" s="20">
        <f>J346*Variables!$E$29*Variables!$C$15</f>
        <v>1039913.1905235628</v>
      </c>
      <c r="Z346" s="33">
        <f>D346*(IF(D346&lt;50000,0,IF(D346&gt;Variables!$C$7,Variables!$C$37,IF(D346&gt;Variables!$C$6,Variables!$C$36,IF(D346&gt;Variables!$C$5,Variables!$C$35)))))</f>
        <v>3379.7212489228282</v>
      </c>
      <c r="AA346" s="34">
        <f t="shared" si="56"/>
        <v>4599</v>
      </c>
      <c r="AB346" s="35">
        <f t="shared" si="63"/>
        <v>0</v>
      </c>
      <c r="AC346" s="22">
        <f>AB346*Variables!$E$41</f>
        <v>0</v>
      </c>
      <c r="AD346" s="115">
        <f>ROUND(IF(D346&lt;50000,0,(H346/(3.14*Variables!$C$34^2))),0)</f>
        <v>1517</v>
      </c>
      <c r="AE346" s="116">
        <f t="shared" si="58"/>
        <v>1496</v>
      </c>
      <c r="AF346" s="117">
        <f t="shared" si="64"/>
        <v>21</v>
      </c>
      <c r="AG346" s="107">
        <f>AF346*Variables!$E$42*Variables!$C$15</f>
        <v>14228.424000000001</v>
      </c>
      <c r="AH346" s="199">
        <f>ROUND((Z346)/Variables!$C$40,0)</f>
        <v>27</v>
      </c>
      <c r="AI346" s="33">
        <f t="shared" si="59"/>
        <v>26</v>
      </c>
      <c r="AJ346" s="199">
        <f t="shared" si="67"/>
        <v>1</v>
      </c>
      <c r="AK346" s="22">
        <f>AJ346*Variables!$E$43*Variables!$C$15</f>
        <v>552717.39600000007</v>
      </c>
      <c r="AL346" s="20">
        <f>Z346*Variables!$E$38*Variables!$C$15</f>
        <v>599151950.34771597</v>
      </c>
      <c r="AN346" s="200">
        <f t="shared" si="60"/>
        <v>0.28000000000000003</v>
      </c>
      <c r="AO346" s="201">
        <f t="shared" si="65"/>
        <v>67.589882439726338</v>
      </c>
      <c r="AP346" s="321">
        <f>VLOOKUP(A346,'Household Information'!H:Q,10,FALSE)</f>
        <v>141.36059573393919</v>
      </c>
      <c r="AQ346" s="122">
        <f>IF(12*(AO346-Variables!$C$3*AP346*F346)*(G346/5)&lt;0,0,12*(AO346-Variables!$C$3*AP346*F346)*(G346/5))</f>
        <v>0</v>
      </c>
    </row>
    <row r="347" spans="1:43" ht="14.25" customHeight="1" x14ac:dyDescent="0.35">
      <c r="A347" s="30">
        <v>8</v>
      </c>
      <c r="B347" s="28" t="s">
        <v>161</v>
      </c>
      <c r="C347" s="28">
        <v>2027</v>
      </c>
      <c r="D347" s="196">
        <f>Population!L9</f>
        <v>64415.514535721311</v>
      </c>
      <c r="E347" s="303" t="str">
        <f t="shared" si="66"/>
        <v>Small</v>
      </c>
      <c r="F347" s="340">
        <f>VLOOKUP(A347,'Household Information'!$H$2:$M$49,6,FALSE)</f>
        <v>4.332028957151242</v>
      </c>
      <c r="G347" s="196">
        <f t="shared" si="61"/>
        <v>14870</v>
      </c>
      <c r="H347" s="213">
        <f>Area!N9</f>
        <v>167.75441776805471</v>
      </c>
      <c r="J347" s="32">
        <f>D347*Variables!$C$20</f>
        <v>57.973963082149176</v>
      </c>
      <c r="K347" s="202">
        <f t="shared" si="57"/>
        <v>56.631789667040316</v>
      </c>
      <c r="L347" s="32">
        <f t="shared" si="62"/>
        <v>1.34217341510886</v>
      </c>
      <c r="S347" s="198">
        <f>$L347*Variables!$C$21/100</f>
        <v>7.2878194485548956E-2</v>
      </c>
      <c r="T347" s="198">
        <f>$L347*Variables!$C$22/100</f>
        <v>0.12753684034971069</v>
      </c>
      <c r="U347" s="198">
        <f>$L347*Variables!$C$23/100</f>
        <v>0.13361002322350643</v>
      </c>
      <c r="V347" s="198">
        <f>$L347*Variables!$C$24/100</f>
        <v>0.97170925980731948</v>
      </c>
      <c r="W347" s="22">
        <f>S347*Variables!$E$25*Variables!$C$15+'Cost Calculations'!T347*Variables!$E$26*Variables!$C$15+'Cost Calculations'!U347*Variables!$E$27*Variables!$C$15+V347*Variables!$E$28*Variables!$C$15</f>
        <v>900251.72399745323</v>
      </c>
      <c r="X347" s="20">
        <f>J347*Variables!$E$29*Variables!$C$15</f>
        <v>9910.0692492625822</v>
      </c>
      <c r="Z347" s="33">
        <f>D347*(IF(D347&lt;50000,0,IF(D347&gt;Variables!$C$7,Variables!$C$37,IF(D347&gt;Variables!$C$6,Variables!$C$36,IF(D347&gt;Variables!$C$5,Variables!$C$35)))))</f>
        <v>32.207757267860657</v>
      </c>
      <c r="AA347" s="34">
        <f t="shared" si="56"/>
        <v>31</v>
      </c>
      <c r="AB347" s="35">
        <f t="shared" si="63"/>
        <v>1</v>
      </c>
      <c r="AC347" s="22">
        <f>AB347*Variables!$E$41</f>
        <v>369600.00000000006</v>
      </c>
      <c r="AD347" s="115">
        <f>ROUND(IF(D347&lt;50000,0,(H347/(3.14*Variables!$C$34^2))),0)</f>
        <v>214</v>
      </c>
      <c r="AE347" s="116">
        <f t="shared" si="58"/>
        <v>211</v>
      </c>
      <c r="AF347" s="117">
        <f t="shared" si="64"/>
        <v>3</v>
      </c>
      <c r="AG347" s="107">
        <f>AF347*Variables!$E$42*Variables!$C$15</f>
        <v>2032.6320000000001</v>
      </c>
      <c r="AH347" s="199">
        <f>ROUND((Z347)/Variables!$C$40,0)</f>
        <v>0</v>
      </c>
      <c r="AI347" s="33">
        <f t="shared" si="59"/>
        <v>0</v>
      </c>
      <c r="AJ347" s="199">
        <f t="shared" si="67"/>
        <v>0</v>
      </c>
      <c r="AK347" s="22">
        <f>AJ347*Variables!$E$43*Variables!$C$15</f>
        <v>0</v>
      </c>
      <c r="AL347" s="20">
        <f>Z347*Variables!$E$38*Variables!$C$15</f>
        <v>5709743.2486525066</v>
      </c>
      <c r="AN347" s="200">
        <f t="shared" si="60"/>
        <v>0.25221875000000005</v>
      </c>
      <c r="AO347" s="201">
        <f t="shared" si="65"/>
        <v>65.557135712189407</v>
      </c>
      <c r="AP347" s="321">
        <f>VLOOKUP(A347,'Household Information'!H:Q,10,FALSE)</f>
        <v>39.775337624637132</v>
      </c>
      <c r="AQ347" s="122">
        <f>IF(12*(AO347-Variables!$C$3*AP347*F347)*(G347/5)&lt;0,0,12*(AO347-Variables!$C$3*AP347*F347)*(G347/5))</f>
        <v>1417204.3320890153</v>
      </c>
    </row>
    <row r="348" spans="1:43" ht="14.25" customHeight="1" x14ac:dyDescent="0.35">
      <c r="A348" s="30">
        <v>9</v>
      </c>
      <c r="B348" s="28" t="s">
        <v>162</v>
      </c>
      <c r="C348" s="28">
        <v>2027</v>
      </c>
      <c r="D348" s="196">
        <f>Population!L10</f>
        <v>828545.68308177299</v>
      </c>
      <c r="E348" s="303" t="str">
        <f t="shared" si="66"/>
        <v>Medium</v>
      </c>
      <c r="F348" s="340">
        <f>VLOOKUP(A348,'Household Information'!$H$2:$M$49,6,FALSE)</f>
        <v>4.5911864516077028</v>
      </c>
      <c r="G348" s="196">
        <f t="shared" si="61"/>
        <v>180464</v>
      </c>
      <c r="H348" s="213">
        <f>Area!N10</f>
        <v>453.39031829203986</v>
      </c>
      <c r="J348" s="32">
        <f>D348*Variables!$C$20</f>
        <v>745.6911147735957</v>
      </c>
      <c r="K348" s="202">
        <f t="shared" si="57"/>
        <v>728.42738573175302</v>
      </c>
      <c r="L348" s="32">
        <f t="shared" si="62"/>
        <v>17.26372904184268</v>
      </c>
      <c r="S348" s="198">
        <f>$L348*Variables!$C$21/100</f>
        <v>0.9373970520457563</v>
      </c>
      <c r="T348" s="198">
        <f>$L348*Variables!$C$22/100</f>
        <v>1.6404448410800736</v>
      </c>
      <c r="U348" s="198">
        <f>$L348*Variables!$C$23/100</f>
        <v>1.7185612620838868</v>
      </c>
      <c r="V348" s="198">
        <f>$L348*Variables!$C$24/100</f>
        <v>12.498627360610085</v>
      </c>
      <c r="W348" s="22">
        <f>S348*Variables!$E$25*Variables!$C$15+'Cost Calculations'!T348*Variables!$E$26*Variables!$C$15+'Cost Calculations'!U348*Variables!$E$27*Variables!$C$15+V348*Variables!$E$28*Variables!$C$15</f>
        <v>11579503.555643909</v>
      </c>
      <c r="X348" s="20">
        <f>J348*Variables!$E$29*Variables!$C$15</f>
        <v>127468.43915939846</v>
      </c>
      <c r="Z348" s="33">
        <f>D348*(IF(D348&lt;50000,0,IF(D348&gt;Variables!$C$7,Variables!$C$37,IF(D348&gt;Variables!$C$6,Variables!$C$36,IF(D348&gt;Variables!$C$5,Variables!$C$35)))))</f>
        <v>414.27284154088653</v>
      </c>
      <c r="AA348" s="34">
        <f t="shared" si="56"/>
        <v>430</v>
      </c>
      <c r="AB348" s="35">
        <f t="shared" si="63"/>
        <v>0</v>
      </c>
      <c r="AC348" s="22">
        <f>AB348*Variables!$E$41</f>
        <v>0</v>
      </c>
      <c r="AD348" s="115">
        <f>ROUND(IF(D348&lt;50000,0,(H348/(3.14*Variables!$C$34^2))),0)</f>
        <v>578</v>
      </c>
      <c r="AE348" s="116">
        <f t="shared" si="58"/>
        <v>569</v>
      </c>
      <c r="AF348" s="117">
        <f t="shared" si="64"/>
        <v>9</v>
      </c>
      <c r="AG348" s="107">
        <f>AF348*Variables!$E$42*Variables!$C$15</f>
        <v>6097.8960000000006</v>
      </c>
      <c r="AH348" s="199">
        <f>ROUND((Z348)/Variables!$C$40,0)</f>
        <v>3</v>
      </c>
      <c r="AI348" s="33">
        <f t="shared" si="59"/>
        <v>3</v>
      </c>
      <c r="AJ348" s="199">
        <f t="shared" si="67"/>
        <v>0</v>
      </c>
      <c r="AK348" s="22">
        <f>AJ348*Variables!$E$43*Variables!$C$15</f>
        <v>0</v>
      </c>
      <c r="AL348" s="20">
        <f>Z348*Variables!$E$38*Variables!$C$15</f>
        <v>73441672.464680851</v>
      </c>
      <c r="AN348" s="200">
        <f t="shared" si="60"/>
        <v>0.19600000000000001</v>
      </c>
      <c r="AO348" s="201">
        <f t="shared" si="65"/>
        <v>53.992352670906584</v>
      </c>
      <c r="AP348" s="321">
        <f>VLOOKUP(A348,'Household Information'!H:Q,10,FALSE)</f>
        <v>137.82658084059071</v>
      </c>
      <c r="AQ348" s="122">
        <f>IF(12*(AO348-Variables!$C$3*AP348*F348)*(G348/5)&lt;0,0,12*(AO348-Variables!$C$3*AP348*F348)*(G348/5))</f>
        <v>0</v>
      </c>
    </row>
    <row r="349" spans="1:43" ht="14.25" customHeight="1" x14ac:dyDescent="0.35">
      <c r="A349" s="30">
        <v>10</v>
      </c>
      <c r="B349" s="28" t="s">
        <v>163</v>
      </c>
      <c r="C349" s="28">
        <v>2027</v>
      </c>
      <c r="D349" s="196">
        <f>Population!L11</f>
        <v>768882.56197878288</v>
      </c>
      <c r="E349" s="303" t="str">
        <f t="shared" si="66"/>
        <v>Medium</v>
      </c>
      <c r="F349" s="340">
        <f>VLOOKUP(A349,'Household Information'!$H$2:$M$49,6,FALSE)</f>
        <v>4.0714439771379274</v>
      </c>
      <c r="G349" s="196">
        <f t="shared" si="61"/>
        <v>188848</v>
      </c>
      <c r="H349" s="213">
        <f>Area!N11</f>
        <v>134.32780758345717</v>
      </c>
      <c r="J349" s="32">
        <f>D349*Variables!$C$20</f>
        <v>691.9943057809046</v>
      </c>
      <c r="K349" s="202">
        <f t="shared" si="57"/>
        <v>718.84568000000002</v>
      </c>
      <c r="L349" s="32">
        <f t="shared" si="62"/>
        <v>0</v>
      </c>
      <c r="S349" s="198">
        <f>$L349*Variables!$C$21/100</f>
        <v>0</v>
      </c>
      <c r="T349" s="198">
        <f>$L349*Variables!$C$22/100</f>
        <v>0</v>
      </c>
      <c r="U349" s="198">
        <f>$L349*Variables!$C$23/100</f>
        <v>0</v>
      </c>
      <c r="V349" s="198">
        <f>$L349*Variables!$C$24/100</f>
        <v>0</v>
      </c>
      <c r="W349" s="22">
        <f>S349*Variables!$E$25*Variables!$C$15+'Cost Calculations'!T349*Variables!$E$26*Variables!$C$15+'Cost Calculations'!U349*Variables!$E$27*Variables!$C$15+V349*Variables!$E$28*Variables!$C$15</f>
        <v>0</v>
      </c>
      <c r="X349" s="20">
        <f>J349*Variables!$E$29*Variables!$C$15</f>
        <v>118289.50663018784</v>
      </c>
      <c r="Z349" s="33">
        <f>D349*(IF(D349&lt;50000,0,IF(D349&gt;Variables!$C$7,Variables!$C$37,IF(D349&gt;Variables!$C$6,Variables!$C$36,IF(D349&gt;Variables!$C$5,Variables!$C$35)))))</f>
        <v>384.44128098939143</v>
      </c>
      <c r="AA349" s="34">
        <f t="shared" si="56"/>
        <v>376</v>
      </c>
      <c r="AB349" s="35">
        <f t="shared" si="63"/>
        <v>8</v>
      </c>
      <c r="AC349" s="22">
        <f>AB349*Variables!$E$41</f>
        <v>2956800.0000000005</v>
      </c>
      <c r="AD349" s="115">
        <f>ROUND(IF(D349&lt;50000,0,(H349/(3.14*Variables!$C$34^2))),0)</f>
        <v>171</v>
      </c>
      <c r="AE349" s="116">
        <f t="shared" si="58"/>
        <v>169</v>
      </c>
      <c r="AF349" s="117">
        <f t="shared" si="64"/>
        <v>2</v>
      </c>
      <c r="AG349" s="107">
        <f>AF349*Variables!$E$42*Variables!$C$15</f>
        <v>1355.088</v>
      </c>
      <c r="AH349" s="199">
        <f>ROUND((Z349)/Variables!$C$40,0)</f>
        <v>3</v>
      </c>
      <c r="AI349" s="33">
        <f t="shared" si="59"/>
        <v>3</v>
      </c>
      <c r="AJ349" s="199">
        <f t="shared" si="67"/>
        <v>0</v>
      </c>
      <c r="AK349" s="22">
        <f>AJ349*Variables!$E$43*Variables!$C$15</f>
        <v>0</v>
      </c>
      <c r="AL349" s="20">
        <f>Z349*Variables!$E$38*Variables!$C$15</f>
        <v>68153177.831568465</v>
      </c>
      <c r="AN349" s="200">
        <f t="shared" si="60"/>
        <v>0.25221875000000005</v>
      </c>
      <c r="AO349" s="201">
        <f t="shared" si="65"/>
        <v>61.613670636525413</v>
      </c>
      <c r="AP349" s="321">
        <f>VLOOKUP(A349,'Household Information'!H:Q,10,FALSE)</f>
        <v>39.775337624637132</v>
      </c>
      <c r="AQ349" s="122">
        <f>IF(12*(AO349-Variables!$C$3*AP349*F349)*(G349/5)&lt;0,0,12*(AO349-Variables!$C$3*AP349*F349)*(G349/5))</f>
        <v>16915740.136394374</v>
      </c>
    </row>
    <row r="350" spans="1:43" ht="14.25" customHeight="1" x14ac:dyDescent="0.35">
      <c r="A350" s="30">
        <v>11</v>
      </c>
      <c r="B350" s="28" t="s">
        <v>164</v>
      </c>
      <c r="C350" s="28">
        <v>2027</v>
      </c>
      <c r="D350" s="196">
        <f>Population!L12</f>
        <v>299904.10065683699</v>
      </c>
      <c r="E350" s="303" t="str">
        <f t="shared" si="66"/>
        <v>Medium</v>
      </c>
      <c r="F350" s="340">
        <f>VLOOKUP(A350,'Household Information'!$H$2:$M$49,6,FALSE)</f>
        <v>4.5669760538732476</v>
      </c>
      <c r="G350" s="196">
        <f t="shared" si="61"/>
        <v>65668</v>
      </c>
      <c r="H350" s="213">
        <f>Area!N12</f>
        <v>172.28832095097513</v>
      </c>
      <c r="J350" s="32">
        <f>D350*Variables!$C$20</f>
        <v>269.91369059115328</v>
      </c>
      <c r="K350" s="202">
        <f t="shared" si="57"/>
        <v>263.66483402476626</v>
      </c>
      <c r="L350" s="32">
        <f t="shared" si="62"/>
        <v>6.248856566387019</v>
      </c>
      <c r="S350" s="198">
        <f>$L350*Variables!$C$21/100</f>
        <v>0.33930442894409146</v>
      </c>
      <c r="T350" s="198">
        <f>$L350*Variables!$C$22/100</f>
        <v>0.59378275065216013</v>
      </c>
      <c r="U350" s="198">
        <f>$L350*Variables!$C$23/100</f>
        <v>0.62205811973083447</v>
      </c>
      <c r="V350" s="198">
        <f>$L350*Variables!$C$24/100</f>
        <v>4.5240590525878872</v>
      </c>
      <c r="W350" s="22">
        <f>S350*Variables!$E$25*Variables!$C$15+'Cost Calculations'!T350*Variables!$E$26*Variables!$C$15+'Cost Calculations'!U350*Variables!$E$27*Variables!$C$15+V350*Variables!$E$28*Variables!$C$15</f>
        <v>4191368.8898736294</v>
      </c>
      <c r="X350" s="20">
        <f>J350*Variables!$E$29*Variables!$C$15</f>
        <v>46139.046269651742</v>
      </c>
      <c r="Z350" s="33">
        <f>D350*(IF(D350&lt;50000,0,IF(D350&gt;Variables!$C$7,Variables!$C$37,IF(D350&gt;Variables!$C$6,Variables!$C$36,IF(D350&gt;Variables!$C$5,Variables!$C$35)))))</f>
        <v>149.95205032841849</v>
      </c>
      <c r="AA350" s="34">
        <f t="shared" si="56"/>
        <v>146</v>
      </c>
      <c r="AB350" s="35">
        <f t="shared" si="63"/>
        <v>4</v>
      </c>
      <c r="AC350" s="22">
        <f>AB350*Variables!$E$41</f>
        <v>1478400.0000000002</v>
      </c>
      <c r="AD350" s="115">
        <f>ROUND(IF(D350&lt;50000,0,(H350/(3.14*Variables!$C$34^2))),0)</f>
        <v>219</v>
      </c>
      <c r="AE350" s="116">
        <f t="shared" si="58"/>
        <v>216</v>
      </c>
      <c r="AF350" s="117">
        <f t="shared" si="64"/>
        <v>3</v>
      </c>
      <c r="AG350" s="107">
        <f>AF350*Variables!$E$42*Variables!$C$15</f>
        <v>2032.6320000000001</v>
      </c>
      <c r="AH350" s="199">
        <f>ROUND((Z350)/Variables!$C$40,0)</f>
        <v>1</v>
      </c>
      <c r="AI350" s="33">
        <f t="shared" si="59"/>
        <v>1</v>
      </c>
      <c r="AJ350" s="199">
        <f t="shared" si="67"/>
        <v>0</v>
      </c>
      <c r="AK350" s="22">
        <f>AJ350*Variables!$E$43*Variables!$C$15</f>
        <v>0</v>
      </c>
      <c r="AL350" s="20">
        <f>Z350*Variables!$E$38*Variables!$C$15</f>
        <v>26583276.192243829</v>
      </c>
      <c r="AN350" s="200">
        <f t="shared" si="60"/>
        <v>0.315</v>
      </c>
      <c r="AO350" s="201">
        <f t="shared" si="65"/>
        <v>86.31584741820437</v>
      </c>
      <c r="AP350" s="321">
        <f>VLOOKUP(A350,'Household Information'!H:Q,10,FALSE)</f>
        <v>93.297993184399843</v>
      </c>
      <c r="AQ350" s="122">
        <f>IF(12*(AO350-Variables!$C$3*AP350*F350)*(G350/5)&lt;0,0,12*(AO350-Variables!$C$3*AP350*F350)*(G350/5))</f>
        <v>3530688.7150915139</v>
      </c>
    </row>
    <row r="351" spans="1:43" ht="14.25" customHeight="1" x14ac:dyDescent="0.35">
      <c r="A351" s="30">
        <v>12</v>
      </c>
      <c r="B351" s="28" t="s">
        <v>165</v>
      </c>
      <c r="C351" s="28">
        <v>2027</v>
      </c>
      <c r="D351" s="196">
        <f>Population!L13</f>
        <v>145882.62252674557</v>
      </c>
      <c r="E351" s="303" t="str">
        <f t="shared" si="66"/>
        <v>Medium</v>
      </c>
      <c r="F351" s="340">
        <f>VLOOKUP(A351,'Household Information'!$H$2:$M$49,6,FALSE)</f>
        <v>4.2184831531569431</v>
      </c>
      <c r="G351" s="196">
        <f t="shared" si="61"/>
        <v>34582</v>
      </c>
      <c r="H351" s="213">
        <f>Area!N13</f>
        <v>28.714720158495858</v>
      </c>
      <c r="J351" s="32">
        <f>D351*Variables!$C$20</f>
        <v>131.29436027407101</v>
      </c>
      <c r="K351" s="202">
        <f t="shared" si="57"/>
        <v>128.25472333112336</v>
      </c>
      <c r="L351" s="32">
        <f t="shared" si="62"/>
        <v>3.0396369429476522</v>
      </c>
      <c r="S351" s="198">
        <f>$L351*Variables!$C$21/100</f>
        <v>0.16504815979806253</v>
      </c>
      <c r="T351" s="198">
        <f>$L351*Variables!$C$22/100</f>
        <v>0.28883427964660952</v>
      </c>
      <c r="U351" s="198">
        <f>$L351*Variables!$C$23/100</f>
        <v>0.30258829296311474</v>
      </c>
      <c r="V351" s="198">
        <f>$L351*Variables!$C$24/100</f>
        <v>2.2006421306408344</v>
      </c>
      <c r="W351" s="22">
        <f>S351*Variables!$E$25*Variables!$C$15+'Cost Calculations'!T351*Variables!$E$26*Variables!$C$15+'Cost Calculations'!U351*Variables!$E$27*Variables!$C$15+V351*Variables!$E$28*Variables!$C$15</f>
        <v>2038811.3543383121</v>
      </c>
      <c r="X351" s="20">
        <f>J351*Variables!$E$29*Variables!$C$15</f>
        <v>22443.457945249702</v>
      </c>
      <c r="Z351" s="33">
        <f>D351*(IF(D351&lt;50000,0,IF(D351&gt;Variables!$C$7,Variables!$C$37,IF(D351&gt;Variables!$C$6,Variables!$C$36,IF(D351&gt;Variables!$C$5,Variables!$C$35)))))</f>
        <v>72.941311263372782</v>
      </c>
      <c r="AA351" s="34">
        <f t="shared" si="56"/>
        <v>71</v>
      </c>
      <c r="AB351" s="35">
        <f t="shared" si="63"/>
        <v>2</v>
      </c>
      <c r="AC351" s="22">
        <f>AB351*Variables!$E$41</f>
        <v>739200.00000000012</v>
      </c>
      <c r="AD351" s="115">
        <f>ROUND(IF(D351&lt;50000,0,(H351/(3.14*Variables!$C$34^2))),0)</f>
        <v>37</v>
      </c>
      <c r="AE351" s="116">
        <f t="shared" si="58"/>
        <v>36</v>
      </c>
      <c r="AF351" s="117">
        <f t="shared" si="64"/>
        <v>1</v>
      </c>
      <c r="AG351" s="107">
        <f>AF351*Variables!$E$42*Variables!$C$15</f>
        <v>677.54399999999998</v>
      </c>
      <c r="AH351" s="199">
        <f>ROUND((Z351)/Variables!$C$40,0)</f>
        <v>1</v>
      </c>
      <c r="AI351" s="33">
        <f t="shared" si="59"/>
        <v>1</v>
      </c>
      <c r="AJ351" s="199">
        <f t="shared" si="67"/>
        <v>0</v>
      </c>
      <c r="AK351" s="22">
        <f>AJ351*Variables!$E$43*Variables!$C$15</f>
        <v>0</v>
      </c>
      <c r="AL351" s="20">
        <f>Z351*Variables!$E$38*Variables!$C$15</f>
        <v>12930927.045624977</v>
      </c>
      <c r="AN351" s="200">
        <f t="shared" si="60"/>
        <v>0.28000000000000003</v>
      </c>
      <c r="AO351" s="201">
        <f t="shared" si="65"/>
        <v>70.870516973036644</v>
      </c>
      <c r="AP351" s="321">
        <f>VLOOKUP(A351,'Household Information'!H:Q,10,FALSE)</f>
        <v>108.65462509082352</v>
      </c>
      <c r="AQ351" s="122">
        <f>IF(12*(AO351-Variables!$C$3*AP351*F351)*(G351/5)&lt;0,0,12*(AO351-Variables!$C$3*AP351*F351)*(G351/5))</f>
        <v>175692.70185147488</v>
      </c>
    </row>
    <row r="352" spans="1:43" ht="14.25" customHeight="1" x14ac:dyDescent="0.35">
      <c r="A352" s="30">
        <v>13</v>
      </c>
      <c r="B352" s="28" t="s">
        <v>166</v>
      </c>
      <c r="C352" s="28">
        <v>2027</v>
      </c>
      <c r="D352" s="196">
        <f>Population!L14</f>
        <v>9792505.230035305</v>
      </c>
      <c r="E352" s="303" t="str">
        <f t="shared" si="66"/>
        <v>Large</v>
      </c>
      <c r="F352" s="340">
        <f>VLOOKUP(A352,'Household Information'!$H$2:$M$49,6,FALSE)</f>
        <v>4.33</v>
      </c>
      <c r="G352" s="196">
        <f t="shared" si="61"/>
        <v>2261549</v>
      </c>
      <c r="H352" s="213">
        <f>Area!N14</f>
        <v>920.72909992048324</v>
      </c>
      <c r="J352" s="32">
        <f>D352*Variables!$C$20</f>
        <v>8813.2547070317742</v>
      </c>
      <c r="K352" s="202">
        <f t="shared" si="57"/>
        <v>8609.2162811680882</v>
      </c>
      <c r="L352" s="32">
        <f t="shared" si="62"/>
        <v>204.03842586368592</v>
      </c>
      <c r="S352" s="198">
        <f>$L352*Variables!$C$21/100</f>
        <v>11.079009549159414</v>
      </c>
      <c r="T352" s="198">
        <f>$L352*Variables!$C$22/100</f>
        <v>19.388266711028976</v>
      </c>
      <c r="U352" s="198">
        <f>$L352*Variables!$C$23/100</f>
        <v>20.311517506792264</v>
      </c>
      <c r="V352" s="198">
        <f>$L352*Variables!$C$24/100</f>
        <v>147.72012732212556</v>
      </c>
      <c r="W352" s="22">
        <f>S352*Variables!$E$25*Variables!$C$15+'Cost Calculations'!T352*Variables!$E$26*Variables!$C$15+'Cost Calculations'!U352*Variables!$E$27*Variables!$C$15+V352*Variables!$E$28*Variables!$C$15</f>
        <v>136857087.59967619</v>
      </c>
      <c r="X352" s="20">
        <f>J352*Variables!$E$29*Variables!$C$15</f>
        <v>1506537.7596200116</v>
      </c>
      <c r="Z352" s="33">
        <f>D352*(IF(D352&lt;50000,0,IF(D352&gt;Variables!$C$7,Variables!$C$37,IF(D352&gt;Variables!$C$6,Variables!$C$36,IF(D352&gt;Variables!$C$5,Variables!$C$35)))))</f>
        <v>4896.2526150176527</v>
      </c>
      <c r="AA352" s="34">
        <f t="shared" si="56"/>
        <v>4783</v>
      </c>
      <c r="AB352" s="35">
        <f t="shared" si="63"/>
        <v>113</v>
      </c>
      <c r="AC352" s="22">
        <f>AB352*Variables!$E$41</f>
        <v>41764800.000000007</v>
      </c>
      <c r="AD352" s="115">
        <f>ROUND(IF(D352&lt;50000,0,(H352/(3.14*Variables!$C$34^2))),0)</f>
        <v>1173</v>
      </c>
      <c r="AE352" s="116">
        <f t="shared" si="58"/>
        <v>1161</v>
      </c>
      <c r="AF352" s="117">
        <f t="shared" si="64"/>
        <v>12</v>
      </c>
      <c r="AG352" s="107">
        <f>AF352*Variables!$E$42*Variables!$C$15</f>
        <v>8130.5280000000002</v>
      </c>
      <c r="AH352" s="199">
        <f>ROUND((Z352)/Variables!$C$40,0)</f>
        <v>39</v>
      </c>
      <c r="AI352" s="33">
        <f t="shared" si="59"/>
        <v>38</v>
      </c>
      <c r="AJ352" s="199">
        <f t="shared" si="67"/>
        <v>1</v>
      </c>
      <c r="AK352" s="22">
        <f>AJ352*Variables!$E$43*Variables!$C$15</f>
        <v>552717.39600000007</v>
      </c>
      <c r="AL352" s="20">
        <f>Z352*Variables!$E$38*Variables!$C$15</f>
        <v>868000372.6987592</v>
      </c>
      <c r="AN352" s="200">
        <f t="shared" si="60"/>
        <v>0.28000000000000003</v>
      </c>
      <c r="AO352" s="201">
        <f t="shared" si="65"/>
        <v>72.744</v>
      </c>
      <c r="AP352" s="321">
        <f>VLOOKUP(A352,'Household Information'!H:Q,10,FALSE)</f>
        <v>139.85863940426606</v>
      </c>
      <c r="AQ352" s="122">
        <f>IF(12*(AO352-Variables!$C$3*AP352*F352)*(G352/5)&lt;0,0,12*(AO352-Variables!$C$3*AP352*F352)*(G352/5))</f>
        <v>0</v>
      </c>
    </row>
    <row r="353" spans="1:43" ht="14.25" customHeight="1" x14ac:dyDescent="0.35">
      <c r="A353" s="30">
        <v>14</v>
      </c>
      <c r="B353" s="28" t="s">
        <v>167</v>
      </c>
      <c r="C353" s="28">
        <v>2027</v>
      </c>
      <c r="D353" s="196">
        <f>Population!L15</f>
        <v>390203.9398763717</v>
      </c>
      <c r="E353" s="303" t="str">
        <f t="shared" si="66"/>
        <v>Medium</v>
      </c>
      <c r="F353" s="340">
        <f>VLOOKUP(A353,'Household Information'!$H$2:$M$49,6,FALSE)</f>
        <v>4.6437746693442286</v>
      </c>
      <c r="G353" s="196">
        <f t="shared" si="61"/>
        <v>84027</v>
      </c>
      <c r="H353" s="213">
        <f>Area!N15</f>
        <v>45.339031829203982</v>
      </c>
      <c r="J353" s="32">
        <f>D353*Variables!$C$20</f>
        <v>351.1835458887345</v>
      </c>
      <c r="K353" s="202">
        <f t="shared" si="57"/>
        <v>343.05318539487592</v>
      </c>
      <c r="L353" s="32">
        <f t="shared" si="62"/>
        <v>8.130360493858575</v>
      </c>
      <c r="S353" s="198">
        <f>$L353*Variables!$C$21/100</f>
        <v>0.44146753812806738</v>
      </c>
      <c r="T353" s="198">
        <f>$L353*Variables!$C$22/100</f>
        <v>0.77256819172411795</v>
      </c>
      <c r="U353" s="198">
        <f>$L353*Variables!$C$23/100</f>
        <v>0.80935715323479029</v>
      </c>
      <c r="V353" s="198">
        <f>$L353*Variables!$C$24/100</f>
        <v>5.8862338417075657</v>
      </c>
      <c r="W353" s="22">
        <f>S353*Variables!$E$25*Variables!$C$15+'Cost Calculations'!T353*Variables!$E$26*Variables!$C$15+'Cost Calculations'!U353*Variables!$E$27*Variables!$C$15+V353*Variables!$E$28*Variables!$C$15</f>
        <v>5453372.0970201995</v>
      </c>
      <c r="X353" s="20">
        <f>J353*Variables!$E$29*Variables!$C$15</f>
        <v>60031.315334220279</v>
      </c>
      <c r="Z353" s="33">
        <f>D353*(IF(D353&lt;50000,0,IF(D353&gt;Variables!$C$7,Variables!$C$37,IF(D353&gt;Variables!$C$6,Variables!$C$36,IF(D353&gt;Variables!$C$5,Variables!$C$35)))))</f>
        <v>195.10196993818585</v>
      </c>
      <c r="AA353" s="34">
        <f t="shared" si="56"/>
        <v>191</v>
      </c>
      <c r="AB353" s="35">
        <f t="shared" si="63"/>
        <v>4</v>
      </c>
      <c r="AC353" s="22">
        <f>AB353*Variables!$E$41</f>
        <v>1478400.0000000002</v>
      </c>
      <c r="AD353" s="115">
        <f>ROUND(IF(D353&lt;50000,0,(H353/(3.14*Variables!$C$34^2))),0)</f>
        <v>58</v>
      </c>
      <c r="AE353" s="116">
        <f t="shared" si="58"/>
        <v>57</v>
      </c>
      <c r="AF353" s="117">
        <f t="shared" si="64"/>
        <v>1</v>
      </c>
      <c r="AG353" s="107">
        <f>AF353*Variables!$E$42*Variables!$C$15</f>
        <v>677.54399999999998</v>
      </c>
      <c r="AH353" s="199">
        <f>ROUND((Z353)/Variables!$C$40,0)</f>
        <v>2</v>
      </c>
      <c r="AI353" s="33">
        <f t="shared" si="59"/>
        <v>2</v>
      </c>
      <c r="AJ353" s="199">
        <f t="shared" si="67"/>
        <v>0</v>
      </c>
      <c r="AK353" s="22">
        <f>AJ353*Variables!$E$43*Variables!$C$15</f>
        <v>0</v>
      </c>
      <c r="AL353" s="20">
        <f>Z353*Variables!$E$38*Variables!$C$15</f>
        <v>34587386.709008045</v>
      </c>
      <c r="AN353" s="200">
        <f t="shared" si="60"/>
        <v>0.21</v>
      </c>
      <c r="AO353" s="201">
        <f t="shared" si="65"/>
        <v>58.511560833737278</v>
      </c>
      <c r="AP353" s="321">
        <f>VLOOKUP(A353,'Household Information'!H:Q,10,FALSE)</f>
        <v>108.65462509082352</v>
      </c>
      <c r="AQ353" s="122">
        <f>IF(12*(AO353-Variables!$C$3*AP353*F353)*(G353/5)&lt;0,0,12*(AO353-Variables!$C$3*AP353*F353)*(G353/5))</f>
        <v>0</v>
      </c>
    </row>
    <row r="354" spans="1:43" ht="14.25" customHeight="1" x14ac:dyDescent="0.35">
      <c r="A354" s="30">
        <v>15</v>
      </c>
      <c r="B354" s="28" t="s">
        <v>168</v>
      </c>
      <c r="C354" s="28">
        <v>2027</v>
      </c>
      <c r="D354" s="196">
        <f>Population!L16</f>
        <v>86538.07325166119</v>
      </c>
      <c r="E354" s="303" t="str">
        <f t="shared" si="66"/>
        <v>Small</v>
      </c>
      <c r="F354" s="340">
        <f>VLOOKUP(A354,'Household Information'!$H$2:$M$49,6,FALSE)</f>
        <v>4.4181210545859635</v>
      </c>
      <c r="G354" s="196">
        <f t="shared" si="61"/>
        <v>19587</v>
      </c>
      <c r="H354" s="213">
        <f>Area!N16</f>
        <v>252.38727718256879</v>
      </c>
      <c r="J354" s="32">
        <f>D354*Variables!$C$20</f>
        <v>77.884265926495075</v>
      </c>
      <c r="K354" s="202">
        <f t="shared" si="57"/>
        <v>76.081142841159576</v>
      </c>
      <c r="L354" s="32">
        <f t="shared" si="62"/>
        <v>1.8031230853354998</v>
      </c>
      <c r="S354" s="198">
        <f>$L354*Variables!$C$21/100</f>
        <v>9.7907135855321237E-2</v>
      </c>
      <c r="T354" s="198">
        <f>$L354*Variables!$C$22/100</f>
        <v>0.17133748774681221</v>
      </c>
      <c r="U354" s="198">
        <f>$L354*Variables!$C$23/100</f>
        <v>0.17949641573475564</v>
      </c>
      <c r="V354" s="198">
        <f>$L354*Variables!$C$24/100</f>
        <v>1.30542847807095</v>
      </c>
      <c r="W354" s="22">
        <f>S354*Variables!$E$25*Variables!$C$15+'Cost Calculations'!T354*Variables!$E$26*Variables!$C$15+'Cost Calculations'!U354*Variables!$E$27*Variables!$C$15+V354*Variables!$E$28*Variables!$C$15</f>
        <v>1209429.9051670847</v>
      </c>
      <c r="X354" s="20">
        <f>J354*Variables!$E$29*Variables!$C$15</f>
        <v>13313.536417475068</v>
      </c>
      <c r="Z354" s="33">
        <f>D354*(IF(D354&lt;50000,0,IF(D354&gt;Variables!$C$7,Variables!$C$37,IF(D354&gt;Variables!$C$6,Variables!$C$36,IF(D354&gt;Variables!$C$5,Variables!$C$35)))))</f>
        <v>43.269036625830594</v>
      </c>
      <c r="AA354" s="34">
        <f t="shared" si="56"/>
        <v>42</v>
      </c>
      <c r="AB354" s="35">
        <f t="shared" si="63"/>
        <v>1</v>
      </c>
      <c r="AC354" s="22">
        <f>AB354*Variables!$E$41</f>
        <v>369600.00000000006</v>
      </c>
      <c r="AD354" s="115">
        <f>ROUND(IF(D354&lt;50000,0,(H354/(3.14*Variables!$C$34^2))),0)</f>
        <v>322</v>
      </c>
      <c r="AE354" s="116">
        <f t="shared" si="58"/>
        <v>317</v>
      </c>
      <c r="AF354" s="117">
        <f t="shared" si="64"/>
        <v>5</v>
      </c>
      <c r="AG354" s="107">
        <f>AF354*Variables!$E$42*Variables!$C$15</f>
        <v>3387.7200000000003</v>
      </c>
      <c r="AH354" s="199">
        <f>ROUND((Z354)/Variables!$C$40,0)</f>
        <v>0</v>
      </c>
      <c r="AI354" s="33">
        <f t="shared" si="59"/>
        <v>0</v>
      </c>
      <c r="AJ354" s="199">
        <f t="shared" si="67"/>
        <v>0</v>
      </c>
      <c r="AK354" s="22">
        <f>AJ354*Variables!$E$43*Variables!$C$15</f>
        <v>0</v>
      </c>
      <c r="AL354" s="20">
        <f>Z354*Variables!$E$38*Variables!$C$15</f>
        <v>7670670.3821493518</v>
      </c>
      <c r="AN354" s="200">
        <f t="shared" si="60"/>
        <v>0.28000000000000003</v>
      </c>
      <c r="AO354" s="201">
        <f t="shared" si="65"/>
        <v>74.224433717044192</v>
      </c>
      <c r="AP354" s="321">
        <f>VLOOKUP(A354,'Household Information'!H:Q,10,FALSE)</f>
        <v>119.4497033951786</v>
      </c>
      <c r="AQ354" s="122">
        <f>IF(12*(AO354-Variables!$C$3*AP354*F354)*(G354/5)&lt;0,0,12*(AO354-Variables!$C$3*AP354*F354)*(G354/5))</f>
        <v>0</v>
      </c>
    </row>
    <row r="355" spans="1:43" ht="14.25" customHeight="1" x14ac:dyDescent="0.35">
      <c r="A355" s="30">
        <v>16</v>
      </c>
      <c r="B355" s="28" t="s">
        <v>169</v>
      </c>
      <c r="C355" s="28">
        <v>2027</v>
      </c>
      <c r="D355" s="196">
        <f>Population!L17</f>
        <v>4431149.3836022858</v>
      </c>
      <c r="E355" s="303" t="str">
        <f t="shared" si="66"/>
        <v>Large</v>
      </c>
      <c r="F355" s="340">
        <f>VLOOKUP(A355,'Household Information'!$H$2:$M$49,6,FALSE)</f>
        <v>5.0811133147736394</v>
      </c>
      <c r="G355" s="196">
        <f t="shared" si="61"/>
        <v>872082</v>
      </c>
      <c r="H355" s="213">
        <f>Area!N17</f>
        <v>337.34771140358259</v>
      </c>
      <c r="J355" s="32">
        <f>D355*Variables!$C$20</f>
        <v>3988.0344452420572</v>
      </c>
      <c r="K355" s="202">
        <f t="shared" si="57"/>
        <v>3895.7062081098538</v>
      </c>
      <c r="L355" s="32">
        <f t="shared" si="62"/>
        <v>92.328237132203412</v>
      </c>
      <c r="S355" s="198">
        <f>$L355*Variables!$C$21/100</f>
        <v>5.0132979438300485</v>
      </c>
      <c r="T355" s="198">
        <f>$L355*Variables!$C$22/100</f>
        <v>8.773271401702587</v>
      </c>
      <c r="U355" s="198">
        <f>$L355*Variables!$C$23/100</f>
        <v>9.1910462303550915</v>
      </c>
      <c r="V355" s="198">
        <f>$L355*Variables!$C$24/100</f>
        <v>66.84397258440066</v>
      </c>
      <c r="W355" s="22">
        <f>S355*Variables!$E$25*Variables!$C$15+'Cost Calculations'!T355*Variables!$E$26*Variables!$C$15+'Cost Calculations'!U355*Variables!$E$27*Variables!$C$15+V355*Variables!$E$28*Variables!$C$15</f>
        <v>61928401.886257201</v>
      </c>
      <c r="X355" s="20">
        <f>J355*Variables!$E$29*Variables!$C$15</f>
        <v>681714.60806967737</v>
      </c>
      <c r="Z355" s="33">
        <f>D355*(IF(D355&lt;50000,0,IF(D355&gt;Variables!$C$7,Variables!$C$37,IF(D355&gt;Variables!$C$6,Variables!$C$36,IF(D355&gt;Variables!$C$5,Variables!$C$35)))))</f>
        <v>2215.5746918011428</v>
      </c>
      <c r="AA355" s="34">
        <f t="shared" si="56"/>
        <v>3249</v>
      </c>
      <c r="AB355" s="35">
        <f t="shared" si="63"/>
        <v>0</v>
      </c>
      <c r="AC355" s="22">
        <f>AB355*Variables!$E$41</f>
        <v>0</v>
      </c>
      <c r="AD355" s="115">
        <f>ROUND(IF(D355&lt;50000,0,(H355/(3.14*Variables!$C$34^2))),0)</f>
        <v>430</v>
      </c>
      <c r="AE355" s="116">
        <f t="shared" si="58"/>
        <v>566</v>
      </c>
      <c r="AF355" s="117">
        <f t="shared" si="64"/>
        <v>0</v>
      </c>
      <c r="AG355" s="107">
        <f>AF355*Variables!$E$42*Variables!$C$15</f>
        <v>0</v>
      </c>
      <c r="AH355" s="199">
        <f>ROUND((Z355)/Variables!$C$40,0)</f>
        <v>18</v>
      </c>
      <c r="AI355" s="33">
        <f t="shared" si="59"/>
        <v>17</v>
      </c>
      <c r="AJ355" s="199">
        <f t="shared" si="67"/>
        <v>1</v>
      </c>
      <c r="AK355" s="22">
        <f>AJ355*Variables!$E$43*Variables!$C$15</f>
        <v>552717.39600000007</v>
      </c>
      <c r="AL355" s="20">
        <f>Z355*Variables!$E$38*Variables!$C$15</f>
        <v>392773782.20371848</v>
      </c>
      <c r="AN355" s="200">
        <f t="shared" si="60"/>
        <v>0.21</v>
      </c>
      <c r="AO355" s="201">
        <f t="shared" si="65"/>
        <v>64.022027766147858</v>
      </c>
      <c r="AP355" s="321">
        <f>VLOOKUP(A355,'Household Information'!H:Q,10,FALSE)</f>
        <v>125.45752871387103</v>
      </c>
      <c r="AQ355" s="122">
        <f>IF(12*(AO355-Variables!$C$3*AP355*F355)*(G355/5)&lt;0,0,12*(AO355-Variables!$C$3*AP355*F355)*(G355/5))</f>
        <v>0</v>
      </c>
    </row>
    <row r="356" spans="1:43" ht="14.25" customHeight="1" x14ac:dyDescent="0.35">
      <c r="A356" s="30">
        <v>17</v>
      </c>
      <c r="B356" s="28" t="s">
        <v>170</v>
      </c>
      <c r="C356" s="28">
        <v>2027</v>
      </c>
      <c r="D356" s="196">
        <f>Population!L18</f>
        <v>16306.804524308656</v>
      </c>
      <c r="E356" s="303" t="str">
        <f t="shared" si="66"/>
        <v>Small</v>
      </c>
      <c r="F356" s="340">
        <f>VLOOKUP(A356,'Household Information'!$H$2:$M$49,6,FALSE)</f>
        <v>4.9910952804986639</v>
      </c>
      <c r="G356" s="196">
        <f t="shared" si="61"/>
        <v>3267</v>
      </c>
      <c r="H356" s="213">
        <f>Area!N18</f>
        <v>2.9216298149401947</v>
      </c>
      <c r="J356" s="32">
        <f>D356*Variables!$C$20</f>
        <v>14.676124071877791</v>
      </c>
      <c r="K356" s="202">
        <f t="shared" si="57"/>
        <v>14.336352517219682</v>
      </c>
      <c r="L356" s="32">
        <f t="shared" si="62"/>
        <v>0.3397715546581086</v>
      </c>
      <c r="S356" s="198">
        <f>$L356*Variables!$C$21/100</f>
        <v>1.8449134189580555E-2</v>
      </c>
      <c r="T356" s="198">
        <f>$L356*Variables!$C$22/100</f>
        <v>3.2285984831765979E-2</v>
      </c>
      <c r="U356" s="198">
        <f>$L356*Variables!$C$23/100</f>
        <v>3.382341268089769E-2</v>
      </c>
      <c r="V356" s="198">
        <f>$L356*Variables!$C$24/100</f>
        <v>0.2459884558610741</v>
      </c>
      <c r="W356" s="22">
        <f>S356*Variables!$E$25*Variables!$C$15+'Cost Calculations'!T356*Variables!$E$26*Variables!$C$15+'Cost Calculations'!U356*Variables!$E$27*Variables!$C$15+V356*Variables!$E$28*Variables!$C$15</f>
        <v>227898.96179060295</v>
      </c>
      <c r="X356" s="20">
        <f>J356*Variables!$E$29*Variables!$C$15</f>
        <v>2508.7366488467896</v>
      </c>
      <c r="Z356" s="33">
        <f>D356*(IF(D356&lt;50000,0,IF(D356&gt;Variables!$C$7,Variables!$C$37,IF(D356&gt;Variables!$C$6,Variables!$C$36,IF(D356&gt;Variables!$C$5,Variables!$C$35)))))</f>
        <v>0</v>
      </c>
      <c r="AA356" s="34">
        <f t="shared" si="56"/>
        <v>0</v>
      </c>
      <c r="AB356" s="35">
        <f t="shared" si="63"/>
        <v>0</v>
      </c>
      <c r="AC356" s="22">
        <f>AB356*Variables!$E$41</f>
        <v>0</v>
      </c>
      <c r="AD356" s="115">
        <f>ROUND(IF(D356&lt;50000,0,(H356/(3.14*Variables!$C$34^2))),0)</f>
        <v>0</v>
      </c>
      <c r="AE356" s="116">
        <f t="shared" si="58"/>
        <v>0</v>
      </c>
      <c r="AF356" s="117">
        <f t="shared" si="64"/>
        <v>0</v>
      </c>
      <c r="AG356" s="107">
        <f>AF356*Variables!$E$42*Variables!$C$15</f>
        <v>0</v>
      </c>
      <c r="AH356" s="199">
        <f>ROUND((Z356)/Variables!$C$40,0)</f>
        <v>0</v>
      </c>
      <c r="AI356" s="33">
        <f t="shared" si="59"/>
        <v>0</v>
      </c>
      <c r="AJ356" s="199">
        <f t="shared" si="67"/>
        <v>0</v>
      </c>
      <c r="AK356" s="22">
        <f>AJ356*Variables!$E$43*Variables!$C$15</f>
        <v>0</v>
      </c>
      <c r="AL356" s="20">
        <f>Z356*Variables!$E$38*Variables!$C$15</f>
        <v>0</v>
      </c>
      <c r="AN356" s="200">
        <f t="shared" si="60"/>
        <v>0.25221875000000005</v>
      </c>
      <c r="AO356" s="201">
        <f t="shared" si="65"/>
        <v>75.530868766696358</v>
      </c>
      <c r="AP356" s="321">
        <f>VLOOKUP(A356,'Household Information'!H:Q,10,FALSE)</f>
        <v>108.65462509082352</v>
      </c>
      <c r="AQ356" s="122">
        <f>IF(12*(AO356-Variables!$C$3*AP356*F356)*(G356/5)&lt;0,0,12*(AO356-Variables!$C$3*AP356*F356)*(G356/5))</f>
        <v>0</v>
      </c>
    </row>
    <row r="357" spans="1:43" ht="14.25" customHeight="1" x14ac:dyDescent="0.35">
      <c r="A357" s="30">
        <v>18</v>
      </c>
      <c r="B357" s="28" t="s">
        <v>171</v>
      </c>
      <c r="C357" s="28">
        <v>2027</v>
      </c>
      <c r="D357" s="196">
        <f>Population!L19</f>
        <v>144068.65417332784</v>
      </c>
      <c r="E357" s="303" t="str">
        <f t="shared" si="66"/>
        <v>Medium</v>
      </c>
      <c r="F357" s="340">
        <f>VLOOKUP(A357,'Household Information'!$H$2:$M$49,6,FALSE)</f>
        <v>4.4388221584797423</v>
      </c>
      <c r="G357" s="196">
        <f t="shared" si="61"/>
        <v>32457</v>
      </c>
      <c r="H357" s="213">
        <f>Area!N19</f>
        <v>30.226021219469327</v>
      </c>
      <c r="J357" s="32">
        <f>D357*Variables!$C$20</f>
        <v>129.66178875599505</v>
      </c>
      <c r="K357" s="202">
        <f t="shared" si="57"/>
        <v>126.65994798866369</v>
      </c>
      <c r="L357" s="32">
        <f t="shared" si="62"/>
        <v>3.001840767331359</v>
      </c>
      <c r="S357" s="198">
        <f>$L357*Variables!$C$21/100</f>
        <v>0.16299587876912355</v>
      </c>
      <c r="T357" s="198">
        <f>$L357*Variables!$C$22/100</f>
        <v>0.28524278784596624</v>
      </c>
      <c r="U357" s="198">
        <f>$L357*Variables!$C$23/100</f>
        <v>0.29882577774339319</v>
      </c>
      <c r="V357" s="198">
        <f>$L357*Variables!$C$24/100</f>
        <v>2.1732783835883138</v>
      </c>
      <c r="W357" s="22">
        <f>S357*Variables!$E$25*Variables!$C$15+'Cost Calculations'!T357*Variables!$E$26*Variables!$C$15+'Cost Calculations'!U357*Variables!$E$27*Variables!$C$15+V357*Variables!$E$28*Variables!$C$15</f>
        <v>2013459.8819607138</v>
      </c>
      <c r="X357" s="20">
        <f>J357*Variables!$E$29*Variables!$C$15</f>
        <v>22164.386169949794</v>
      </c>
      <c r="Z357" s="33">
        <f>D357*(IF(D357&lt;50000,0,IF(D357&gt;Variables!$C$7,Variables!$C$37,IF(D357&gt;Variables!$C$6,Variables!$C$36,IF(D357&gt;Variables!$C$5,Variables!$C$35)))))</f>
        <v>72.034327086663922</v>
      </c>
      <c r="AA357" s="34">
        <f t="shared" si="56"/>
        <v>94</v>
      </c>
      <c r="AB357" s="35">
        <f t="shared" si="63"/>
        <v>0</v>
      </c>
      <c r="AC357" s="22">
        <f>AB357*Variables!$E$41</f>
        <v>0</v>
      </c>
      <c r="AD357" s="115">
        <f>ROUND(IF(D357&lt;50000,0,(H357/(3.14*Variables!$C$34^2))),0)</f>
        <v>39</v>
      </c>
      <c r="AE357" s="116">
        <f t="shared" si="58"/>
        <v>38</v>
      </c>
      <c r="AF357" s="117">
        <f t="shared" si="64"/>
        <v>1</v>
      </c>
      <c r="AG357" s="107">
        <f>AF357*Variables!$E$42*Variables!$C$15</f>
        <v>677.54399999999998</v>
      </c>
      <c r="AH357" s="199">
        <f>ROUND((Z357)/Variables!$C$40,0)</f>
        <v>1</v>
      </c>
      <c r="AI357" s="33">
        <f t="shared" si="59"/>
        <v>1</v>
      </c>
      <c r="AJ357" s="199">
        <f t="shared" si="67"/>
        <v>0</v>
      </c>
      <c r="AK357" s="22">
        <f>AJ357*Variables!$E$43*Variables!$C$15</f>
        <v>0</v>
      </c>
      <c r="AL357" s="20">
        <f>Z357*Variables!$E$38*Variables!$C$15</f>
        <v>12770138.241346272</v>
      </c>
      <c r="AN357" s="200">
        <f t="shared" si="60"/>
        <v>0.25221875000000005</v>
      </c>
      <c r="AO357" s="201">
        <f t="shared" si="65"/>
        <v>67.17325057704376</v>
      </c>
      <c r="AP357" s="321">
        <f>VLOOKUP(A357,'Household Information'!H:Q,10,FALSE)</f>
        <v>98.76688123185663</v>
      </c>
      <c r="AQ357" s="122">
        <f>IF(12*(AO357-Variables!$C$3*AP357*F357)*(G357/5)&lt;0,0,12*(AO357-Variables!$C$3*AP357*F357)*(G357/5))</f>
        <v>109986.96605189517</v>
      </c>
    </row>
    <row r="358" spans="1:43" ht="14.25" customHeight="1" x14ac:dyDescent="0.35">
      <c r="A358" s="30">
        <v>19</v>
      </c>
      <c r="B358" s="28" t="s">
        <v>172</v>
      </c>
      <c r="C358" s="28">
        <v>2027</v>
      </c>
      <c r="D358" s="196">
        <f>Population!L20</f>
        <v>6541187.3384149494</v>
      </c>
      <c r="E358" s="303" t="str">
        <f t="shared" si="66"/>
        <v>Large</v>
      </c>
      <c r="F358" s="340">
        <f>VLOOKUP(A358,'Household Information'!$H$2:$M$49,6,FALSE)</f>
        <v>4.3873267195354213</v>
      </c>
      <c r="G358" s="196">
        <f t="shared" si="61"/>
        <v>1490928</v>
      </c>
      <c r="H358" s="213">
        <f>Area!N20</f>
        <v>1073.2314977899575</v>
      </c>
      <c r="J358" s="32">
        <f>D358*Variables!$C$20</f>
        <v>5887.0686045734546</v>
      </c>
      <c r="K358" s="202">
        <f t="shared" si="57"/>
        <v>5750.775231584892</v>
      </c>
      <c r="L358" s="32">
        <f t="shared" si="62"/>
        <v>136.29337298856262</v>
      </c>
      <c r="S358" s="198">
        <f>$L358*Variables!$C$21/100</f>
        <v>7.4005451396504585</v>
      </c>
      <c r="T358" s="198">
        <f>$L358*Variables!$C$22/100</f>
        <v>12.950953994388303</v>
      </c>
      <c r="U358" s="198">
        <f>$L358*Variables!$C$23/100</f>
        <v>13.567666089359175</v>
      </c>
      <c r="V358" s="198">
        <f>$L358*Variables!$C$24/100</f>
        <v>98.673935195339453</v>
      </c>
      <c r="W358" s="22">
        <f>S358*Variables!$E$25*Variables!$C$15+'Cost Calculations'!T358*Variables!$E$26*Variables!$C$15+'Cost Calculations'!U358*Variables!$E$27*Variables!$C$15+V358*Variables!$E$28*Variables!$C$15</f>
        <v>91417653.353258893</v>
      </c>
      <c r="X358" s="20">
        <f>J358*Variables!$E$29*Variables!$C$15</f>
        <v>1006335.5072657863</v>
      </c>
      <c r="Z358" s="33">
        <f>D358*(IF(D358&lt;50000,0,IF(D358&gt;Variables!$C$7,Variables!$C$37,IF(D358&gt;Variables!$C$6,Variables!$C$36,IF(D358&gt;Variables!$C$5,Variables!$C$35)))))</f>
        <v>3270.5936692074747</v>
      </c>
      <c r="AA358" s="34">
        <f t="shared" si="56"/>
        <v>5267</v>
      </c>
      <c r="AB358" s="35">
        <f t="shared" si="63"/>
        <v>0</v>
      </c>
      <c r="AC358" s="22">
        <f>AB358*Variables!$E$41</f>
        <v>0</v>
      </c>
      <c r="AD358" s="115">
        <f>ROUND(IF(D358&lt;50000,0,(H358/(3.14*Variables!$C$34^2))),0)</f>
        <v>1367</v>
      </c>
      <c r="AE358" s="116">
        <f t="shared" si="58"/>
        <v>1469</v>
      </c>
      <c r="AF358" s="117">
        <f t="shared" si="64"/>
        <v>0</v>
      </c>
      <c r="AG358" s="107">
        <f>AF358*Variables!$E$42*Variables!$C$15</f>
        <v>0</v>
      </c>
      <c r="AH358" s="199">
        <f>ROUND((Z358)/Variables!$C$40,0)</f>
        <v>26</v>
      </c>
      <c r="AI358" s="33">
        <f t="shared" si="59"/>
        <v>26</v>
      </c>
      <c r="AJ358" s="199">
        <f t="shared" si="67"/>
        <v>0</v>
      </c>
      <c r="AK358" s="22">
        <f>AJ358*Variables!$E$43*Variables!$C$15</f>
        <v>0</v>
      </c>
      <c r="AL358" s="20">
        <f>Z358*Variables!$E$38*Variables!$C$15</f>
        <v>579805975.51502264</v>
      </c>
      <c r="AN358" s="200">
        <f t="shared" si="60"/>
        <v>0.14000000000000001</v>
      </c>
      <c r="AO358" s="201">
        <f t="shared" si="65"/>
        <v>36.853544444097544</v>
      </c>
      <c r="AP358" s="321">
        <f>VLOOKUP(A358,'Household Information'!H:Q,10,FALSE)</f>
        <v>155.49665530733307</v>
      </c>
      <c r="AQ358" s="122">
        <f>IF(12*(AO358-Variables!$C$3*AP358*F358)*(G358/5)&lt;0,0,12*(AO358-Variables!$C$3*AP358*F358)*(G358/5))</f>
        <v>0</v>
      </c>
    </row>
    <row r="359" spans="1:43" ht="14.25" customHeight="1" x14ac:dyDescent="0.35">
      <c r="A359" s="30">
        <v>20</v>
      </c>
      <c r="B359" s="28" t="s">
        <v>173</v>
      </c>
      <c r="C359" s="28">
        <v>2027</v>
      </c>
      <c r="D359" s="196">
        <f>Population!L21</f>
        <v>4097946.5262669525</v>
      </c>
      <c r="E359" s="303" t="str">
        <f t="shared" si="66"/>
        <v>Large</v>
      </c>
      <c r="F359" s="340">
        <f>VLOOKUP(A359,'Household Information'!$H$2:$M$49,6,FALSE)</f>
        <v>5.2348048588773741</v>
      </c>
      <c r="G359" s="196">
        <f t="shared" si="61"/>
        <v>782827</v>
      </c>
      <c r="H359" s="213">
        <f>Area!N21</f>
        <v>509.30845754805802</v>
      </c>
      <c r="J359" s="32">
        <f>D359*Variables!$C$20</f>
        <v>3688.1518736402572</v>
      </c>
      <c r="K359" s="202">
        <f t="shared" si="57"/>
        <v>3602.7663120447951</v>
      </c>
      <c r="L359" s="32">
        <f t="shared" si="62"/>
        <v>85.38556159546215</v>
      </c>
      <c r="S359" s="198">
        <f>$L359*Variables!$C$21/100</f>
        <v>4.6363200866314278</v>
      </c>
      <c r="T359" s="198">
        <f>$L359*Variables!$C$22/100</f>
        <v>8.1135601516050002</v>
      </c>
      <c r="U359" s="198">
        <f>$L359*Variables!$C$23/100</f>
        <v>8.4999201588242865</v>
      </c>
      <c r="V359" s="198">
        <f>$L359*Variables!$C$24/100</f>
        <v>61.817601155085725</v>
      </c>
      <c r="W359" s="22">
        <f>S359*Variables!$E$25*Variables!$C$15+'Cost Calculations'!T359*Variables!$E$26*Variables!$C$15+'Cost Calculations'!U359*Variables!$E$27*Variables!$C$15+V359*Variables!$E$28*Variables!$C$15</f>
        <v>57271659.657013059</v>
      </c>
      <c r="X359" s="20">
        <f>J359*Variables!$E$29*Variables!$C$15</f>
        <v>630452.68128006568</v>
      </c>
      <c r="Z359" s="33">
        <f>D359*(IF(D359&lt;50000,0,IF(D359&gt;Variables!$C$7,Variables!$C$37,IF(D359&gt;Variables!$C$6,Variables!$C$36,IF(D359&gt;Variables!$C$5,Variables!$C$35)))))</f>
        <v>2048.9732631334764</v>
      </c>
      <c r="AA359" s="34">
        <f t="shared" si="56"/>
        <v>3353</v>
      </c>
      <c r="AB359" s="35">
        <f t="shared" si="63"/>
        <v>0</v>
      </c>
      <c r="AC359" s="22">
        <f>AB359*Variables!$E$41</f>
        <v>0</v>
      </c>
      <c r="AD359" s="115">
        <f>ROUND(IF(D359&lt;50000,0,(H359/(3.14*Variables!$C$34^2))),0)</f>
        <v>649</v>
      </c>
      <c r="AE359" s="116">
        <f t="shared" si="58"/>
        <v>640</v>
      </c>
      <c r="AF359" s="117">
        <f t="shared" si="64"/>
        <v>9</v>
      </c>
      <c r="AG359" s="107">
        <f>AF359*Variables!$E$42*Variables!$C$15</f>
        <v>6097.8960000000006</v>
      </c>
      <c r="AH359" s="199">
        <f>ROUND((Z359)/Variables!$C$40,0)</f>
        <v>16</v>
      </c>
      <c r="AI359" s="33">
        <f t="shared" si="59"/>
        <v>16</v>
      </c>
      <c r="AJ359" s="199">
        <f t="shared" si="67"/>
        <v>0</v>
      </c>
      <c r="AK359" s="22">
        <f>AJ359*Variables!$E$43*Variables!$C$15</f>
        <v>0</v>
      </c>
      <c r="AL359" s="20">
        <f>Z359*Variables!$E$38*Variables!$C$15</f>
        <v>363238929.01168013</v>
      </c>
      <c r="AN359" s="200">
        <f t="shared" si="60"/>
        <v>0.56000000000000005</v>
      </c>
      <c r="AO359" s="201">
        <f t="shared" si="65"/>
        <v>175.88944325827978</v>
      </c>
      <c r="AP359" s="321">
        <f>VLOOKUP(A359,'Household Information'!H:Q,10,FALSE)</f>
        <v>92.944591695065014</v>
      </c>
      <c r="AQ359" s="122">
        <f>IF(12*(AO359-Variables!$C$3*AP359*F359)*(G359/5)&lt;0,0,12*(AO359-Variables!$C$3*AP359*F359)*(G359/5))</f>
        <v>193340902.56516173</v>
      </c>
    </row>
    <row r="360" spans="1:43" ht="14.25" customHeight="1" x14ac:dyDescent="0.35">
      <c r="A360" s="30">
        <v>21</v>
      </c>
      <c r="B360" s="30" t="s">
        <v>174</v>
      </c>
      <c r="C360" s="28">
        <v>2027</v>
      </c>
      <c r="D360" s="196">
        <f>Population!L22</f>
        <v>18099495.479887232</v>
      </c>
      <c r="E360" s="303" t="str">
        <f t="shared" si="66"/>
        <v>Large</v>
      </c>
      <c r="F360" s="340">
        <f>VLOOKUP(A360,'Household Information'!$H$2:$M$49,6,FALSE)</f>
        <v>4.4756737410071938</v>
      </c>
      <c r="G360" s="196">
        <f t="shared" si="61"/>
        <v>4043971</v>
      </c>
      <c r="H360" s="213">
        <f>Area!N22</f>
        <v>628.55382605844875</v>
      </c>
      <c r="J360" s="32">
        <f>D360*Variables!$C$20</f>
        <v>16289.545931898509</v>
      </c>
      <c r="K360" s="202">
        <f t="shared" si="57"/>
        <v>15912.421541368083</v>
      </c>
      <c r="L360" s="32">
        <f t="shared" si="62"/>
        <v>377.12439053042544</v>
      </c>
      <c r="S360" s="198">
        <f>$L360*Variables!$C$21/100</f>
        <v>20.477342472240295</v>
      </c>
      <c r="T360" s="198">
        <f>$L360*Variables!$C$22/100</f>
        <v>35.83534932642052</v>
      </c>
      <c r="U360" s="198">
        <f>$L360*Variables!$C$23/100</f>
        <v>37.541794532440548</v>
      </c>
      <c r="V360" s="198">
        <f>$L360*Variables!$C$24/100</f>
        <v>273.03123296320393</v>
      </c>
      <c r="W360" s="22">
        <f>S360*Variables!$E$25*Variables!$C$15+'Cost Calculations'!T360*Variables!$E$26*Variables!$C$15+'Cost Calculations'!U360*Variables!$E$27*Variables!$C$15+V360*Variables!$E$28*Variables!$C$15</f>
        <v>252953067.69950277</v>
      </c>
      <c r="X360" s="20">
        <f>J360*Variables!$E$29*Variables!$C$15</f>
        <v>2784534.9815987311</v>
      </c>
      <c r="Z360" s="33">
        <f>D360*(IF(D360&lt;50000,0,IF(D360&gt;Variables!$C$7,Variables!$C$37,IF(D360&gt;Variables!$C$6,Variables!$C$36,IF(D360&gt;Variables!$C$5,Variables!$C$35)))))</f>
        <v>9049.7477399436157</v>
      </c>
      <c r="AA360" s="34">
        <f t="shared" si="56"/>
        <v>8840</v>
      </c>
      <c r="AB360" s="35">
        <f t="shared" si="63"/>
        <v>210</v>
      </c>
      <c r="AC360" s="22">
        <f>AB360*Variables!$E$41</f>
        <v>77616000.000000015</v>
      </c>
      <c r="AD360" s="115">
        <f>ROUND(IF(D360&lt;50000,0,(H360/(3.14*Variables!$C$34^2))),0)</f>
        <v>801</v>
      </c>
      <c r="AE360" s="116">
        <f t="shared" si="58"/>
        <v>1087</v>
      </c>
      <c r="AF360" s="117">
        <f t="shared" si="64"/>
        <v>0</v>
      </c>
      <c r="AG360" s="107">
        <f>AF360*Variables!$E$42*Variables!$C$15</f>
        <v>0</v>
      </c>
      <c r="AH360" s="199">
        <f>ROUND((Z360)/Variables!$C$40,0)</f>
        <v>72</v>
      </c>
      <c r="AI360" s="33">
        <f t="shared" si="59"/>
        <v>71</v>
      </c>
      <c r="AJ360" s="199">
        <f t="shared" si="67"/>
        <v>1</v>
      </c>
      <c r="AK360" s="22">
        <f>AJ360*Variables!$E$43*Variables!$C$15</f>
        <v>552717.39600000007</v>
      </c>
      <c r="AL360" s="20">
        <f>Z360*Variables!$E$38*Variables!$C$15</f>
        <v>1604325803.5763116</v>
      </c>
      <c r="AN360" s="200">
        <f t="shared" si="60"/>
        <v>0.28000000000000003</v>
      </c>
      <c r="AO360" s="201">
        <f t="shared" si="65"/>
        <v>75.191318848920858</v>
      </c>
      <c r="AP360" s="321">
        <f>VLOOKUP(A360,'Household Information'!H:Q,10,FALSE)</f>
        <v>254.44907232109051</v>
      </c>
      <c r="AQ360" s="122">
        <f>IF(12*(AO360-Variables!$C$3*AP360*F360)*(G360/5)&lt;0,0,12*(AO360-Variables!$C$3*AP360*F360)*(G360/5))</f>
        <v>0</v>
      </c>
    </row>
    <row r="361" spans="1:43" ht="14.25" customHeight="1" x14ac:dyDescent="0.35">
      <c r="A361" s="30">
        <v>22</v>
      </c>
      <c r="B361" s="28" t="s">
        <v>175</v>
      </c>
      <c r="C361" s="28">
        <v>2027</v>
      </c>
      <c r="D361" s="196">
        <f>Population!L23</f>
        <v>16051590.668843238</v>
      </c>
      <c r="E361" s="303" t="str">
        <f t="shared" si="66"/>
        <v>Large</v>
      </c>
      <c r="F361" s="340">
        <f>VLOOKUP(A361,'Household Information'!$H$2:$M$49,6,FALSE)</f>
        <v>4.7768636363636361</v>
      </c>
      <c r="G361" s="196">
        <f t="shared" si="61"/>
        <v>3360278</v>
      </c>
      <c r="H361" s="213">
        <f>Area!N23</f>
        <v>1181.8374296812503</v>
      </c>
      <c r="J361" s="32">
        <f>D361*Variables!$C$20</f>
        <v>14446.431601958913</v>
      </c>
      <c r="K361" s="202">
        <f t="shared" si="57"/>
        <v>19972.544550000002</v>
      </c>
      <c r="L361" s="32">
        <f t="shared" si="62"/>
        <v>0</v>
      </c>
      <c r="S361" s="198">
        <f>$L361*Variables!$C$21/100</f>
        <v>0</v>
      </c>
      <c r="T361" s="198">
        <f>$L361*Variables!$C$22/100</f>
        <v>0</v>
      </c>
      <c r="U361" s="198">
        <f>$L361*Variables!$C$23/100</f>
        <v>0</v>
      </c>
      <c r="V361" s="198">
        <f>$L361*Variables!$C$24/100</f>
        <v>0</v>
      </c>
      <c r="W361" s="22">
        <f>S361*Variables!$E$25*Variables!$C$15+'Cost Calculations'!T361*Variables!$E$26*Variables!$C$15+'Cost Calculations'!U361*Variables!$E$27*Variables!$C$15+V361*Variables!$E$28*Variables!$C$15</f>
        <v>0</v>
      </c>
      <c r="X361" s="20">
        <f>J361*Variables!$E$29*Variables!$C$15</f>
        <v>2469473.0180388568</v>
      </c>
      <c r="Z361" s="33">
        <f>D361*(IF(D361&lt;50000,0,IF(D361&gt;Variables!$C$7,Variables!$C$37,IF(D361&gt;Variables!$C$6,Variables!$C$36,IF(D361&gt;Variables!$C$5,Variables!$C$35)))))</f>
        <v>8025.7953344216194</v>
      </c>
      <c r="AA361" s="34">
        <f t="shared" si="56"/>
        <v>7840</v>
      </c>
      <c r="AB361" s="35">
        <f t="shared" si="63"/>
        <v>186</v>
      </c>
      <c r="AC361" s="22">
        <f>AB361*Variables!$E$41</f>
        <v>68745600.000000015</v>
      </c>
      <c r="AD361" s="115">
        <f>ROUND(IF(D361&lt;50000,0,(H361/(3.14*Variables!$C$34^2))),0)</f>
        <v>1506</v>
      </c>
      <c r="AE361" s="116">
        <f t="shared" si="58"/>
        <v>1484</v>
      </c>
      <c r="AF361" s="117">
        <f t="shared" si="64"/>
        <v>22</v>
      </c>
      <c r="AG361" s="107">
        <f>AF361*Variables!$E$42*Variables!$C$15</f>
        <v>14905.968000000001</v>
      </c>
      <c r="AH361" s="199">
        <f>ROUND((Z361)/Variables!$C$40,0)</f>
        <v>64</v>
      </c>
      <c r="AI361" s="33">
        <f t="shared" si="59"/>
        <v>69</v>
      </c>
      <c r="AJ361" s="199">
        <f t="shared" si="67"/>
        <v>0</v>
      </c>
      <c r="AK361" s="22">
        <f>AJ361*Variables!$E$43*Variables!$C$15</f>
        <v>0</v>
      </c>
      <c r="AL361" s="20">
        <f>Z361*Variables!$E$38*Variables!$C$15</f>
        <v>1422801045.8681803</v>
      </c>
      <c r="AN361" s="200">
        <f t="shared" si="60"/>
        <v>0.42</v>
      </c>
      <c r="AO361" s="201">
        <f t="shared" si="65"/>
        <v>120.37696363636363</v>
      </c>
      <c r="AP361" s="321">
        <f>VLOOKUP(A361,'Household Information'!H:Q,10,FALSE)</f>
        <v>150.91303799066011</v>
      </c>
      <c r="AQ361" s="122">
        <f>IF(12*(AO361-Variables!$C$3*AP361*F361)*(G361/5)&lt;0,0,12*(AO361-Variables!$C$3*AP361*F361)*(G361/5))</f>
        <v>98738245.752317995</v>
      </c>
    </row>
    <row r="362" spans="1:43" ht="14.25" customHeight="1" x14ac:dyDescent="0.35">
      <c r="A362" s="30">
        <v>23</v>
      </c>
      <c r="B362" s="28" t="s">
        <v>176</v>
      </c>
      <c r="C362" s="28">
        <v>2027</v>
      </c>
      <c r="D362" s="196">
        <f>Population!L24</f>
        <v>58211.364553903608</v>
      </c>
      <c r="E362" s="303" t="str">
        <f t="shared" si="66"/>
        <v>Small</v>
      </c>
      <c r="F362" s="340">
        <f>VLOOKUP(A362,'Household Information'!$H$2:$M$49,6,FALSE)</f>
        <v>3.9394565859421147</v>
      </c>
      <c r="G362" s="196">
        <f t="shared" si="61"/>
        <v>14776</v>
      </c>
      <c r="H362" s="213">
        <f>Area!N24</f>
        <v>112.13167348751172</v>
      </c>
      <c r="J362" s="32">
        <f>D362*Variables!$C$20</f>
        <v>52.390228098513248</v>
      </c>
      <c r="K362" s="202">
        <f t="shared" si="57"/>
        <v>53.622780000000006</v>
      </c>
      <c r="L362" s="32">
        <f t="shared" si="62"/>
        <v>0</v>
      </c>
      <c r="S362" s="198">
        <f>$L362*Variables!$C$21/100</f>
        <v>0</v>
      </c>
      <c r="T362" s="198">
        <f>$L362*Variables!$C$22/100</f>
        <v>0</v>
      </c>
      <c r="U362" s="198">
        <f>$L362*Variables!$C$23/100</f>
        <v>0</v>
      </c>
      <c r="V362" s="198">
        <f>$L362*Variables!$C$24/100</f>
        <v>0</v>
      </c>
      <c r="W362" s="22">
        <f>S362*Variables!$E$25*Variables!$C$15+'Cost Calculations'!T362*Variables!$E$26*Variables!$C$15+'Cost Calculations'!U362*Variables!$E$27*Variables!$C$15+V362*Variables!$E$28*Variables!$C$15</f>
        <v>0</v>
      </c>
      <c r="X362" s="20">
        <f>J362*Variables!$E$29*Variables!$C$15</f>
        <v>8955.5855911598537</v>
      </c>
      <c r="Z362" s="33">
        <f>D362*(IF(D362&lt;50000,0,IF(D362&gt;Variables!$C$7,Variables!$C$37,IF(D362&gt;Variables!$C$6,Variables!$C$36,IF(D362&gt;Variables!$C$5,Variables!$C$35)))))</f>
        <v>29.105682276951804</v>
      </c>
      <c r="AA362" s="34">
        <f t="shared" si="56"/>
        <v>374.4</v>
      </c>
      <c r="AB362" s="35">
        <f t="shared" si="63"/>
        <v>0</v>
      </c>
      <c r="AC362" s="22">
        <f>AB362*Variables!$E$41</f>
        <v>0</v>
      </c>
      <c r="AD362" s="115">
        <f>ROUND(IF(D362&lt;50000,0,(H362/(3.14*Variables!$C$34^2))),0)</f>
        <v>143</v>
      </c>
      <c r="AE362" s="116">
        <f t="shared" si="58"/>
        <v>141</v>
      </c>
      <c r="AF362" s="117">
        <f t="shared" si="64"/>
        <v>2</v>
      </c>
      <c r="AG362" s="107">
        <f>AF362*Variables!$E$42*Variables!$C$15</f>
        <v>1355.088</v>
      </c>
      <c r="AH362" s="199">
        <f>ROUND((Z362)/Variables!$C$40,0)</f>
        <v>0</v>
      </c>
      <c r="AI362" s="33">
        <f t="shared" si="59"/>
        <v>1</v>
      </c>
      <c r="AJ362" s="199">
        <f t="shared" si="67"/>
        <v>0</v>
      </c>
      <c r="AK362" s="22">
        <f>AJ362*Variables!$E$43*Variables!$C$15</f>
        <v>0</v>
      </c>
      <c r="AL362" s="20">
        <f>Z362*Variables!$E$38*Variables!$C$15</f>
        <v>5159812.0134891672</v>
      </c>
      <c r="AN362" s="200">
        <f t="shared" si="60"/>
        <v>0.42</v>
      </c>
      <c r="AO362" s="201">
        <f t="shared" si="65"/>
        <v>99.274305965741291</v>
      </c>
      <c r="AP362" s="321">
        <f>VLOOKUP(A362,'Household Information'!H:Q,10,FALSE)</f>
        <v>127.00366022971097</v>
      </c>
      <c r="AQ362" s="122">
        <f>IF(12*(AO362-Variables!$C$3*AP362*F362)*(G362/5)&lt;0,0,12*(AO362-Variables!$C$3*AP362*F362)*(G362/5))</f>
        <v>859094.19765190361</v>
      </c>
    </row>
    <row r="363" spans="1:43" ht="14.25" customHeight="1" x14ac:dyDescent="0.35">
      <c r="A363" s="30">
        <v>24</v>
      </c>
      <c r="B363" s="28" t="s">
        <v>177</v>
      </c>
      <c r="C363" s="28">
        <v>2027</v>
      </c>
      <c r="D363" s="196">
        <f>Population!L25</f>
        <v>2449980.2791739674</v>
      </c>
      <c r="E363" s="303" t="str">
        <f t="shared" si="66"/>
        <v>Large</v>
      </c>
      <c r="F363" s="340">
        <f>VLOOKUP(A363,'Household Information'!$H$2:$M$49,6,FALSE)</f>
        <v>5.7167460931666056</v>
      </c>
      <c r="G363" s="196">
        <f t="shared" si="61"/>
        <v>428562</v>
      </c>
      <c r="H363" s="213">
        <f>Area!N25</f>
        <v>114.85888063398343</v>
      </c>
      <c r="J363" s="32">
        <f>D363*Variables!$C$20</f>
        <v>2204.9822512565706</v>
      </c>
      <c r="K363" s="202">
        <f t="shared" si="57"/>
        <v>2153.9340150987305</v>
      </c>
      <c r="L363" s="32">
        <f t="shared" si="62"/>
        <v>51.048236157840165</v>
      </c>
      <c r="S363" s="198">
        <f>$L363*Variables!$C$21/100</f>
        <v>2.7718499271225427</v>
      </c>
      <c r="T363" s="198">
        <f>$L363*Variables!$C$22/100</f>
        <v>4.85073737246445</v>
      </c>
      <c r="U363" s="198">
        <f>$L363*Variables!$C$23/100</f>
        <v>5.0817248663913288</v>
      </c>
      <c r="V363" s="198">
        <f>$L363*Variables!$C$24/100</f>
        <v>36.95799902830057</v>
      </c>
      <c r="W363" s="22">
        <f>S363*Variables!$E$25*Variables!$C$15+'Cost Calculations'!T363*Variables!$E$26*Variables!$C$15+'Cost Calculations'!U363*Variables!$E$27*Variables!$C$15+V363*Variables!$E$28*Variables!$C$15</f>
        <v>34240182.446466759</v>
      </c>
      <c r="X363" s="20">
        <f>J363*Variables!$E$29*Variables!$C$15</f>
        <v>376919.66602979822</v>
      </c>
      <c r="Z363" s="33">
        <f>D363*(IF(D363&lt;50000,0,IF(D363&gt;Variables!$C$7,Variables!$C$37,IF(D363&gt;Variables!$C$6,Variables!$C$36,IF(D363&gt;Variables!$C$5,Variables!$C$35)))))</f>
        <v>1224.9901395869838</v>
      </c>
      <c r="AA363" s="34">
        <f t="shared" si="56"/>
        <v>1196.5999999999999</v>
      </c>
      <c r="AB363" s="35">
        <f t="shared" si="63"/>
        <v>28</v>
      </c>
      <c r="AC363" s="22">
        <f>AB363*Variables!$E$41</f>
        <v>10348800.000000002</v>
      </c>
      <c r="AD363" s="115">
        <f>ROUND(IF(D363&lt;50000,0,(H363/(3.14*Variables!$C$34^2))),0)</f>
        <v>146</v>
      </c>
      <c r="AE363" s="116">
        <f t="shared" si="58"/>
        <v>144</v>
      </c>
      <c r="AF363" s="117">
        <f t="shared" si="64"/>
        <v>2</v>
      </c>
      <c r="AG363" s="107">
        <f>AF363*Variables!$E$42*Variables!$C$15</f>
        <v>1355.088</v>
      </c>
      <c r="AH363" s="199">
        <f>ROUND((Z363)/Variables!$C$40,0)</f>
        <v>10</v>
      </c>
      <c r="AI363" s="33">
        <f t="shared" si="59"/>
        <v>10</v>
      </c>
      <c r="AJ363" s="199">
        <f t="shared" si="67"/>
        <v>0</v>
      </c>
      <c r="AK363" s="22">
        <f>AJ363*Variables!$E$43*Variables!$C$15</f>
        <v>0</v>
      </c>
      <c r="AL363" s="20">
        <f>Z363*Variables!$E$38*Variables!$C$15</f>
        <v>217164427.84273571</v>
      </c>
      <c r="AN363" s="200">
        <f t="shared" si="60"/>
        <v>0.14000000000000001</v>
      </c>
      <c r="AO363" s="201">
        <f t="shared" si="65"/>
        <v>48.020667182599489</v>
      </c>
      <c r="AP363" s="321">
        <f>VLOOKUP(A363,'Household Information'!H:Q,10,FALSE)</f>
        <v>84.816357440363504</v>
      </c>
      <c r="AQ363" s="122">
        <f>IF(12*(AO363-Variables!$C$3*AP363*F363)*(G363/5)&lt;0,0,12*(AO363-Variables!$C$3*AP363*F363)*(G363/5))</f>
        <v>0</v>
      </c>
    </row>
    <row r="364" spans="1:43" ht="14.25" customHeight="1" x14ac:dyDescent="0.35">
      <c r="A364" s="30">
        <v>25</v>
      </c>
      <c r="B364" s="28" t="s">
        <v>178</v>
      </c>
      <c r="C364" s="28">
        <v>2027</v>
      </c>
      <c r="D364" s="196">
        <f>Population!L26</f>
        <v>351698.93401031906</v>
      </c>
      <c r="E364" s="303" t="str">
        <f t="shared" si="66"/>
        <v>Medium</v>
      </c>
      <c r="F364" s="340">
        <f>VLOOKUP(A364,'Household Information'!$H$2:$M$49,6,FALSE)</f>
        <v>4.4000000000000004</v>
      </c>
      <c r="G364" s="196">
        <f t="shared" si="61"/>
        <v>79932</v>
      </c>
      <c r="H364" s="213">
        <f>Area!N26</f>
        <v>204.02564323141792</v>
      </c>
      <c r="J364" s="32">
        <f>D364*Variables!$C$20</f>
        <v>316.52904060928716</v>
      </c>
      <c r="K364" s="202">
        <f t="shared" si="57"/>
        <v>309.20097744386743</v>
      </c>
      <c r="L364" s="32">
        <f t="shared" si="62"/>
        <v>7.328063165419735</v>
      </c>
      <c r="S364" s="198">
        <f>$L364*Variables!$C$21/100</f>
        <v>0.39790388228523438</v>
      </c>
      <c r="T364" s="198">
        <f>$L364*Variables!$C$22/100</f>
        <v>0.69633179399916034</v>
      </c>
      <c r="U364" s="198">
        <f>$L364*Variables!$C$23/100</f>
        <v>0.72949045085626318</v>
      </c>
      <c r="V364" s="198">
        <f>$L364*Variables!$C$24/100</f>
        <v>5.3053850971364591</v>
      </c>
      <c r="W364" s="22">
        <f>S364*Variables!$E$25*Variables!$C$15+'Cost Calculations'!T364*Variables!$E$26*Variables!$C$15+'Cost Calculations'!U364*Variables!$E$27*Variables!$C$15+V364*Variables!$E$28*Variables!$C$15</f>
        <v>4915237.7956288727</v>
      </c>
      <c r="X364" s="20">
        <f>J364*Variables!$E$29*Variables!$C$15</f>
        <v>54107.474201751553</v>
      </c>
      <c r="Z364" s="33">
        <f>D364*(IF(D364&lt;50000,0,IF(D364&gt;Variables!$C$7,Variables!$C$37,IF(D364&gt;Variables!$C$6,Variables!$C$36,IF(D364&gt;Variables!$C$5,Variables!$C$35)))))</f>
        <v>175.84946700515954</v>
      </c>
      <c r="AA364" s="34">
        <f t="shared" si="56"/>
        <v>172</v>
      </c>
      <c r="AB364" s="35">
        <f t="shared" si="63"/>
        <v>4</v>
      </c>
      <c r="AC364" s="22">
        <f>AB364*Variables!$E$41</f>
        <v>1478400.0000000002</v>
      </c>
      <c r="AD364" s="115">
        <f>ROUND(IF(D364&lt;50000,0,(H364/(3.14*Variables!$C$34^2))),0)</f>
        <v>260</v>
      </c>
      <c r="AE364" s="116">
        <f t="shared" si="58"/>
        <v>256</v>
      </c>
      <c r="AF364" s="117">
        <f t="shared" si="64"/>
        <v>4</v>
      </c>
      <c r="AG364" s="107">
        <f>AF364*Variables!$E$42*Variables!$C$15</f>
        <v>2710.1759999999999</v>
      </c>
      <c r="AH364" s="199">
        <f>ROUND((Z364)/Variables!$C$40,0)</f>
        <v>1</v>
      </c>
      <c r="AI364" s="33">
        <f t="shared" si="59"/>
        <v>1</v>
      </c>
      <c r="AJ364" s="199">
        <f t="shared" si="67"/>
        <v>0</v>
      </c>
      <c r="AK364" s="22">
        <f>AJ364*Variables!$E$43*Variables!$C$15</f>
        <v>0</v>
      </c>
      <c r="AL364" s="20">
        <f>Z364*Variables!$E$38*Variables!$C$15</f>
        <v>31174331.657478485</v>
      </c>
      <c r="AN364" s="200">
        <f t="shared" si="60"/>
        <v>0.14000000000000001</v>
      </c>
      <c r="AO364" s="201">
        <f t="shared" si="65"/>
        <v>36.960000000000008</v>
      </c>
      <c r="AP364" s="321">
        <f>VLOOKUP(A364,'Household Information'!H:Q,10,FALSE)</f>
        <v>100.80777483276538</v>
      </c>
      <c r="AQ364" s="122">
        <f>IF(12*(AO364-Variables!$C$3*AP364*F364)*(G364/5)&lt;0,0,12*(AO364-Variables!$C$3*AP364*F364)*(G364/5))</f>
        <v>0</v>
      </c>
    </row>
    <row r="365" spans="1:43" ht="14.25" customHeight="1" x14ac:dyDescent="0.35">
      <c r="A365" s="30">
        <v>26</v>
      </c>
      <c r="B365" s="28" t="s">
        <v>179</v>
      </c>
      <c r="C365" s="28">
        <v>2027</v>
      </c>
      <c r="D365" s="196">
        <f>Population!L27</f>
        <v>145737.15593866076</v>
      </c>
      <c r="E365" s="303" t="str">
        <f t="shared" si="66"/>
        <v>Medium</v>
      </c>
      <c r="F365" s="340">
        <f>VLOOKUP(A365,'Household Information'!$H$2:$M$49,6,FALSE)</f>
        <v>3.9948981478058339</v>
      </c>
      <c r="G365" s="196">
        <f t="shared" si="61"/>
        <v>36481</v>
      </c>
      <c r="H365" s="213">
        <f>Area!N27</f>
        <v>728.44711138921059</v>
      </c>
      <c r="J365" s="32">
        <f>D365*Variables!$C$20</f>
        <v>131.16344034479468</v>
      </c>
      <c r="K365" s="202">
        <f t="shared" si="57"/>
        <v>128.12683437022042</v>
      </c>
      <c r="L365" s="32">
        <f t="shared" si="62"/>
        <v>3.0366059745742575</v>
      </c>
      <c r="S365" s="198">
        <f>$L365*Variables!$C$21/100</f>
        <v>0.16488358232982392</v>
      </c>
      <c r="T365" s="198">
        <f>$L365*Variables!$C$22/100</f>
        <v>0.28854626907719189</v>
      </c>
      <c r="U365" s="198">
        <f>$L365*Variables!$C$23/100</f>
        <v>0.3022865676046772</v>
      </c>
      <c r="V365" s="198">
        <f>$L365*Variables!$C$24/100</f>
        <v>2.1984477643976525</v>
      </c>
      <c r="W365" s="22">
        <f>S365*Variables!$E$25*Variables!$C$15+'Cost Calculations'!T365*Variables!$E$26*Variables!$C$15+'Cost Calculations'!U365*Variables!$E$27*Variables!$C$15+V365*Variables!$E$28*Variables!$C$15</f>
        <v>2036778.3573553483</v>
      </c>
      <c r="X365" s="20">
        <f>J365*Variables!$E$29*Variables!$C$15</f>
        <v>22421.078492539204</v>
      </c>
      <c r="Z365" s="33">
        <f>D365*(IF(D365&lt;50000,0,IF(D365&gt;Variables!$C$7,Variables!$C$37,IF(D365&gt;Variables!$C$6,Variables!$C$36,IF(D365&gt;Variables!$C$5,Variables!$C$35)))))</f>
        <v>72.868577969330374</v>
      </c>
      <c r="AA365" s="34">
        <f t="shared" si="56"/>
        <v>139</v>
      </c>
      <c r="AB365" s="35">
        <f t="shared" si="63"/>
        <v>0</v>
      </c>
      <c r="AC365" s="22">
        <f>AB365*Variables!$E$41</f>
        <v>0</v>
      </c>
      <c r="AD365" s="115">
        <f>ROUND(IF(D365&lt;50000,0,(H365/(3.14*Variables!$C$34^2))),0)</f>
        <v>928</v>
      </c>
      <c r="AE365" s="116">
        <f t="shared" si="58"/>
        <v>915</v>
      </c>
      <c r="AF365" s="117">
        <f t="shared" si="64"/>
        <v>13</v>
      </c>
      <c r="AG365" s="107">
        <f>AF365*Variables!$E$42*Variables!$C$15</f>
        <v>8808.0720000000001</v>
      </c>
      <c r="AH365" s="199">
        <f>ROUND((Z365)/Variables!$C$40,0)</f>
        <v>1</v>
      </c>
      <c r="AI365" s="33">
        <f t="shared" si="59"/>
        <v>1</v>
      </c>
      <c r="AJ365" s="199">
        <f t="shared" si="67"/>
        <v>0</v>
      </c>
      <c r="AK365" s="22">
        <f>AJ365*Variables!$E$43*Variables!$C$15</f>
        <v>0</v>
      </c>
      <c r="AL365" s="20">
        <f>Z365*Variables!$E$38*Variables!$C$15</f>
        <v>12918032.995562529</v>
      </c>
      <c r="AN365" s="200">
        <f t="shared" si="60"/>
        <v>0.25221875000000005</v>
      </c>
      <c r="AO365" s="201">
        <f t="shared" si="65"/>
        <v>60.455293033014172</v>
      </c>
      <c r="AP365" s="321">
        <f>VLOOKUP(A365,'Household Information'!H:Q,10,FALSE)</f>
        <v>108.65462509082352</v>
      </c>
      <c r="AQ365" s="122">
        <f>IF(12*(AO365-Variables!$C$3*AP365*F365)*(G365/5)&lt;0,0,12*(AO365-Variables!$C$3*AP365*F365)*(G365/5))</f>
        <v>0</v>
      </c>
    </row>
    <row r="366" spans="1:43" ht="14.25" customHeight="1" x14ac:dyDescent="0.35">
      <c r="A366" s="30">
        <v>27</v>
      </c>
      <c r="B366" s="28" t="s">
        <v>180</v>
      </c>
      <c r="C366" s="28">
        <v>2027</v>
      </c>
      <c r="D366" s="196">
        <f>Population!L28</f>
        <v>1469842.4099831195</v>
      </c>
      <c r="E366" s="303" t="str">
        <f t="shared" si="66"/>
        <v>Large</v>
      </c>
      <c r="F366" s="340">
        <f>VLOOKUP(A366,'Household Information'!$H$2:$M$49,6,FALSE)</f>
        <v>4.6947316089524085</v>
      </c>
      <c r="G366" s="196">
        <f t="shared" si="61"/>
        <v>313083</v>
      </c>
      <c r="H366" s="213">
        <f>Area!N28</f>
        <v>136.01500572587091</v>
      </c>
      <c r="J366" s="32">
        <f>D366*Variables!$C$20</f>
        <v>1322.8581689848074</v>
      </c>
      <c r="K366" s="202">
        <f t="shared" si="57"/>
        <v>2162.4648561170238</v>
      </c>
      <c r="L366" s="32">
        <f t="shared" si="62"/>
        <v>0</v>
      </c>
      <c r="S366" s="198">
        <f>$L366*Variables!$C$21/100</f>
        <v>0</v>
      </c>
      <c r="T366" s="198">
        <f>$L366*Variables!$C$22/100</f>
        <v>0</v>
      </c>
      <c r="U366" s="198">
        <f>$L366*Variables!$C$23/100</f>
        <v>0</v>
      </c>
      <c r="V366" s="198">
        <f>$L366*Variables!$C$24/100</f>
        <v>0</v>
      </c>
      <c r="W366" s="22">
        <f>S366*Variables!$E$25*Variables!$C$15+'Cost Calculations'!T366*Variables!$E$26*Variables!$C$15+'Cost Calculations'!U366*Variables!$E$27*Variables!$C$15+V366*Variables!$E$28*Variables!$C$15</f>
        <v>0</v>
      </c>
      <c r="X366" s="20">
        <f>J366*Variables!$E$29*Variables!$C$15</f>
        <v>226129.37540626299</v>
      </c>
      <c r="Z366" s="33">
        <f>D366*(IF(D366&lt;50000,0,IF(D366&gt;Variables!$C$7,Variables!$C$37,IF(D366&gt;Variables!$C$6,Variables!$C$36,IF(D366&gt;Variables!$C$5,Variables!$C$35)))))</f>
        <v>734.92120499155976</v>
      </c>
      <c r="AA366" s="34">
        <f t="shared" ref="AA366:AA429" si="68">AA324+AB324</f>
        <v>718</v>
      </c>
      <c r="AB366" s="35">
        <f t="shared" si="63"/>
        <v>17</v>
      </c>
      <c r="AC366" s="22">
        <f>AB366*Variables!$E$41</f>
        <v>6283200.0000000009</v>
      </c>
      <c r="AD366" s="115">
        <f>ROUND(IF(D366&lt;50000,0,(H366/(3.14*Variables!$C$34^2))),0)</f>
        <v>173</v>
      </c>
      <c r="AE366" s="116">
        <f t="shared" si="58"/>
        <v>171</v>
      </c>
      <c r="AF366" s="117">
        <f t="shared" si="64"/>
        <v>2</v>
      </c>
      <c r="AG366" s="107">
        <f>AF366*Variables!$E$42*Variables!$C$15</f>
        <v>1355.088</v>
      </c>
      <c r="AH366" s="199">
        <f>ROUND((Z366)/Variables!$C$40,0)</f>
        <v>6</v>
      </c>
      <c r="AI366" s="33">
        <f t="shared" si="59"/>
        <v>110</v>
      </c>
      <c r="AJ366" s="199">
        <f t="shared" si="67"/>
        <v>0</v>
      </c>
      <c r="AK366" s="22">
        <f>AJ366*Variables!$E$43*Variables!$C$15</f>
        <v>0</v>
      </c>
      <c r="AL366" s="20">
        <f>Z366*Variables!$E$38*Variables!$C$15</f>
        <v>130285736.86747885</v>
      </c>
      <c r="AN366" s="200">
        <f t="shared" si="60"/>
        <v>0.14000000000000001</v>
      </c>
      <c r="AO366" s="201">
        <f t="shared" si="65"/>
        <v>39.435745515200232</v>
      </c>
      <c r="AP366" s="321">
        <f>VLOOKUP(A366,'Household Information'!H:Q,10,FALSE)</f>
        <v>58.94736842105263</v>
      </c>
      <c r="AQ366" s="122">
        <f>IF(12*(AO366-Variables!$C$3*AP366*F366)*(G366/5)&lt;0,0,12*(AO366-Variables!$C$3*AP366*F366)*(G366/5))</f>
        <v>0</v>
      </c>
    </row>
    <row r="367" spans="1:43" ht="14.25" customHeight="1" x14ac:dyDescent="0.35">
      <c r="A367" s="30">
        <v>28</v>
      </c>
      <c r="B367" s="28" t="s">
        <v>181</v>
      </c>
      <c r="C367" s="28">
        <v>2027</v>
      </c>
      <c r="D367" s="196">
        <f>Population!L29</f>
        <v>1561477.6324812728</v>
      </c>
      <c r="E367" s="303" t="str">
        <f t="shared" si="66"/>
        <v>Large</v>
      </c>
      <c r="F367" s="340">
        <f>VLOOKUP(A367,'Household Information'!$H$2:$M$49,6,FALSE)</f>
        <v>3.2903489815623708</v>
      </c>
      <c r="G367" s="196">
        <f t="shared" si="61"/>
        <v>474563</v>
      </c>
      <c r="H367" s="213">
        <f>Area!N29</f>
        <v>175.31092307292198</v>
      </c>
      <c r="J367" s="32">
        <f>D367*Variables!$C$20</f>
        <v>1405.3298692331455</v>
      </c>
      <c r="K367" s="202">
        <f t="shared" ref="K367:K430" si="69">K325+L325</f>
        <v>1372.7946363516121</v>
      </c>
      <c r="L367" s="32">
        <f t="shared" si="62"/>
        <v>32.535232881533375</v>
      </c>
      <c r="S367" s="198">
        <f>$L367*Variables!$C$21/100</f>
        <v>1.7666189799927623</v>
      </c>
      <c r="T367" s="198">
        <f>$L367*Variables!$C$22/100</f>
        <v>3.0915832149873341</v>
      </c>
      <c r="U367" s="198">
        <f>$L367*Variables!$C$23/100</f>
        <v>3.2388014633200646</v>
      </c>
      <c r="V367" s="198">
        <f>$L367*Variables!$C$24/100</f>
        <v>23.554919733236833</v>
      </c>
      <c r="W367" s="22">
        <f>S367*Variables!$E$25*Variables!$C$15+'Cost Calculations'!T367*Variables!$E$26*Variables!$C$15+'Cost Calculations'!U367*Variables!$E$27*Variables!$C$15+V367*Variables!$E$28*Variables!$C$15</f>
        <v>21822738.52435337</v>
      </c>
      <c r="X367" s="20">
        <f>J367*Variables!$E$29*Variables!$C$15</f>
        <v>240227.0878467139</v>
      </c>
      <c r="Z367" s="33">
        <f>D367*(IF(D367&lt;50000,0,IF(D367&gt;Variables!$C$7,Variables!$C$37,IF(D367&gt;Variables!$C$6,Variables!$C$36,IF(D367&gt;Variables!$C$5,Variables!$C$35)))))</f>
        <v>780.73881624063642</v>
      </c>
      <c r="AA367" s="34">
        <f t="shared" si="68"/>
        <v>763</v>
      </c>
      <c r="AB367" s="35">
        <f t="shared" si="63"/>
        <v>18</v>
      </c>
      <c r="AC367" s="22">
        <f>AB367*Variables!$E$41</f>
        <v>6652800.0000000009</v>
      </c>
      <c r="AD367" s="115">
        <f>ROUND(IF(D367&lt;50000,0,(H367/(3.14*Variables!$C$34^2))),0)</f>
        <v>223</v>
      </c>
      <c r="AE367" s="116">
        <f t="shared" ref="AE367:AE430" si="70">AE325+AF325</f>
        <v>220</v>
      </c>
      <c r="AF367" s="117">
        <f t="shared" si="64"/>
        <v>3</v>
      </c>
      <c r="AG367" s="107">
        <f>AF367*Variables!$E$42*Variables!$C$15</f>
        <v>2032.6320000000001</v>
      </c>
      <c r="AH367" s="199">
        <f>ROUND((Z367)/Variables!$C$40,0)</f>
        <v>6</v>
      </c>
      <c r="AI367" s="33">
        <f t="shared" ref="AI367:AI430" si="71">AI325+AJ325</f>
        <v>6</v>
      </c>
      <c r="AJ367" s="199">
        <f t="shared" si="67"/>
        <v>0</v>
      </c>
      <c r="AK367" s="22">
        <f>AJ367*Variables!$E$43*Variables!$C$15</f>
        <v>0</v>
      </c>
      <c r="AL367" s="20">
        <f>Z367*Variables!$E$38*Variables!$C$15</f>
        <v>138408214.76381633</v>
      </c>
      <c r="AN367" s="200">
        <f t="shared" ref="AN367:AN430" si="72">AN325</f>
        <v>0.21</v>
      </c>
      <c r="AO367" s="201">
        <f t="shared" si="65"/>
        <v>41.458397167685874</v>
      </c>
      <c r="AP367" s="321">
        <f>VLOOKUP(A367,'Household Information'!H:Q,10,FALSE)</f>
        <v>53.01022340022719</v>
      </c>
      <c r="AQ367" s="122">
        <f>IF(12*(AO367-Variables!$C$3*AP367*F367)*(G367/5)&lt;0,0,12*(AO367-Variables!$C$3*AP367*F367)*(G367/5))</f>
        <v>17420346.281700481</v>
      </c>
    </row>
    <row r="368" spans="1:43" ht="14.25" customHeight="1" x14ac:dyDescent="0.35">
      <c r="A368" s="30">
        <v>29</v>
      </c>
      <c r="B368" s="28" t="s">
        <v>182</v>
      </c>
      <c r="C368" s="28">
        <v>2027</v>
      </c>
      <c r="D368" s="196">
        <f>Population!L30</f>
        <v>208350.3394480111</v>
      </c>
      <c r="E368" s="303" t="str">
        <f t="shared" si="66"/>
        <v>Medium</v>
      </c>
      <c r="F368" s="340">
        <f>VLOOKUP(A368,'Household Information'!$H$2:$M$49,6,FALSE)</f>
        <v>4.6165672844480259</v>
      </c>
      <c r="G368" s="196">
        <f t="shared" si="61"/>
        <v>45131</v>
      </c>
      <c r="H368" s="213">
        <f>Area!N30</f>
        <v>985.36829175469995</v>
      </c>
      <c r="J368" s="32">
        <f>D368*Variables!$C$20</f>
        <v>187.51530550320999</v>
      </c>
      <c r="K368" s="202">
        <f t="shared" si="69"/>
        <v>183.17407981167332</v>
      </c>
      <c r="L368" s="32">
        <f t="shared" si="62"/>
        <v>4.341225691536664</v>
      </c>
      <c r="S368" s="198">
        <f>$L368*Variables!$C$21/100</f>
        <v>0.23572266198389122</v>
      </c>
      <c r="T368" s="198">
        <f>$L368*Variables!$C$22/100</f>
        <v>0.41251465847180974</v>
      </c>
      <c r="U368" s="198">
        <f>$L368*Variables!$C$23/100</f>
        <v>0.43215821363713397</v>
      </c>
      <c r="V368" s="198">
        <f>$L368*Variables!$C$24/100</f>
        <v>3.1429688264518836</v>
      </c>
      <c r="W368" s="22">
        <f>S368*Variables!$E$25*Variables!$C$15+'Cost Calculations'!T368*Variables!$E$26*Variables!$C$15+'Cost Calculations'!U368*Variables!$E$27*Variables!$C$15+V368*Variables!$E$28*Variables!$C$15</f>
        <v>2911841.2487338195</v>
      </c>
      <c r="X368" s="20">
        <f>J368*Variables!$E$29*Variables!$C$15</f>
        <v>32053.866322718717</v>
      </c>
      <c r="Z368" s="33">
        <f>D368*(IF(D368&lt;50000,0,IF(D368&gt;Variables!$C$7,Variables!$C$37,IF(D368&gt;Variables!$C$6,Variables!$C$36,IF(D368&gt;Variables!$C$5,Variables!$C$35)))))</f>
        <v>104.17516972400556</v>
      </c>
      <c r="AA368" s="34">
        <f t="shared" si="68"/>
        <v>206</v>
      </c>
      <c r="AB368" s="35">
        <f t="shared" si="63"/>
        <v>0</v>
      </c>
      <c r="AC368" s="22">
        <f>AB368*Variables!$E$41</f>
        <v>0</v>
      </c>
      <c r="AD368" s="115">
        <f>ROUND(IF(D368&lt;50000,0,(H368/(3.14*Variables!$C$34^2))),0)</f>
        <v>1255</v>
      </c>
      <c r="AE368" s="116">
        <f t="shared" si="70"/>
        <v>1238</v>
      </c>
      <c r="AF368" s="117">
        <f t="shared" si="64"/>
        <v>17</v>
      </c>
      <c r="AG368" s="107">
        <f>AF368*Variables!$E$42*Variables!$C$15</f>
        <v>11518.248</v>
      </c>
      <c r="AH368" s="199">
        <f>ROUND((Z368)/Variables!$C$40,0)</f>
        <v>1</v>
      </c>
      <c r="AI368" s="33">
        <f t="shared" si="71"/>
        <v>1</v>
      </c>
      <c r="AJ368" s="199">
        <f t="shared" si="67"/>
        <v>0</v>
      </c>
      <c r="AK368" s="22">
        <f>AJ368*Variables!$E$43*Variables!$C$15</f>
        <v>0</v>
      </c>
      <c r="AL368" s="20">
        <f>Z368*Variables!$E$38*Variables!$C$15</f>
        <v>18468018.963941325</v>
      </c>
      <c r="AN368" s="200">
        <f t="shared" si="72"/>
        <v>0.14000000000000001</v>
      </c>
      <c r="AO368" s="201">
        <f t="shared" si="65"/>
        <v>38.779165189363418</v>
      </c>
      <c r="AP368" s="321">
        <f>VLOOKUP(A368,'Household Information'!H:Q,10,FALSE)</f>
        <v>91.707686482393044</v>
      </c>
      <c r="AQ368" s="122">
        <f>IF(12*(AO368-Variables!$C$3*AP368*F368)*(G368/5)&lt;0,0,12*(AO368-Variables!$C$3*AP368*F368)*(G368/5))</f>
        <v>0</v>
      </c>
    </row>
    <row r="369" spans="1:43" ht="14.25" customHeight="1" x14ac:dyDescent="0.35">
      <c r="A369" s="30">
        <v>30</v>
      </c>
      <c r="B369" s="28" t="s">
        <v>183</v>
      </c>
      <c r="C369" s="28">
        <v>2027</v>
      </c>
      <c r="D369" s="196">
        <f>Population!L31</f>
        <v>142942.74278155129</v>
      </c>
      <c r="E369" s="303" t="str">
        <f t="shared" si="66"/>
        <v>Medium</v>
      </c>
      <c r="F369" s="340">
        <f>VLOOKUP(A369,'Household Information'!$H$2:$M$49,6,FALSE)</f>
        <v>4.0765401369010581</v>
      </c>
      <c r="G369" s="196">
        <f t="shared" si="61"/>
        <v>35065</v>
      </c>
      <c r="H369" s="213">
        <f>Area!N31</f>
        <v>98.234568963275322</v>
      </c>
      <c r="J369" s="32">
        <f>D369*Variables!$C$20</f>
        <v>128.64846850339617</v>
      </c>
      <c r="K369" s="202">
        <f t="shared" si="69"/>
        <v>125.67008743127495</v>
      </c>
      <c r="L369" s="32">
        <f t="shared" si="62"/>
        <v>2.9783810721212234</v>
      </c>
      <c r="S369" s="198">
        <f>$L369*Variables!$C$21/100</f>
        <v>0.16172204916495328</v>
      </c>
      <c r="T369" s="198">
        <f>$L369*Variables!$C$22/100</f>
        <v>0.28301358603866827</v>
      </c>
      <c r="U369" s="198">
        <f>$L369*Variables!$C$23/100</f>
        <v>0.29649042346908105</v>
      </c>
      <c r="V369" s="198">
        <f>$L369*Variables!$C$24/100</f>
        <v>2.156293988866044</v>
      </c>
      <c r="W369" s="22">
        <f>S369*Variables!$E$25*Variables!$C$15+'Cost Calculations'!T369*Variables!$E$26*Variables!$C$15+'Cost Calculations'!U369*Variables!$E$27*Variables!$C$15+V369*Variables!$E$28*Variables!$C$15</f>
        <v>1997724.4853125345</v>
      </c>
      <c r="X369" s="20">
        <f>J369*Variables!$E$29*Variables!$C$15</f>
        <v>21991.169205970542</v>
      </c>
      <c r="Z369" s="33">
        <f>D369*(IF(D369&lt;50000,0,IF(D369&gt;Variables!$C$7,Variables!$C$37,IF(D369&gt;Variables!$C$6,Variables!$C$36,IF(D369&gt;Variables!$C$5,Variables!$C$35)))))</f>
        <v>71.471371390775644</v>
      </c>
      <c r="AA369" s="34">
        <f t="shared" si="68"/>
        <v>70</v>
      </c>
      <c r="AB369" s="35">
        <f t="shared" si="63"/>
        <v>1</v>
      </c>
      <c r="AC369" s="22">
        <f>AB369*Variables!$E$41</f>
        <v>369600.00000000006</v>
      </c>
      <c r="AD369" s="115">
        <f>ROUND(IF(D369&lt;50000,0,(H369/(3.14*Variables!$C$34^2))),0)</f>
        <v>125</v>
      </c>
      <c r="AE369" s="116">
        <f t="shared" si="70"/>
        <v>123</v>
      </c>
      <c r="AF369" s="117">
        <f t="shared" si="64"/>
        <v>2</v>
      </c>
      <c r="AG369" s="107">
        <f>AF369*Variables!$E$42*Variables!$C$15</f>
        <v>1355.088</v>
      </c>
      <c r="AH369" s="199">
        <f>ROUND((Z369)/Variables!$C$40,0)</f>
        <v>1</v>
      </c>
      <c r="AI369" s="33">
        <f t="shared" si="71"/>
        <v>21</v>
      </c>
      <c r="AJ369" s="199">
        <f t="shared" si="67"/>
        <v>0</v>
      </c>
      <c r="AK369" s="22">
        <f>AJ369*Variables!$E$43*Variables!$C$15</f>
        <v>0</v>
      </c>
      <c r="AL369" s="20">
        <f>Z369*Variables!$E$38*Variables!$C$15</f>
        <v>12670338.293862935</v>
      </c>
      <c r="AN369" s="200">
        <f t="shared" si="72"/>
        <v>0.25221875000000005</v>
      </c>
      <c r="AO369" s="201">
        <f t="shared" si="65"/>
        <v>61.690791459240835</v>
      </c>
      <c r="AP369" s="321">
        <f>VLOOKUP(A369,'Household Information'!H:Q,10,FALSE)</f>
        <v>60.413984601792251</v>
      </c>
      <c r="AQ369" s="122">
        <f>IF(12*(AO369-Variables!$C$3*AP369*F369)*(G369/5)&lt;0,0,12*(AO369-Variables!$C$3*AP369*F369)*(G369/5))</f>
        <v>2082758.8767227433</v>
      </c>
    </row>
    <row r="370" spans="1:43" ht="14.25" customHeight="1" x14ac:dyDescent="0.35">
      <c r="A370" s="30">
        <v>31</v>
      </c>
      <c r="B370" s="28" t="s">
        <v>184</v>
      </c>
      <c r="C370" s="28">
        <v>2027</v>
      </c>
      <c r="D370" s="196">
        <f>Population!L32</f>
        <v>246679.33074248111</v>
      </c>
      <c r="E370" s="303" t="str">
        <f t="shared" si="66"/>
        <v>Medium</v>
      </c>
      <c r="F370" s="340">
        <f>VLOOKUP(A370,'Household Information'!$H$2:$M$49,6,FALSE)</f>
        <v>3.6621172202306398</v>
      </c>
      <c r="G370" s="196">
        <f t="shared" si="61"/>
        <v>67360</v>
      </c>
      <c r="H370" s="213">
        <f>Area!N32</f>
        <v>742.04882093797175</v>
      </c>
      <c r="J370" s="32">
        <f>D370*Variables!$C$20</f>
        <v>222.011397668233</v>
      </c>
      <c r="K370" s="202">
        <f t="shared" si="69"/>
        <v>522.30024000000003</v>
      </c>
      <c r="L370" s="32">
        <f t="shared" si="62"/>
        <v>0</v>
      </c>
      <c r="S370" s="198">
        <f>$L370*Variables!$C$21/100</f>
        <v>0</v>
      </c>
      <c r="T370" s="198">
        <f>$L370*Variables!$C$22/100</f>
        <v>0</v>
      </c>
      <c r="U370" s="198">
        <f>$L370*Variables!$C$23/100</f>
        <v>0</v>
      </c>
      <c r="V370" s="198">
        <f>$L370*Variables!$C$24/100</f>
        <v>0</v>
      </c>
      <c r="W370" s="22">
        <f>S370*Variables!$E$25*Variables!$C$15+'Cost Calculations'!T370*Variables!$E$26*Variables!$C$15+'Cost Calculations'!U370*Variables!$E$27*Variables!$C$15+V370*Variables!$E$28*Variables!$C$15</f>
        <v>0</v>
      </c>
      <c r="X370" s="20">
        <f>J370*Variables!$E$29*Variables!$C$15</f>
        <v>37950.628317407747</v>
      </c>
      <c r="Z370" s="33">
        <f>D370*(IF(D370&lt;50000,0,IF(D370&gt;Variables!$C$7,Variables!$C$37,IF(D370&gt;Variables!$C$6,Variables!$C$36,IF(D370&gt;Variables!$C$5,Variables!$C$35)))))</f>
        <v>123.33966537124056</v>
      </c>
      <c r="AA370" s="34">
        <f t="shared" si="68"/>
        <v>3158</v>
      </c>
      <c r="AB370" s="35">
        <f t="shared" si="63"/>
        <v>0</v>
      </c>
      <c r="AC370" s="22">
        <f>AB370*Variables!$E$41</f>
        <v>0</v>
      </c>
      <c r="AD370" s="115">
        <f>ROUND(IF(D370&lt;50000,0,(H370/(3.14*Variables!$C$34^2))),0)</f>
        <v>945</v>
      </c>
      <c r="AE370" s="116">
        <f t="shared" si="70"/>
        <v>932</v>
      </c>
      <c r="AF370" s="117">
        <f t="shared" si="64"/>
        <v>13</v>
      </c>
      <c r="AG370" s="107">
        <f>AF370*Variables!$E$42*Variables!$C$15</f>
        <v>8808.0720000000001</v>
      </c>
      <c r="AH370" s="199">
        <f>ROUND((Z370)/Variables!$C$40,0)</f>
        <v>1</v>
      </c>
      <c r="AI370" s="33">
        <f t="shared" si="71"/>
        <v>27</v>
      </c>
      <c r="AJ370" s="199">
        <f t="shared" si="67"/>
        <v>0</v>
      </c>
      <c r="AK370" s="22">
        <f>AJ370*Variables!$E$43*Variables!$C$15</f>
        <v>0</v>
      </c>
      <c r="AL370" s="20">
        <f>Z370*Variables!$E$38*Variables!$C$15</f>
        <v>21865472.214895323</v>
      </c>
      <c r="AN370" s="200">
        <f t="shared" si="72"/>
        <v>0.14000000000000001</v>
      </c>
      <c r="AO370" s="201">
        <f t="shared" si="65"/>
        <v>30.761784649937375</v>
      </c>
      <c r="AP370" s="321">
        <f>VLOOKUP(A370,'Household Information'!H:Q,10,FALSE)</f>
        <v>118.33648870377382</v>
      </c>
      <c r="AQ370" s="122">
        <f>IF(12*(AO370-Variables!$C$3*AP370*F370)*(G370/5)&lt;0,0,12*(AO370-Variables!$C$3*AP370*F370)*(G370/5))</f>
        <v>0</v>
      </c>
    </row>
    <row r="371" spans="1:43" ht="14.25" customHeight="1" x14ac:dyDescent="0.35">
      <c r="A371" s="30">
        <v>32</v>
      </c>
      <c r="B371" s="28" t="s">
        <v>185</v>
      </c>
      <c r="C371" s="28">
        <v>2027</v>
      </c>
      <c r="D371" s="196">
        <f>Population!L33</f>
        <v>1717334.8989529947</v>
      </c>
      <c r="E371" s="303" t="str">
        <f t="shared" si="66"/>
        <v>Large</v>
      </c>
      <c r="F371" s="340">
        <f>VLOOKUP(A371,'Household Information'!$H$2:$M$49,6,FALSE)</f>
        <v>6.457235996477583</v>
      </c>
      <c r="G371" s="196">
        <f t="shared" si="61"/>
        <v>265955</v>
      </c>
      <c r="H371" s="213">
        <f>Area!N33</f>
        <v>43.827730768230516</v>
      </c>
      <c r="J371" s="32">
        <f>D371*Variables!$C$20</f>
        <v>1545.6014090576953</v>
      </c>
      <c r="K371" s="202">
        <f t="shared" si="69"/>
        <v>1509.8187057318501</v>
      </c>
      <c r="L371" s="32">
        <f t="shared" si="62"/>
        <v>35.782703325845205</v>
      </c>
      <c r="S371" s="198">
        <f>$L371*Variables!$C$21/100</f>
        <v>1.9429522167879747</v>
      </c>
      <c r="T371" s="198">
        <f>$L371*Variables!$C$22/100</f>
        <v>3.4001663793789563</v>
      </c>
      <c r="U371" s="198">
        <f>$L371*Variables!$C$23/100</f>
        <v>3.5620790641112876</v>
      </c>
      <c r="V371" s="198">
        <f>$L371*Variables!$C$24/100</f>
        <v>25.906029557172996</v>
      </c>
      <c r="W371" s="22">
        <f>S371*Variables!$E$25*Variables!$C$15+'Cost Calculations'!T371*Variables!$E$26*Variables!$C$15+'Cost Calculations'!U371*Variables!$E$27*Variables!$C$15+V371*Variables!$E$28*Variables!$C$15</f>
        <v>24000952.481813833</v>
      </c>
      <c r="X371" s="20">
        <f>J371*Variables!$E$29*Variables!$C$15</f>
        <v>264205.10486432246</v>
      </c>
      <c r="Z371" s="33">
        <f>D371*(IF(D371&lt;50000,0,IF(D371&gt;Variables!$C$7,Variables!$C$37,IF(D371&gt;Variables!$C$6,Variables!$C$36,IF(D371&gt;Variables!$C$5,Variables!$C$35)))))</f>
        <v>858.66744947649738</v>
      </c>
      <c r="AA371" s="34">
        <f t="shared" si="68"/>
        <v>839</v>
      </c>
      <c r="AB371" s="35">
        <f t="shared" si="63"/>
        <v>20</v>
      </c>
      <c r="AC371" s="22">
        <f>AB371*Variables!$E$41</f>
        <v>7392000.0000000009</v>
      </c>
      <c r="AD371" s="115">
        <f>ROUND(IF(D371&lt;50000,0,(H371/(3.14*Variables!$C$34^2))),0)</f>
        <v>56</v>
      </c>
      <c r="AE371" s="116">
        <f t="shared" si="70"/>
        <v>55</v>
      </c>
      <c r="AF371" s="117">
        <f t="shared" si="64"/>
        <v>1</v>
      </c>
      <c r="AG371" s="107">
        <f>AF371*Variables!$E$42*Variables!$C$15</f>
        <v>677.54399999999998</v>
      </c>
      <c r="AH371" s="199">
        <f>ROUND((Z371)/Variables!$C$40,0)</f>
        <v>7</v>
      </c>
      <c r="AI371" s="33">
        <f t="shared" si="71"/>
        <v>7</v>
      </c>
      <c r="AJ371" s="199">
        <f t="shared" si="67"/>
        <v>0</v>
      </c>
      <c r="AK371" s="22">
        <f>AJ371*Variables!$E$43*Variables!$C$15</f>
        <v>0</v>
      </c>
      <c r="AL371" s="20">
        <f>Z371*Variables!$E$38*Variables!$C$15</f>
        <v>152223286.82222325</v>
      </c>
      <c r="AN371" s="200">
        <f t="shared" si="72"/>
        <v>0.14000000000000001</v>
      </c>
      <c r="AO371" s="201">
        <f t="shared" si="65"/>
        <v>54.240782370411701</v>
      </c>
      <c r="AP371" s="321">
        <f>VLOOKUP(A371,'Household Information'!H:Q,10,FALSE)</f>
        <v>105.97627161428754</v>
      </c>
      <c r="AQ371" s="122">
        <f>IF(12*(AO371-Variables!$C$3*AP371*F371)*(G371/5)&lt;0,0,12*(AO371-Variables!$C$3*AP371*F371)*(G371/5))</f>
        <v>0</v>
      </c>
    </row>
    <row r="372" spans="1:43" ht="14.25" customHeight="1" x14ac:dyDescent="0.35">
      <c r="A372" s="30">
        <v>33</v>
      </c>
      <c r="B372" s="28" t="s">
        <v>186</v>
      </c>
      <c r="C372" s="28">
        <v>2027</v>
      </c>
      <c r="D372" s="196">
        <f>Population!L34</f>
        <v>1081821.9235939009</v>
      </c>
      <c r="E372" s="303" t="str">
        <f t="shared" si="66"/>
        <v>Large</v>
      </c>
      <c r="F372" s="340">
        <f>VLOOKUP(A372,'Household Information'!$H$2:$M$49,6,FALSE)</f>
        <v>3.9813857124502121</v>
      </c>
      <c r="G372" s="196">
        <f t="shared" si="61"/>
        <v>271720</v>
      </c>
      <c r="H372" s="213">
        <f>Area!N34</f>
        <v>365.73485675557868</v>
      </c>
      <c r="J372" s="32">
        <f>D372*Variables!$C$20</f>
        <v>973.6397312345108</v>
      </c>
      <c r="K372" s="202">
        <f t="shared" si="69"/>
        <v>1137.8472300000001</v>
      </c>
      <c r="L372" s="32">
        <f t="shared" si="62"/>
        <v>0</v>
      </c>
      <c r="S372" s="198">
        <f>$L372*Variables!$C$21/100</f>
        <v>0</v>
      </c>
      <c r="T372" s="198">
        <f>$L372*Variables!$C$22/100</f>
        <v>0</v>
      </c>
      <c r="U372" s="198">
        <f>$L372*Variables!$C$23/100</f>
        <v>0</v>
      </c>
      <c r="V372" s="198">
        <f>$L372*Variables!$C$24/100</f>
        <v>0</v>
      </c>
      <c r="W372" s="22">
        <f>S372*Variables!$E$25*Variables!$C$15+'Cost Calculations'!T372*Variables!$E$26*Variables!$C$15+'Cost Calculations'!U372*Variables!$E$27*Variables!$C$15+V372*Variables!$E$28*Variables!$C$15</f>
        <v>0</v>
      </c>
      <c r="X372" s="20">
        <f>J372*Variables!$E$29*Variables!$C$15</f>
        <v>166433.9756572273</v>
      </c>
      <c r="Z372" s="33">
        <f>D372*(IF(D372&lt;50000,0,IF(D372&gt;Variables!$C$7,Variables!$C$37,IF(D372&gt;Variables!$C$6,Variables!$C$36,IF(D372&gt;Variables!$C$5,Variables!$C$35)))))</f>
        <v>540.91096179695046</v>
      </c>
      <c r="AA372" s="34">
        <f t="shared" si="68"/>
        <v>528</v>
      </c>
      <c r="AB372" s="35">
        <f t="shared" si="63"/>
        <v>13</v>
      </c>
      <c r="AC372" s="22">
        <f>AB372*Variables!$E$41</f>
        <v>4804800.0000000009</v>
      </c>
      <c r="AD372" s="115">
        <f>ROUND(IF(D372&lt;50000,0,(H372/(3.14*Variables!$C$34^2))),0)</f>
        <v>466</v>
      </c>
      <c r="AE372" s="116">
        <f t="shared" si="70"/>
        <v>459</v>
      </c>
      <c r="AF372" s="117">
        <f t="shared" si="64"/>
        <v>7</v>
      </c>
      <c r="AG372" s="107">
        <f>AF372*Variables!$E$42*Variables!$C$15</f>
        <v>4742.808</v>
      </c>
      <c r="AH372" s="199">
        <f>ROUND((Z372)/Variables!$C$40,0)</f>
        <v>4</v>
      </c>
      <c r="AI372" s="33">
        <f t="shared" si="71"/>
        <v>4</v>
      </c>
      <c r="AJ372" s="199">
        <f t="shared" si="67"/>
        <v>0</v>
      </c>
      <c r="AK372" s="22">
        <f>AJ372*Variables!$E$43*Variables!$C$15</f>
        <v>0</v>
      </c>
      <c r="AL372" s="20">
        <f>Z372*Variables!$E$38*Variables!$C$15</f>
        <v>95891889.849908113</v>
      </c>
      <c r="AN372" s="200">
        <f t="shared" si="72"/>
        <v>0.14000000000000001</v>
      </c>
      <c r="AO372" s="201">
        <f t="shared" si="65"/>
        <v>33.443639984581786</v>
      </c>
      <c r="AP372" s="321">
        <f>VLOOKUP(A372,'Household Information'!H:Q,10,FALSE)</f>
        <v>212.04089360090876</v>
      </c>
      <c r="AQ372" s="122">
        <f>IF(12*(AO372-Variables!$C$3*AP372*F372)*(G372/5)&lt;0,0,12*(AO372-Variables!$C$3*AP372*F372)*(G372/5))</f>
        <v>0</v>
      </c>
    </row>
    <row r="373" spans="1:43" ht="14.25" customHeight="1" x14ac:dyDescent="0.35">
      <c r="A373" s="30">
        <v>34</v>
      </c>
      <c r="B373" s="28" t="s">
        <v>187</v>
      </c>
      <c r="C373" s="28">
        <v>2027</v>
      </c>
      <c r="D373" s="196">
        <f>Population!L35</f>
        <v>625817.62726324028</v>
      </c>
      <c r="E373" s="303" t="str">
        <f t="shared" si="66"/>
        <v>Medium</v>
      </c>
      <c r="F373" s="340">
        <f>VLOOKUP(A373,'Household Information'!$H$2:$M$49,6,FALSE)</f>
        <v>4.3021399999999996</v>
      </c>
      <c r="G373" s="196">
        <f t="shared" si="61"/>
        <v>145467</v>
      </c>
      <c r="H373" s="213">
        <f>Area!N35</f>
        <v>111.25866415803591</v>
      </c>
      <c r="J373" s="32">
        <f>D373*Variables!$C$20</f>
        <v>563.23586453691621</v>
      </c>
      <c r="K373" s="202">
        <f t="shared" si="69"/>
        <v>550.19621425897844</v>
      </c>
      <c r="L373" s="32">
        <f t="shared" si="62"/>
        <v>13.039650277937767</v>
      </c>
      <c r="S373" s="198">
        <f>$L373*Variables!$C$21/100</f>
        <v>0.70803530920929048</v>
      </c>
      <c r="T373" s="198">
        <f>$L373*Variables!$C$22/100</f>
        <v>1.2390617911162585</v>
      </c>
      <c r="U373" s="198">
        <f>$L373*Variables!$C$23/100</f>
        <v>1.2980647335503659</v>
      </c>
      <c r="V373" s="198">
        <f>$L373*Variables!$C$24/100</f>
        <v>9.4404707894572066</v>
      </c>
      <c r="W373" s="22">
        <f>S373*Variables!$E$25*Variables!$C$15+'Cost Calculations'!T373*Variables!$E$26*Variables!$C$15+'Cost Calculations'!U373*Variables!$E$27*Variables!$C$15+V373*Variables!$E$28*Variables!$C$15</f>
        <v>8746237.6403016653</v>
      </c>
      <c r="X373" s="20">
        <f>J373*Variables!$E$29*Variables!$C$15</f>
        <v>96279.538683940453</v>
      </c>
      <c r="Z373" s="33">
        <f>D373*(IF(D373&lt;50000,0,IF(D373&gt;Variables!$C$7,Variables!$C$37,IF(D373&gt;Variables!$C$6,Variables!$C$36,IF(D373&gt;Variables!$C$5,Variables!$C$35)))))</f>
        <v>312.90881363162015</v>
      </c>
      <c r="AA373" s="34">
        <f t="shared" si="68"/>
        <v>1061</v>
      </c>
      <c r="AB373" s="35">
        <f t="shared" si="63"/>
        <v>0</v>
      </c>
      <c r="AC373" s="22">
        <f>AB373*Variables!$E$41</f>
        <v>0</v>
      </c>
      <c r="AD373" s="115">
        <f>ROUND(IF(D373&lt;50000,0,(H373/(3.14*Variables!$C$34^2))),0)</f>
        <v>142</v>
      </c>
      <c r="AE373" s="116">
        <f t="shared" si="70"/>
        <v>140</v>
      </c>
      <c r="AF373" s="117">
        <f t="shared" si="64"/>
        <v>2</v>
      </c>
      <c r="AG373" s="107">
        <f>AF373*Variables!$E$42*Variables!$C$15</f>
        <v>1355.088</v>
      </c>
      <c r="AH373" s="199">
        <f>ROUND((Z373)/Variables!$C$40,0)</f>
        <v>3</v>
      </c>
      <c r="AI373" s="33">
        <f t="shared" si="71"/>
        <v>2</v>
      </c>
      <c r="AJ373" s="199">
        <f t="shared" si="67"/>
        <v>1</v>
      </c>
      <c r="AK373" s="22">
        <f>AJ373*Variables!$E$43*Variables!$C$15</f>
        <v>552717.39600000007</v>
      </c>
      <c r="AL373" s="20">
        <f>Z373*Variables!$E$38*Variables!$C$15</f>
        <v>55472008.53565307</v>
      </c>
      <c r="AN373" s="200">
        <f t="shared" si="72"/>
        <v>0.21</v>
      </c>
      <c r="AO373" s="201">
        <f t="shared" si="65"/>
        <v>54.206963999999992</v>
      </c>
      <c r="AP373" s="321">
        <f>VLOOKUP(A373,'Household Information'!H:Q,10,FALSE)</f>
        <v>71.56380159030671</v>
      </c>
      <c r="AQ373" s="122">
        <f>IF(12*(AO373-Variables!$C$3*AP373*F373)*(G373/5)&lt;0,0,12*(AO373-Variables!$C$3*AP373*F373)*(G373/5))</f>
        <v>2801813.1189569165</v>
      </c>
    </row>
    <row r="374" spans="1:43" ht="14.25" customHeight="1" x14ac:dyDescent="0.35">
      <c r="A374" s="30">
        <v>35</v>
      </c>
      <c r="B374" s="28" t="s">
        <v>188</v>
      </c>
      <c r="C374" s="28">
        <v>2027</v>
      </c>
      <c r="D374" s="196">
        <f>Population!L36</f>
        <v>266614.07197362528</v>
      </c>
      <c r="E374" s="303" t="str">
        <f t="shared" si="66"/>
        <v>Medium</v>
      </c>
      <c r="F374" s="340">
        <f>VLOOKUP(A374,'Household Information'!$H$2:$M$49,6,FALSE)</f>
        <v>5.0911666666666671</v>
      </c>
      <c r="G374" s="196">
        <f t="shared" si="61"/>
        <v>52368</v>
      </c>
      <c r="H374" s="213">
        <f>Area!N36</f>
        <v>37.835665802673759</v>
      </c>
      <c r="J374" s="32">
        <f>D374*Variables!$C$20</f>
        <v>239.95266477626274</v>
      </c>
      <c r="K374" s="202">
        <f t="shared" si="69"/>
        <v>234.39744532212825</v>
      </c>
      <c r="L374" s="32">
        <f t="shared" si="62"/>
        <v>5.5552194541344875</v>
      </c>
      <c r="S374" s="198">
        <f>$L374*Variables!$C$21/100</f>
        <v>0.30164087533761919</v>
      </c>
      <c r="T374" s="198">
        <f>$L374*Variables!$C$22/100</f>
        <v>0.52787153184083369</v>
      </c>
      <c r="U374" s="198">
        <f>$L374*Variables!$C$23/100</f>
        <v>0.55300827145230191</v>
      </c>
      <c r="V374" s="198">
        <f>$L374*Variables!$C$24/100</f>
        <v>4.0218783378349228</v>
      </c>
      <c r="W374" s="22">
        <f>S374*Variables!$E$25*Variables!$C$15+'Cost Calculations'!T374*Variables!$E$26*Variables!$C$15+'Cost Calculations'!U374*Variables!$E$27*Variables!$C$15+V374*Variables!$E$28*Variables!$C$15</f>
        <v>3726117.5303216223</v>
      </c>
      <c r="X374" s="20">
        <f>J374*Variables!$E$29*Variables!$C$15</f>
        <v>41017.508516854352</v>
      </c>
      <c r="Z374" s="33">
        <f>D374*(IF(D374&lt;50000,0,IF(D374&gt;Variables!$C$7,Variables!$C$37,IF(D374&gt;Variables!$C$6,Variables!$C$36,IF(D374&gt;Variables!$C$5,Variables!$C$35)))))</f>
        <v>133.30703598681265</v>
      </c>
      <c r="AA374" s="34">
        <f t="shared" si="68"/>
        <v>130</v>
      </c>
      <c r="AB374" s="35">
        <f t="shared" si="63"/>
        <v>3</v>
      </c>
      <c r="AC374" s="22">
        <f>AB374*Variables!$E$41</f>
        <v>1108800.0000000002</v>
      </c>
      <c r="AD374" s="115">
        <f>ROUND(IF(D374&lt;50000,0,(H374/(3.14*Variables!$C$34^2))),0)</f>
        <v>48</v>
      </c>
      <c r="AE374" s="116">
        <f t="shared" si="70"/>
        <v>48</v>
      </c>
      <c r="AF374" s="117">
        <f t="shared" si="64"/>
        <v>0</v>
      </c>
      <c r="AG374" s="107">
        <f>AF374*Variables!$E$42*Variables!$C$15</f>
        <v>0</v>
      </c>
      <c r="AH374" s="199">
        <f>ROUND((Z374)/Variables!$C$40,0)</f>
        <v>1</v>
      </c>
      <c r="AI374" s="33">
        <f t="shared" si="71"/>
        <v>1</v>
      </c>
      <c r="AJ374" s="199">
        <f t="shared" si="67"/>
        <v>0</v>
      </c>
      <c r="AK374" s="22">
        <f>AJ374*Variables!$E$43*Variables!$C$15</f>
        <v>0</v>
      </c>
      <c r="AL374" s="20">
        <f>Z374*Variables!$E$38*Variables!$C$15</f>
        <v>23632472.835452978</v>
      </c>
      <c r="AN374" s="200">
        <f t="shared" si="72"/>
        <v>0.25221875000000005</v>
      </c>
      <c r="AO374" s="201">
        <f t="shared" si="65"/>
        <v>77.045261562500016</v>
      </c>
      <c r="AP374" s="321">
        <f>VLOOKUP(A374,'Household Information'!H:Q,10,FALSE)</f>
        <v>112.55837435314906</v>
      </c>
      <c r="AQ374" s="122">
        <f>IF(12*(AO374-Variables!$C$3*AP374*F374)*(G374/5)&lt;0,0,12*(AO374-Variables!$C$3*AP374*F374)*(G374/5))</f>
        <v>0</v>
      </c>
    </row>
    <row r="375" spans="1:43" ht="14.25" customHeight="1" x14ac:dyDescent="0.35">
      <c r="A375" s="30">
        <v>36</v>
      </c>
      <c r="B375" s="28" t="s">
        <v>189</v>
      </c>
      <c r="C375" s="28">
        <v>2027</v>
      </c>
      <c r="D375" s="196">
        <f>Population!L37</f>
        <v>1709401.1512388485</v>
      </c>
      <c r="E375" s="303" t="str">
        <f t="shared" si="66"/>
        <v>Large</v>
      </c>
      <c r="F375" s="340">
        <f>VLOOKUP(A375,'Household Information'!$H$2:$M$49,6,FALSE)</f>
        <v>4.8963166666666664</v>
      </c>
      <c r="G375" s="196">
        <f t="shared" si="61"/>
        <v>349120</v>
      </c>
      <c r="H375" s="213">
        <f>Area!N37</f>
        <v>70.857918500273669</v>
      </c>
      <c r="J375" s="32">
        <f>D375*Variables!$C$20</f>
        <v>1538.4610361149635</v>
      </c>
      <c r="K375" s="202">
        <f t="shared" si="69"/>
        <v>1502.8436418042038</v>
      </c>
      <c r="L375" s="32">
        <f t="shared" si="62"/>
        <v>35.617394310759664</v>
      </c>
      <c r="S375" s="198">
        <f>$L375*Variables!$C$21/100</f>
        <v>1.9339761616702078</v>
      </c>
      <c r="T375" s="198">
        <f>$L375*Variables!$C$22/100</f>
        <v>3.3844582829228642</v>
      </c>
      <c r="U375" s="198">
        <f>$L375*Variables!$C$23/100</f>
        <v>3.5456229630620482</v>
      </c>
      <c r="V375" s="198">
        <f>$L375*Variables!$C$24/100</f>
        <v>25.786348822269439</v>
      </c>
      <c r="W375" s="22">
        <f>S375*Variables!$E$25*Variables!$C$15+'Cost Calculations'!T375*Variables!$E$26*Variables!$C$15+'Cost Calculations'!U375*Variables!$E$27*Variables!$C$15+V375*Variables!$E$28*Variables!$C$15</f>
        <v>23890072.826362599</v>
      </c>
      <c r="X375" s="20">
        <f>J375*Variables!$E$29*Variables!$C$15</f>
        <v>262984.5295134919</v>
      </c>
      <c r="Z375" s="33">
        <f>D375*(IF(D375&lt;50000,0,IF(D375&gt;Variables!$C$7,Variables!$C$37,IF(D375&gt;Variables!$C$6,Variables!$C$36,IF(D375&gt;Variables!$C$5,Variables!$C$35)))))</f>
        <v>854.70057561942428</v>
      </c>
      <c r="AA375" s="34">
        <f t="shared" si="68"/>
        <v>835</v>
      </c>
      <c r="AB375" s="35">
        <f t="shared" si="63"/>
        <v>20</v>
      </c>
      <c r="AC375" s="22">
        <f>AB375*Variables!$E$41</f>
        <v>7392000.0000000009</v>
      </c>
      <c r="AD375" s="115">
        <f>ROUND(IF(D375&lt;50000,0,(H375/(3.14*Variables!$C$34^2))),0)</f>
        <v>90</v>
      </c>
      <c r="AE375" s="116">
        <f t="shared" si="70"/>
        <v>89</v>
      </c>
      <c r="AF375" s="117">
        <f t="shared" si="64"/>
        <v>1</v>
      </c>
      <c r="AG375" s="107">
        <f>AF375*Variables!$E$42*Variables!$C$15</f>
        <v>677.54399999999998</v>
      </c>
      <c r="AH375" s="199">
        <f>ROUND((Z375)/Variables!$C$40,0)</f>
        <v>7</v>
      </c>
      <c r="AI375" s="33">
        <f t="shared" si="71"/>
        <v>7</v>
      </c>
      <c r="AJ375" s="199">
        <f t="shared" si="67"/>
        <v>0</v>
      </c>
      <c r="AK375" s="22">
        <f>AJ375*Variables!$E$43*Variables!$C$15</f>
        <v>0</v>
      </c>
      <c r="AL375" s="20">
        <f>Z375*Variables!$E$38*Variables!$C$15</f>
        <v>151520045.33181742</v>
      </c>
      <c r="AN375" s="200">
        <f t="shared" si="72"/>
        <v>0.28000000000000003</v>
      </c>
      <c r="AO375" s="201">
        <f t="shared" si="65"/>
        <v>82.258120000000005</v>
      </c>
      <c r="AP375" s="321">
        <f>VLOOKUP(A375,'Household Information'!H:Q,10,FALSE)</f>
        <v>50.200681560015155</v>
      </c>
      <c r="AQ375" s="122">
        <f>IF(12*(AO375-Variables!$C$3*AP375*F375)*(G375/5)&lt;0,0,12*(AO375-Variables!$C$3*AP375*F375)*(G375/5))</f>
        <v>38030357.935546599</v>
      </c>
    </row>
    <row r="376" spans="1:43" ht="14.25" customHeight="1" x14ac:dyDescent="0.35">
      <c r="A376" s="30">
        <v>37</v>
      </c>
      <c r="B376" s="28" t="s">
        <v>190</v>
      </c>
      <c r="C376" s="28">
        <v>2027</v>
      </c>
      <c r="D376" s="196">
        <f>Population!L38</f>
        <v>285197.4286014614</v>
      </c>
      <c r="E376" s="303" t="str">
        <f t="shared" si="66"/>
        <v>Medium</v>
      </c>
      <c r="F376" s="340">
        <f>VLOOKUP(A376,'Household Information'!$H$2:$M$49,6,FALSE)</f>
        <v>5.027102564102564</v>
      </c>
      <c r="G376" s="196">
        <f t="shared" si="61"/>
        <v>56732</v>
      </c>
      <c r="H376" s="213">
        <f>Area!N38</f>
        <v>29.775997347666344</v>
      </c>
      <c r="J376" s="32">
        <f>D376*Variables!$C$20</f>
        <v>256.67768574131526</v>
      </c>
      <c r="K376" s="202">
        <f t="shared" si="69"/>
        <v>250.73526007747896</v>
      </c>
      <c r="L376" s="32">
        <f t="shared" si="62"/>
        <v>5.9424256638363033</v>
      </c>
      <c r="S376" s="198">
        <f>$L376*Variables!$C$21/100</f>
        <v>0.3226656469051386</v>
      </c>
      <c r="T376" s="198">
        <f>$L376*Variables!$C$22/100</f>
        <v>0.56466488208399257</v>
      </c>
      <c r="U376" s="198">
        <f>$L376*Variables!$C$23/100</f>
        <v>0.59155368599275415</v>
      </c>
      <c r="V376" s="198">
        <f>$L376*Variables!$C$24/100</f>
        <v>4.3022086254018488</v>
      </c>
      <c r="W376" s="22">
        <f>S376*Variables!$E$25*Variables!$C$15+'Cost Calculations'!T376*Variables!$E$26*Variables!$C$15+'Cost Calculations'!U376*Variables!$E$27*Variables!$C$15+V376*Variables!$E$28*Variables!$C$15</f>
        <v>3985832.8948956607</v>
      </c>
      <c r="X376" s="20">
        <f>J376*Variables!$E$29*Variables!$C$15</f>
        <v>43876.483600620435</v>
      </c>
      <c r="Z376" s="33">
        <f>D376*(IF(D376&lt;50000,0,IF(D376&gt;Variables!$C$7,Variables!$C$37,IF(D376&gt;Variables!$C$6,Variables!$C$36,IF(D376&gt;Variables!$C$5,Variables!$C$35)))))</f>
        <v>142.59871430073071</v>
      </c>
      <c r="AA376" s="34">
        <f t="shared" si="68"/>
        <v>139</v>
      </c>
      <c r="AB376" s="35">
        <f t="shared" si="63"/>
        <v>4</v>
      </c>
      <c r="AC376" s="22">
        <f>AB376*Variables!$E$41</f>
        <v>1478400.0000000002</v>
      </c>
      <c r="AD376" s="115">
        <f>ROUND(IF(D376&lt;50000,0,(H376/(3.14*Variables!$C$34^2))),0)</f>
        <v>38</v>
      </c>
      <c r="AE376" s="116">
        <f t="shared" si="70"/>
        <v>37</v>
      </c>
      <c r="AF376" s="117">
        <f t="shared" si="64"/>
        <v>1</v>
      </c>
      <c r="AG376" s="107">
        <f>AF376*Variables!$E$42*Variables!$C$15</f>
        <v>677.54399999999998</v>
      </c>
      <c r="AH376" s="199">
        <f>ROUND((Z376)/Variables!$C$40,0)</f>
        <v>1</v>
      </c>
      <c r="AI376" s="33">
        <f t="shared" si="71"/>
        <v>1</v>
      </c>
      <c r="AJ376" s="199">
        <f t="shared" si="67"/>
        <v>0</v>
      </c>
      <c r="AK376" s="22">
        <f>AJ376*Variables!$E$43*Variables!$C$15</f>
        <v>0</v>
      </c>
      <c r="AL376" s="20">
        <f>Z376*Variables!$E$38*Variables!$C$15</f>
        <v>25279687.7309305</v>
      </c>
      <c r="AN376" s="200">
        <f t="shared" si="72"/>
        <v>0.14000000000000001</v>
      </c>
      <c r="AO376" s="201">
        <f t="shared" si="65"/>
        <v>42.22766153846154</v>
      </c>
      <c r="AP376" s="321">
        <f>VLOOKUP(A376,'Household Information'!H:Q,10,FALSE)</f>
        <v>74.965290925154619</v>
      </c>
      <c r="AQ376" s="122">
        <f>IF(12*(AO376-Variables!$C$3*AP376*F376)*(G376/5)&lt;0,0,12*(AO376-Variables!$C$3*AP376*F376)*(G376/5))</f>
        <v>0</v>
      </c>
    </row>
    <row r="377" spans="1:43" ht="14.25" customHeight="1" x14ac:dyDescent="0.35">
      <c r="A377" s="30">
        <v>38</v>
      </c>
      <c r="B377" s="28" t="s">
        <v>191</v>
      </c>
      <c r="C377" s="28">
        <v>2027</v>
      </c>
      <c r="D377" s="196">
        <f>Population!L39</f>
        <v>1254207.1038038204</v>
      </c>
      <c r="E377" s="303" t="str">
        <f t="shared" si="66"/>
        <v>Large</v>
      </c>
      <c r="F377" s="340">
        <f>VLOOKUP(A377,'Household Information'!$H$2:$M$49,6,FALSE)</f>
        <v>4.5378736842105267</v>
      </c>
      <c r="G377" s="196">
        <f t="shared" si="61"/>
        <v>276387</v>
      </c>
      <c r="H377" s="213">
        <f>Area!N39</f>
        <v>119.77562842858266</v>
      </c>
      <c r="J377" s="32">
        <f>D377*Variables!$C$20</f>
        <v>1128.7863934234383</v>
      </c>
      <c r="K377" s="202">
        <f t="shared" si="69"/>
        <v>1102.6535053467207</v>
      </c>
      <c r="L377" s="32">
        <f t="shared" si="62"/>
        <v>26.132888076717563</v>
      </c>
      <c r="S377" s="198">
        <f>$L377*Variables!$C$21/100</f>
        <v>1.418980348057062</v>
      </c>
      <c r="T377" s="198">
        <f>$L377*Variables!$C$22/100</f>
        <v>2.4832156090998589</v>
      </c>
      <c r="U377" s="198">
        <f>$L377*Variables!$C$23/100</f>
        <v>2.6014639714379473</v>
      </c>
      <c r="V377" s="198">
        <f>$L377*Variables!$C$24/100</f>
        <v>18.919737974094165</v>
      </c>
      <c r="W377" s="22">
        <f>S377*Variables!$E$25*Variables!$C$15+'Cost Calculations'!T377*Variables!$E$26*Variables!$C$15+'Cost Calculations'!U377*Variables!$E$27*Variables!$C$15+V377*Variables!$E$28*Variables!$C$15</f>
        <v>17528418.667262405</v>
      </c>
      <c r="X377" s="20">
        <f>J377*Variables!$E$29*Variables!$C$15</f>
        <v>192954.74609180255</v>
      </c>
      <c r="Z377" s="33">
        <f>D377*(IF(D377&lt;50000,0,IF(D377&gt;Variables!$C$7,Variables!$C$37,IF(D377&gt;Variables!$C$6,Variables!$C$36,IF(D377&gt;Variables!$C$5,Variables!$C$35)))))</f>
        <v>627.10355190191024</v>
      </c>
      <c r="AA377" s="34">
        <f t="shared" si="68"/>
        <v>613</v>
      </c>
      <c r="AB377" s="35">
        <f t="shared" si="63"/>
        <v>14</v>
      </c>
      <c r="AC377" s="22">
        <f>AB377*Variables!$E$41</f>
        <v>5174400.0000000009</v>
      </c>
      <c r="AD377" s="115">
        <f>ROUND(IF(D377&lt;50000,0,(H377/(3.14*Variables!$C$34^2))),0)</f>
        <v>153</v>
      </c>
      <c r="AE377" s="116">
        <f t="shared" si="70"/>
        <v>150</v>
      </c>
      <c r="AF377" s="117">
        <f t="shared" si="64"/>
        <v>3</v>
      </c>
      <c r="AG377" s="107">
        <f>AF377*Variables!$E$42*Variables!$C$15</f>
        <v>2032.6320000000001</v>
      </c>
      <c r="AH377" s="199">
        <f>ROUND((Z377)/Variables!$C$40,0)</f>
        <v>5</v>
      </c>
      <c r="AI377" s="33">
        <f t="shared" si="71"/>
        <v>5</v>
      </c>
      <c r="AJ377" s="199">
        <f t="shared" si="67"/>
        <v>0</v>
      </c>
      <c r="AK377" s="22">
        <f>AJ377*Variables!$E$43*Variables!$C$15</f>
        <v>0</v>
      </c>
      <c r="AL377" s="20">
        <f>Z377*Variables!$E$38*Variables!$C$15</f>
        <v>111171983.8764102</v>
      </c>
      <c r="AN377" s="200">
        <f t="shared" si="72"/>
        <v>0.21</v>
      </c>
      <c r="AO377" s="201">
        <f t="shared" si="65"/>
        <v>57.177208421052633</v>
      </c>
      <c r="AP377" s="321">
        <f>VLOOKUP(A377,'Household Information'!H:Q,10,FALSE)</f>
        <v>100.71942446043167</v>
      </c>
      <c r="AQ377" s="122">
        <f>IF(12*(AO377-Variables!$C$3*AP377*F377)*(G377/5)&lt;0,0,12*(AO377-Variables!$C$3*AP377*F377)*(G377/5))</f>
        <v>0</v>
      </c>
    </row>
    <row r="378" spans="1:43" ht="14.25" customHeight="1" x14ac:dyDescent="0.35">
      <c r="A378" s="30">
        <v>39</v>
      </c>
      <c r="B378" s="28" t="s">
        <v>192</v>
      </c>
      <c r="C378" s="28">
        <v>2027</v>
      </c>
      <c r="D378" s="196">
        <f>Population!L40</f>
        <v>103252.18422260735</v>
      </c>
      <c r="E378" s="303" t="str">
        <f t="shared" si="66"/>
        <v>Medium</v>
      </c>
      <c r="F378" s="340">
        <f>VLOOKUP(A378,'Household Information'!$H$2:$M$49,6,FALSE)</f>
        <v>3.6693548387096775</v>
      </c>
      <c r="G378" s="196">
        <f t="shared" si="61"/>
        <v>28139</v>
      </c>
      <c r="H378" s="213">
        <f>Area!N40</f>
        <v>28.544659111484652</v>
      </c>
      <c r="J378" s="32">
        <f>D378*Variables!$C$20</f>
        <v>92.926965800346608</v>
      </c>
      <c r="K378" s="202">
        <f t="shared" si="69"/>
        <v>90.775584448907495</v>
      </c>
      <c r="L378" s="32">
        <f t="shared" si="62"/>
        <v>2.1513813514391131</v>
      </c>
      <c r="S378" s="198">
        <f>$L378*Variables!$C$21/100</f>
        <v>0.11681708695596994</v>
      </c>
      <c r="T378" s="198">
        <f>$L378*Variables!$C$22/100</f>
        <v>0.20442990217294738</v>
      </c>
      <c r="U378" s="198">
        <f>$L378*Variables!$C$23/100</f>
        <v>0.21416465941927826</v>
      </c>
      <c r="V378" s="198">
        <f>$L378*Variables!$C$24/100</f>
        <v>1.5575611594129324</v>
      </c>
      <c r="W378" s="22">
        <f>S378*Variables!$E$25*Variables!$C$15+'Cost Calculations'!T378*Variables!$E$26*Variables!$C$15+'Cost Calculations'!U378*Variables!$E$27*Variables!$C$15+V378*Variables!$E$28*Variables!$C$15</f>
        <v>1443021.2585099852</v>
      </c>
      <c r="X378" s="20">
        <f>J378*Variables!$E$29*Variables!$C$15</f>
        <v>15884.93553391125</v>
      </c>
      <c r="Z378" s="33">
        <f>D378*(IF(D378&lt;50000,0,IF(D378&gt;Variables!$C$7,Variables!$C$37,IF(D378&gt;Variables!$C$6,Variables!$C$36,IF(D378&gt;Variables!$C$5,Variables!$C$35)))))</f>
        <v>51.626092111303677</v>
      </c>
      <c r="AA378" s="34">
        <f t="shared" si="68"/>
        <v>50</v>
      </c>
      <c r="AB378" s="35">
        <f t="shared" si="63"/>
        <v>2</v>
      </c>
      <c r="AC378" s="22">
        <f>AB378*Variables!$E$41</f>
        <v>739200.00000000012</v>
      </c>
      <c r="AD378" s="115">
        <f>ROUND(IF(D378&lt;50000,0,(H378/(3.14*Variables!$C$34^2))),0)</f>
        <v>36</v>
      </c>
      <c r="AE378" s="116">
        <f t="shared" si="70"/>
        <v>36</v>
      </c>
      <c r="AF378" s="117">
        <f t="shared" si="64"/>
        <v>0</v>
      </c>
      <c r="AG378" s="107">
        <f>AF378*Variables!$E$42*Variables!$C$15</f>
        <v>0</v>
      </c>
      <c r="AH378" s="199">
        <f>ROUND((Z378)/Variables!$C$40,0)</f>
        <v>0</v>
      </c>
      <c r="AI378" s="33">
        <f t="shared" si="71"/>
        <v>0</v>
      </c>
      <c r="AJ378" s="199">
        <f t="shared" si="67"/>
        <v>0</v>
      </c>
      <c r="AK378" s="22">
        <f>AJ378*Variables!$E$43*Variables!$C$15</f>
        <v>0</v>
      </c>
      <c r="AL378" s="20">
        <f>Z378*Variables!$E$38*Variables!$C$15</f>
        <v>9152196.7343244404</v>
      </c>
      <c r="AN378" s="200">
        <f t="shared" si="72"/>
        <v>0.25221875000000005</v>
      </c>
      <c r="AO378" s="201">
        <f t="shared" si="65"/>
        <v>55.5288054435484</v>
      </c>
      <c r="AP378" s="321">
        <f>VLOOKUP(A378,'Household Information'!H:Q,10,FALSE)</f>
        <v>69.973494888299896</v>
      </c>
      <c r="AQ378" s="122">
        <f>IF(12*(AO378-Variables!$C$3*AP378*F378)*(G378/5)&lt;0,0,12*(AO378-Variables!$C$3*AP378*F378)*(G378/5))</f>
        <v>1149095.5588345616</v>
      </c>
    </row>
    <row r="379" spans="1:43" ht="14.25" customHeight="1" x14ac:dyDescent="0.35">
      <c r="A379" s="30">
        <v>40</v>
      </c>
      <c r="B379" s="28" t="s">
        <v>193</v>
      </c>
      <c r="C379" s="28">
        <v>2027</v>
      </c>
      <c r="D379" s="196">
        <f>Population!L41</f>
        <v>184358.53507518125</v>
      </c>
      <c r="E379" s="303" t="str">
        <f t="shared" si="66"/>
        <v>Medium</v>
      </c>
      <c r="F379" s="340">
        <f>VLOOKUP(A379,'Household Information'!$H$2:$M$49,6,FALSE)</f>
        <v>4.2245333333333335</v>
      </c>
      <c r="G379" s="196">
        <f t="shared" si="61"/>
        <v>43640</v>
      </c>
      <c r="H379" s="213">
        <f>Area!N41</f>
        <v>39.850582916425637</v>
      </c>
      <c r="J379" s="32">
        <f>D379*Variables!$C$20</f>
        <v>165.92268156766312</v>
      </c>
      <c r="K379" s="202">
        <f t="shared" si="69"/>
        <v>172.36096000000003</v>
      </c>
      <c r="L379" s="32">
        <f t="shared" si="62"/>
        <v>0</v>
      </c>
      <c r="S379" s="198">
        <f>$L379*Variables!$C$21/100</f>
        <v>0</v>
      </c>
      <c r="T379" s="198">
        <f>$L379*Variables!$C$22/100</f>
        <v>0</v>
      </c>
      <c r="U379" s="198">
        <f>$L379*Variables!$C$23/100</f>
        <v>0</v>
      </c>
      <c r="V379" s="198">
        <f>$L379*Variables!$C$24/100</f>
        <v>0</v>
      </c>
      <c r="W379" s="22">
        <f>S379*Variables!$E$25*Variables!$C$15+'Cost Calculations'!T379*Variables!$E$26*Variables!$C$15+'Cost Calculations'!U379*Variables!$E$27*Variables!$C$15+V379*Variables!$E$28*Variables!$C$15</f>
        <v>0</v>
      </c>
      <c r="X379" s="20">
        <f>J379*Variables!$E$29*Variables!$C$15</f>
        <v>28362.823187176335</v>
      </c>
      <c r="Z379" s="33">
        <f>D379*(IF(D379&lt;50000,0,IF(D379&gt;Variables!$C$7,Variables!$C$37,IF(D379&gt;Variables!$C$6,Variables!$C$36,IF(D379&gt;Variables!$C$5,Variables!$C$35)))))</f>
        <v>92.179267537590633</v>
      </c>
      <c r="AA379" s="34">
        <f t="shared" si="68"/>
        <v>90</v>
      </c>
      <c r="AB379" s="35">
        <f t="shared" si="63"/>
        <v>2</v>
      </c>
      <c r="AC379" s="22">
        <f>AB379*Variables!$E$41</f>
        <v>739200.00000000012</v>
      </c>
      <c r="AD379" s="115">
        <f>ROUND(IF(D379&lt;50000,0,(H379/(3.14*Variables!$C$34^2))),0)</f>
        <v>51</v>
      </c>
      <c r="AE379" s="116">
        <f t="shared" si="70"/>
        <v>50</v>
      </c>
      <c r="AF379" s="117">
        <f t="shared" si="64"/>
        <v>1</v>
      </c>
      <c r="AG379" s="107">
        <f>AF379*Variables!$E$42*Variables!$C$15</f>
        <v>677.54399999999998</v>
      </c>
      <c r="AH379" s="199">
        <f>ROUND((Z379)/Variables!$C$40,0)</f>
        <v>1</v>
      </c>
      <c r="AI379" s="33">
        <f t="shared" si="71"/>
        <v>1</v>
      </c>
      <c r="AJ379" s="199">
        <f t="shared" si="67"/>
        <v>0</v>
      </c>
      <c r="AK379" s="22">
        <f>AJ379*Variables!$E$43*Variables!$C$15</f>
        <v>0</v>
      </c>
      <c r="AL379" s="20">
        <f>Z379*Variables!$E$38*Variables!$C$15</f>
        <v>16341403.287142046</v>
      </c>
      <c r="AN379" s="200">
        <f t="shared" si="72"/>
        <v>0.28000000000000003</v>
      </c>
      <c r="AO379" s="201">
        <f t="shared" si="65"/>
        <v>70.972160000000002</v>
      </c>
      <c r="AP379" s="321">
        <f>VLOOKUP(A379,'Household Information'!H:Q,10,FALSE)</f>
        <v>73.754890824182766</v>
      </c>
      <c r="AQ379" s="122">
        <f>IF(12*(AO379-Variables!$C$3*AP379*F379)*(G379/5)&lt;0,0,12*(AO379-Variables!$C$3*AP379*F379)*(G379/5))</f>
        <v>2538293.7997192573</v>
      </c>
    </row>
    <row r="380" spans="1:43" ht="14.25" customHeight="1" x14ac:dyDescent="0.35">
      <c r="A380" s="30">
        <v>41</v>
      </c>
      <c r="B380" s="28" t="s">
        <v>194</v>
      </c>
      <c r="C380" s="28">
        <v>2027</v>
      </c>
      <c r="D380" s="196">
        <f>Population!L42</f>
        <v>88734.618731742012</v>
      </c>
      <c r="E380" s="303" t="str">
        <f t="shared" si="66"/>
        <v>Small</v>
      </c>
      <c r="F380" s="340">
        <f>VLOOKUP(A380,'Household Information'!$H$2:$M$49,6,FALSE)</f>
        <v>6.1423824388279122</v>
      </c>
      <c r="G380" s="196">
        <f t="shared" si="61"/>
        <v>14446</v>
      </c>
      <c r="H380" s="213">
        <f>Area!N42</f>
        <v>15.8954572307091</v>
      </c>
      <c r="J380" s="32">
        <f>D380*Variables!$C$20</f>
        <v>79.86115685856781</v>
      </c>
      <c r="K380" s="202">
        <f t="shared" si="69"/>
        <v>78.012266150793977</v>
      </c>
      <c r="L380" s="32">
        <f t="shared" si="62"/>
        <v>1.8488907077738332</v>
      </c>
      <c r="S380" s="198">
        <f>$L380*Variables!$C$21/100</f>
        <v>0.10039225562572848</v>
      </c>
      <c r="T380" s="198">
        <f>$L380*Variables!$C$22/100</f>
        <v>0.17568644734502489</v>
      </c>
      <c r="U380" s="198">
        <f>$L380*Variables!$C$23/100</f>
        <v>0.18405246864716893</v>
      </c>
      <c r="V380" s="198">
        <f>$L380*Variables!$C$24/100</f>
        <v>1.3385634083430467</v>
      </c>
      <c r="W380" s="22">
        <f>S380*Variables!$E$25*Variables!$C$15+'Cost Calculations'!T380*Variables!$E$26*Variables!$C$15+'Cost Calculations'!U380*Variables!$E$27*Variables!$C$15+V380*Variables!$E$28*Variables!$C$15</f>
        <v>1240128.159609885</v>
      </c>
      <c r="X380" s="20">
        <f>J380*Variables!$E$29*Variables!$C$15</f>
        <v>13651.466153403582</v>
      </c>
      <c r="Z380" s="33">
        <f>D380*(IF(D380&lt;50000,0,IF(D380&gt;Variables!$C$7,Variables!$C$37,IF(D380&gt;Variables!$C$6,Variables!$C$36,IF(D380&gt;Variables!$C$5,Variables!$C$35)))))</f>
        <v>44.367309365871009</v>
      </c>
      <c r="AA380" s="34">
        <f t="shared" si="68"/>
        <v>43</v>
      </c>
      <c r="AB380" s="35">
        <f t="shared" si="63"/>
        <v>1</v>
      </c>
      <c r="AC380" s="22">
        <f>AB380*Variables!$E$41</f>
        <v>369600.00000000006</v>
      </c>
      <c r="AD380" s="115">
        <f>ROUND(IF(D380&lt;50000,0,(H380/(3.14*Variables!$C$34^2))),0)</f>
        <v>20</v>
      </c>
      <c r="AE380" s="116">
        <f t="shared" si="70"/>
        <v>20</v>
      </c>
      <c r="AF380" s="117">
        <f t="shared" si="64"/>
        <v>0</v>
      </c>
      <c r="AG380" s="107">
        <f>AF380*Variables!$E$42*Variables!$C$15</f>
        <v>0</v>
      </c>
      <c r="AH380" s="199">
        <f>ROUND((Z380)/Variables!$C$40,0)</f>
        <v>0</v>
      </c>
      <c r="AI380" s="33">
        <f t="shared" si="71"/>
        <v>0</v>
      </c>
      <c r="AJ380" s="199">
        <f t="shared" si="67"/>
        <v>0</v>
      </c>
      <c r="AK380" s="22">
        <f>AJ380*Variables!$E$43*Variables!$C$15</f>
        <v>0</v>
      </c>
      <c r="AL380" s="20">
        <f>Z380*Variables!$E$38*Variables!$C$15</f>
        <v>7865370.5380922919</v>
      </c>
      <c r="AN380" s="200">
        <f t="shared" si="72"/>
        <v>0.25221875000000005</v>
      </c>
      <c r="AO380" s="201">
        <f t="shared" si="65"/>
        <v>92.953441244587665</v>
      </c>
      <c r="AP380" s="321">
        <f>VLOOKUP(A380,'Household Information'!H:Q,10,FALSE)</f>
        <v>110.04922377887165</v>
      </c>
      <c r="AQ380" s="122">
        <f>IF(12*(AO380-Variables!$C$3*AP380*F380)*(G380/5)&lt;0,0,12*(AO380-Variables!$C$3*AP380*F380)*(G380/5))</f>
        <v>0</v>
      </c>
    </row>
    <row r="381" spans="1:43" ht="14.25" customHeight="1" x14ac:dyDescent="0.35">
      <c r="A381" s="30">
        <v>42</v>
      </c>
      <c r="B381" s="28" t="s">
        <v>195</v>
      </c>
      <c r="C381" s="28">
        <v>2027</v>
      </c>
      <c r="D381" s="196">
        <f>Population!L43</f>
        <v>109885.46063927528</v>
      </c>
      <c r="E381" s="303" t="str">
        <f t="shared" si="66"/>
        <v>Medium</v>
      </c>
      <c r="F381" s="340">
        <f>VLOOKUP(A381,'Household Information'!$H$2:$M$49,6,FALSE)</f>
        <v>4.2419137466307282</v>
      </c>
      <c r="G381" s="196">
        <f t="shared" si="61"/>
        <v>25905</v>
      </c>
      <c r="H381" s="213">
        <f>Area!N43</f>
        <v>16.790975947932147</v>
      </c>
      <c r="J381" s="32">
        <f>D381*Variables!$C$20</f>
        <v>98.896914575347751</v>
      </c>
      <c r="K381" s="202">
        <f t="shared" si="69"/>
        <v>110.2884</v>
      </c>
      <c r="L381" s="32">
        <f t="shared" si="62"/>
        <v>0</v>
      </c>
      <c r="S381" s="198">
        <f>$L381*Variables!$C$21/100</f>
        <v>0</v>
      </c>
      <c r="T381" s="198">
        <f>$L381*Variables!$C$22/100</f>
        <v>0</v>
      </c>
      <c r="U381" s="198">
        <f>$L381*Variables!$C$23/100</f>
        <v>0</v>
      </c>
      <c r="V381" s="198">
        <f>$L381*Variables!$C$24/100</f>
        <v>0</v>
      </c>
      <c r="W381" s="22">
        <f>S381*Variables!$E$25*Variables!$C$15+'Cost Calculations'!T381*Variables!$E$26*Variables!$C$15+'Cost Calculations'!U381*Variables!$E$27*Variables!$C$15+V381*Variables!$E$28*Variables!$C$15</f>
        <v>0</v>
      </c>
      <c r="X381" s="20">
        <f>J381*Variables!$E$29*Variables!$C$15</f>
        <v>16905.438577509947</v>
      </c>
      <c r="Z381" s="33">
        <f>D381*(IF(D381&lt;50000,0,IF(D381&gt;Variables!$C$7,Variables!$C$37,IF(D381&gt;Variables!$C$6,Variables!$C$36,IF(D381&gt;Variables!$C$5,Variables!$C$35)))))</f>
        <v>54.94273031963764</v>
      </c>
      <c r="AA381" s="34">
        <f t="shared" si="68"/>
        <v>54</v>
      </c>
      <c r="AB381" s="35">
        <f t="shared" si="63"/>
        <v>1</v>
      </c>
      <c r="AC381" s="22">
        <f>AB381*Variables!$E$41</f>
        <v>369600.00000000006</v>
      </c>
      <c r="AD381" s="115">
        <f>ROUND(IF(D381&lt;50000,0,(H381/(3.14*Variables!$C$34^2))),0)</f>
        <v>21</v>
      </c>
      <c r="AE381" s="116">
        <f t="shared" si="70"/>
        <v>21</v>
      </c>
      <c r="AF381" s="117">
        <f t="shared" si="64"/>
        <v>0</v>
      </c>
      <c r="AG381" s="107">
        <f>AF381*Variables!$E$42*Variables!$C$15</f>
        <v>0</v>
      </c>
      <c r="AH381" s="199">
        <f>ROUND((Z381)/Variables!$C$40,0)</f>
        <v>0</v>
      </c>
      <c r="AI381" s="33">
        <f t="shared" si="71"/>
        <v>0</v>
      </c>
      <c r="AJ381" s="199">
        <f t="shared" si="67"/>
        <v>0</v>
      </c>
      <c r="AK381" s="22">
        <f>AJ381*Variables!$E$43*Variables!$C$15</f>
        <v>0</v>
      </c>
      <c r="AL381" s="20">
        <f>Z381*Variables!$E$38*Variables!$C$15</f>
        <v>9740165.4171719961</v>
      </c>
      <c r="AN381" s="200">
        <f t="shared" si="72"/>
        <v>0.25221875000000005</v>
      </c>
      <c r="AO381" s="201">
        <f t="shared" si="65"/>
        <v>64.193410966981148</v>
      </c>
      <c r="AP381" s="321">
        <f>VLOOKUP(A381,'Household Information'!H:Q,10,FALSE)</f>
        <v>81.833648870377388</v>
      </c>
      <c r="AQ381" s="122">
        <f>IF(12*(AO381-Variables!$C$3*AP381*F381)*(G381/5)&lt;0,0,12*(AO381-Variables!$C$3*AP381*F381)*(G381/5))</f>
        <v>753755.85486716684</v>
      </c>
    </row>
    <row r="382" spans="1:43" ht="14.25" customHeight="1" x14ac:dyDescent="0.35">
      <c r="A382" s="30">
        <v>1</v>
      </c>
      <c r="B382" s="28" t="s">
        <v>154</v>
      </c>
      <c r="C382" s="28">
        <v>2028</v>
      </c>
      <c r="D382" s="196">
        <f>Population!M2</f>
        <v>595662.54145558202</v>
      </c>
      <c r="E382" s="303" t="str">
        <f t="shared" si="66"/>
        <v>Medium</v>
      </c>
      <c r="F382" s="340">
        <f>VLOOKUP(A382,'Household Information'!$H$2:$M$49,6,FALSE)</f>
        <v>3.974207650273224</v>
      </c>
      <c r="G382" s="196">
        <f t="shared" si="61"/>
        <v>149882</v>
      </c>
      <c r="H382" s="213">
        <f>Area!O2</f>
        <v>116.48973695130164</v>
      </c>
      <c r="J382" s="32">
        <f>D382*Variables!$C$20</f>
        <v>536.09628731002385</v>
      </c>
      <c r="K382" s="202">
        <f t="shared" si="69"/>
        <v>523.68495390253383</v>
      </c>
      <c r="L382" s="32">
        <f t="shared" si="62"/>
        <v>12.411333407490019</v>
      </c>
      <c r="S382" s="198">
        <f>$L382*Variables!$C$21/100</f>
        <v>0.67391855606280648</v>
      </c>
      <c r="T382" s="198">
        <f>$L382*Variables!$C$22/100</f>
        <v>1.1793574731099112</v>
      </c>
      <c r="U382" s="198">
        <f>$L382*Variables!$C$23/100</f>
        <v>1.235517352781812</v>
      </c>
      <c r="V382" s="198">
        <f>$L382*Variables!$C$24/100</f>
        <v>8.9855807475040859</v>
      </c>
      <c r="W382" s="22">
        <f>S382*Variables!$E$25*Variables!$C$15+'Cost Calculations'!T382*Variables!$E$26*Variables!$C$15+'Cost Calculations'!U382*Variables!$E$27*Variables!$C$15+V382*Variables!$E$28*Variables!$C$15</f>
        <v>8324799.2930137403</v>
      </c>
      <c r="X382" s="20">
        <f>J382*Variables!$E$29*Variables!$C$15</f>
        <v>91640.299352775488</v>
      </c>
      <c r="Z382" s="33">
        <f>D382*(IF(D382&lt;50000,0,IF(D382&gt;Variables!$C$7,Variables!$C$37,IF(D382&gt;Variables!$C$6,Variables!$C$36,IF(D382&gt;Variables!$C$5,Variables!$C$35)))))</f>
        <v>297.83127072779104</v>
      </c>
      <c r="AA382" s="34">
        <f t="shared" si="68"/>
        <v>291</v>
      </c>
      <c r="AB382" s="35">
        <f t="shared" si="63"/>
        <v>7</v>
      </c>
      <c r="AC382" s="22">
        <f>AB382*Variables!$E$41</f>
        <v>2587200.0000000005</v>
      </c>
      <c r="AD382" s="115">
        <f>ROUND(IF(D382&lt;50000,0,(H382/(3.14*Variables!$C$34^2))),0)</f>
        <v>148</v>
      </c>
      <c r="AE382" s="116">
        <f t="shared" si="70"/>
        <v>146</v>
      </c>
      <c r="AF382" s="117">
        <f t="shared" si="64"/>
        <v>2</v>
      </c>
      <c r="AG382" s="107">
        <f>AF382*Variables!$E$42*Variables!$C$15</f>
        <v>1355.088</v>
      </c>
      <c r="AH382" s="199">
        <f>ROUND((Z382)/Variables!$C$40,0)</f>
        <v>2</v>
      </c>
      <c r="AI382" s="33">
        <f t="shared" si="71"/>
        <v>2</v>
      </c>
      <c r="AJ382" s="199">
        <f t="shared" si="67"/>
        <v>0</v>
      </c>
      <c r="AK382" s="22">
        <f>AJ382*Variables!$E$43*Variables!$C$15</f>
        <v>0</v>
      </c>
      <c r="AL382" s="20">
        <f>Z382*Variables!$E$38*Variables!$C$15</f>
        <v>52799084.181267403</v>
      </c>
      <c r="AN382" s="200">
        <f t="shared" si="72"/>
        <v>0.14000000000000001</v>
      </c>
      <c r="AO382" s="201">
        <f t="shared" si="65"/>
        <v>33.383344262295083</v>
      </c>
      <c r="AP382" s="321">
        <f>VLOOKUP(A382,'Household Information'!H:Q,10,FALSE)</f>
        <v>73.860911270983223</v>
      </c>
      <c r="AQ382" s="122">
        <f>IF(12*(AO382-Variables!$C$3*AP382*F382)*(G382/5)&lt;0,0,12*(AO382-Variables!$C$3*AP382*F382)*(G382/5))</f>
        <v>0</v>
      </c>
    </row>
    <row r="383" spans="1:43" ht="14.25" customHeight="1" x14ac:dyDescent="0.35">
      <c r="A383" s="30">
        <v>2</v>
      </c>
      <c r="B383" s="28" t="s">
        <v>155</v>
      </c>
      <c r="C383" s="28">
        <v>2028</v>
      </c>
      <c r="D383" s="196">
        <f>Population!M3</f>
        <v>436937.93128001486</v>
      </c>
      <c r="E383" s="303" t="str">
        <f t="shared" si="66"/>
        <v>Medium</v>
      </c>
      <c r="F383" s="340">
        <f>VLOOKUP(A383,'Household Information'!$H$2:$M$49,6,FALSE)</f>
        <v>4.8390533520244086</v>
      </c>
      <c r="G383" s="196">
        <f t="shared" si="61"/>
        <v>90294</v>
      </c>
      <c r="H383" s="213">
        <f>Area!O3</f>
        <v>700.47118140453767</v>
      </c>
      <c r="J383" s="32">
        <f>D383*Variables!$C$20</f>
        <v>393.24413815201336</v>
      </c>
      <c r="K383" s="202">
        <f t="shared" si="69"/>
        <v>384.14001968546773</v>
      </c>
      <c r="L383" s="32">
        <f t="shared" si="62"/>
        <v>9.1041184665456285</v>
      </c>
      <c r="S383" s="198">
        <f>$L383*Variables!$C$21/100</f>
        <v>0.49434127420157253</v>
      </c>
      <c r="T383" s="198">
        <f>$L383*Variables!$C$22/100</f>
        <v>0.86509722985275206</v>
      </c>
      <c r="U383" s="198">
        <f>$L383*Variables!$C$23/100</f>
        <v>0.90629233603621639</v>
      </c>
      <c r="V383" s="198">
        <f>$L383*Variables!$C$24/100</f>
        <v>6.5912169893543009</v>
      </c>
      <c r="W383" s="22">
        <f>S383*Variables!$E$25*Variables!$C$15+'Cost Calculations'!T383*Variables!$E$26*Variables!$C$15+'Cost Calculations'!U383*Variables!$E$27*Variables!$C$15+V383*Variables!$E$28*Variables!$C$15</f>
        <v>6106512.2082752595</v>
      </c>
      <c r="X383" s="20">
        <f>J383*Variables!$E$29*Variables!$C$15</f>
        <v>67221.152975705161</v>
      </c>
      <c r="Z383" s="33">
        <f>D383*(IF(D383&lt;50000,0,IF(D383&gt;Variables!$C$7,Variables!$C$37,IF(D383&gt;Variables!$C$6,Variables!$C$36,IF(D383&gt;Variables!$C$5,Variables!$C$35)))))</f>
        <v>218.46896564000744</v>
      </c>
      <c r="AA383" s="34">
        <f t="shared" si="68"/>
        <v>262</v>
      </c>
      <c r="AB383" s="35">
        <f t="shared" si="63"/>
        <v>0</v>
      </c>
      <c r="AC383" s="22">
        <f>AB383*Variables!$E$41</f>
        <v>0</v>
      </c>
      <c r="AD383" s="115">
        <f>ROUND(IF(D383&lt;50000,0,(H383/(3.14*Variables!$C$34^2))),0)</f>
        <v>892</v>
      </c>
      <c r="AE383" s="116">
        <f t="shared" si="70"/>
        <v>880</v>
      </c>
      <c r="AF383" s="117">
        <f t="shared" si="64"/>
        <v>12</v>
      </c>
      <c r="AG383" s="107">
        <f>AF383*Variables!$E$42*Variables!$C$15</f>
        <v>8130.5280000000002</v>
      </c>
      <c r="AH383" s="199">
        <f>ROUND((Z383)/Variables!$C$40,0)</f>
        <v>2</v>
      </c>
      <c r="AI383" s="33">
        <f t="shared" si="71"/>
        <v>2</v>
      </c>
      <c r="AJ383" s="199">
        <f t="shared" si="67"/>
        <v>0</v>
      </c>
      <c r="AK383" s="22">
        <f>AJ383*Variables!$E$43*Variables!$C$15</f>
        <v>0</v>
      </c>
      <c r="AL383" s="20">
        <f>Z383*Variables!$E$38*Variables!$C$15</f>
        <v>38729852.911797769</v>
      </c>
      <c r="AN383" s="200">
        <f t="shared" si="72"/>
        <v>0.49</v>
      </c>
      <c r="AO383" s="201">
        <f t="shared" si="65"/>
        <v>142.26816854951761</v>
      </c>
      <c r="AP383" s="321">
        <f>VLOOKUP(A383,'Household Information'!H:Q,10,FALSE)</f>
        <v>166.27540073204597</v>
      </c>
      <c r="AQ383" s="122">
        <f>IF(12*(AO383-Variables!$C$3*AP383*F383)*(G383/5)&lt;0,0,12*(AO383-Variables!$C$3*AP383*F383)*(G383/5))</f>
        <v>4675604.9753710702</v>
      </c>
    </row>
    <row r="384" spans="1:43" ht="14.25" customHeight="1" x14ac:dyDescent="0.35">
      <c r="A384" s="30">
        <v>3</v>
      </c>
      <c r="B384" s="28" t="s">
        <v>156</v>
      </c>
      <c r="C384" s="28">
        <v>2028</v>
      </c>
      <c r="D384" s="196">
        <f>Population!M4</f>
        <v>12573826.536047043</v>
      </c>
      <c r="E384" s="303" t="str">
        <f t="shared" si="66"/>
        <v>Large</v>
      </c>
      <c r="F384" s="340">
        <f>VLOOKUP(A384,'Household Information'!$H$2:$M$49,6,FALSE)</f>
        <v>4.0172949204764796</v>
      </c>
      <c r="G384" s="196">
        <f t="shared" si="61"/>
        <v>3129924</v>
      </c>
      <c r="H384" s="213">
        <f>Area!O4</f>
        <v>826.15747653620519</v>
      </c>
      <c r="J384" s="32">
        <f>D384*Variables!$C$20</f>
        <v>11316.443882442338</v>
      </c>
      <c r="K384" s="202">
        <f t="shared" si="69"/>
        <v>11054.453338324058</v>
      </c>
      <c r="L384" s="32">
        <f t="shared" si="62"/>
        <v>261.99054411828001</v>
      </c>
      <c r="S384" s="198">
        <f>$L384*Variables!$C$21/100</f>
        <v>14.225730902350044</v>
      </c>
      <c r="T384" s="198">
        <f>$L384*Variables!$C$22/100</f>
        <v>24.895029079112582</v>
      </c>
      <c r="U384" s="198">
        <f>$L384*Variables!$C$23/100</f>
        <v>26.080506654308419</v>
      </c>
      <c r="V384" s="198">
        <f>$L384*Variables!$C$24/100</f>
        <v>189.67641203133394</v>
      </c>
      <c r="W384" s="22">
        <f>S384*Variables!$E$25*Variables!$C$15+'Cost Calculations'!T384*Variables!$E$26*Variables!$C$15+'Cost Calculations'!U384*Variables!$E$27*Variables!$C$15+V384*Variables!$E$28*Variables!$C$15</f>
        <v>175727991.89617583</v>
      </c>
      <c r="X384" s="20">
        <f>J384*Variables!$E$29*Variables!$C$15</f>
        <v>1934432.9172646932</v>
      </c>
      <c r="Z384" s="33">
        <f>D384*(IF(D384&lt;50000,0,IF(D384&gt;Variables!$C$7,Variables!$C$37,IF(D384&gt;Variables!$C$6,Variables!$C$36,IF(D384&gt;Variables!$C$5,Variables!$C$35)))))</f>
        <v>6286.9132680235216</v>
      </c>
      <c r="AA384" s="34">
        <f t="shared" si="68"/>
        <v>6141</v>
      </c>
      <c r="AB384" s="35">
        <f t="shared" si="63"/>
        <v>146</v>
      </c>
      <c r="AC384" s="22">
        <f>AB384*Variables!$E$41</f>
        <v>53961600.000000007</v>
      </c>
      <c r="AD384" s="115">
        <f>ROUND(IF(D384&lt;50000,0,(H384/(3.14*Variables!$C$34^2))),0)</f>
        <v>1052</v>
      </c>
      <c r="AE384" s="116">
        <f t="shared" si="70"/>
        <v>1038</v>
      </c>
      <c r="AF384" s="117">
        <f t="shared" si="64"/>
        <v>14</v>
      </c>
      <c r="AG384" s="107">
        <f>AF384*Variables!$E$42*Variables!$C$15</f>
        <v>9485.616</v>
      </c>
      <c r="AH384" s="199">
        <f>ROUND((Z384)/Variables!$C$40,0)</f>
        <v>50</v>
      </c>
      <c r="AI384" s="33">
        <f t="shared" si="71"/>
        <v>49</v>
      </c>
      <c r="AJ384" s="199">
        <f t="shared" si="67"/>
        <v>1</v>
      </c>
      <c r="AK384" s="22">
        <f>AJ384*Variables!$E$43*Variables!$C$15</f>
        <v>552717.39600000007</v>
      </c>
      <c r="AL384" s="20">
        <f>Z384*Variables!$E$38*Variables!$C$15</f>
        <v>1114534622.4644327</v>
      </c>
      <c r="AN384" s="200">
        <f t="shared" si="72"/>
        <v>0.42</v>
      </c>
      <c r="AO384" s="201">
        <f t="shared" si="65"/>
        <v>101.23583199600728</v>
      </c>
      <c r="AP384" s="321">
        <f>VLOOKUP(A384,'Household Information'!H:Q,10,FALSE)</f>
        <v>132.525558500568</v>
      </c>
      <c r="AQ384" s="122">
        <f>IF(12*(AO384-Variables!$C$3*AP384*F384)*(G384/5)&lt;0,0,12*(AO384-Variables!$C$3*AP384*F384)*(G384/5))</f>
        <v>160577826.56727147</v>
      </c>
    </row>
    <row r="385" spans="1:43" ht="14.25" customHeight="1" x14ac:dyDescent="0.35">
      <c r="A385" s="30">
        <v>4</v>
      </c>
      <c r="B385" s="28" t="s">
        <v>157</v>
      </c>
      <c r="C385" s="28">
        <v>2028</v>
      </c>
      <c r="D385" s="196">
        <f>Population!M5</f>
        <v>2677800.9819181152</v>
      </c>
      <c r="E385" s="303" t="str">
        <f t="shared" si="66"/>
        <v>Large</v>
      </c>
      <c r="F385" s="340">
        <f>VLOOKUP(A385,'Household Information'!$H$2:$M$49,6,FALSE)</f>
        <v>4.6988894405393395</v>
      </c>
      <c r="G385" s="196">
        <f t="shared" si="61"/>
        <v>569880</v>
      </c>
      <c r="H385" s="213">
        <f>Area!O5</f>
        <v>456.76238962484069</v>
      </c>
      <c r="J385" s="32">
        <f>D385*Variables!$C$20</f>
        <v>2410.0208837263035</v>
      </c>
      <c r="K385" s="202">
        <f t="shared" si="69"/>
        <v>2354.2257338344275</v>
      </c>
      <c r="L385" s="32">
        <f t="shared" si="62"/>
        <v>55.795149891876008</v>
      </c>
      <c r="S385" s="198">
        <f>$L385*Variables!$C$21/100</f>
        <v>3.0296008991063896</v>
      </c>
      <c r="T385" s="198">
        <f>$L385*Variables!$C$22/100</f>
        <v>5.3018015734361814</v>
      </c>
      <c r="U385" s="198">
        <f>$L385*Variables!$C$23/100</f>
        <v>5.5542683150283816</v>
      </c>
      <c r="V385" s="198">
        <f>$L385*Variables!$C$24/100</f>
        <v>40.394678654751857</v>
      </c>
      <c r="W385" s="22">
        <f>S385*Variables!$E$25*Variables!$C$15+'Cost Calculations'!T385*Variables!$E$26*Variables!$C$15+'Cost Calculations'!U385*Variables!$E$27*Variables!$C$15+V385*Variables!$E$28*Variables!$C$15</f>
        <v>37424135.596355632</v>
      </c>
      <c r="X385" s="20">
        <f>J385*Variables!$E$29*Variables!$C$15</f>
        <v>411968.96986417432</v>
      </c>
      <c r="Z385" s="33">
        <f>D385*(IF(D385&lt;50000,0,IF(D385&gt;Variables!$C$7,Variables!$C$37,IF(D385&gt;Variables!$C$6,Variables!$C$36,IF(D385&gt;Variables!$C$5,Variables!$C$35)))))</f>
        <v>1338.9004909590576</v>
      </c>
      <c r="AA385" s="34">
        <f t="shared" si="68"/>
        <v>1308</v>
      </c>
      <c r="AB385" s="35">
        <f t="shared" si="63"/>
        <v>31</v>
      </c>
      <c r="AC385" s="22">
        <f>AB385*Variables!$E$41</f>
        <v>11457600.000000002</v>
      </c>
      <c r="AD385" s="115">
        <f>ROUND(IF(D385&lt;50000,0,(H385/(3.14*Variables!$C$34^2))),0)</f>
        <v>582</v>
      </c>
      <c r="AE385" s="116">
        <f t="shared" si="70"/>
        <v>574</v>
      </c>
      <c r="AF385" s="117">
        <f t="shared" si="64"/>
        <v>8</v>
      </c>
      <c r="AG385" s="107">
        <f>AF385*Variables!$E$42*Variables!$C$15</f>
        <v>5420.3519999999999</v>
      </c>
      <c r="AH385" s="199">
        <f>ROUND((Z385)/Variables!$C$40,0)</f>
        <v>11</v>
      </c>
      <c r="AI385" s="33">
        <f t="shared" si="71"/>
        <v>10</v>
      </c>
      <c r="AJ385" s="199">
        <f t="shared" si="67"/>
        <v>1</v>
      </c>
      <c r="AK385" s="22">
        <f>AJ385*Variables!$E$43*Variables!$C$15</f>
        <v>552717.39600000007</v>
      </c>
      <c r="AL385" s="20">
        <f>Z385*Variables!$E$38*Variables!$C$15</f>
        <v>237358285.31282261</v>
      </c>
      <c r="AN385" s="200">
        <f t="shared" si="72"/>
        <v>0.28000000000000003</v>
      </c>
      <c r="AO385" s="201">
        <f t="shared" si="65"/>
        <v>78.94134260106091</v>
      </c>
      <c r="AP385" s="321">
        <f>VLOOKUP(A385,'Household Information'!H:Q,10,FALSE)</f>
        <v>108.65462509082352</v>
      </c>
      <c r="AQ385" s="122">
        <f>IF(12*(AO385-Variables!$C$3*AP385*F385)*(G385/5)&lt;0,0,12*(AO385-Variables!$C$3*AP385*F385)*(G385/5))</f>
        <v>3224971.9261955908</v>
      </c>
    </row>
    <row r="386" spans="1:43" ht="14.25" customHeight="1" x14ac:dyDescent="0.35">
      <c r="A386" s="30">
        <v>5</v>
      </c>
      <c r="B386" s="28" t="s">
        <v>158</v>
      </c>
      <c r="C386" s="28">
        <v>2028</v>
      </c>
      <c r="D386" s="196">
        <f>Population!M6</f>
        <v>1255944.8875229268</v>
      </c>
      <c r="E386" s="303" t="str">
        <f t="shared" si="66"/>
        <v>Large</v>
      </c>
      <c r="F386" s="340">
        <f>VLOOKUP(A386,'Household Information'!$H$2:$M$49,6,FALSE)</f>
        <v>4.2814892277702192</v>
      </c>
      <c r="G386" s="196">
        <f t="shared" si="61"/>
        <v>293343</v>
      </c>
      <c r="H386" s="213">
        <f>Area!O6</f>
        <v>206.92255905823325</v>
      </c>
      <c r="J386" s="32">
        <f>D386*Variables!$C$20</f>
        <v>1130.350398770634</v>
      </c>
      <c r="K386" s="202">
        <f t="shared" si="69"/>
        <v>2378.3936399999998</v>
      </c>
      <c r="L386" s="32">
        <f t="shared" si="62"/>
        <v>0</v>
      </c>
      <c r="S386" s="198">
        <f>$L386*Variables!$C$21/100</f>
        <v>0</v>
      </c>
      <c r="T386" s="198">
        <f>$L386*Variables!$C$22/100</f>
        <v>0</v>
      </c>
      <c r="U386" s="198">
        <f>$L386*Variables!$C$23/100</f>
        <v>0</v>
      </c>
      <c r="V386" s="198">
        <f>$L386*Variables!$C$24/100</f>
        <v>0</v>
      </c>
      <c r="W386" s="22">
        <f>S386*Variables!$E$25*Variables!$C$15+'Cost Calculations'!T386*Variables!$E$26*Variables!$C$15+'Cost Calculations'!U386*Variables!$E$27*Variables!$C$15+V386*Variables!$E$28*Variables!$C$15</f>
        <v>0</v>
      </c>
      <c r="X386" s="20">
        <f>J386*Variables!$E$29*Variables!$C$15</f>
        <v>193222.0971658522</v>
      </c>
      <c r="Z386" s="33">
        <f>D386*(IF(D386&lt;50000,0,IF(D386&gt;Variables!$C$7,Variables!$C$37,IF(D386&gt;Variables!$C$6,Variables!$C$36,IF(D386&gt;Variables!$C$5,Variables!$C$35)))))</f>
        <v>627.97244376146341</v>
      </c>
      <c r="AA386" s="34">
        <f t="shared" si="68"/>
        <v>613</v>
      </c>
      <c r="AB386" s="35">
        <f t="shared" si="63"/>
        <v>15</v>
      </c>
      <c r="AC386" s="22">
        <f>AB386*Variables!$E$41</f>
        <v>5544000.0000000009</v>
      </c>
      <c r="AD386" s="115">
        <f>ROUND(IF(D386&lt;50000,0,(H386/(3.14*Variables!$C$34^2))),0)</f>
        <v>264</v>
      </c>
      <c r="AE386" s="116">
        <f t="shared" si="70"/>
        <v>260</v>
      </c>
      <c r="AF386" s="117">
        <f t="shared" si="64"/>
        <v>4</v>
      </c>
      <c r="AG386" s="107">
        <f>AF386*Variables!$E$42*Variables!$C$15</f>
        <v>2710.1759999999999</v>
      </c>
      <c r="AH386" s="199">
        <f>ROUND((Z386)/Variables!$C$40,0)</f>
        <v>5</v>
      </c>
      <c r="AI386" s="33">
        <f t="shared" si="71"/>
        <v>5</v>
      </c>
      <c r="AJ386" s="199">
        <f t="shared" si="67"/>
        <v>0</v>
      </c>
      <c r="AK386" s="22">
        <f>AJ386*Variables!$E$43*Variables!$C$15</f>
        <v>0</v>
      </c>
      <c r="AL386" s="20">
        <f>Z386*Variables!$E$38*Variables!$C$15</f>
        <v>111326019.7314259</v>
      </c>
      <c r="AN386" s="200">
        <f t="shared" si="72"/>
        <v>0.28000000000000003</v>
      </c>
      <c r="AO386" s="201">
        <f t="shared" si="65"/>
        <v>71.929019026539692</v>
      </c>
      <c r="AP386" s="321">
        <f>VLOOKUP(A386,'Household Information'!H:Q,10,FALSE)</f>
        <v>70.680297866969596</v>
      </c>
      <c r="AQ386" s="122">
        <f>IF(12*(AO386-Variables!$C$3*AP386*F386)*(G386/5)&lt;0,0,12*(AO386-Variables!$C$3*AP386*F386)*(G386/5))</f>
        <v>18682296.817668285</v>
      </c>
    </row>
    <row r="387" spans="1:43" ht="14.25" customHeight="1" x14ac:dyDescent="0.35">
      <c r="A387" s="30">
        <v>6</v>
      </c>
      <c r="B387" s="28" t="s">
        <v>159</v>
      </c>
      <c r="C387" s="28">
        <v>2028</v>
      </c>
      <c r="D387" s="196">
        <f>Population!M7</f>
        <v>1431939.0712359096</v>
      </c>
      <c r="E387" s="303" t="str">
        <f t="shared" si="66"/>
        <v>Large</v>
      </c>
      <c r="F387" s="340">
        <f>VLOOKUP(A387,'Household Information'!$H$2:$M$49,6,FALSE)</f>
        <v>4.4091899104485828</v>
      </c>
      <c r="G387" s="196">
        <f t="shared" si="61"/>
        <v>324762</v>
      </c>
      <c r="H387" s="213">
        <f>Area!O7</f>
        <v>178.24092115113908</v>
      </c>
      <c r="J387" s="32">
        <f>D387*Variables!$C$20</f>
        <v>1288.7451641123187</v>
      </c>
      <c r="K387" s="202">
        <f t="shared" si="69"/>
        <v>1258.9090203304861</v>
      </c>
      <c r="L387" s="32">
        <f t="shared" si="62"/>
        <v>29.836143781832561</v>
      </c>
      <c r="S387" s="198">
        <f>$L387*Variables!$C$21/100</f>
        <v>1.6200621058008629</v>
      </c>
      <c r="T387" s="198">
        <f>$L387*Variables!$C$22/100</f>
        <v>2.8351086851515106</v>
      </c>
      <c r="U387" s="198">
        <f>$L387*Variables!$C$23/100</f>
        <v>2.9701138606349158</v>
      </c>
      <c r="V387" s="198">
        <f>$L387*Variables!$C$24/100</f>
        <v>21.60082807734484</v>
      </c>
      <c r="W387" s="22">
        <f>S387*Variables!$E$25*Variables!$C$15+'Cost Calculations'!T387*Variables!$E$26*Variables!$C$15+'Cost Calculations'!U387*Variables!$E$27*Variables!$C$15+V387*Variables!$E$28*Variables!$C$15</f>
        <v>20012346.820959877</v>
      </c>
      <c r="X387" s="20">
        <f>J387*Variables!$E$29*Variables!$C$15</f>
        <v>220298.09835335976</v>
      </c>
      <c r="Z387" s="33">
        <f>D387*(IF(D387&lt;50000,0,IF(D387&gt;Variables!$C$7,Variables!$C$37,IF(D387&gt;Variables!$C$6,Variables!$C$36,IF(D387&gt;Variables!$C$5,Variables!$C$35)))))</f>
        <v>715.96953561795476</v>
      </c>
      <c r="AA387" s="34">
        <f t="shared" si="68"/>
        <v>699</v>
      </c>
      <c r="AB387" s="35">
        <f t="shared" si="63"/>
        <v>17</v>
      </c>
      <c r="AC387" s="22">
        <f>AB387*Variables!$E$41</f>
        <v>6283200.0000000009</v>
      </c>
      <c r="AD387" s="115">
        <f>ROUND(IF(D387&lt;50000,0,(H387/(3.14*Variables!$C$34^2))),0)</f>
        <v>227</v>
      </c>
      <c r="AE387" s="116">
        <f t="shared" si="70"/>
        <v>224</v>
      </c>
      <c r="AF387" s="117">
        <f t="shared" si="64"/>
        <v>3</v>
      </c>
      <c r="AG387" s="107">
        <f>AF387*Variables!$E$42*Variables!$C$15</f>
        <v>2032.6320000000001</v>
      </c>
      <c r="AH387" s="199">
        <f>ROUND((Z387)/Variables!$C$40,0)</f>
        <v>6</v>
      </c>
      <c r="AI387" s="33">
        <f t="shared" si="71"/>
        <v>6</v>
      </c>
      <c r="AJ387" s="199">
        <f t="shared" si="67"/>
        <v>0</v>
      </c>
      <c r="AK387" s="22">
        <f>AJ387*Variables!$E$43*Variables!$C$15</f>
        <v>0</v>
      </c>
      <c r="AL387" s="20">
        <f>Z387*Variables!$E$38*Variables!$C$15</f>
        <v>126926013.1413995</v>
      </c>
      <c r="AN387" s="200">
        <f t="shared" si="72"/>
        <v>0.28000000000000003</v>
      </c>
      <c r="AO387" s="201">
        <f t="shared" si="65"/>
        <v>74.074390495536193</v>
      </c>
      <c r="AP387" s="321">
        <f>VLOOKUP(A387,'Household Information'!H:Q,10,FALSE)</f>
        <v>228.82746434431402</v>
      </c>
      <c r="AQ387" s="122">
        <f>IF(12*(AO387-Variables!$C$3*AP387*F387)*(G387/5)&lt;0,0,12*(AO387-Variables!$C$3*AP387*F387)*(G387/5))</f>
        <v>0</v>
      </c>
    </row>
    <row r="388" spans="1:43" ht="14.25" customHeight="1" x14ac:dyDescent="0.35">
      <c r="A388" s="30">
        <v>7</v>
      </c>
      <c r="B388" s="28" t="s">
        <v>160</v>
      </c>
      <c r="C388" s="28">
        <v>2028</v>
      </c>
      <c r="D388" s="196">
        <f>Population!M8</f>
        <v>6919641.2850445984</v>
      </c>
      <c r="E388" s="303" t="str">
        <f t="shared" si="66"/>
        <v>Large</v>
      </c>
      <c r="F388" s="340">
        <f>VLOOKUP(A388,'Household Information'!$H$2:$M$49,6,FALSE)</f>
        <v>4.0232072880789485</v>
      </c>
      <c r="G388" s="196">
        <f t="shared" ref="G388:G451" si="73">ROUND(D388/F388,0)</f>
        <v>1719932</v>
      </c>
      <c r="H388" s="213">
        <f>Area!O8</f>
        <v>1207.814641021391</v>
      </c>
      <c r="J388" s="32">
        <f>D388*Variables!$C$20</f>
        <v>6227.6771565401386</v>
      </c>
      <c r="K388" s="202">
        <f t="shared" si="69"/>
        <v>6083.4982480610906</v>
      </c>
      <c r="L388" s="32">
        <f t="shared" ref="L388:L451" si="74">IF(J388-K388&lt;0,0,J388-K388)</f>
        <v>144.178908479048</v>
      </c>
      <c r="S388" s="198">
        <f>$L388*Variables!$C$21/100</f>
        <v>7.8287190124369941</v>
      </c>
      <c r="T388" s="198">
        <f>$L388*Variables!$C$22/100</f>
        <v>13.700258271764742</v>
      </c>
      <c r="U388" s="198">
        <f>$L388*Variables!$C$23/100</f>
        <v>14.352651522801159</v>
      </c>
      <c r="V388" s="198">
        <f>$L388*Variables!$C$24/100</f>
        <v>104.3829201658266</v>
      </c>
      <c r="W388" s="22">
        <f>S388*Variables!$E$25*Variables!$C$15+'Cost Calculations'!T388*Variables!$E$26*Variables!$C$15+'Cost Calculations'!U388*Variables!$E$27*Variables!$C$15+V388*Variables!$E$28*Variables!$C$15</f>
        <v>96706811.102950126</v>
      </c>
      <c r="X388" s="20">
        <f>J388*Variables!$E$29*Variables!$C$15</f>
        <v>1064559.1331389712</v>
      </c>
      <c r="Z388" s="33">
        <f>D388*(IF(D388&lt;50000,0,IF(D388&gt;Variables!$C$7,Variables!$C$37,IF(D388&gt;Variables!$C$6,Variables!$C$36,IF(D388&gt;Variables!$C$5,Variables!$C$35)))))</f>
        <v>3459.8206425222993</v>
      </c>
      <c r="AA388" s="34">
        <f t="shared" si="68"/>
        <v>4599</v>
      </c>
      <c r="AB388" s="35">
        <f t="shared" ref="AB388:AB451" si="75">IF(Z388-AA388&lt;0,0, ROUND(Z388-AA388,0))</f>
        <v>0</v>
      </c>
      <c r="AC388" s="22">
        <f>AB388*Variables!$E$41</f>
        <v>0</v>
      </c>
      <c r="AD388" s="115">
        <f>ROUND(IF(D388&lt;50000,0,(H388/(3.14*Variables!$C$34^2))),0)</f>
        <v>1539</v>
      </c>
      <c r="AE388" s="116">
        <f t="shared" si="70"/>
        <v>1517</v>
      </c>
      <c r="AF388" s="117">
        <f t="shared" ref="AF388:AF451" si="76">IF(AD388-AE388&lt;0,0,AD388-AE388)</f>
        <v>22</v>
      </c>
      <c r="AG388" s="107">
        <f>AF388*Variables!$E$42*Variables!$C$15</f>
        <v>14905.968000000001</v>
      </c>
      <c r="AH388" s="199">
        <f>ROUND((Z388)/Variables!$C$40,0)</f>
        <v>28</v>
      </c>
      <c r="AI388" s="33">
        <f t="shared" si="71"/>
        <v>27</v>
      </c>
      <c r="AJ388" s="199">
        <f t="shared" si="67"/>
        <v>1</v>
      </c>
      <c r="AK388" s="22">
        <f>AJ388*Variables!$E$43*Variables!$C$15</f>
        <v>552717.39600000007</v>
      </c>
      <c r="AL388" s="20">
        <f>Z388*Variables!$E$38*Variables!$C$15</f>
        <v>613351851.57095683</v>
      </c>
      <c r="AN388" s="200">
        <f t="shared" si="72"/>
        <v>0.28000000000000003</v>
      </c>
      <c r="AO388" s="201">
        <f t="shared" ref="AO388:AO451" si="77">AN388*2*30*F388</f>
        <v>67.589882439726338</v>
      </c>
      <c r="AP388" s="321">
        <f>VLOOKUP(A388,'Household Information'!H:Q,10,FALSE)</f>
        <v>141.36059573393919</v>
      </c>
      <c r="AQ388" s="122">
        <f>IF(12*(AO388-Variables!$C$3*AP388*F388)*(G388/5)&lt;0,0,12*(AO388-Variables!$C$3*AP388*F388)*(G388/5))</f>
        <v>0</v>
      </c>
    </row>
    <row r="389" spans="1:43" ht="14.25" customHeight="1" x14ac:dyDescent="0.35">
      <c r="A389" s="30">
        <v>8</v>
      </c>
      <c r="B389" s="28" t="s">
        <v>161</v>
      </c>
      <c r="C389" s="28">
        <v>2028</v>
      </c>
      <c r="D389" s="196">
        <f>Population!M9</f>
        <v>65942.162230217902</v>
      </c>
      <c r="E389" s="303" t="str">
        <f t="shared" ref="E389:E452" si="78">IF(D389&lt;100000,"Small",IF(D389&lt;1000000,"Medium","Large"))</f>
        <v>Small</v>
      </c>
      <c r="F389" s="340">
        <f>VLOOKUP(A389,'Household Information'!$H$2:$M$49,6,FALSE)</f>
        <v>4.332028957151242</v>
      </c>
      <c r="G389" s="196">
        <f t="shared" si="73"/>
        <v>15222</v>
      </c>
      <c r="H389" s="213">
        <f>Area!O9</f>
        <v>170.13632633676949</v>
      </c>
      <c r="J389" s="32">
        <f>D389*Variables!$C$20</f>
        <v>59.347946007196107</v>
      </c>
      <c r="K389" s="202">
        <f t="shared" si="69"/>
        <v>57.973963082149176</v>
      </c>
      <c r="L389" s="32">
        <f t="shared" si="74"/>
        <v>1.3739829250469313</v>
      </c>
      <c r="S389" s="198">
        <f>$L389*Variables!$C$21/100</f>
        <v>7.4605407694855991E-2</v>
      </c>
      <c r="T389" s="198">
        <f>$L389*Variables!$C$22/100</f>
        <v>0.130559463465998</v>
      </c>
      <c r="U389" s="198">
        <f>$L389*Variables!$C$23/100</f>
        <v>0.13677658077390265</v>
      </c>
      <c r="V389" s="198">
        <f>$L389*Variables!$C$24/100</f>
        <v>0.99473876926474658</v>
      </c>
      <c r="W389" s="22">
        <f>S389*Variables!$E$25*Variables!$C$15+'Cost Calculations'!T389*Variables!$E$26*Variables!$C$15+'Cost Calculations'!U389*Variables!$E$27*Variables!$C$15+V389*Variables!$E$28*Variables!$C$15</f>
        <v>921587.68985618697</v>
      </c>
      <c r="X389" s="20">
        <f>J389*Variables!$E$29*Variables!$C$15</f>
        <v>10144.937890470103</v>
      </c>
      <c r="Z389" s="33">
        <f>D389*(IF(D389&lt;50000,0,IF(D389&gt;Variables!$C$7,Variables!$C$37,IF(D389&gt;Variables!$C$6,Variables!$C$36,IF(D389&gt;Variables!$C$5,Variables!$C$35)))))</f>
        <v>32.971081115108952</v>
      </c>
      <c r="AA389" s="34">
        <f t="shared" si="68"/>
        <v>32</v>
      </c>
      <c r="AB389" s="35">
        <f t="shared" si="75"/>
        <v>1</v>
      </c>
      <c r="AC389" s="22">
        <f>AB389*Variables!$E$41</f>
        <v>369600.00000000006</v>
      </c>
      <c r="AD389" s="115">
        <f>ROUND(IF(D389&lt;50000,0,(H389/(3.14*Variables!$C$34^2))),0)</f>
        <v>217</v>
      </c>
      <c r="AE389" s="116">
        <f t="shared" si="70"/>
        <v>214</v>
      </c>
      <c r="AF389" s="117">
        <f t="shared" si="76"/>
        <v>3</v>
      </c>
      <c r="AG389" s="107">
        <f>AF389*Variables!$E$42*Variables!$C$15</f>
        <v>2032.6320000000001</v>
      </c>
      <c r="AH389" s="199">
        <f>ROUND((Z389)/Variables!$C$40,0)</f>
        <v>0</v>
      </c>
      <c r="AI389" s="33">
        <f t="shared" si="71"/>
        <v>0</v>
      </c>
      <c r="AJ389" s="199">
        <f t="shared" ref="AJ389:AJ452" si="79">IF(AH389-AI389&lt;0,0,AH389-AI389)</f>
        <v>0</v>
      </c>
      <c r="AK389" s="22">
        <f>AJ389*Variables!$E$43*Variables!$C$15</f>
        <v>0</v>
      </c>
      <c r="AL389" s="20">
        <f>Z389*Variables!$E$38*Variables!$C$15</f>
        <v>5845064.1636455702</v>
      </c>
      <c r="AN389" s="200">
        <f t="shared" si="72"/>
        <v>0.25221875000000005</v>
      </c>
      <c r="AO389" s="201">
        <f t="shared" si="77"/>
        <v>65.557135712189407</v>
      </c>
      <c r="AP389" s="321">
        <f>VLOOKUP(A389,'Household Information'!H:Q,10,FALSE)</f>
        <v>39.775337624637132</v>
      </c>
      <c r="AQ389" s="122">
        <f>IF(12*(AO389-Variables!$C$3*AP389*F389)*(G389/5)&lt;0,0,12*(AO389-Variables!$C$3*AP389*F389)*(G389/5))</f>
        <v>1450752.1414296564</v>
      </c>
    </row>
    <row r="390" spans="1:43" ht="14.25" customHeight="1" x14ac:dyDescent="0.35">
      <c r="A390" s="30">
        <v>9</v>
      </c>
      <c r="B390" s="28" t="s">
        <v>162</v>
      </c>
      <c r="C390" s="28">
        <v>2028</v>
      </c>
      <c r="D390" s="196">
        <f>Population!M10</f>
        <v>848182.21577081108</v>
      </c>
      <c r="E390" s="303" t="str">
        <f t="shared" si="78"/>
        <v>Medium</v>
      </c>
      <c r="F390" s="340">
        <f>VLOOKUP(A390,'Household Information'!$H$2:$M$49,6,FALSE)</f>
        <v>4.5911864516077028</v>
      </c>
      <c r="G390" s="196">
        <f t="shared" si="73"/>
        <v>184741</v>
      </c>
      <c r="H390" s="213">
        <f>Area!O10</f>
        <v>459.82790901829605</v>
      </c>
      <c r="J390" s="32">
        <f>D390*Variables!$C$20</f>
        <v>763.36399419372992</v>
      </c>
      <c r="K390" s="202">
        <f t="shared" si="69"/>
        <v>745.6911147735957</v>
      </c>
      <c r="L390" s="32">
        <f t="shared" si="74"/>
        <v>17.672879420134223</v>
      </c>
      <c r="S390" s="198">
        <f>$L390*Variables!$C$21/100</f>
        <v>0.95961336217923376</v>
      </c>
      <c r="T390" s="198">
        <f>$L390*Variables!$C$22/100</f>
        <v>1.6793233838136592</v>
      </c>
      <c r="U390" s="198">
        <f>$L390*Variables!$C$23/100</f>
        <v>1.759291163995262</v>
      </c>
      <c r="V390" s="198">
        <f>$L390*Variables!$C$24/100</f>
        <v>12.794844829056451</v>
      </c>
      <c r="W390" s="22">
        <f>S390*Variables!$E$25*Variables!$C$15+'Cost Calculations'!T390*Variables!$E$26*Variables!$C$15+'Cost Calculations'!U390*Variables!$E$27*Variables!$C$15+V390*Variables!$E$28*Variables!$C$15</f>
        <v>11853937.789912583</v>
      </c>
      <c r="X390" s="20">
        <f>J390*Variables!$E$29*Variables!$C$15</f>
        <v>130489.44116747619</v>
      </c>
      <c r="Z390" s="33">
        <f>D390*(IF(D390&lt;50000,0,IF(D390&gt;Variables!$C$7,Variables!$C$37,IF(D390&gt;Variables!$C$6,Variables!$C$36,IF(D390&gt;Variables!$C$5,Variables!$C$35)))))</f>
        <v>424.09110788540556</v>
      </c>
      <c r="AA390" s="34">
        <f t="shared" si="68"/>
        <v>430</v>
      </c>
      <c r="AB390" s="35">
        <f t="shared" si="75"/>
        <v>0</v>
      </c>
      <c r="AC390" s="22">
        <f>AB390*Variables!$E$41</f>
        <v>0</v>
      </c>
      <c r="AD390" s="115">
        <f>ROUND(IF(D390&lt;50000,0,(H390/(3.14*Variables!$C$34^2))),0)</f>
        <v>586</v>
      </c>
      <c r="AE390" s="116">
        <f t="shared" si="70"/>
        <v>578</v>
      </c>
      <c r="AF390" s="117">
        <f t="shared" si="76"/>
        <v>8</v>
      </c>
      <c r="AG390" s="107">
        <f>AF390*Variables!$E$42*Variables!$C$15</f>
        <v>5420.3519999999999</v>
      </c>
      <c r="AH390" s="199">
        <f>ROUND((Z390)/Variables!$C$40,0)</f>
        <v>3</v>
      </c>
      <c r="AI390" s="33">
        <f t="shared" si="71"/>
        <v>3</v>
      </c>
      <c r="AJ390" s="199">
        <f t="shared" si="79"/>
        <v>0</v>
      </c>
      <c r="AK390" s="22">
        <f>AJ390*Variables!$E$43*Variables!$C$15</f>
        <v>0</v>
      </c>
      <c r="AL390" s="20">
        <f>Z390*Variables!$E$38*Variables!$C$15</f>
        <v>75182240.102093786</v>
      </c>
      <c r="AN390" s="200">
        <f t="shared" si="72"/>
        <v>0.19600000000000001</v>
      </c>
      <c r="AO390" s="201">
        <f t="shared" si="77"/>
        <v>53.992352670906584</v>
      </c>
      <c r="AP390" s="321">
        <f>VLOOKUP(A390,'Household Information'!H:Q,10,FALSE)</f>
        <v>137.82658084059071</v>
      </c>
      <c r="AQ390" s="122">
        <f>IF(12*(AO390-Variables!$C$3*AP390*F390)*(G390/5)&lt;0,0,12*(AO390-Variables!$C$3*AP390*F390)*(G390/5))</f>
        <v>0</v>
      </c>
    </row>
    <row r="391" spans="1:43" ht="14.25" customHeight="1" x14ac:dyDescent="0.35">
      <c r="A391" s="30">
        <v>10</v>
      </c>
      <c r="B391" s="28" t="s">
        <v>163</v>
      </c>
      <c r="C391" s="28">
        <v>2028</v>
      </c>
      <c r="D391" s="196">
        <f>Population!M11</f>
        <v>787105.07869768003</v>
      </c>
      <c r="E391" s="303" t="str">
        <f t="shared" si="78"/>
        <v>Medium</v>
      </c>
      <c r="F391" s="340">
        <f>VLOOKUP(A391,'Household Information'!$H$2:$M$49,6,FALSE)</f>
        <v>4.0714439771379274</v>
      </c>
      <c r="G391" s="196">
        <f t="shared" si="73"/>
        <v>193323</v>
      </c>
      <c r="H391" s="213">
        <f>Area!O11</f>
        <v>136.23509896902351</v>
      </c>
      <c r="J391" s="32">
        <f>D391*Variables!$C$20</f>
        <v>708.39457082791205</v>
      </c>
      <c r="K391" s="202">
        <f t="shared" si="69"/>
        <v>718.84568000000002</v>
      </c>
      <c r="L391" s="32">
        <f t="shared" si="74"/>
        <v>0</v>
      </c>
      <c r="S391" s="198">
        <f>$L391*Variables!$C$21/100</f>
        <v>0</v>
      </c>
      <c r="T391" s="198">
        <f>$L391*Variables!$C$22/100</f>
        <v>0</v>
      </c>
      <c r="U391" s="198">
        <f>$L391*Variables!$C$23/100</f>
        <v>0</v>
      </c>
      <c r="V391" s="198">
        <f>$L391*Variables!$C$24/100</f>
        <v>0</v>
      </c>
      <c r="W391" s="22">
        <f>S391*Variables!$E$25*Variables!$C$15+'Cost Calculations'!T391*Variables!$E$26*Variables!$C$15+'Cost Calculations'!U391*Variables!$E$27*Variables!$C$15+V391*Variables!$E$28*Variables!$C$15</f>
        <v>0</v>
      </c>
      <c r="X391" s="20">
        <f>J391*Variables!$E$29*Variables!$C$15</f>
        <v>121092.96793732329</v>
      </c>
      <c r="Z391" s="33">
        <f>D391*(IF(D391&lt;50000,0,IF(D391&gt;Variables!$C$7,Variables!$C$37,IF(D391&gt;Variables!$C$6,Variables!$C$36,IF(D391&gt;Variables!$C$5,Variables!$C$35)))))</f>
        <v>393.55253934884001</v>
      </c>
      <c r="AA391" s="34">
        <f t="shared" si="68"/>
        <v>384</v>
      </c>
      <c r="AB391" s="35">
        <f t="shared" si="75"/>
        <v>10</v>
      </c>
      <c r="AC391" s="22">
        <f>AB391*Variables!$E$41</f>
        <v>3696000.0000000005</v>
      </c>
      <c r="AD391" s="115">
        <f>ROUND(IF(D391&lt;50000,0,(H391/(3.14*Variables!$C$34^2))),0)</f>
        <v>174</v>
      </c>
      <c r="AE391" s="116">
        <f t="shared" si="70"/>
        <v>171</v>
      </c>
      <c r="AF391" s="117">
        <f t="shared" si="76"/>
        <v>3</v>
      </c>
      <c r="AG391" s="107">
        <f>AF391*Variables!$E$42*Variables!$C$15</f>
        <v>2032.6320000000001</v>
      </c>
      <c r="AH391" s="199">
        <f>ROUND((Z391)/Variables!$C$40,0)</f>
        <v>3</v>
      </c>
      <c r="AI391" s="33">
        <f t="shared" si="71"/>
        <v>3</v>
      </c>
      <c r="AJ391" s="199">
        <f t="shared" si="79"/>
        <v>0</v>
      </c>
      <c r="AK391" s="22">
        <f>AJ391*Variables!$E$43*Variables!$C$15</f>
        <v>0</v>
      </c>
      <c r="AL391" s="20">
        <f>Z391*Variables!$E$38*Variables!$C$15</f>
        <v>69768408.146176621</v>
      </c>
      <c r="AN391" s="200">
        <f t="shared" si="72"/>
        <v>0.25221875000000005</v>
      </c>
      <c r="AO391" s="201">
        <f t="shared" si="77"/>
        <v>61.613670636525413</v>
      </c>
      <c r="AP391" s="321">
        <f>VLOOKUP(A391,'Household Information'!H:Q,10,FALSE)</f>
        <v>39.775337624637132</v>
      </c>
      <c r="AQ391" s="122">
        <f>IF(12*(AO391-Variables!$C$3*AP391*F391)*(G391/5)&lt;0,0,12*(AO391-Variables!$C$3*AP391*F391)*(G391/5))</f>
        <v>17316580.691287011</v>
      </c>
    </row>
    <row r="392" spans="1:43" ht="14.25" customHeight="1" x14ac:dyDescent="0.35">
      <c r="A392" s="30">
        <v>11</v>
      </c>
      <c r="B392" s="28" t="s">
        <v>164</v>
      </c>
      <c r="C392" s="28">
        <v>2028</v>
      </c>
      <c r="D392" s="196">
        <f>Population!M12</f>
        <v>307011.82784240402</v>
      </c>
      <c r="E392" s="303" t="str">
        <f t="shared" si="78"/>
        <v>Medium</v>
      </c>
      <c r="F392" s="340">
        <f>VLOOKUP(A392,'Household Information'!$H$2:$M$49,6,FALSE)</f>
        <v>4.5669760538732476</v>
      </c>
      <c r="G392" s="196">
        <f t="shared" si="73"/>
        <v>67224</v>
      </c>
      <c r="H392" s="213">
        <f>Area!O12</f>
        <v>174.73460542695247</v>
      </c>
      <c r="J392" s="32">
        <f>D392*Variables!$C$20</f>
        <v>276.31064505816363</v>
      </c>
      <c r="K392" s="202">
        <f t="shared" si="69"/>
        <v>269.91369059115328</v>
      </c>
      <c r="L392" s="32">
        <f t="shared" si="74"/>
        <v>6.396954467010346</v>
      </c>
      <c r="S392" s="198">
        <f>$L392*Variables!$C$21/100</f>
        <v>0.34734594391006396</v>
      </c>
      <c r="T392" s="198">
        <f>$L392*Variables!$C$22/100</f>
        <v>0.60785540184261211</v>
      </c>
      <c r="U392" s="198">
        <f>$L392*Variables!$C$23/100</f>
        <v>0.63680089716845079</v>
      </c>
      <c r="V392" s="198">
        <f>$L392*Variables!$C$24/100</f>
        <v>4.6312792521341866</v>
      </c>
      <c r="W392" s="22">
        <f>S392*Variables!$E$25*Variables!$C$15+'Cost Calculations'!T392*Variables!$E$26*Variables!$C$15+'Cost Calculations'!U392*Variables!$E$27*Variables!$C$15+V392*Variables!$E$28*Variables!$C$15</f>
        <v>4290704.3325636033</v>
      </c>
      <c r="X392" s="20">
        <f>J392*Variables!$E$29*Variables!$C$15</f>
        <v>47232.541666242498</v>
      </c>
      <c r="Z392" s="33">
        <f>D392*(IF(D392&lt;50000,0,IF(D392&gt;Variables!$C$7,Variables!$C$37,IF(D392&gt;Variables!$C$6,Variables!$C$36,IF(D392&gt;Variables!$C$5,Variables!$C$35)))))</f>
        <v>153.50591392120202</v>
      </c>
      <c r="AA392" s="34">
        <f t="shared" si="68"/>
        <v>150</v>
      </c>
      <c r="AB392" s="35">
        <f t="shared" si="75"/>
        <v>4</v>
      </c>
      <c r="AC392" s="22">
        <f>AB392*Variables!$E$41</f>
        <v>1478400.0000000002</v>
      </c>
      <c r="AD392" s="115">
        <f>ROUND(IF(D392&lt;50000,0,(H392/(3.14*Variables!$C$34^2))),0)</f>
        <v>223</v>
      </c>
      <c r="AE392" s="116">
        <f t="shared" si="70"/>
        <v>219</v>
      </c>
      <c r="AF392" s="117">
        <f t="shared" si="76"/>
        <v>4</v>
      </c>
      <c r="AG392" s="107">
        <f>AF392*Variables!$E$42*Variables!$C$15</f>
        <v>2710.1759999999999</v>
      </c>
      <c r="AH392" s="199">
        <f>ROUND((Z392)/Variables!$C$40,0)</f>
        <v>1</v>
      </c>
      <c r="AI392" s="33">
        <f t="shared" si="71"/>
        <v>1</v>
      </c>
      <c r="AJ392" s="199">
        <f t="shared" si="79"/>
        <v>0</v>
      </c>
      <c r="AK392" s="22">
        <f>AJ392*Variables!$E$43*Variables!$C$15</f>
        <v>0</v>
      </c>
      <c r="AL392" s="20">
        <f>Z392*Variables!$E$38*Variables!$C$15</f>
        <v>27213299.838000011</v>
      </c>
      <c r="AN392" s="200">
        <f t="shared" si="72"/>
        <v>0.315</v>
      </c>
      <c r="AO392" s="201">
        <f t="shared" si="77"/>
        <v>86.31584741820437</v>
      </c>
      <c r="AP392" s="321">
        <f>VLOOKUP(A392,'Household Information'!H:Q,10,FALSE)</f>
        <v>93.297993184399843</v>
      </c>
      <c r="AQ392" s="122">
        <f>IF(12*(AO392-Variables!$C$3*AP392*F392)*(G392/5)&lt;0,0,12*(AO392-Variables!$C$3*AP392*F392)*(G392/5))</f>
        <v>3614348.20891929</v>
      </c>
    </row>
    <row r="393" spans="1:43" ht="14.25" customHeight="1" x14ac:dyDescent="0.35">
      <c r="A393" s="30">
        <v>12</v>
      </c>
      <c r="B393" s="28" t="s">
        <v>165</v>
      </c>
      <c r="C393" s="28">
        <v>2028</v>
      </c>
      <c r="D393" s="196">
        <f>Population!M13</f>
        <v>149340.04068062943</v>
      </c>
      <c r="E393" s="303" t="str">
        <f t="shared" si="78"/>
        <v>Medium</v>
      </c>
      <c r="F393" s="340">
        <f>VLOOKUP(A393,'Household Information'!$H$2:$M$49,6,FALSE)</f>
        <v>4.2184831531569431</v>
      </c>
      <c r="G393" s="196">
        <f t="shared" si="73"/>
        <v>35401</v>
      </c>
      <c r="H393" s="213">
        <f>Area!O13</f>
        <v>29.122434237825413</v>
      </c>
      <c r="J393" s="32">
        <f>D393*Variables!$C$20</f>
        <v>134.40603661256648</v>
      </c>
      <c r="K393" s="202">
        <f t="shared" si="69"/>
        <v>131.29436027407101</v>
      </c>
      <c r="L393" s="32">
        <f t="shared" si="74"/>
        <v>3.1116763384954709</v>
      </c>
      <c r="S393" s="198">
        <f>$L393*Variables!$C$21/100</f>
        <v>0.1689598011852744</v>
      </c>
      <c r="T393" s="198">
        <f>$L393*Variables!$C$22/100</f>
        <v>0.29567965207423025</v>
      </c>
      <c r="U393" s="198">
        <f>$L393*Variables!$C$23/100</f>
        <v>0.30975963550633645</v>
      </c>
      <c r="V393" s="198">
        <f>$L393*Variables!$C$24/100</f>
        <v>2.2527973491369924</v>
      </c>
      <c r="W393" s="22">
        <f>S393*Variables!$E$25*Variables!$C$15+'Cost Calculations'!T393*Variables!$E$26*Variables!$C$15+'Cost Calculations'!U393*Variables!$E$27*Variables!$C$15+V393*Variables!$E$28*Variables!$C$15</f>
        <v>2087131.1834361025</v>
      </c>
      <c r="X393" s="20">
        <f>J393*Variables!$E$29*Variables!$C$15</f>
        <v>22975.367898552118</v>
      </c>
      <c r="Z393" s="33">
        <f>D393*(IF(D393&lt;50000,0,IF(D393&gt;Variables!$C$7,Variables!$C$37,IF(D393&gt;Variables!$C$6,Variables!$C$36,IF(D393&gt;Variables!$C$5,Variables!$C$35)))))</f>
        <v>74.670020340314721</v>
      </c>
      <c r="AA393" s="34">
        <f t="shared" si="68"/>
        <v>73</v>
      </c>
      <c r="AB393" s="35">
        <f t="shared" si="75"/>
        <v>2</v>
      </c>
      <c r="AC393" s="22">
        <f>AB393*Variables!$E$41</f>
        <v>739200.00000000012</v>
      </c>
      <c r="AD393" s="115">
        <f>ROUND(IF(D393&lt;50000,0,(H393/(3.14*Variables!$C$34^2))),0)</f>
        <v>37</v>
      </c>
      <c r="AE393" s="116">
        <f t="shared" si="70"/>
        <v>37</v>
      </c>
      <c r="AF393" s="117">
        <f t="shared" si="76"/>
        <v>0</v>
      </c>
      <c r="AG393" s="107">
        <f>AF393*Variables!$E$42*Variables!$C$15</f>
        <v>0</v>
      </c>
      <c r="AH393" s="199">
        <f>ROUND((Z393)/Variables!$C$40,0)</f>
        <v>1</v>
      </c>
      <c r="AI393" s="33">
        <f t="shared" si="71"/>
        <v>1</v>
      </c>
      <c r="AJ393" s="199">
        <f t="shared" si="79"/>
        <v>0</v>
      </c>
      <c r="AK393" s="22">
        <f>AJ393*Variables!$E$43*Variables!$C$15</f>
        <v>0</v>
      </c>
      <c r="AL393" s="20">
        <f>Z393*Variables!$E$38*Variables!$C$15</f>
        <v>13237390.016606288</v>
      </c>
      <c r="AN393" s="200">
        <f t="shared" si="72"/>
        <v>0.28000000000000003</v>
      </c>
      <c r="AO393" s="201">
        <f t="shared" si="77"/>
        <v>70.870516973036644</v>
      </c>
      <c r="AP393" s="321">
        <f>VLOOKUP(A393,'Household Information'!H:Q,10,FALSE)</f>
        <v>108.65462509082352</v>
      </c>
      <c r="AQ393" s="122">
        <f>IF(12*(AO393-Variables!$C$3*AP393*F393)*(G393/5)&lt;0,0,12*(AO393-Variables!$C$3*AP393*F393)*(G393/5))</f>
        <v>179853.60413637332</v>
      </c>
    </row>
    <row r="394" spans="1:43" ht="14.25" customHeight="1" x14ac:dyDescent="0.35">
      <c r="A394" s="30">
        <v>13</v>
      </c>
      <c r="B394" s="28" t="s">
        <v>166</v>
      </c>
      <c r="C394" s="28">
        <v>2028</v>
      </c>
      <c r="D394" s="196">
        <f>Population!M14</f>
        <v>10024587.603987142</v>
      </c>
      <c r="E394" s="303" t="str">
        <f t="shared" si="78"/>
        <v>Large</v>
      </c>
      <c r="F394" s="340">
        <f>VLOOKUP(A394,'Household Information'!$H$2:$M$49,6,FALSE)</f>
        <v>4.33</v>
      </c>
      <c r="G394" s="196">
        <f t="shared" si="73"/>
        <v>2315147</v>
      </c>
      <c r="H394" s="213">
        <f>Area!O14</f>
        <v>930.02939385907405</v>
      </c>
      <c r="J394" s="32">
        <f>D394*Variables!$C$20</f>
        <v>9022.1288435884271</v>
      </c>
      <c r="K394" s="202">
        <f t="shared" si="69"/>
        <v>8813.2547070317742</v>
      </c>
      <c r="L394" s="32">
        <f t="shared" si="74"/>
        <v>208.87413655665296</v>
      </c>
      <c r="S394" s="198">
        <f>$L394*Variables!$C$21/100</f>
        <v>11.341582075474367</v>
      </c>
      <c r="T394" s="198">
        <f>$L394*Variables!$C$22/100</f>
        <v>19.847768632080143</v>
      </c>
      <c r="U394" s="198">
        <f>$L394*Variables!$C$23/100</f>
        <v>20.79290047170301</v>
      </c>
      <c r="V394" s="198">
        <f>$L394*Variables!$C$24/100</f>
        <v>151.22109433965824</v>
      </c>
      <c r="W394" s="22">
        <f>S394*Variables!$E$25*Variables!$C$15+'Cost Calculations'!T394*Variables!$E$26*Variables!$C$15+'Cost Calculations'!U394*Variables!$E$27*Variables!$C$15+V394*Variables!$E$28*Variables!$C$15</f>
        <v>140100600.57578695</v>
      </c>
      <c r="X394" s="20">
        <f>J394*Variables!$E$29*Variables!$C$15</f>
        <v>1542242.7045230058</v>
      </c>
      <c r="Z394" s="33">
        <f>D394*(IF(D394&lt;50000,0,IF(D394&gt;Variables!$C$7,Variables!$C$37,IF(D394&gt;Variables!$C$6,Variables!$C$36,IF(D394&gt;Variables!$C$5,Variables!$C$35)))))</f>
        <v>5012.2938019935709</v>
      </c>
      <c r="AA394" s="34">
        <f t="shared" si="68"/>
        <v>4896</v>
      </c>
      <c r="AB394" s="35">
        <f t="shared" si="75"/>
        <v>116</v>
      </c>
      <c r="AC394" s="22">
        <f>AB394*Variables!$E$41</f>
        <v>42873600.000000007</v>
      </c>
      <c r="AD394" s="115">
        <f>ROUND(IF(D394&lt;50000,0,(H394/(3.14*Variables!$C$34^2))),0)</f>
        <v>1185</v>
      </c>
      <c r="AE394" s="116">
        <f t="shared" si="70"/>
        <v>1173</v>
      </c>
      <c r="AF394" s="117">
        <f t="shared" si="76"/>
        <v>12</v>
      </c>
      <c r="AG394" s="107">
        <f>AF394*Variables!$E$42*Variables!$C$15</f>
        <v>8130.5280000000002</v>
      </c>
      <c r="AH394" s="199">
        <f>ROUND((Z394)/Variables!$C$40,0)</f>
        <v>40</v>
      </c>
      <c r="AI394" s="33">
        <f t="shared" si="71"/>
        <v>39</v>
      </c>
      <c r="AJ394" s="199">
        <f t="shared" si="79"/>
        <v>1</v>
      </c>
      <c r="AK394" s="22">
        <f>AJ394*Variables!$E$43*Variables!$C$15</f>
        <v>552717.39600000007</v>
      </c>
      <c r="AL394" s="20">
        <f>Z394*Variables!$E$38*Variables!$C$15</f>
        <v>888571981.5317198</v>
      </c>
      <c r="AN394" s="200">
        <f t="shared" si="72"/>
        <v>0.28000000000000003</v>
      </c>
      <c r="AO394" s="201">
        <f t="shared" si="77"/>
        <v>72.744</v>
      </c>
      <c r="AP394" s="321">
        <f>VLOOKUP(A394,'Household Information'!H:Q,10,FALSE)</f>
        <v>139.85863940426606</v>
      </c>
      <c r="AQ394" s="122">
        <f>IF(12*(AO394-Variables!$C$3*AP394*F394)*(G394/5)&lt;0,0,12*(AO394-Variables!$C$3*AP394*F394)*(G394/5))</f>
        <v>0</v>
      </c>
    </row>
    <row r="395" spans="1:43" ht="14.25" customHeight="1" x14ac:dyDescent="0.35">
      <c r="A395" s="30">
        <v>14</v>
      </c>
      <c r="B395" s="28" t="s">
        <v>167</v>
      </c>
      <c r="C395" s="28">
        <v>2028</v>
      </c>
      <c r="D395" s="196">
        <f>Population!M15</f>
        <v>399451.77325144171</v>
      </c>
      <c r="E395" s="303" t="str">
        <f t="shared" si="78"/>
        <v>Medium</v>
      </c>
      <c r="F395" s="340">
        <f>VLOOKUP(A395,'Household Information'!$H$2:$M$49,6,FALSE)</f>
        <v>4.6437746693442286</v>
      </c>
      <c r="G395" s="196">
        <f t="shared" si="73"/>
        <v>86019</v>
      </c>
      <c r="H395" s="213">
        <f>Area!O15</f>
        <v>45.982790901829595</v>
      </c>
      <c r="J395" s="32">
        <f>D395*Variables!$C$20</f>
        <v>359.50659592629751</v>
      </c>
      <c r="K395" s="202">
        <f t="shared" si="69"/>
        <v>351.1835458887345</v>
      </c>
      <c r="L395" s="32">
        <f t="shared" si="74"/>
        <v>8.3230500375630072</v>
      </c>
      <c r="S395" s="198">
        <f>$L395*Variables!$C$21/100</f>
        <v>0.45193031878170165</v>
      </c>
      <c r="T395" s="198">
        <f>$L395*Variables!$C$22/100</f>
        <v>0.79087805786797805</v>
      </c>
      <c r="U395" s="198">
        <f>$L395*Variables!$C$23/100</f>
        <v>0.82853891776645328</v>
      </c>
      <c r="V395" s="198">
        <f>$L395*Variables!$C$24/100</f>
        <v>6.0257375837560234</v>
      </c>
      <c r="W395" s="22">
        <f>S395*Variables!$E$25*Variables!$C$15+'Cost Calculations'!T395*Variables!$E$26*Variables!$C$15+'Cost Calculations'!U395*Variables!$E$27*Variables!$C$15+V395*Variables!$E$28*Variables!$C$15</f>
        <v>5582617.0157195684</v>
      </c>
      <c r="X395" s="20">
        <f>J395*Variables!$E$29*Variables!$C$15</f>
        <v>61454.057507641301</v>
      </c>
      <c r="Z395" s="33">
        <f>D395*(IF(D395&lt;50000,0,IF(D395&gt;Variables!$C$7,Variables!$C$37,IF(D395&gt;Variables!$C$6,Variables!$C$36,IF(D395&gt;Variables!$C$5,Variables!$C$35)))))</f>
        <v>199.72588662572088</v>
      </c>
      <c r="AA395" s="34">
        <f t="shared" si="68"/>
        <v>195</v>
      </c>
      <c r="AB395" s="35">
        <f t="shared" si="75"/>
        <v>5</v>
      </c>
      <c r="AC395" s="22">
        <f>AB395*Variables!$E$41</f>
        <v>1848000.0000000002</v>
      </c>
      <c r="AD395" s="115">
        <f>ROUND(IF(D395&lt;50000,0,(H395/(3.14*Variables!$C$34^2))),0)</f>
        <v>59</v>
      </c>
      <c r="AE395" s="116">
        <f t="shared" si="70"/>
        <v>58</v>
      </c>
      <c r="AF395" s="117">
        <f t="shared" si="76"/>
        <v>1</v>
      </c>
      <c r="AG395" s="107">
        <f>AF395*Variables!$E$42*Variables!$C$15</f>
        <v>677.54399999999998</v>
      </c>
      <c r="AH395" s="199">
        <f>ROUND((Z395)/Variables!$C$40,0)</f>
        <v>2</v>
      </c>
      <c r="AI395" s="33">
        <f t="shared" si="71"/>
        <v>2</v>
      </c>
      <c r="AJ395" s="199">
        <f t="shared" si="79"/>
        <v>0</v>
      </c>
      <c r="AK395" s="22">
        <f>AJ395*Variables!$E$43*Variables!$C$15</f>
        <v>0</v>
      </c>
      <c r="AL395" s="20">
        <f>Z395*Variables!$E$38*Variables!$C$15</f>
        <v>35407107.774011537</v>
      </c>
      <c r="AN395" s="200">
        <f t="shared" si="72"/>
        <v>0.21</v>
      </c>
      <c r="AO395" s="201">
        <f t="shared" si="77"/>
        <v>58.511560833737278</v>
      </c>
      <c r="AP395" s="321">
        <f>VLOOKUP(A395,'Household Information'!H:Q,10,FALSE)</f>
        <v>108.65462509082352</v>
      </c>
      <c r="AQ395" s="122">
        <f>IF(12*(AO395-Variables!$C$3*AP395*F395)*(G395/5)&lt;0,0,12*(AO395-Variables!$C$3*AP395*F395)*(G395/5))</f>
        <v>0</v>
      </c>
    </row>
    <row r="396" spans="1:43" ht="14.25" customHeight="1" x14ac:dyDescent="0.35">
      <c r="A396" s="30">
        <v>15</v>
      </c>
      <c r="B396" s="28" t="s">
        <v>168</v>
      </c>
      <c r="C396" s="28">
        <v>2028</v>
      </c>
      <c r="D396" s="196">
        <f>Population!M16</f>
        <v>88589.025587725555</v>
      </c>
      <c r="E396" s="303" t="str">
        <f t="shared" si="78"/>
        <v>Small</v>
      </c>
      <c r="F396" s="340">
        <f>VLOOKUP(A396,'Household Information'!$H$2:$M$49,6,FALSE)</f>
        <v>4.4181210545859635</v>
      </c>
      <c r="G396" s="196">
        <f t="shared" si="73"/>
        <v>20051</v>
      </c>
      <c r="H396" s="213">
        <f>Area!O16</f>
        <v>255.97086935351808</v>
      </c>
      <c r="J396" s="32">
        <f>D396*Variables!$C$20</f>
        <v>79.730123028953003</v>
      </c>
      <c r="K396" s="202">
        <f t="shared" si="69"/>
        <v>77.884265926495075</v>
      </c>
      <c r="L396" s="32">
        <f t="shared" si="74"/>
        <v>1.8458571024579271</v>
      </c>
      <c r="S396" s="198">
        <f>$L396*Variables!$C$21/100</f>
        <v>0.10022753497509106</v>
      </c>
      <c r="T396" s="198">
        <f>$L396*Variables!$C$22/100</f>
        <v>0.17539818620640937</v>
      </c>
      <c r="U396" s="198">
        <f>$L396*Variables!$C$23/100</f>
        <v>0.18375048078766695</v>
      </c>
      <c r="V396" s="198">
        <f>$L396*Variables!$C$24/100</f>
        <v>1.3363671330012141</v>
      </c>
      <c r="W396" s="22">
        <f>S396*Variables!$E$25*Variables!$C$15+'Cost Calculations'!T396*Variables!$E$26*Variables!$C$15+'Cost Calculations'!U396*Variables!$E$27*Variables!$C$15+V396*Variables!$E$28*Variables!$C$15</f>
        <v>1238093.3939195285</v>
      </c>
      <c r="X396" s="20">
        <f>J396*Variables!$E$29*Variables!$C$15</f>
        <v>13629.067230569226</v>
      </c>
      <c r="Z396" s="33">
        <f>D396*(IF(D396&lt;50000,0,IF(D396&gt;Variables!$C$7,Variables!$C$37,IF(D396&gt;Variables!$C$6,Variables!$C$36,IF(D396&gt;Variables!$C$5,Variables!$C$35)))))</f>
        <v>44.294512793862779</v>
      </c>
      <c r="AA396" s="34">
        <f t="shared" si="68"/>
        <v>43</v>
      </c>
      <c r="AB396" s="35">
        <f t="shared" si="75"/>
        <v>1</v>
      </c>
      <c r="AC396" s="22">
        <f>AB396*Variables!$E$41</f>
        <v>369600.00000000006</v>
      </c>
      <c r="AD396" s="115">
        <f>ROUND(IF(D396&lt;50000,0,(H396/(3.14*Variables!$C$34^2))),0)</f>
        <v>326</v>
      </c>
      <c r="AE396" s="116">
        <f t="shared" si="70"/>
        <v>322</v>
      </c>
      <c r="AF396" s="117">
        <f t="shared" si="76"/>
        <v>4</v>
      </c>
      <c r="AG396" s="107">
        <f>AF396*Variables!$E$42*Variables!$C$15</f>
        <v>2710.1759999999999</v>
      </c>
      <c r="AH396" s="199">
        <f>ROUND((Z396)/Variables!$C$40,0)</f>
        <v>0</v>
      </c>
      <c r="AI396" s="33">
        <f t="shared" si="71"/>
        <v>0</v>
      </c>
      <c r="AJ396" s="199">
        <f t="shared" si="79"/>
        <v>0</v>
      </c>
      <c r="AK396" s="22">
        <f>AJ396*Variables!$E$43*Variables!$C$15</f>
        <v>0</v>
      </c>
      <c r="AL396" s="20">
        <f>Z396*Variables!$E$38*Variables!$C$15</f>
        <v>7852465.2702062912</v>
      </c>
      <c r="AN396" s="200">
        <f t="shared" si="72"/>
        <v>0.28000000000000003</v>
      </c>
      <c r="AO396" s="201">
        <f t="shared" si="77"/>
        <v>74.224433717044192</v>
      </c>
      <c r="AP396" s="321">
        <f>VLOOKUP(A396,'Household Information'!H:Q,10,FALSE)</f>
        <v>119.4497033951786</v>
      </c>
      <c r="AQ396" s="122">
        <f>IF(12*(AO396-Variables!$C$3*AP396*F396)*(G396/5)&lt;0,0,12*(AO396-Variables!$C$3*AP396*F396)*(G396/5))</f>
        <v>0</v>
      </c>
    </row>
    <row r="397" spans="1:43" ht="14.25" customHeight="1" x14ac:dyDescent="0.35">
      <c r="A397" s="30">
        <v>16</v>
      </c>
      <c r="B397" s="28" t="s">
        <v>169</v>
      </c>
      <c r="C397" s="28">
        <v>2028</v>
      </c>
      <c r="D397" s="196">
        <f>Population!M17</f>
        <v>4536167.6239936603</v>
      </c>
      <c r="E397" s="303" t="str">
        <f t="shared" si="78"/>
        <v>Large</v>
      </c>
      <c r="F397" s="340">
        <f>VLOOKUP(A397,'Household Information'!$H$2:$M$49,6,FALSE)</f>
        <v>5.0811133147736394</v>
      </c>
      <c r="G397" s="196">
        <f t="shared" si="73"/>
        <v>892751</v>
      </c>
      <c r="H397" s="213">
        <f>Area!O17</f>
        <v>325.93981778123924</v>
      </c>
      <c r="J397" s="32">
        <f>D397*Variables!$C$20</f>
        <v>4082.550861594294</v>
      </c>
      <c r="K397" s="202">
        <f t="shared" si="69"/>
        <v>3988.0344452420572</v>
      </c>
      <c r="L397" s="32">
        <f t="shared" si="74"/>
        <v>94.516416352236774</v>
      </c>
      <c r="S397" s="198">
        <f>$L397*Variables!$C$21/100</f>
        <v>5.1321131050988287</v>
      </c>
      <c r="T397" s="198">
        <f>$L397*Variables!$C$22/100</f>
        <v>8.9811979339229513</v>
      </c>
      <c r="U397" s="198">
        <f>$L397*Variables!$C$23/100</f>
        <v>9.4088740260145212</v>
      </c>
      <c r="V397" s="198">
        <f>$L397*Variables!$C$24/100</f>
        <v>68.428174734651051</v>
      </c>
      <c r="W397" s="22">
        <f>S397*Variables!$E$25*Variables!$C$15+'Cost Calculations'!T397*Variables!$E$26*Variables!$C$15+'Cost Calculations'!U397*Variables!$E$27*Variables!$C$15+V397*Variables!$E$28*Variables!$C$15</f>
        <v>63396105.010961592</v>
      </c>
      <c r="X397" s="20">
        <f>J397*Variables!$E$29*Variables!$C$15</f>
        <v>697871.24428092863</v>
      </c>
      <c r="Z397" s="33">
        <f>D397*(IF(D397&lt;50000,0,IF(D397&gt;Variables!$C$7,Variables!$C$37,IF(D397&gt;Variables!$C$6,Variables!$C$36,IF(D397&gt;Variables!$C$5,Variables!$C$35)))))</f>
        <v>2268.0838119968303</v>
      </c>
      <c r="AA397" s="34">
        <f t="shared" si="68"/>
        <v>3249</v>
      </c>
      <c r="AB397" s="35">
        <f t="shared" si="75"/>
        <v>0</v>
      </c>
      <c r="AC397" s="22">
        <f>AB397*Variables!$E$41</f>
        <v>0</v>
      </c>
      <c r="AD397" s="115">
        <f>ROUND(IF(D397&lt;50000,0,(H397/(3.14*Variables!$C$34^2))),0)</f>
        <v>415</v>
      </c>
      <c r="AE397" s="116">
        <f t="shared" si="70"/>
        <v>566</v>
      </c>
      <c r="AF397" s="117">
        <f t="shared" si="76"/>
        <v>0</v>
      </c>
      <c r="AG397" s="107">
        <f>AF397*Variables!$E$42*Variables!$C$15</f>
        <v>0</v>
      </c>
      <c r="AH397" s="199">
        <f>ROUND((Z397)/Variables!$C$40,0)</f>
        <v>18</v>
      </c>
      <c r="AI397" s="33">
        <f t="shared" si="71"/>
        <v>18</v>
      </c>
      <c r="AJ397" s="199">
        <f t="shared" si="79"/>
        <v>0</v>
      </c>
      <c r="AK397" s="22">
        <f>AJ397*Variables!$E$43*Variables!$C$15</f>
        <v>0</v>
      </c>
      <c r="AL397" s="20">
        <f>Z397*Variables!$E$38*Variables!$C$15</f>
        <v>402082520.84194666</v>
      </c>
      <c r="AN397" s="200">
        <f t="shared" si="72"/>
        <v>0.21</v>
      </c>
      <c r="AO397" s="201">
        <f t="shared" si="77"/>
        <v>64.022027766147858</v>
      </c>
      <c r="AP397" s="321">
        <f>VLOOKUP(A397,'Household Information'!H:Q,10,FALSE)</f>
        <v>125.45752871387103</v>
      </c>
      <c r="AQ397" s="122">
        <f>IF(12*(AO397-Variables!$C$3*AP397*F397)*(G397/5)&lt;0,0,12*(AO397-Variables!$C$3*AP397*F397)*(G397/5))</f>
        <v>0</v>
      </c>
    </row>
    <row r="398" spans="1:43" ht="14.25" customHeight="1" x14ac:dyDescent="0.35">
      <c r="A398" s="30">
        <v>17</v>
      </c>
      <c r="B398" s="28" t="s">
        <v>170</v>
      </c>
      <c r="C398" s="28">
        <v>2028</v>
      </c>
      <c r="D398" s="196">
        <f>Population!M18</f>
        <v>16693.275791534772</v>
      </c>
      <c r="E398" s="303" t="str">
        <f t="shared" si="78"/>
        <v>Small</v>
      </c>
      <c r="F398" s="340">
        <f>VLOOKUP(A398,'Household Information'!$H$2:$M$49,6,FALSE)</f>
        <v>4.9910952804986639</v>
      </c>
      <c r="G398" s="196">
        <f t="shared" si="73"/>
        <v>3345</v>
      </c>
      <c r="H398" s="213">
        <f>Area!O18</f>
        <v>2.9631134025762624</v>
      </c>
      <c r="J398" s="32">
        <f>D398*Variables!$C$20</f>
        <v>15.023948212381294</v>
      </c>
      <c r="K398" s="202">
        <f t="shared" si="69"/>
        <v>14.676124071877791</v>
      </c>
      <c r="L398" s="32">
        <f t="shared" si="74"/>
        <v>0.34782414050350319</v>
      </c>
      <c r="S398" s="198">
        <f>$L398*Variables!$C$21/100</f>
        <v>1.8886378669873475E-2</v>
      </c>
      <c r="T398" s="198">
        <f>$L398*Variables!$C$22/100</f>
        <v>3.3051162672278582E-2</v>
      </c>
      <c r="U398" s="198">
        <f>$L398*Variables!$C$23/100</f>
        <v>3.4625027561434707E-2</v>
      </c>
      <c r="V398" s="198">
        <f>$L398*Variables!$C$24/100</f>
        <v>0.25181838226497966</v>
      </c>
      <c r="W398" s="22">
        <f>S398*Variables!$E$25*Variables!$C$15+'Cost Calculations'!T398*Variables!$E$26*Variables!$C$15+'Cost Calculations'!U398*Variables!$E$27*Variables!$C$15+V398*Variables!$E$28*Variables!$C$15</f>
        <v>233300.1671850385</v>
      </c>
      <c r="X398" s="20">
        <f>J398*Variables!$E$29*Variables!$C$15</f>
        <v>2568.1937074244584</v>
      </c>
      <c r="Z398" s="33">
        <f>D398*(IF(D398&lt;50000,0,IF(D398&gt;Variables!$C$7,Variables!$C$37,IF(D398&gt;Variables!$C$6,Variables!$C$36,IF(D398&gt;Variables!$C$5,Variables!$C$35)))))</f>
        <v>0</v>
      </c>
      <c r="AA398" s="34">
        <f t="shared" si="68"/>
        <v>0</v>
      </c>
      <c r="AB398" s="35">
        <f t="shared" si="75"/>
        <v>0</v>
      </c>
      <c r="AC398" s="22">
        <f>AB398*Variables!$E$41</f>
        <v>0</v>
      </c>
      <c r="AD398" s="115">
        <f>ROUND(IF(D398&lt;50000,0,(H398/(3.14*Variables!$C$34^2))),0)</f>
        <v>0</v>
      </c>
      <c r="AE398" s="116">
        <f t="shared" si="70"/>
        <v>0</v>
      </c>
      <c r="AF398" s="117">
        <f t="shared" si="76"/>
        <v>0</v>
      </c>
      <c r="AG398" s="107">
        <f>AF398*Variables!$E$42*Variables!$C$15</f>
        <v>0</v>
      </c>
      <c r="AH398" s="199">
        <f>ROUND((Z398)/Variables!$C$40,0)</f>
        <v>0</v>
      </c>
      <c r="AI398" s="33">
        <f t="shared" si="71"/>
        <v>0</v>
      </c>
      <c r="AJ398" s="199">
        <f t="shared" si="79"/>
        <v>0</v>
      </c>
      <c r="AK398" s="22">
        <f>AJ398*Variables!$E$43*Variables!$C$15</f>
        <v>0</v>
      </c>
      <c r="AL398" s="20">
        <f>Z398*Variables!$E$38*Variables!$C$15</f>
        <v>0</v>
      </c>
      <c r="AN398" s="200">
        <f t="shared" si="72"/>
        <v>0.25221875000000005</v>
      </c>
      <c r="AO398" s="201">
        <f t="shared" si="77"/>
        <v>75.530868766696358</v>
      </c>
      <c r="AP398" s="321">
        <f>VLOOKUP(A398,'Household Information'!H:Q,10,FALSE)</f>
        <v>108.65462509082352</v>
      </c>
      <c r="AQ398" s="122">
        <f>IF(12*(AO398-Variables!$C$3*AP398*F398)*(G398/5)&lt;0,0,12*(AO398-Variables!$C$3*AP398*F398)*(G398/5))</f>
        <v>0</v>
      </c>
    </row>
    <row r="399" spans="1:43" ht="14.25" customHeight="1" x14ac:dyDescent="0.35">
      <c r="A399" s="30">
        <v>18</v>
      </c>
      <c r="B399" s="28" t="s">
        <v>171</v>
      </c>
      <c r="C399" s="28">
        <v>2028</v>
      </c>
      <c r="D399" s="196">
        <f>Population!M19</f>
        <v>147483.0812772357</v>
      </c>
      <c r="E399" s="303" t="str">
        <f t="shared" si="78"/>
        <v>Medium</v>
      </c>
      <c r="F399" s="340">
        <f>VLOOKUP(A399,'Household Information'!$H$2:$M$49,6,FALSE)</f>
        <v>4.4388221584797423</v>
      </c>
      <c r="G399" s="196">
        <f t="shared" si="73"/>
        <v>33226</v>
      </c>
      <c r="H399" s="213">
        <f>Area!O19</f>
        <v>30.655193934553072</v>
      </c>
      <c r="J399" s="32">
        <f>D399*Variables!$C$20</f>
        <v>132.73477314951214</v>
      </c>
      <c r="K399" s="202">
        <f t="shared" si="69"/>
        <v>129.66178875599505</v>
      </c>
      <c r="L399" s="32">
        <f t="shared" si="74"/>
        <v>3.0729843935170891</v>
      </c>
      <c r="S399" s="198">
        <f>$L399*Variables!$C$21/100</f>
        <v>0.16685888109595051</v>
      </c>
      <c r="T399" s="198">
        <f>$L399*Variables!$C$22/100</f>
        <v>0.29200304191791343</v>
      </c>
      <c r="U399" s="198">
        <f>$L399*Variables!$C$23/100</f>
        <v>0.30590794867590931</v>
      </c>
      <c r="V399" s="198">
        <f>$L399*Variables!$C$24/100</f>
        <v>2.2247850812793404</v>
      </c>
      <c r="W399" s="22">
        <f>S399*Variables!$E$25*Variables!$C$15+'Cost Calculations'!T399*Variables!$E$26*Variables!$C$15+'Cost Calculations'!U399*Variables!$E$27*Variables!$C$15+V399*Variables!$E$28*Variables!$C$15</f>
        <v>2061178.8811631673</v>
      </c>
      <c r="X399" s="20">
        <f>J399*Variables!$E$29*Variables!$C$15</f>
        <v>22689.682122177604</v>
      </c>
      <c r="Z399" s="33">
        <f>D399*(IF(D399&lt;50000,0,IF(D399&gt;Variables!$C$7,Variables!$C$37,IF(D399&gt;Variables!$C$6,Variables!$C$36,IF(D399&gt;Variables!$C$5,Variables!$C$35)))))</f>
        <v>73.741540638617849</v>
      </c>
      <c r="AA399" s="34">
        <f t="shared" si="68"/>
        <v>94</v>
      </c>
      <c r="AB399" s="35">
        <f t="shared" si="75"/>
        <v>0</v>
      </c>
      <c r="AC399" s="22">
        <f>AB399*Variables!$E$41</f>
        <v>0</v>
      </c>
      <c r="AD399" s="115">
        <f>ROUND(IF(D399&lt;50000,0,(H399/(3.14*Variables!$C$34^2))),0)</f>
        <v>39</v>
      </c>
      <c r="AE399" s="116">
        <f t="shared" si="70"/>
        <v>39</v>
      </c>
      <c r="AF399" s="117">
        <f t="shared" si="76"/>
        <v>0</v>
      </c>
      <c r="AG399" s="107">
        <f>AF399*Variables!$E$42*Variables!$C$15</f>
        <v>0</v>
      </c>
      <c r="AH399" s="199">
        <f>ROUND((Z399)/Variables!$C$40,0)</f>
        <v>1</v>
      </c>
      <c r="AI399" s="33">
        <f t="shared" si="71"/>
        <v>1</v>
      </c>
      <c r="AJ399" s="199">
        <f t="shared" si="79"/>
        <v>0</v>
      </c>
      <c r="AK399" s="22">
        <f>AJ399*Variables!$E$43*Variables!$C$15</f>
        <v>0</v>
      </c>
      <c r="AL399" s="20">
        <f>Z399*Variables!$E$38*Variables!$C$15</f>
        <v>13072790.517666176</v>
      </c>
      <c r="AN399" s="200">
        <f t="shared" si="72"/>
        <v>0.25221875000000005</v>
      </c>
      <c r="AO399" s="201">
        <f t="shared" si="77"/>
        <v>67.17325057704376</v>
      </c>
      <c r="AP399" s="321">
        <f>VLOOKUP(A399,'Household Information'!H:Q,10,FALSE)</f>
        <v>98.76688123185663</v>
      </c>
      <c r="AQ399" s="122">
        <f>IF(12*(AO399-Variables!$C$3*AP399*F399)*(G399/5)&lt;0,0,12*(AO399-Variables!$C$3*AP399*F399)*(G399/5))</f>
        <v>112592.874696992</v>
      </c>
    </row>
    <row r="400" spans="1:43" ht="14.25" customHeight="1" x14ac:dyDescent="0.35">
      <c r="A400" s="30">
        <v>19</v>
      </c>
      <c r="B400" s="28" t="s">
        <v>172</v>
      </c>
      <c r="C400" s="28">
        <v>2028</v>
      </c>
      <c r="D400" s="196">
        <f>Population!M20</f>
        <v>6696213.4783353843</v>
      </c>
      <c r="E400" s="303" t="str">
        <f t="shared" si="78"/>
        <v>Large</v>
      </c>
      <c r="F400" s="340">
        <f>VLOOKUP(A400,'Household Information'!$H$2:$M$49,6,FALSE)</f>
        <v>4.3873267195354213</v>
      </c>
      <c r="G400" s="196">
        <f t="shared" si="73"/>
        <v>1526263</v>
      </c>
      <c r="H400" s="213">
        <f>Area!O20</f>
        <v>1063.6585706540709</v>
      </c>
      <c r="J400" s="32">
        <f>D400*Variables!$C$20</f>
        <v>6026.5921305018455</v>
      </c>
      <c r="K400" s="202">
        <f t="shared" si="69"/>
        <v>5887.0686045734546</v>
      </c>
      <c r="L400" s="32">
        <f t="shared" si="74"/>
        <v>139.52352592839088</v>
      </c>
      <c r="S400" s="198">
        <f>$L400*Variables!$C$21/100</f>
        <v>7.5759380594601371</v>
      </c>
      <c r="T400" s="198">
        <f>$L400*Variables!$C$22/100</f>
        <v>13.257891604055242</v>
      </c>
      <c r="U400" s="198">
        <f>$L400*Variables!$C$23/100</f>
        <v>13.889219775676921</v>
      </c>
      <c r="V400" s="198">
        <f>$L400*Variables!$C$24/100</f>
        <v>101.01250745946851</v>
      </c>
      <c r="W400" s="22">
        <f>S400*Variables!$E$25*Variables!$C$15+'Cost Calculations'!T400*Variables!$E$26*Variables!$C$15+'Cost Calculations'!U400*Variables!$E$27*Variables!$C$15+V400*Variables!$E$28*Variables!$C$15</f>
        <v>93584251.737730682</v>
      </c>
      <c r="X400" s="20">
        <f>J400*Variables!$E$29*Variables!$C$15</f>
        <v>1030185.6587879856</v>
      </c>
      <c r="Z400" s="33">
        <f>D400*(IF(D400&lt;50000,0,IF(D400&gt;Variables!$C$7,Variables!$C$37,IF(D400&gt;Variables!$C$6,Variables!$C$36,IF(D400&gt;Variables!$C$5,Variables!$C$35)))))</f>
        <v>3348.106739167692</v>
      </c>
      <c r="AA400" s="34">
        <f t="shared" si="68"/>
        <v>5267</v>
      </c>
      <c r="AB400" s="35">
        <f t="shared" si="75"/>
        <v>0</v>
      </c>
      <c r="AC400" s="22">
        <f>AB400*Variables!$E$41</f>
        <v>0</v>
      </c>
      <c r="AD400" s="115">
        <f>ROUND(IF(D400&lt;50000,0,(H400/(3.14*Variables!$C$34^2))),0)</f>
        <v>1355</v>
      </c>
      <c r="AE400" s="116">
        <f t="shared" si="70"/>
        <v>1469</v>
      </c>
      <c r="AF400" s="117">
        <f t="shared" si="76"/>
        <v>0</v>
      </c>
      <c r="AG400" s="107">
        <f>AF400*Variables!$E$42*Variables!$C$15</f>
        <v>0</v>
      </c>
      <c r="AH400" s="199">
        <f>ROUND((Z400)/Variables!$C$40,0)</f>
        <v>27</v>
      </c>
      <c r="AI400" s="33">
        <f t="shared" si="71"/>
        <v>26</v>
      </c>
      <c r="AJ400" s="199">
        <f t="shared" si="79"/>
        <v>1</v>
      </c>
      <c r="AK400" s="22">
        <f>AJ400*Variables!$E$43*Variables!$C$15</f>
        <v>552717.39600000007</v>
      </c>
      <c r="AL400" s="20">
        <f>Z400*Variables!$E$38*Variables!$C$15</f>
        <v>593547377.13472867</v>
      </c>
      <c r="AN400" s="200">
        <f t="shared" si="72"/>
        <v>0.14000000000000001</v>
      </c>
      <c r="AO400" s="201">
        <f t="shared" si="77"/>
        <v>36.853544444097544</v>
      </c>
      <c r="AP400" s="321">
        <f>VLOOKUP(A400,'Household Information'!H:Q,10,FALSE)</f>
        <v>155.49665530733307</v>
      </c>
      <c r="AQ400" s="122">
        <f>IF(12*(AO400-Variables!$C$3*AP400*F400)*(G400/5)&lt;0,0,12*(AO400-Variables!$C$3*AP400*F400)*(G400/5))</f>
        <v>0</v>
      </c>
    </row>
    <row r="401" spans="1:43" ht="14.25" customHeight="1" x14ac:dyDescent="0.35">
      <c r="A401" s="30">
        <v>20</v>
      </c>
      <c r="B401" s="28" t="s">
        <v>173</v>
      </c>
      <c r="C401" s="28">
        <v>2028</v>
      </c>
      <c r="D401" s="196">
        <f>Population!M21</f>
        <v>4195067.8589394791</v>
      </c>
      <c r="E401" s="303" t="str">
        <f t="shared" si="78"/>
        <v>Large</v>
      </c>
      <c r="F401" s="340">
        <f>VLOOKUP(A401,'Household Information'!$H$2:$M$49,6,FALSE)</f>
        <v>5.2348048588773741</v>
      </c>
      <c r="G401" s="196">
        <f t="shared" si="73"/>
        <v>801380</v>
      </c>
      <c r="H401" s="213">
        <f>Area!O21</f>
        <v>516.54001779721909</v>
      </c>
      <c r="J401" s="32">
        <f>D401*Variables!$C$20</f>
        <v>3775.561073045531</v>
      </c>
      <c r="K401" s="202">
        <f t="shared" si="69"/>
        <v>3688.1518736402572</v>
      </c>
      <c r="L401" s="32">
        <f t="shared" si="74"/>
        <v>87.409199405273739</v>
      </c>
      <c r="S401" s="198">
        <f>$L401*Variables!$C$21/100</f>
        <v>4.7462008726845468</v>
      </c>
      <c r="T401" s="198">
        <f>$L401*Variables!$C$22/100</f>
        <v>8.3058515271979569</v>
      </c>
      <c r="U401" s="198">
        <f>$L401*Variables!$C$23/100</f>
        <v>8.7013682665883358</v>
      </c>
      <c r="V401" s="198">
        <f>$L401*Variables!$C$24/100</f>
        <v>63.282678302460624</v>
      </c>
      <c r="W401" s="22">
        <f>S401*Variables!$E$25*Variables!$C$15+'Cost Calculations'!T401*Variables!$E$26*Variables!$C$15+'Cost Calculations'!U401*Variables!$E$27*Variables!$C$15+V401*Variables!$E$28*Variables!$C$15</f>
        <v>58628997.990883678</v>
      </c>
      <c r="X401" s="20">
        <f>J401*Variables!$E$29*Variables!$C$15</f>
        <v>645394.40982640302</v>
      </c>
      <c r="Z401" s="33">
        <f>D401*(IF(D401&lt;50000,0,IF(D401&gt;Variables!$C$7,Variables!$C$37,IF(D401&gt;Variables!$C$6,Variables!$C$36,IF(D401&gt;Variables!$C$5,Variables!$C$35)))))</f>
        <v>2097.5339294697396</v>
      </c>
      <c r="AA401" s="34">
        <f t="shared" si="68"/>
        <v>3353</v>
      </c>
      <c r="AB401" s="35">
        <f t="shared" si="75"/>
        <v>0</v>
      </c>
      <c r="AC401" s="22">
        <f>AB401*Variables!$E$41</f>
        <v>0</v>
      </c>
      <c r="AD401" s="115">
        <f>ROUND(IF(D401&lt;50000,0,(H401/(3.14*Variables!$C$34^2))),0)</f>
        <v>658</v>
      </c>
      <c r="AE401" s="116">
        <f t="shared" si="70"/>
        <v>649</v>
      </c>
      <c r="AF401" s="117">
        <f t="shared" si="76"/>
        <v>9</v>
      </c>
      <c r="AG401" s="107">
        <f>AF401*Variables!$E$42*Variables!$C$15</f>
        <v>6097.8960000000006</v>
      </c>
      <c r="AH401" s="199">
        <f>ROUND((Z401)/Variables!$C$40,0)</f>
        <v>17</v>
      </c>
      <c r="AI401" s="33">
        <f t="shared" si="71"/>
        <v>16</v>
      </c>
      <c r="AJ401" s="199">
        <f t="shared" si="79"/>
        <v>1</v>
      </c>
      <c r="AK401" s="22">
        <f>AJ401*Variables!$E$43*Variables!$C$15</f>
        <v>552717.39600000007</v>
      </c>
      <c r="AL401" s="20">
        <f>Z401*Variables!$E$38*Variables!$C$15</f>
        <v>371847691.62925696</v>
      </c>
      <c r="AN401" s="200">
        <f t="shared" si="72"/>
        <v>0.56000000000000005</v>
      </c>
      <c r="AO401" s="201">
        <f t="shared" si="77"/>
        <v>175.88944325827978</v>
      </c>
      <c r="AP401" s="321">
        <f>VLOOKUP(A401,'Household Information'!H:Q,10,FALSE)</f>
        <v>92.944591695065014</v>
      </c>
      <c r="AQ401" s="122">
        <f>IF(12*(AO401-Variables!$C$3*AP401*F401)*(G401/5)&lt;0,0,12*(AO401-Variables!$C$3*AP401*F401)*(G401/5))</f>
        <v>197923081.98065385</v>
      </c>
    </row>
    <row r="402" spans="1:43" ht="14.25" customHeight="1" x14ac:dyDescent="0.35">
      <c r="A402" s="30">
        <v>21</v>
      </c>
      <c r="B402" s="30" t="s">
        <v>174</v>
      </c>
      <c r="C402" s="28">
        <v>2028</v>
      </c>
      <c r="D402" s="196">
        <f>Population!M22</f>
        <v>18528453.522760559</v>
      </c>
      <c r="E402" s="303" t="str">
        <f t="shared" si="78"/>
        <v>Large</v>
      </c>
      <c r="F402" s="340">
        <f>VLOOKUP(A402,'Household Information'!$H$2:$M$49,6,FALSE)</f>
        <v>4.4756737410071938</v>
      </c>
      <c r="G402" s="196">
        <f t="shared" si="73"/>
        <v>4139813</v>
      </c>
      <c r="H402" s="213">
        <f>Area!O22</f>
        <v>604.96037156732325</v>
      </c>
      <c r="J402" s="32">
        <f>D402*Variables!$C$20</f>
        <v>16675.608170484502</v>
      </c>
      <c r="K402" s="202">
        <f t="shared" si="69"/>
        <v>16289.545931898509</v>
      </c>
      <c r="L402" s="32">
        <f t="shared" si="74"/>
        <v>386.06223858599333</v>
      </c>
      <c r="S402" s="198">
        <f>$L402*Variables!$C$21/100</f>
        <v>20.962655488832215</v>
      </c>
      <c r="T402" s="198">
        <f>$L402*Variables!$C$22/100</f>
        <v>36.684647105456378</v>
      </c>
      <c r="U402" s="198">
        <f>$L402*Variables!$C$23/100</f>
        <v>38.431535062859069</v>
      </c>
      <c r="V402" s="198">
        <f>$L402*Variables!$C$24/100</f>
        <v>279.50207318442955</v>
      </c>
      <c r="W402" s="22">
        <f>S402*Variables!$E$25*Variables!$C$15+'Cost Calculations'!T402*Variables!$E$26*Variables!$C$15+'Cost Calculations'!U402*Variables!$E$27*Variables!$C$15+V402*Variables!$E$28*Variables!$C$15</f>
        <v>258948055.40397885</v>
      </c>
      <c r="X402" s="20">
        <f>J402*Variables!$E$29*Variables!$C$15</f>
        <v>2850528.4606626211</v>
      </c>
      <c r="Z402" s="33">
        <f>D402*(IF(D402&lt;50000,0,IF(D402&gt;Variables!$C$7,Variables!$C$37,IF(D402&gt;Variables!$C$6,Variables!$C$36,IF(D402&gt;Variables!$C$5,Variables!$C$35)))))</f>
        <v>9264.2267613802796</v>
      </c>
      <c r="AA402" s="34">
        <f t="shared" si="68"/>
        <v>9050</v>
      </c>
      <c r="AB402" s="35">
        <f t="shared" si="75"/>
        <v>214</v>
      </c>
      <c r="AC402" s="22">
        <f>AB402*Variables!$E$41</f>
        <v>79094400.000000015</v>
      </c>
      <c r="AD402" s="115">
        <f>ROUND(IF(D402&lt;50000,0,(H402/(3.14*Variables!$C$34^2))),0)</f>
        <v>771</v>
      </c>
      <c r="AE402" s="116">
        <f t="shared" si="70"/>
        <v>1087</v>
      </c>
      <c r="AF402" s="117">
        <f t="shared" si="76"/>
        <v>0</v>
      </c>
      <c r="AG402" s="107">
        <f>AF402*Variables!$E$42*Variables!$C$15</f>
        <v>0</v>
      </c>
      <c r="AH402" s="199">
        <f>ROUND((Z402)/Variables!$C$40,0)</f>
        <v>74</v>
      </c>
      <c r="AI402" s="33">
        <f t="shared" si="71"/>
        <v>72</v>
      </c>
      <c r="AJ402" s="199">
        <f t="shared" si="79"/>
        <v>2</v>
      </c>
      <c r="AK402" s="22">
        <f>AJ402*Variables!$E$43*Variables!$C$15</f>
        <v>1105434.7920000001</v>
      </c>
      <c r="AL402" s="20">
        <f>Z402*Variables!$E$38*Variables!$C$15</f>
        <v>1642348325.1210701</v>
      </c>
      <c r="AN402" s="200">
        <f t="shared" si="72"/>
        <v>0.28000000000000003</v>
      </c>
      <c r="AO402" s="201">
        <f t="shared" si="77"/>
        <v>75.191318848920858</v>
      </c>
      <c r="AP402" s="321">
        <f>VLOOKUP(A402,'Household Information'!H:Q,10,FALSE)</f>
        <v>254.44907232109051</v>
      </c>
      <c r="AQ402" s="122">
        <f>IF(12*(AO402-Variables!$C$3*AP402*F402)*(G402/5)&lt;0,0,12*(AO402-Variables!$C$3*AP402*F402)*(G402/5))</f>
        <v>0</v>
      </c>
    </row>
    <row r="403" spans="1:43" ht="14.25" customHeight="1" x14ac:dyDescent="0.35">
      <c r="A403" s="30">
        <v>22</v>
      </c>
      <c r="B403" s="28" t="s">
        <v>175</v>
      </c>
      <c r="C403" s="28">
        <v>2028</v>
      </c>
      <c r="D403" s="196">
        <f>Population!M23</f>
        <v>16432013.367694823</v>
      </c>
      <c r="E403" s="303" t="str">
        <f t="shared" si="78"/>
        <v>Large</v>
      </c>
      <c r="F403" s="340">
        <f>VLOOKUP(A403,'Household Information'!$H$2:$M$49,6,FALSE)</f>
        <v>4.7768636363636361</v>
      </c>
      <c r="G403" s="196">
        <f t="shared" si="73"/>
        <v>3439917</v>
      </c>
      <c r="H403" s="213">
        <f>Area!O23</f>
        <v>1198.6180828410247</v>
      </c>
      <c r="J403" s="32">
        <f>D403*Variables!$C$20</f>
        <v>14788.812030925341</v>
      </c>
      <c r="K403" s="202">
        <f t="shared" si="69"/>
        <v>19972.544550000002</v>
      </c>
      <c r="L403" s="32">
        <f t="shared" si="74"/>
        <v>0</v>
      </c>
      <c r="S403" s="198">
        <f>$L403*Variables!$C$21/100</f>
        <v>0</v>
      </c>
      <c r="T403" s="198">
        <f>$L403*Variables!$C$22/100</f>
        <v>0</v>
      </c>
      <c r="U403" s="198">
        <f>$L403*Variables!$C$23/100</f>
        <v>0</v>
      </c>
      <c r="V403" s="198">
        <f>$L403*Variables!$C$24/100</f>
        <v>0</v>
      </c>
      <c r="W403" s="22">
        <f>S403*Variables!$E$25*Variables!$C$15+'Cost Calculations'!T403*Variables!$E$26*Variables!$C$15+'Cost Calculations'!U403*Variables!$E$27*Variables!$C$15+V403*Variables!$E$28*Variables!$C$15</f>
        <v>0</v>
      </c>
      <c r="X403" s="20">
        <f>J403*Variables!$E$29*Variables!$C$15</f>
        <v>2527999.5285663782</v>
      </c>
      <c r="Z403" s="33">
        <f>D403*(IF(D403&lt;50000,0,IF(D403&gt;Variables!$C$7,Variables!$C$37,IF(D403&gt;Variables!$C$6,Variables!$C$36,IF(D403&gt;Variables!$C$5,Variables!$C$35)))))</f>
        <v>8216.0066838474122</v>
      </c>
      <c r="AA403" s="34">
        <f t="shared" si="68"/>
        <v>8026</v>
      </c>
      <c r="AB403" s="35">
        <f t="shared" si="75"/>
        <v>190</v>
      </c>
      <c r="AC403" s="22">
        <f>AB403*Variables!$E$41</f>
        <v>70224000.000000015</v>
      </c>
      <c r="AD403" s="115">
        <f>ROUND(IF(D403&lt;50000,0,(H403/(3.14*Variables!$C$34^2))),0)</f>
        <v>1527</v>
      </c>
      <c r="AE403" s="116">
        <f t="shared" si="70"/>
        <v>1506</v>
      </c>
      <c r="AF403" s="117">
        <f t="shared" si="76"/>
        <v>21</v>
      </c>
      <c r="AG403" s="107">
        <f>AF403*Variables!$E$42*Variables!$C$15</f>
        <v>14228.424000000001</v>
      </c>
      <c r="AH403" s="199">
        <f>ROUND((Z403)/Variables!$C$40,0)</f>
        <v>66</v>
      </c>
      <c r="AI403" s="33">
        <f t="shared" si="71"/>
        <v>69</v>
      </c>
      <c r="AJ403" s="199">
        <f t="shared" si="79"/>
        <v>0</v>
      </c>
      <c r="AK403" s="22">
        <f>AJ403*Variables!$E$43*Variables!$C$15</f>
        <v>0</v>
      </c>
      <c r="AL403" s="20">
        <f>Z403*Variables!$E$38*Variables!$C$15</f>
        <v>1456521430.6552563</v>
      </c>
      <c r="AN403" s="200">
        <f t="shared" si="72"/>
        <v>0.42</v>
      </c>
      <c r="AO403" s="201">
        <f t="shared" si="77"/>
        <v>120.37696363636363</v>
      </c>
      <c r="AP403" s="321">
        <f>VLOOKUP(A403,'Household Information'!H:Q,10,FALSE)</f>
        <v>150.91303799066011</v>
      </c>
      <c r="AQ403" s="122">
        <f>IF(12*(AO403-Variables!$C$3*AP403*F403)*(G403/5)&lt;0,0,12*(AO403-Variables!$C$3*AP403*F403)*(G403/5))</f>
        <v>101078354.26520558</v>
      </c>
    </row>
    <row r="404" spans="1:43" ht="14.25" customHeight="1" x14ac:dyDescent="0.35">
      <c r="A404" s="30">
        <v>23</v>
      </c>
      <c r="B404" s="28" t="s">
        <v>176</v>
      </c>
      <c r="C404" s="28">
        <v>2028</v>
      </c>
      <c r="D404" s="196">
        <f>Population!M24</f>
        <v>59590.973893831127</v>
      </c>
      <c r="E404" s="303" t="str">
        <f t="shared" si="78"/>
        <v>Small</v>
      </c>
      <c r="F404" s="340">
        <f>VLOOKUP(A404,'Household Information'!$H$2:$M$49,6,FALSE)</f>
        <v>3.9394565859421147</v>
      </c>
      <c r="G404" s="196">
        <f t="shared" si="73"/>
        <v>15127</v>
      </c>
      <c r="H404" s="213">
        <f>Area!O24</f>
        <v>113.72380678246626</v>
      </c>
      <c r="J404" s="32">
        <f>D404*Variables!$C$20</f>
        <v>53.631876504448016</v>
      </c>
      <c r="K404" s="202">
        <f t="shared" si="69"/>
        <v>53.622780000000006</v>
      </c>
      <c r="L404" s="32">
        <f t="shared" si="74"/>
        <v>9.0965044480100232E-3</v>
      </c>
      <c r="S404" s="198">
        <f>$L404*Variables!$C$21/100</f>
        <v>4.93927843330861E-4</v>
      </c>
      <c r="T404" s="198">
        <f>$L404*Variables!$C$22/100</f>
        <v>8.6437372582900669E-4</v>
      </c>
      <c r="U404" s="198">
        <f>$L404*Variables!$C$23/100</f>
        <v>9.0553437943991172E-4</v>
      </c>
      <c r="V404" s="198">
        <f>$L404*Variables!$C$24/100</f>
        <v>6.5857045777448133E-3</v>
      </c>
      <c r="W404" s="22">
        <f>S404*Variables!$E$25*Variables!$C$15+'Cost Calculations'!T404*Variables!$E$26*Variables!$C$15+'Cost Calculations'!U404*Variables!$E$27*Variables!$C$15+V404*Variables!$E$28*Variables!$C$15</f>
        <v>6101.4051682787394</v>
      </c>
      <c r="X404" s="20">
        <f>J404*Variables!$E$29*Variables!$C$15</f>
        <v>9167.832969670344</v>
      </c>
      <c r="Z404" s="33">
        <f>D404*(IF(D404&lt;50000,0,IF(D404&gt;Variables!$C$7,Variables!$C$37,IF(D404&gt;Variables!$C$6,Variables!$C$36,IF(D404&gt;Variables!$C$5,Variables!$C$35)))))</f>
        <v>29.795486946915563</v>
      </c>
      <c r="AA404" s="34">
        <f t="shared" si="68"/>
        <v>374.4</v>
      </c>
      <c r="AB404" s="35">
        <f t="shared" si="75"/>
        <v>0</v>
      </c>
      <c r="AC404" s="22">
        <f>AB404*Variables!$E$41</f>
        <v>0</v>
      </c>
      <c r="AD404" s="115">
        <f>ROUND(IF(D404&lt;50000,0,(H404/(3.14*Variables!$C$34^2))),0)</f>
        <v>145</v>
      </c>
      <c r="AE404" s="116">
        <f t="shared" si="70"/>
        <v>143</v>
      </c>
      <c r="AF404" s="117">
        <f t="shared" si="76"/>
        <v>2</v>
      </c>
      <c r="AG404" s="107">
        <f>AF404*Variables!$E$42*Variables!$C$15</f>
        <v>1355.088</v>
      </c>
      <c r="AH404" s="199">
        <f>ROUND((Z404)/Variables!$C$40,0)</f>
        <v>0</v>
      </c>
      <c r="AI404" s="33">
        <f t="shared" si="71"/>
        <v>1</v>
      </c>
      <c r="AJ404" s="199">
        <f t="shared" si="79"/>
        <v>0</v>
      </c>
      <c r="AK404" s="22">
        <f>AJ404*Variables!$E$43*Variables!$C$15</f>
        <v>0</v>
      </c>
      <c r="AL404" s="20">
        <f>Z404*Variables!$E$38*Variables!$C$15</f>
        <v>5282099.5582088614</v>
      </c>
      <c r="AN404" s="200">
        <f t="shared" si="72"/>
        <v>0.42</v>
      </c>
      <c r="AO404" s="201">
        <f t="shared" si="77"/>
        <v>99.274305965741291</v>
      </c>
      <c r="AP404" s="321">
        <f>VLOOKUP(A404,'Household Information'!H:Q,10,FALSE)</f>
        <v>127.00366022971097</v>
      </c>
      <c r="AQ404" s="122">
        <f>IF(12*(AO404-Variables!$C$3*AP404*F404)*(G404/5)&lt;0,0,12*(AO404-Variables!$C$3*AP404*F404)*(G404/5))</f>
        <v>879501.75472931424</v>
      </c>
    </row>
    <row r="405" spans="1:43" ht="14.25" customHeight="1" x14ac:dyDescent="0.35">
      <c r="A405" s="30">
        <v>24</v>
      </c>
      <c r="B405" s="28" t="s">
        <v>177</v>
      </c>
      <c r="C405" s="28">
        <v>2028</v>
      </c>
      <c r="D405" s="196">
        <f>Population!M25</f>
        <v>2508044.8117903904</v>
      </c>
      <c r="E405" s="303" t="str">
        <f t="shared" si="78"/>
        <v>Large</v>
      </c>
      <c r="F405" s="340">
        <f>VLOOKUP(A405,'Household Information'!$H$2:$M$49,6,FALSE)</f>
        <v>5.7167460931666056</v>
      </c>
      <c r="G405" s="196">
        <f t="shared" si="73"/>
        <v>438719</v>
      </c>
      <c r="H405" s="213">
        <f>Area!O25</f>
        <v>116.48973695130168</v>
      </c>
      <c r="J405" s="32">
        <f>D405*Variables!$C$20</f>
        <v>2257.2403306113515</v>
      </c>
      <c r="K405" s="202">
        <f t="shared" si="69"/>
        <v>2204.9822512565706</v>
      </c>
      <c r="L405" s="32">
        <f t="shared" si="74"/>
        <v>52.258079354780875</v>
      </c>
      <c r="S405" s="198">
        <f>$L405*Variables!$C$21/100</f>
        <v>2.8375427703953413</v>
      </c>
      <c r="T405" s="198">
        <f>$L405*Variables!$C$22/100</f>
        <v>4.9656998481918482</v>
      </c>
      <c r="U405" s="198">
        <f>$L405*Variables!$C$23/100</f>
        <v>5.2021617457247933</v>
      </c>
      <c r="V405" s="198">
        <f>$L405*Variables!$C$24/100</f>
        <v>37.833903605271217</v>
      </c>
      <c r="W405" s="22">
        <f>S405*Variables!$E$25*Variables!$C$15+'Cost Calculations'!T405*Variables!$E$26*Variables!$C$15+'Cost Calculations'!U405*Variables!$E$27*Variables!$C$15+V405*Variables!$E$28*Variables!$C$15</f>
        <v>35051674.770447955</v>
      </c>
      <c r="X405" s="20">
        <f>J405*Variables!$E$29*Variables!$C$15</f>
        <v>385852.66211470444</v>
      </c>
      <c r="Z405" s="33">
        <f>D405*(IF(D405&lt;50000,0,IF(D405&gt;Variables!$C$7,Variables!$C$37,IF(D405&gt;Variables!$C$6,Variables!$C$36,IF(D405&gt;Variables!$C$5,Variables!$C$35)))))</f>
        <v>1254.0224058951953</v>
      </c>
      <c r="AA405" s="34">
        <f t="shared" si="68"/>
        <v>1224.5999999999999</v>
      </c>
      <c r="AB405" s="35">
        <f t="shared" si="75"/>
        <v>29</v>
      </c>
      <c r="AC405" s="22">
        <f>AB405*Variables!$E$41</f>
        <v>10718400.000000002</v>
      </c>
      <c r="AD405" s="115">
        <f>ROUND(IF(D405&lt;50000,0,(H405/(3.14*Variables!$C$34^2))),0)</f>
        <v>148</v>
      </c>
      <c r="AE405" s="116">
        <f t="shared" si="70"/>
        <v>146</v>
      </c>
      <c r="AF405" s="117">
        <f t="shared" si="76"/>
        <v>2</v>
      </c>
      <c r="AG405" s="107">
        <f>AF405*Variables!$E$42*Variables!$C$15</f>
        <v>1355.088</v>
      </c>
      <c r="AH405" s="199">
        <f>ROUND((Z405)/Variables!$C$40,0)</f>
        <v>10</v>
      </c>
      <c r="AI405" s="33">
        <f t="shared" si="71"/>
        <v>10</v>
      </c>
      <c r="AJ405" s="199">
        <f t="shared" si="79"/>
        <v>0</v>
      </c>
      <c r="AK405" s="22">
        <f>AJ405*Variables!$E$43*Variables!$C$15</f>
        <v>0</v>
      </c>
      <c r="AL405" s="20">
        <f>Z405*Variables!$E$38*Variables!$C$15</f>
        <v>222311224.78260854</v>
      </c>
      <c r="AN405" s="200">
        <f t="shared" si="72"/>
        <v>0.14000000000000001</v>
      </c>
      <c r="AO405" s="201">
        <f t="shared" si="77"/>
        <v>48.020667182599489</v>
      </c>
      <c r="AP405" s="321">
        <f>VLOOKUP(A405,'Household Information'!H:Q,10,FALSE)</f>
        <v>84.816357440363504</v>
      </c>
      <c r="AQ405" s="122">
        <f>IF(12*(AO405-Variables!$C$3*AP405*F405)*(G405/5)&lt;0,0,12*(AO405-Variables!$C$3*AP405*F405)*(G405/5))</f>
        <v>0</v>
      </c>
    </row>
    <row r="406" spans="1:43" ht="14.25" customHeight="1" x14ac:dyDescent="0.35">
      <c r="A406" s="30">
        <v>25</v>
      </c>
      <c r="B406" s="28" t="s">
        <v>178</v>
      </c>
      <c r="C406" s="28">
        <v>2028</v>
      </c>
      <c r="D406" s="196">
        <f>Population!M26</f>
        <v>360034.19874636363</v>
      </c>
      <c r="E406" s="303" t="str">
        <f t="shared" si="78"/>
        <v>Medium</v>
      </c>
      <c r="F406" s="340">
        <f>VLOOKUP(A406,'Household Information'!$H$2:$M$49,6,FALSE)</f>
        <v>4.4000000000000004</v>
      </c>
      <c r="G406" s="196">
        <f t="shared" si="73"/>
        <v>81826</v>
      </c>
      <c r="H406" s="213">
        <f>Area!O26</f>
        <v>206.92255905823316</v>
      </c>
      <c r="J406" s="32">
        <f>D406*Variables!$C$20</f>
        <v>324.03077887172725</v>
      </c>
      <c r="K406" s="202">
        <f t="shared" si="69"/>
        <v>316.52904060928716</v>
      </c>
      <c r="L406" s="32">
        <f t="shared" si="74"/>
        <v>7.5017382624400852</v>
      </c>
      <c r="S406" s="198">
        <f>$L406*Variables!$C$21/100</f>
        <v>0.40733420429538919</v>
      </c>
      <c r="T406" s="198">
        <f>$L406*Variables!$C$22/100</f>
        <v>0.71283485751693121</v>
      </c>
      <c r="U406" s="198">
        <f>$L406*Variables!$C$23/100</f>
        <v>0.74677937454154697</v>
      </c>
      <c r="V406" s="198">
        <f>$L406*Variables!$C$24/100</f>
        <v>5.4311227239385236</v>
      </c>
      <c r="W406" s="22">
        <f>S406*Variables!$E$25*Variables!$C$15+'Cost Calculations'!T406*Variables!$E$26*Variables!$C$15+'Cost Calculations'!U406*Variables!$E$27*Variables!$C$15+V406*Variables!$E$28*Variables!$C$15</f>
        <v>5031728.9313852135</v>
      </c>
      <c r="X406" s="20">
        <f>J406*Variables!$E$29*Variables!$C$15</f>
        <v>55389.821340333059</v>
      </c>
      <c r="Z406" s="33">
        <f>D406*(IF(D406&lt;50000,0,IF(D406&gt;Variables!$C$7,Variables!$C$37,IF(D406&gt;Variables!$C$6,Variables!$C$36,IF(D406&gt;Variables!$C$5,Variables!$C$35)))))</f>
        <v>180.01709937318182</v>
      </c>
      <c r="AA406" s="34">
        <f t="shared" si="68"/>
        <v>176</v>
      </c>
      <c r="AB406" s="35">
        <f t="shared" si="75"/>
        <v>4</v>
      </c>
      <c r="AC406" s="22">
        <f>AB406*Variables!$E$41</f>
        <v>1478400.0000000002</v>
      </c>
      <c r="AD406" s="115">
        <f>ROUND(IF(D406&lt;50000,0,(H406/(3.14*Variables!$C$34^2))),0)</f>
        <v>264</v>
      </c>
      <c r="AE406" s="116">
        <f t="shared" si="70"/>
        <v>260</v>
      </c>
      <c r="AF406" s="117">
        <f t="shared" si="76"/>
        <v>4</v>
      </c>
      <c r="AG406" s="107">
        <f>AF406*Variables!$E$42*Variables!$C$15</f>
        <v>2710.1759999999999</v>
      </c>
      <c r="AH406" s="199">
        <f>ROUND((Z406)/Variables!$C$40,0)</f>
        <v>1</v>
      </c>
      <c r="AI406" s="33">
        <f t="shared" si="71"/>
        <v>1</v>
      </c>
      <c r="AJ406" s="199">
        <f t="shared" si="79"/>
        <v>0</v>
      </c>
      <c r="AK406" s="22">
        <f>AJ406*Variables!$E$43*Variables!$C$15</f>
        <v>0</v>
      </c>
      <c r="AL406" s="20">
        <f>Z406*Variables!$E$38*Variables!$C$15</f>
        <v>31913163.317760728</v>
      </c>
      <c r="AN406" s="200">
        <f t="shared" si="72"/>
        <v>0.14000000000000001</v>
      </c>
      <c r="AO406" s="201">
        <f t="shared" si="77"/>
        <v>36.960000000000008</v>
      </c>
      <c r="AP406" s="321">
        <f>VLOOKUP(A406,'Household Information'!H:Q,10,FALSE)</f>
        <v>100.80777483276538</v>
      </c>
      <c r="AQ406" s="122">
        <f>IF(12*(AO406-Variables!$C$3*AP406*F406)*(G406/5)&lt;0,0,12*(AO406-Variables!$C$3*AP406*F406)*(G406/5))</f>
        <v>0</v>
      </c>
    </row>
    <row r="407" spans="1:43" ht="14.25" customHeight="1" x14ac:dyDescent="0.35">
      <c r="A407" s="30">
        <v>26</v>
      </c>
      <c r="B407" s="28" t="s">
        <v>179</v>
      </c>
      <c r="C407" s="28">
        <v>2028</v>
      </c>
      <c r="D407" s="196">
        <f>Population!M27</f>
        <v>149191.126534407</v>
      </c>
      <c r="E407" s="303" t="str">
        <f t="shared" si="78"/>
        <v>Medium</v>
      </c>
      <c r="F407" s="340">
        <f>VLOOKUP(A407,'Household Information'!$H$2:$M$49,6,FALSE)</f>
        <v>3.9948981478058339</v>
      </c>
      <c r="G407" s="196">
        <f t="shared" si="73"/>
        <v>37345</v>
      </c>
      <c r="H407" s="213">
        <f>Area!O27</f>
        <v>738.79017382272878</v>
      </c>
      <c r="J407" s="32">
        <f>D407*Variables!$C$20</f>
        <v>134.27201388096628</v>
      </c>
      <c r="K407" s="202">
        <f t="shared" si="69"/>
        <v>131.16344034479468</v>
      </c>
      <c r="L407" s="32">
        <f t="shared" si="74"/>
        <v>3.1085735361716047</v>
      </c>
      <c r="S407" s="198">
        <f>$L407*Variables!$C$21/100</f>
        <v>0.16879132323103732</v>
      </c>
      <c r="T407" s="198">
        <f>$L407*Variables!$C$22/100</f>
        <v>0.2953848156543154</v>
      </c>
      <c r="U407" s="198">
        <f>$L407*Variables!$C$23/100</f>
        <v>0.30945075925690185</v>
      </c>
      <c r="V407" s="198">
        <f>$L407*Variables!$C$24/100</f>
        <v>2.2505509764138312</v>
      </c>
      <c r="W407" s="22">
        <f>S407*Variables!$E$25*Variables!$C$15+'Cost Calculations'!T407*Variables!$E$26*Variables!$C$15+'Cost Calculations'!U407*Variables!$E$27*Variables!$C$15+V407*Variables!$E$28*Variables!$C$15</f>
        <v>2085050.0044246276</v>
      </c>
      <c r="X407" s="20">
        <f>J407*Variables!$E$29*Variables!$C$15</f>
        <v>22952.458052812377</v>
      </c>
      <c r="Z407" s="33">
        <f>D407*(IF(D407&lt;50000,0,IF(D407&gt;Variables!$C$7,Variables!$C$37,IF(D407&gt;Variables!$C$6,Variables!$C$36,IF(D407&gt;Variables!$C$5,Variables!$C$35)))))</f>
        <v>74.595563267203502</v>
      </c>
      <c r="AA407" s="34">
        <f t="shared" si="68"/>
        <v>139</v>
      </c>
      <c r="AB407" s="35">
        <f t="shared" si="75"/>
        <v>0</v>
      </c>
      <c r="AC407" s="22">
        <f>AB407*Variables!$E$41</f>
        <v>0</v>
      </c>
      <c r="AD407" s="115">
        <f>ROUND(IF(D407&lt;50000,0,(H407/(3.14*Variables!$C$34^2))),0)</f>
        <v>941</v>
      </c>
      <c r="AE407" s="116">
        <f t="shared" si="70"/>
        <v>928</v>
      </c>
      <c r="AF407" s="117">
        <f t="shared" si="76"/>
        <v>13</v>
      </c>
      <c r="AG407" s="107">
        <f>AF407*Variables!$E$42*Variables!$C$15</f>
        <v>8808.0720000000001</v>
      </c>
      <c r="AH407" s="199">
        <f>ROUND((Z407)/Variables!$C$40,0)</f>
        <v>1</v>
      </c>
      <c r="AI407" s="33">
        <f t="shared" si="71"/>
        <v>1</v>
      </c>
      <c r="AJ407" s="199">
        <f t="shared" si="79"/>
        <v>0</v>
      </c>
      <c r="AK407" s="22">
        <f>AJ407*Variables!$E$43*Variables!$C$15</f>
        <v>0</v>
      </c>
      <c r="AL407" s="20">
        <f>Z407*Variables!$E$38*Variables!$C$15</f>
        <v>13224190.377557363</v>
      </c>
      <c r="AN407" s="200">
        <f t="shared" si="72"/>
        <v>0.25221875000000005</v>
      </c>
      <c r="AO407" s="201">
        <f t="shared" si="77"/>
        <v>60.455293033014172</v>
      </c>
      <c r="AP407" s="321">
        <f>VLOOKUP(A407,'Household Information'!H:Q,10,FALSE)</f>
        <v>108.65462509082352</v>
      </c>
      <c r="AQ407" s="122">
        <f>IF(12*(AO407-Variables!$C$3*AP407*F407)*(G407/5)&lt;0,0,12*(AO407-Variables!$C$3*AP407*F407)*(G407/5))</f>
        <v>0</v>
      </c>
    </row>
    <row r="408" spans="1:43" ht="14.25" customHeight="1" x14ac:dyDescent="0.35">
      <c r="A408" s="30">
        <v>27</v>
      </c>
      <c r="B408" s="28" t="s">
        <v>180</v>
      </c>
      <c r="C408" s="28">
        <v>2028</v>
      </c>
      <c r="D408" s="196">
        <f>Population!M28</f>
        <v>1504677.6750997193</v>
      </c>
      <c r="E408" s="303" t="str">
        <f t="shared" si="78"/>
        <v>Large</v>
      </c>
      <c r="F408" s="340">
        <f>VLOOKUP(A408,'Household Information'!$H$2:$M$49,6,FALSE)</f>
        <v>4.6947316089524085</v>
      </c>
      <c r="G408" s="196">
        <f t="shared" si="73"/>
        <v>320503</v>
      </c>
      <c r="H408" s="213">
        <f>Area!O28</f>
        <v>137.94625327167438</v>
      </c>
      <c r="J408" s="32">
        <f>D408*Variables!$C$20</f>
        <v>1354.2099075897474</v>
      </c>
      <c r="K408" s="202">
        <f t="shared" si="69"/>
        <v>2162.4648561170238</v>
      </c>
      <c r="L408" s="32">
        <f t="shared" si="74"/>
        <v>0</v>
      </c>
      <c r="S408" s="198">
        <f>$L408*Variables!$C$21/100</f>
        <v>0</v>
      </c>
      <c r="T408" s="198">
        <f>$L408*Variables!$C$22/100</f>
        <v>0</v>
      </c>
      <c r="U408" s="198">
        <f>$L408*Variables!$C$23/100</f>
        <v>0</v>
      </c>
      <c r="V408" s="198">
        <f>$L408*Variables!$C$24/100</f>
        <v>0</v>
      </c>
      <c r="W408" s="22">
        <f>S408*Variables!$E$25*Variables!$C$15+'Cost Calculations'!T408*Variables!$E$26*Variables!$C$15+'Cost Calculations'!U408*Variables!$E$27*Variables!$C$15+V408*Variables!$E$28*Variables!$C$15</f>
        <v>0</v>
      </c>
      <c r="X408" s="20">
        <f>J408*Variables!$E$29*Variables!$C$15</f>
        <v>231488.64160339144</v>
      </c>
      <c r="Z408" s="33">
        <f>D408*(IF(D408&lt;50000,0,IF(D408&gt;Variables!$C$7,Variables!$C$37,IF(D408&gt;Variables!$C$6,Variables!$C$36,IF(D408&gt;Variables!$C$5,Variables!$C$35)))))</f>
        <v>752.3388375498597</v>
      </c>
      <c r="AA408" s="34">
        <f t="shared" si="68"/>
        <v>735</v>
      </c>
      <c r="AB408" s="35">
        <f t="shared" si="75"/>
        <v>17</v>
      </c>
      <c r="AC408" s="22">
        <f>AB408*Variables!$E$41</f>
        <v>6283200.0000000009</v>
      </c>
      <c r="AD408" s="115">
        <f>ROUND(IF(D408&lt;50000,0,(H408/(3.14*Variables!$C$34^2))),0)</f>
        <v>176</v>
      </c>
      <c r="AE408" s="116">
        <f t="shared" si="70"/>
        <v>173</v>
      </c>
      <c r="AF408" s="117">
        <f t="shared" si="76"/>
        <v>3</v>
      </c>
      <c r="AG408" s="107">
        <f>AF408*Variables!$E$42*Variables!$C$15</f>
        <v>2032.6320000000001</v>
      </c>
      <c r="AH408" s="199">
        <f>ROUND((Z408)/Variables!$C$40,0)</f>
        <v>6</v>
      </c>
      <c r="AI408" s="33">
        <f t="shared" si="71"/>
        <v>110</v>
      </c>
      <c r="AJ408" s="199">
        <f t="shared" si="79"/>
        <v>0</v>
      </c>
      <c r="AK408" s="22">
        <f>AJ408*Variables!$E$43*Variables!$C$15</f>
        <v>0</v>
      </c>
      <c r="AL408" s="20">
        <f>Z408*Variables!$E$38*Variables!$C$15</f>
        <v>133373508.83123809</v>
      </c>
      <c r="AN408" s="200">
        <f t="shared" si="72"/>
        <v>0.14000000000000001</v>
      </c>
      <c r="AO408" s="201">
        <f t="shared" si="77"/>
        <v>39.435745515200232</v>
      </c>
      <c r="AP408" s="321">
        <f>VLOOKUP(A408,'Household Information'!H:Q,10,FALSE)</f>
        <v>58.94736842105263</v>
      </c>
      <c r="AQ408" s="122">
        <f>IF(12*(AO408-Variables!$C$3*AP408*F408)*(G408/5)&lt;0,0,12*(AO408-Variables!$C$3*AP408*F408)*(G408/5))</f>
        <v>0</v>
      </c>
    </row>
    <row r="409" spans="1:43" ht="14.25" customHeight="1" x14ac:dyDescent="0.35">
      <c r="A409" s="30">
        <v>28</v>
      </c>
      <c r="B409" s="28" t="s">
        <v>181</v>
      </c>
      <c r="C409" s="28">
        <v>2028</v>
      </c>
      <c r="D409" s="196">
        <f>Population!M29</f>
        <v>1598484.652371079</v>
      </c>
      <c r="E409" s="303" t="str">
        <f t="shared" si="78"/>
        <v>Large</v>
      </c>
      <c r="F409" s="340">
        <f>VLOOKUP(A409,'Household Information'!$H$2:$M$49,6,FALSE)</f>
        <v>3.2903489815623708</v>
      </c>
      <c r="G409" s="196">
        <f t="shared" si="73"/>
        <v>485810</v>
      </c>
      <c r="H409" s="213">
        <f>Area!O29</f>
        <v>177.80012482040769</v>
      </c>
      <c r="J409" s="32">
        <f>D409*Variables!$C$20</f>
        <v>1438.6361871339711</v>
      </c>
      <c r="K409" s="202">
        <f t="shared" si="69"/>
        <v>1405.3298692331455</v>
      </c>
      <c r="L409" s="32">
        <f t="shared" si="74"/>
        <v>33.306317900825661</v>
      </c>
      <c r="S409" s="198">
        <f>$L409*Variables!$C$21/100</f>
        <v>1.8084878498185879</v>
      </c>
      <c r="T409" s="198">
        <f>$L409*Variables!$C$22/100</f>
        <v>3.1648537371825292</v>
      </c>
      <c r="U409" s="198">
        <f>$L409*Variables!$C$23/100</f>
        <v>3.3155610580007449</v>
      </c>
      <c r="V409" s="198">
        <f>$L409*Variables!$C$24/100</f>
        <v>24.113171330914508</v>
      </c>
      <c r="W409" s="22">
        <f>S409*Variables!$E$25*Variables!$C$15+'Cost Calculations'!T409*Variables!$E$26*Variables!$C$15+'Cost Calculations'!U409*Variables!$E$27*Variables!$C$15+V409*Variables!$E$28*Variables!$C$15</f>
        <v>22339937.42738051</v>
      </c>
      <c r="X409" s="20">
        <f>J409*Variables!$E$29*Variables!$C$15</f>
        <v>245920.46982868103</v>
      </c>
      <c r="Z409" s="33">
        <f>D409*(IF(D409&lt;50000,0,IF(D409&gt;Variables!$C$7,Variables!$C$37,IF(D409&gt;Variables!$C$6,Variables!$C$36,IF(D409&gt;Variables!$C$5,Variables!$C$35)))))</f>
        <v>799.24232618553947</v>
      </c>
      <c r="AA409" s="34">
        <f t="shared" si="68"/>
        <v>781</v>
      </c>
      <c r="AB409" s="35">
        <f t="shared" si="75"/>
        <v>18</v>
      </c>
      <c r="AC409" s="22">
        <f>AB409*Variables!$E$41</f>
        <v>6652800.0000000009</v>
      </c>
      <c r="AD409" s="115">
        <f>ROUND(IF(D409&lt;50000,0,(H409/(3.14*Variables!$C$34^2))),0)</f>
        <v>226</v>
      </c>
      <c r="AE409" s="116">
        <f t="shared" si="70"/>
        <v>223</v>
      </c>
      <c r="AF409" s="117">
        <f t="shared" si="76"/>
        <v>3</v>
      </c>
      <c r="AG409" s="107">
        <f>AF409*Variables!$E$42*Variables!$C$15</f>
        <v>2032.6320000000001</v>
      </c>
      <c r="AH409" s="199">
        <f>ROUND((Z409)/Variables!$C$40,0)</f>
        <v>6</v>
      </c>
      <c r="AI409" s="33">
        <f t="shared" si="71"/>
        <v>6</v>
      </c>
      <c r="AJ409" s="199">
        <f t="shared" si="79"/>
        <v>0</v>
      </c>
      <c r="AK409" s="22">
        <f>AJ409*Variables!$E$43*Variables!$C$15</f>
        <v>0</v>
      </c>
      <c r="AL409" s="20">
        <f>Z409*Variables!$E$38*Variables!$C$15</f>
        <v>141688489.45371875</v>
      </c>
      <c r="AN409" s="200">
        <f t="shared" si="72"/>
        <v>0.21</v>
      </c>
      <c r="AO409" s="201">
        <f t="shared" si="77"/>
        <v>41.458397167685874</v>
      </c>
      <c r="AP409" s="321">
        <f>VLOOKUP(A409,'Household Information'!H:Q,10,FALSE)</f>
        <v>53.01022340022719</v>
      </c>
      <c r="AQ409" s="122">
        <f>IF(12*(AO409-Variables!$C$3*AP409*F409)*(G409/5)&lt;0,0,12*(AO409-Variables!$C$3*AP409*F409)*(G409/5))</f>
        <v>17833203.235635541</v>
      </c>
    </row>
    <row r="410" spans="1:43" ht="14.25" customHeight="1" x14ac:dyDescent="0.35">
      <c r="A410" s="30">
        <v>29</v>
      </c>
      <c r="B410" s="28" t="s">
        <v>182</v>
      </c>
      <c r="C410" s="28">
        <v>2028</v>
      </c>
      <c r="D410" s="196">
        <f>Population!M30</f>
        <v>213288.24249292898</v>
      </c>
      <c r="E410" s="303" t="str">
        <f t="shared" si="78"/>
        <v>Medium</v>
      </c>
      <c r="F410" s="340">
        <f>VLOOKUP(A410,'Household Information'!$H$2:$M$49,6,FALSE)</f>
        <v>4.6165672844480259</v>
      </c>
      <c r="G410" s="196">
        <f t="shared" si="73"/>
        <v>46201</v>
      </c>
      <c r="H410" s="213">
        <f>Area!O30</f>
        <v>999.3593222664299</v>
      </c>
      <c r="J410" s="32">
        <f>D410*Variables!$C$20</f>
        <v>191.95941824363609</v>
      </c>
      <c r="K410" s="202">
        <f t="shared" si="69"/>
        <v>187.51530550320999</v>
      </c>
      <c r="L410" s="32">
        <f t="shared" si="74"/>
        <v>4.4441127404261067</v>
      </c>
      <c r="S410" s="198">
        <f>$L410*Variables!$C$21/100</f>
        <v>0.24130928907291074</v>
      </c>
      <c r="T410" s="198">
        <f>$L410*Variables!$C$22/100</f>
        <v>0.42229125587759386</v>
      </c>
      <c r="U410" s="198">
        <f>$L410*Variables!$C$23/100</f>
        <v>0.44240036330033639</v>
      </c>
      <c r="V410" s="198">
        <f>$L410*Variables!$C$24/100</f>
        <v>3.2174571876388103</v>
      </c>
      <c r="W410" s="22">
        <f>S410*Variables!$E$25*Variables!$C$15+'Cost Calculations'!T410*Variables!$E$26*Variables!$C$15+'Cost Calculations'!U410*Variables!$E$27*Variables!$C$15+V410*Variables!$E$28*Variables!$C$15</f>
        <v>2980851.8863288267</v>
      </c>
      <c r="X410" s="20">
        <f>J410*Variables!$E$29*Variables!$C$15</f>
        <v>32813.54295456715</v>
      </c>
      <c r="Z410" s="33">
        <f>D410*(IF(D410&lt;50000,0,IF(D410&gt;Variables!$C$7,Variables!$C$37,IF(D410&gt;Variables!$C$6,Variables!$C$36,IF(D410&gt;Variables!$C$5,Variables!$C$35)))))</f>
        <v>106.64412124646449</v>
      </c>
      <c r="AA410" s="34">
        <f t="shared" si="68"/>
        <v>206</v>
      </c>
      <c r="AB410" s="35">
        <f t="shared" si="75"/>
        <v>0</v>
      </c>
      <c r="AC410" s="22">
        <f>AB410*Variables!$E$41</f>
        <v>0</v>
      </c>
      <c r="AD410" s="115">
        <f>ROUND(IF(D410&lt;50000,0,(H410/(3.14*Variables!$C$34^2))),0)</f>
        <v>1273</v>
      </c>
      <c r="AE410" s="116">
        <f t="shared" si="70"/>
        <v>1255</v>
      </c>
      <c r="AF410" s="117">
        <f t="shared" si="76"/>
        <v>18</v>
      </c>
      <c r="AG410" s="107">
        <f>AF410*Variables!$E$42*Variables!$C$15</f>
        <v>12195.792000000001</v>
      </c>
      <c r="AH410" s="199">
        <f>ROUND((Z410)/Variables!$C$40,0)</f>
        <v>1</v>
      </c>
      <c r="AI410" s="33">
        <f t="shared" si="71"/>
        <v>1</v>
      </c>
      <c r="AJ410" s="199">
        <f t="shared" si="79"/>
        <v>0</v>
      </c>
      <c r="AK410" s="22">
        <f>AJ410*Variables!$E$43*Variables!$C$15</f>
        <v>0</v>
      </c>
      <c r="AL410" s="20">
        <f>Z410*Variables!$E$38*Variables!$C$15</f>
        <v>18905711.013386738</v>
      </c>
      <c r="AN410" s="200">
        <f t="shared" si="72"/>
        <v>0.14000000000000001</v>
      </c>
      <c r="AO410" s="201">
        <f t="shared" si="77"/>
        <v>38.779165189363418</v>
      </c>
      <c r="AP410" s="321">
        <f>VLOOKUP(A410,'Household Information'!H:Q,10,FALSE)</f>
        <v>91.707686482393044</v>
      </c>
      <c r="AQ410" s="122">
        <f>IF(12*(AO410-Variables!$C$3*AP410*F410)*(G410/5)&lt;0,0,12*(AO410-Variables!$C$3*AP410*F410)*(G410/5))</f>
        <v>0</v>
      </c>
    </row>
    <row r="411" spans="1:43" ht="14.25" customHeight="1" x14ac:dyDescent="0.35">
      <c r="A411" s="30">
        <v>30</v>
      </c>
      <c r="B411" s="28" t="s">
        <v>183</v>
      </c>
      <c r="C411" s="28">
        <v>2028</v>
      </c>
      <c r="D411" s="196">
        <f>Population!M31</f>
        <v>146330.48578547407</v>
      </c>
      <c r="E411" s="303" t="str">
        <f t="shared" si="78"/>
        <v>Medium</v>
      </c>
      <c r="F411" s="340">
        <f>VLOOKUP(A411,'Household Information'!$H$2:$M$49,6,FALSE)</f>
        <v>4.0765401369010581</v>
      </c>
      <c r="G411" s="196">
        <f t="shared" si="73"/>
        <v>35896</v>
      </c>
      <c r="H411" s="213">
        <f>Area!O31</f>
        <v>99.629380287297494</v>
      </c>
      <c r="J411" s="32">
        <f>D411*Variables!$C$20</f>
        <v>131.69743720692665</v>
      </c>
      <c r="K411" s="202">
        <f t="shared" si="69"/>
        <v>128.64846850339617</v>
      </c>
      <c r="L411" s="32">
        <f t="shared" si="74"/>
        <v>3.0489687035304769</v>
      </c>
      <c r="S411" s="198">
        <f>$L411*Variables!$C$21/100</f>
        <v>0.16555486173016162</v>
      </c>
      <c r="T411" s="198">
        <f>$L411*Variables!$C$22/100</f>
        <v>0.28972100802778283</v>
      </c>
      <c r="U411" s="198">
        <f>$L411*Variables!$C$23/100</f>
        <v>0.30351724650529638</v>
      </c>
      <c r="V411" s="198">
        <f>$L411*Variables!$C$24/100</f>
        <v>2.2073981564021552</v>
      </c>
      <c r="W411" s="22">
        <f>S411*Variables!$E$25*Variables!$C$15+'Cost Calculations'!T411*Variables!$E$26*Variables!$C$15+'Cost Calculations'!U411*Variables!$E$27*Variables!$C$15+V411*Variables!$E$28*Variables!$C$15</f>
        <v>2045070.5556144286</v>
      </c>
      <c r="X411" s="20">
        <f>J411*Variables!$E$29*Variables!$C$15</f>
        <v>22512.359916152043</v>
      </c>
      <c r="Z411" s="33">
        <f>D411*(IF(D411&lt;50000,0,IF(D411&gt;Variables!$C$7,Variables!$C$37,IF(D411&gt;Variables!$C$6,Variables!$C$36,IF(D411&gt;Variables!$C$5,Variables!$C$35)))))</f>
        <v>73.165242892737041</v>
      </c>
      <c r="AA411" s="34">
        <f t="shared" si="68"/>
        <v>71</v>
      </c>
      <c r="AB411" s="35">
        <f t="shared" si="75"/>
        <v>2</v>
      </c>
      <c r="AC411" s="22">
        <f>AB411*Variables!$E$41</f>
        <v>739200.00000000012</v>
      </c>
      <c r="AD411" s="115">
        <f>ROUND(IF(D411&lt;50000,0,(H411/(3.14*Variables!$C$34^2))),0)</f>
        <v>127</v>
      </c>
      <c r="AE411" s="116">
        <f t="shared" si="70"/>
        <v>125</v>
      </c>
      <c r="AF411" s="117">
        <f t="shared" si="76"/>
        <v>2</v>
      </c>
      <c r="AG411" s="107">
        <f>AF411*Variables!$E$42*Variables!$C$15</f>
        <v>1355.088</v>
      </c>
      <c r="AH411" s="199">
        <f>ROUND((Z411)/Variables!$C$40,0)</f>
        <v>1</v>
      </c>
      <c r="AI411" s="33">
        <f t="shared" si="71"/>
        <v>21</v>
      </c>
      <c r="AJ411" s="199">
        <f t="shared" si="79"/>
        <v>0</v>
      </c>
      <c r="AK411" s="22">
        <f>AJ411*Variables!$E$43*Variables!$C$15</f>
        <v>0</v>
      </c>
      <c r="AL411" s="20">
        <f>Z411*Variables!$E$38*Variables!$C$15</f>
        <v>12970625.311427489</v>
      </c>
      <c r="AN411" s="200">
        <f t="shared" si="72"/>
        <v>0.25221875000000005</v>
      </c>
      <c r="AO411" s="201">
        <f t="shared" si="77"/>
        <v>61.690791459240835</v>
      </c>
      <c r="AP411" s="321">
        <f>VLOOKUP(A411,'Household Information'!H:Q,10,FALSE)</f>
        <v>60.413984601792251</v>
      </c>
      <c r="AQ411" s="122">
        <f>IF(12*(AO411-Variables!$C$3*AP411*F411)*(G411/5)&lt;0,0,12*(AO411-Variables!$C$3*AP411*F411)*(G411/5))</f>
        <v>2132117.8565190244</v>
      </c>
    </row>
    <row r="412" spans="1:43" ht="14.25" customHeight="1" x14ac:dyDescent="0.35">
      <c r="A412" s="30">
        <v>31</v>
      </c>
      <c r="B412" s="28" t="s">
        <v>184</v>
      </c>
      <c r="C412" s="28">
        <v>2028</v>
      </c>
      <c r="D412" s="196">
        <f>Population!M32</f>
        <v>252525.63088107793</v>
      </c>
      <c r="E412" s="303" t="str">
        <f t="shared" si="78"/>
        <v>Medium</v>
      </c>
      <c r="F412" s="340">
        <f>VLOOKUP(A412,'Household Information'!$H$2:$M$49,6,FALSE)</f>
        <v>3.6621172202306398</v>
      </c>
      <c r="G412" s="196">
        <f t="shared" si="73"/>
        <v>68956</v>
      </c>
      <c r="H412" s="213">
        <f>Area!O32</f>
        <v>752.58501109327767</v>
      </c>
      <c r="J412" s="32">
        <f>D412*Variables!$C$20</f>
        <v>227.27306779297012</v>
      </c>
      <c r="K412" s="202">
        <f t="shared" si="69"/>
        <v>522.30024000000003</v>
      </c>
      <c r="L412" s="32">
        <f t="shared" si="74"/>
        <v>0</v>
      </c>
      <c r="S412" s="198">
        <f>$L412*Variables!$C$21/100</f>
        <v>0</v>
      </c>
      <c r="T412" s="198">
        <f>$L412*Variables!$C$22/100</f>
        <v>0</v>
      </c>
      <c r="U412" s="198">
        <f>$L412*Variables!$C$23/100</f>
        <v>0</v>
      </c>
      <c r="V412" s="198">
        <f>$L412*Variables!$C$24/100</f>
        <v>0</v>
      </c>
      <c r="W412" s="22">
        <f>S412*Variables!$E$25*Variables!$C$15+'Cost Calculations'!T412*Variables!$E$26*Variables!$C$15+'Cost Calculations'!U412*Variables!$E$27*Variables!$C$15+V412*Variables!$E$28*Variables!$C$15</f>
        <v>0</v>
      </c>
      <c r="X412" s="20">
        <f>J412*Variables!$E$29*Variables!$C$15</f>
        <v>38850.05820853031</v>
      </c>
      <c r="Z412" s="33">
        <f>D412*(IF(D412&lt;50000,0,IF(D412&gt;Variables!$C$7,Variables!$C$37,IF(D412&gt;Variables!$C$6,Variables!$C$36,IF(D412&gt;Variables!$C$5,Variables!$C$35)))))</f>
        <v>126.26281544053897</v>
      </c>
      <c r="AA412" s="34">
        <f t="shared" si="68"/>
        <v>3158</v>
      </c>
      <c r="AB412" s="35">
        <f t="shared" si="75"/>
        <v>0</v>
      </c>
      <c r="AC412" s="22">
        <f>AB412*Variables!$E$41</f>
        <v>0</v>
      </c>
      <c r="AD412" s="115">
        <f>ROUND(IF(D412&lt;50000,0,(H412/(3.14*Variables!$C$34^2))),0)</f>
        <v>959</v>
      </c>
      <c r="AE412" s="116">
        <f t="shared" si="70"/>
        <v>945</v>
      </c>
      <c r="AF412" s="117">
        <f t="shared" si="76"/>
        <v>14</v>
      </c>
      <c r="AG412" s="107">
        <f>AF412*Variables!$E$42*Variables!$C$15</f>
        <v>9485.616</v>
      </c>
      <c r="AH412" s="199">
        <f>ROUND((Z412)/Variables!$C$40,0)</f>
        <v>1</v>
      </c>
      <c r="AI412" s="33">
        <f t="shared" si="71"/>
        <v>27</v>
      </c>
      <c r="AJ412" s="199">
        <f t="shared" si="79"/>
        <v>0</v>
      </c>
      <c r="AK412" s="22">
        <f>AJ412*Variables!$E$43*Variables!$C$15</f>
        <v>0</v>
      </c>
      <c r="AL412" s="20">
        <f>Z412*Variables!$E$38*Variables!$C$15</f>
        <v>22383683.906388346</v>
      </c>
      <c r="AN412" s="200">
        <f t="shared" si="72"/>
        <v>0.14000000000000001</v>
      </c>
      <c r="AO412" s="201">
        <f t="shared" si="77"/>
        <v>30.761784649937375</v>
      </c>
      <c r="AP412" s="321">
        <f>VLOOKUP(A412,'Household Information'!H:Q,10,FALSE)</f>
        <v>118.33648870377382</v>
      </c>
      <c r="AQ412" s="122">
        <f>IF(12*(AO412-Variables!$C$3*AP412*F412)*(G412/5)&lt;0,0,12*(AO412-Variables!$C$3*AP412*F412)*(G412/5))</f>
        <v>0</v>
      </c>
    </row>
    <row r="413" spans="1:43" ht="14.25" customHeight="1" x14ac:dyDescent="0.35">
      <c r="A413" s="30">
        <v>32</v>
      </c>
      <c r="B413" s="28" t="s">
        <v>185</v>
      </c>
      <c r="C413" s="28">
        <v>2028</v>
      </c>
      <c r="D413" s="196">
        <f>Population!M33</f>
        <v>1758035.7360581807</v>
      </c>
      <c r="E413" s="303" t="str">
        <f t="shared" si="78"/>
        <v>Large</v>
      </c>
      <c r="F413" s="340">
        <f>VLOOKUP(A413,'Household Information'!$H$2:$M$49,6,FALSE)</f>
        <v>6.457235996477583</v>
      </c>
      <c r="G413" s="196">
        <f t="shared" si="73"/>
        <v>272258</v>
      </c>
      <c r="H413" s="213">
        <f>Area!O33</f>
        <v>44.450031205101943</v>
      </c>
      <c r="J413" s="32">
        <f>D413*Variables!$C$20</f>
        <v>1582.2321624523627</v>
      </c>
      <c r="K413" s="202">
        <f t="shared" si="69"/>
        <v>1545.6014090576953</v>
      </c>
      <c r="L413" s="32">
        <f t="shared" si="74"/>
        <v>36.630753394667408</v>
      </c>
      <c r="S413" s="198">
        <f>$L413*Variables!$C$21/100</f>
        <v>1.9890001843258318</v>
      </c>
      <c r="T413" s="198">
        <f>$L413*Variables!$C$22/100</f>
        <v>3.4807503225702061</v>
      </c>
      <c r="U413" s="198">
        <f>$L413*Variables!$C$23/100</f>
        <v>3.6465003379306919</v>
      </c>
      <c r="V413" s="198">
        <f>$L413*Variables!$C$24/100</f>
        <v>26.520002457677762</v>
      </c>
      <c r="W413" s="22">
        <f>S413*Variables!$E$25*Variables!$C$15+'Cost Calculations'!T413*Variables!$E$26*Variables!$C$15+'Cost Calculations'!U413*Variables!$E$27*Variables!$C$15+V413*Variables!$E$28*Variables!$C$15</f>
        <v>24569775.055632606</v>
      </c>
      <c r="X413" s="20">
        <f>J413*Variables!$E$29*Variables!$C$15</f>
        <v>270466.76584960689</v>
      </c>
      <c r="Z413" s="33">
        <f>D413*(IF(D413&lt;50000,0,IF(D413&gt;Variables!$C$7,Variables!$C$37,IF(D413&gt;Variables!$C$6,Variables!$C$36,IF(D413&gt;Variables!$C$5,Variables!$C$35)))))</f>
        <v>879.01786802909032</v>
      </c>
      <c r="AA413" s="34">
        <f t="shared" si="68"/>
        <v>859</v>
      </c>
      <c r="AB413" s="35">
        <f t="shared" si="75"/>
        <v>20</v>
      </c>
      <c r="AC413" s="22">
        <f>AB413*Variables!$E$41</f>
        <v>7392000.0000000009</v>
      </c>
      <c r="AD413" s="115">
        <f>ROUND(IF(D413&lt;50000,0,(H413/(3.14*Variables!$C$34^2))),0)</f>
        <v>57</v>
      </c>
      <c r="AE413" s="116">
        <f t="shared" si="70"/>
        <v>56</v>
      </c>
      <c r="AF413" s="117">
        <f t="shared" si="76"/>
        <v>1</v>
      </c>
      <c r="AG413" s="107">
        <f>AF413*Variables!$E$42*Variables!$C$15</f>
        <v>677.54399999999998</v>
      </c>
      <c r="AH413" s="199">
        <f>ROUND((Z413)/Variables!$C$40,0)</f>
        <v>7</v>
      </c>
      <c r="AI413" s="33">
        <f t="shared" si="71"/>
        <v>7</v>
      </c>
      <c r="AJ413" s="199">
        <f t="shared" si="79"/>
        <v>0</v>
      </c>
      <c r="AK413" s="22">
        <f>AJ413*Variables!$E$43*Variables!$C$15</f>
        <v>0</v>
      </c>
      <c r="AL413" s="20">
        <f>Z413*Variables!$E$38*Variables!$C$15</f>
        <v>155830978.71990994</v>
      </c>
      <c r="AN413" s="200">
        <f t="shared" si="72"/>
        <v>0.14000000000000001</v>
      </c>
      <c r="AO413" s="201">
        <f t="shared" si="77"/>
        <v>54.240782370411701</v>
      </c>
      <c r="AP413" s="321">
        <f>VLOOKUP(A413,'Household Information'!H:Q,10,FALSE)</f>
        <v>105.97627161428754</v>
      </c>
      <c r="AQ413" s="122">
        <f>IF(12*(AO413-Variables!$C$3*AP413*F413)*(G413/5)&lt;0,0,12*(AO413-Variables!$C$3*AP413*F413)*(G413/5))</f>
        <v>0</v>
      </c>
    </row>
    <row r="414" spans="1:43" ht="14.25" customHeight="1" x14ac:dyDescent="0.35">
      <c r="A414" s="30">
        <v>33</v>
      </c>
      <c r="B414" s="28" t="s">
        <v>186</v>
      </c>
      <c r="C414" s="28">
        <v>2028</v>
      </c>
      <c r="D414" s="196">
        <f>Population!M34</f>
        <v>1107461.1031830763</v>
      </c>
      <c r="E414" s="303" t="str">
        <f t="shared" si="78"/>
        <v>Large</v>
      </c>
      <c r="F414" s="340">
        <f>VLOOKUP(A414,'Household Information'!$H$2:$M$49,6,FALSE)</f>
        <v>3.9813857124502121</v>
      </c>
      <c r="G414" s="196">
        <f t="shared" si="73"/>
        <v>278160</v>
      </c>
      <c r="H414" s="213">
        <f>Area!O34</f>
        <v>370.92784660809195</v>
      </c>
      <c r="J414" s="32">
        <f>D414*Variables!$C$20</f>
        <v>996.71499286476865</v>
      </c>
      <c r="K414" s="202">
        <f t="shared" si="69"/>
        <v>1137.8472300000001</v>
      </c>
      <c r="L414" s="32">
        <f t="shared" si="74"/>
        <v>0</v>
      </c>
      <c r="S414" s="198">
        <f>$L414*Variables!$C$21/100</f>
        <v>0</v>
      </c>
      <c r="T414" s="198">
        <f>$L414*Variables!$C$22/100</f>
        <v>0</v>
      </c>
      <c r="U414" s="198">
        <f>$L414*Variables!$C$23/100</f>
        <v>0</v>
      </c>
      <c r="V414" s="198">
        <f>$L414*Variables!$C$24/100</f>
        <v>0</v>
      </c>
      <c r="W414" s="22">
        <f>S414*Variables!$E$25*Variables!$C$15+'Cost Calculations'!T414*Variables!$E$26*Variables!$C$15+'Cost Calculations'!U414*Variables!$E$27*Variables!$C$15+V414*Variables!$E$28*Variables!$C$15</f>
        <v>0</v>
      </c>
      <c r="X414" s="20">
        <f>J414*Variables!$E$29*Variables!$C$15</f>
        <v>170378.46088030355</v>
      </c>
      <c r="Z414" s="33">
        <f>D414*(IF(D414&lt;50000,0,IF(D414&gt;Variables!$C$7,Variables!$C$37,IF(D414&gt;Variables!$C$6,Variables!$C$36,IF(D414&gt;Variables!$C$5,Variables!$C$35)))))</f>
        <v>553.73055159153819</v>
      </c>
      <c r="AA414" s="34">
        <f t="shared" si="68"/>
        <v>541</v>
      </c>
      <c r="AB414" s="35">
        <f t="shared" si="75"/>
        <v>13</v>
      </c>
      <c r="AC414" s="22">
        <f>AB414*Variables!$E$41</f>
        <v>4804800.0000000009</v>
      </c>
      <c r="AD414" s="115">
        <f>ROUND(IF(D414&lt;50000,0,(H414/(3.14*Variables!$C$34^2))),0)</f>
        <v>473</v>
      </c>
      <c r="AE414" s="116">
        <f t="shared" si="70"/>
        <v>466</v>
      </c>
      <c r="AF414" s="117">
        <f t="shared" si="76"/>
        <v>7</v>
      </c>
      <c r="AG414" s="107">
        <f>AF414*Variables!$E$42*Variables!$C$15</f>
        <v>4742.808</v>
      </c>
      <c r="AH414" s="199">
        <f>ROUND((Z414)/Variables!$C$40,0)</f>
        <v>4</v>
      </c>
      <c r="AI414" s="33">
        <f t="shared" si="71"/>
        <v>4</v>
      </c>
      <c r="AJ414" s="199">
        <f t="shared" si="79"/>
        <v>0</v>
      </c>
      <c r="AK414" s="22">
        <f>AJ414*Variables!$E$43*Variables!$C$15</f>
        <v>0</v>
      </c>
      <c r="AL414" s="20">
        <f>Z414*Variables!$E$38*Variables!$C$15</f>
        <v>98164527.639350936</v>
      </c>
      <c r="AN414" s="200">
        <f t="shared" si="72"/>
        <v>0.14000000000000001</v>
      </c>
      <c r="AO414" s="201">
        <f t="shared" si="77"/>
        <v>33.443639984581786</v>
      </c>
      <c r="AP414" s="321">
        <f>VLOOKUP(A414,'Household Information'!H:Q,10,FALSE)</f>
        <v>212.04089360090876</v>
      </c>
      <c r="AQ414" s="122">
        <f>IF(12*(AO414-Variables!$C$3*AP414*F414)*(G414/5)&lt;0,0,12*(AO414-Variables!$C$3*AP414*F414)*(G414/5))</f>
        <v>0</v>
      </c>
    </row>
    <row r="415" spans="1:43" ht="14.25" customHeight="1" x14ac:dyDescent="0.35">
      <c r="A415" s="30">
        <v>34</v>
      </c>
      <c r="B415" s="28" t="s">
        <v>187</v>
      </c>
      <c r="C415" s="28">
        <v>2028</v>
      </c>
      <c r="D415" s="196">
        <f>Population!M35</f>
        <v>640649.50502937916</v>
      </c>
      <c r="E415" s="303" t="str">
        <f t="shared" si="78"/>
        <v>Medium</v>
      </c>
      <c r="F415" s="340">
        <f>VLOOKUP(A415,'Household Information'!$H$2:$M$49,6,FALSE)</f>
        <v>4.3021399999999996</v>
      </c>
      <c r="G415" s="196">
        <f t="shared" si="73"/>
        <v>148914</v>
      </c>
      <c r="H415" s="213">
        <f>Area!O35</f>
        <v>112.83840178299789</v>
      </c>
      <c r="J415" s="32">
        <f>D415*Variables!$C$20</f>
        <v>576.58455452644125</v>
      </c>
      <c r="K415" s="202">
        <f t="shared" si="69"/>
        <v>563.23586453691621</v>
      </c>
      <c r="L415" s="32">
        <f t="shared" si="74"/>
        <v>13.348689989525042</v>
      </c>
      <c r="S415" s="198">
        <f>$L415*Variables!$C$21/100</f>
        <v>0.72481574603755872</v>
      </c>
      <c r="T415" s="198">
        <f>$L415*Variables!$C$22/100</f>
        <v>1.2684275555657281</v>
      </c>
      <c r="U415" s="198">
        <f>$L415*Variables!$C$23/100</f>
        <v>1.3288288677355247</v>
      </c>
      <c r="V415" s="198">
        <f>$L415*Variables!$C$24/100</f>
        <v>9.6642099471674516</v>
      </c>
      <c r="W415" s="22">
        <f>S415*Variables!$E$25*Variables!$C$15+'Cost Calculations'!T415*Variables!$E$26*Variables!$C$15+'Cost Calculations'!U415*Variables!$E$27*Variables!$C$15+V415*Variables!$E$28*Variables!$C$15</f>
        <v>8953523.4723769166</v>
      </c>
      <c r="X415" s="20">
        <f>J415*Variables!$E$29*Variables!$C$15</f>
        <v>98561.363750749864</v>
      </c>
      <c r="Z415" s="33">
        <f>D415*(IF(D415&lt;50000,0,IF(D415&gt;Variables!$C$7,Variables!$C$37,IF(D415&gt;Variables!$C$6,Variables!$C$36,IF(D415&gt;Variables!$C$5,Variables!$C$35)))))</f>
        <v>320.32475251468958</v>
      </c>
      <c r="AA415" s="34">
        <f t="shared" si="68"/>
        <v>1061</v>
      </c>
      <c r="AB415" s="35">
        <f t="shared" si="75"/>
        <v>0</v>
      </c>
      <c r="AC415" s="22">
        <f>AB415*Variables!$E$41</f>
        <v>0</v>
      </c>
      <c r="AD415" s="115">
        <f>ROUND(IF(D415&lt;50000,0,(H415/(3.14*Variables!$C$34^2))),0)</f>
        <v>144</v>
      </c>
      <c r="AE415" s="116">
        <f t="shared" si="70"/>
        <v>142</v>
      </c>
      <c r="AF415" s="117">
        <f t="shared" si="76"/>
        <v>2</v>
      </c>
      <c r="AG415" s="107">
        <f>AF415*Variables!$E$42*Variables!$C$15</f>
        <v>1355.088</v>
      </c>
      <c r="AH415" s="199">
        <f>ROUND((Z415)/Variables!$C$40,0)</f>
        <v>3</v>
      </c>
      <c r="AI415" s="33">
        <f t="shared" si="71"/>
        <v>3</v>
      </c>
      <c r="AJ415" s="199">
        <f t="shared" si="79"/>
        <v>0</v>
      </c>
      <c r="AK415" s="22">
        <f>AJ415*Variables!$E$43*Variables!$C$15</f>
        <v>0</v>
      </c>
      <c r="AL415" s="20">
        <f>Z415*Variables!$E$38*Variables!$C$15</f>
        <v>56786695.137948051</v>
      </c>
      <c r="AN415" s="200">
        <f t="shared" si="72"/>
        <v>0.21</v>
      </c>
      <c r="AO415" s="201">
        <f t="shared" si="77"/>
        <v>54.206963999999992</v>
      </c>
      <c r="AP415" s="321">
        <f>VLOOKUP(A415,'Household Information'!H:Q,10,FALSE)</f>
        <v>71.56380159030671</v>
      </c>
      <c r="AQ415" s="122">
        <f>IF(12*(AO415-Variables!$C$3*AP415*F415)*(G415/5)&lt;0,0,12*(AO415-Variables!$C$3*AP415*F415)*(G415/5))</f>
        <v>2868205.1516587972</v>
      </c>
    </row>
    <row r="416" spans="1:43" ht="14.25" customHeight="1" x14ac:dyDescent="0.35">
      <c r="A416" s="30">
        <v>35</v>
      </c>
      <c r="B416" s="28" t="s">
        <v>188</v>
      </c>
      <c r="C416" s="28">
        <v>2028</v>
      </c>
      <c r="D416" s="196">
        <f>Population!M36</f>
        <v>272932.82547940017</v>
      </c>
      <c r="E416" s="303" t="str">
        <f t="shared" si="78"/>
        <v>Medium</v>
      </c>
      <c r="F416" s="340">
        <f>VLOOKUP(A416,'Household Information'!$H$2:$M$49,6,FALSE)</f>
        <v>5.0911666666666671</v>
      </c>
      <c r="G416" s="196">
        <f t="shared" si="73"/>
        <v>53609</v>
      </c>
      <c r="H416" s="213">
        <f>Area!O36</f>
        <v>38.372886209608275</v>
      </c>
      <c r="J416" s="32">
        <f>D416*Variables!$C$20</f>
        <v>245.63954293146014</v>
      </c>
      <c r="K416" s="202">
        <f t="shared" si="69"/>
        <v>239.95266477626274</v>
      </c>
      <c r="L416" s="32">
        <f t="shared" si="74"/>
        <v>5.6868781551974052</v>
      </c>
      <c r="S416" s="198">
        <f>$L416*Variables!$C$21/100</f>
        <v>0.30878976408311698</v>
      </c>
      <c r="T416" s="198">
        <f>$L416*Variables!$C$22/100</f>
        <v>0.54038208714545488</v>
      </c>
      <c r="U416" s="198">
        <f>$L416*Variables!$C$23/100</f>
        <v>0.56611456748571454</v>
      </c>
      <c r="V416" s="198">
        <f>$L416*Variables!$C$24/100</f>
        <v>4.11719685444156</v>
      </c>
      <c r="W416" s="22">
        <f>S416*Variables!$E$25*Variables!$C$15+'Cost Calculations'!T416*Variables!$E$26*Variables!$C$15+'Cost Calculations'!U416*Variables!$E$27*Variables!$C$15+V416*Variables!$E$28*Variables!$C$15</f>
        <v>3814426.515790198</v>
      </c>
      <c r="X416" s="20">
        <f>J416*Variables!$E$29*Variables!$C$15</f>
        <v>41989.623468703801</v>
      </c>
      <c r="Z416" s="33">
        <f>D416*(IF(D416&lt;50000,0,IF(D416&gt;Variables!$C$7,Variables!$C$37,IF(D416&gt;Variables!$C$6,Variables!$C$36,IF(D416&gt;Variables!$C$5,Variables!$C$35)))))</f>
        <v>136.46641273970008</v>
      </c>
      <c r="AA416" s="34">
        <f t="shared" si="68"/>
        <v>133</v>
      </c>
      <c r="AB416" s="35">
        <f t="shared" si="75"/>
        <v>3</v>
      </c>
      <c r="AC416" s="22">
        <f>AB416*Variables!$E$41</f>
        <v>1108800.0000000002</v>
      </c>
      <c r="AD416" s="115">
        <f>ROUND(IF(D416&lt;50000,0,(H416/(3.14*Variables!$C$34^2))),0)</f>
        <v>49</v>
      </c>
      <c r="AE416" s="116">
        <f t="shared" si="70"/>
        <v>48</v>
      </c>
      <c r="AF416" s="117">
        <f t="shared" si="76"/>
        <v>1</v>
      </c>
      <c r="AG416" s="107">
        <f>AF416*Variables!$E$42*Variables!$C$15</f>
        <v>677.54399999999998</v>
      </c>
      <c r="AH416" s="199">
        <f>ROUND((Z416)/Variables!$C$40,0)</f>
        <v>1</v>
      </c>
      <c r="AI416" s="33">
        <f t="shared" si="71"/>
        <v>1</v>
      </c>
      <c r="AJ416" s="199">
        <f t="shared" si="79"/>
        <v>0</v>
      </c>
      <c r="AK416" s="22">
        <f>AJ416*Variables!$E$43*Variables!$C$15</f>
        <v>0</v>
      </c>
      <c r="AL416" s="20">
        <f>Z416*Variables!$E$38*Variables!$C$15</f>
        <v>24192562.441653211</v>
      </c>
      <c r="AN416" s="200">
        <f t="shared" si="72"/>
        <v>0.25221875000000005</v>
      </c>
      <c r="AO416" s="201">
        <f t="shared" si="77"/>
        <v>77.045261562500016</v>
      </c>
      <c r="AP416" s="321">
        <f>VLOOKUP(A416,'Household Information'!H:Q,10,FALSE)</f>
        <v>112.55837435314906</v>
      </c>
      <c r="AQ416" s="122">
        <f>IF(12*(AO416-Variables!$C$3*AP416*F416)*(G416/5)&lt;0,0,12*(AO416-Variables!$C$3*AP416*F416)*(G416/5))</f>
        <v>0</v>
      </c>
    </row>
    <row r="417" spans="1:43" ht="14.25" customHeight="1" x14ac:dyDescent="0.35">
      <c r="A417" s="30">
        <v>36</v>
      </c>
      <c r="B417" s="28" t="s">
        <v>189</v>
      </c>
      <c r="C417" s="28">
        <v>2028</v>
      </c>
      <c r="D417" s="196">
        <f>Population!M37</f>
        <v>1749913.9585232092</v>
      </c>
      <c r="E417" s="303" t="str">
        <f t="shared" si="78"/>
        <v>Large</v>
      </c>
      <c r="F417" s="340">
        <f>VLOOKUP(A417,'Household Information'!$H$2:$M$49,6,FALSE)</f>
        <v>4.8963166666666664</v>
      </c>
      <c r="G417" s="196">
        <f t="shared" si="73"/>
        <v>357394</v>
      </c>
      <c r="H417" s="213">
        <f>Area!O37</f>
        <v>71.864014706159907</v>
      </c>
      <c r="J417" s="32">
        <f>D417*Variables!$C$20</f>
        <v>1574.9225626708883</v>
      </c>
      <c r="K417" s="202">
        <f t="shared" si="69"/>
        <v>1538.4610361149635</v>
      </c>
      <c r="L417" s="32">
        <f t="shared" si="74"/>
        <v>36.46152655592482</v>
      </c>
      <c r="S417" s="198">
        <f>$L417*Variables!$C$21/100</f>
        <v>1.9798113967018001</v>
      </c>
      <c r="T417" s="198">
        <f>$L417*Variables!$C$22/100</f>
        <v>3.4646699442281506</v>
      </c>
      <c r="U417" s="198">
        <f>$L417*Variables!$C$23/100</f>
        <v>3.6296542272866339</v>
      </c>
      <c r="V417" s="198">
        <f>$L417*Variables!$C$24/100</f>
        <v>26.397485289357338</v>
      </c>
      <c r="W417" s="22">
        <f>S417*Variables!$E$25*Variables!$C$15+'Cost Calculations'!T417*Variables!$E$26*Variables!$C$15+'Cost Calculations'!U417*Variables!$E$27*Variables!$C$15+V417*Variables!$E$28*Variables!$C$15</f>
        <v>24456267.5523475</v>
      </c>
      <c r="X417" s="20">
        <f>J417*Variables!$E$29*Variables!$C$15</f>
        <v>269217.26286296168</v>
      </c>
      <c r="Z417" s="33">
        <f>D417*(IF(D417&lt;50000,0,IF(D417&gt;Variables!$C$7,Variables!$C$37,IF(D417&gt;Variables!$C$6,Variables!$C$36,IF(D417&gt;Variables!$C$5,Variables!$C$35)))))</f>
        <v>874.9569792616046</v>
      </c>
      <c r="AA417" s="34">
        <f t="shared" si="68"/>
        <v>855</v>
      </c>
      <c r="AB417" s="35">
        <f t="shared" si="75"/>
        <v>20</v>
      </c>
      <c r="AC417" s="22">
        <f>AB417*Variables!$E$41</f>
        <v>7392000.0000000009</v>
      </c>
      <c r="AD417" s="115">
        <f>ROUND(IF(D417&lt;50000,0,(H417/(3.14*Variables!$C$34^2))),0)</f>
        <v>92</v>
      </c>
      <c r="AE417" s="116">
        <f t="shared" si="70"/>
        <v>90</v>
      </c>
      <c r="AF417" s="117">
        <f t="shared" si="76"/>
        <v>2</v>
      </c>
      <c r="AG417" s="107">
        <f>AF417*Variables!$E$42*Variables!$C$15</f>
        <v>1355.088</v>
      </c>
      <c r="AH417" s="199">
        <f>ROUND((Z417)/Variables!$C$40,0)</f>
        <v>7</v>
      </c>
      <c r="AI417" s="33">
        <f t="shared" si="71"/>
        <v>7</v>
      </c>
      <c r="AJ417" s="199">
        <f t="shared" si="79"/>
        <v>0</v>
      </c>
      <c r="AK417" s="22">
        <f>AJ417*Variables!$E$43*Variables!$C$15</f>
        <v>0</v>
      </c>
      <c r="AL417" s="20">
        <f>Z417*Variables!$E$38*Variables!$C$15</f>
        <v>155111070.40618148</v>
      </c>
      <c r="AN417" s="200">
        <f t="shared" si="72"/>
        <v>0.28000000000000003</v>
      </c>
      <c r="AO417" s="201">
        <f t="shared" si="77"/>
        <v>82.258120000000005</v>
      </c>
      <c r="AP417" s="321">
        <f>VLOOKUP(A417,'Household Information'!H:Q,10,FALSE)</f>
        <v>50.200681560015155</v>
      </c>
      <c r="AQ417" s="122">
        <f>IF(12*(AO417-Variables!$C$3*AP417*F417)*(G417/5)&lt;0,0,12*(AO417-Variables!$C$3*AP417*F417)*(G417/5))</f>
        <v>38931661.732403591</v>
      </c>
    </row>
    <row r="418" spans="1:43" ht="14.25" customHeight="1" x14ac:dyDescent="0.35">
      <c r="A418" s="30">
        <v>37</v>
      </c>
      <c r="B418" s="28" t="s">
        <v>190</v>
      </c>
      <c r="C418" s="28">
        <v>2028</v>
      </c>
      <c r="D418" s="196">
        <f>Population!M38</f>
        <v>291956.60765931604</v>
      </c>
      <c r="E418" s="303" t="str">
        <f t="shared" si="78"/>
        <v>Medium</v>
      </c>
      <c r="F418" s="340">
        <f>VLOOKUP(A418,'Household Information'!$H$2:$M$49,6,FALSE)</f>
        <v>5.027102564102564</v>
      </c>
      <c r="G418" s="196">
        <f t="shared" si="73"/>
        <v>58077</v>
      </c>
      <c r="H418" s="213">
        <f>Area!O38</f>
        <v>30.19878027146688</v>
      </c>
      <c r="J418" s="32">
        <f>D418*Variables!$C$20</f>
        <v>262.76094689338441</v>
      </c>
      <c r="K418" s="202">
        <f t="shared" si="69"/>
        <v>256.67768574131526</v>
      </c>
      <c r="L418" s="32">
        <f t="shared" si="74"/>
        <v>6.0832611520691557</v>
      </c>
      <c r="S418" s="198">
        <f>$L418*Variables!$C$21/100</f>
        <v>0.33031282273678669</v>
      </c>
      <c r="T418" s="198">
        <f>$L418*Variables!$C$22/100</f>
        <v>0.57804743978937678</v>
      </c>
      <c r="U418" s="198">
        <f>$L418*Variables!$C$23/100</f>
        <v>0.60557350835077572</v>
      </c>
      <c r="V418" s="198">
        <f>$L418*Variables!$C$24/100</f>
        <v>4.4041709698238227</v>
      </c>
      <c r="W418" s="22">
        <f>S418*Variables!$E$25*Variables!$C$15+'Cost Calculations'!T418*Variables!$E$26*Variables!$C$15+'Cost Calculations'!U418*Variables!$E$27*Variables!$C$15+V418*Variables!$E$28*Variables!$C$15</f>
        <v>4080297.1345046414</v>
      </c>
      <c r="X418" s="20">
        <f>J418*Variables!$E$29*Variables!$C$15</f>
        <v>44916.35626195513</v>
      </c>
      <c r="Z418" s="33">
        <f>D418*(IF(D418&lt;50000,0,IF(D418&gt;Variables!$C$7,Variables!$C$37,IF(D418&gt;Variables!$C$6,Variables!$C$36,IF(D418&gt;Variables!$C$5,Variables!$C$35)))))</f>
        <v>145.97830382965802</v>
      </c>
      <c r="AA418" s="34">
        <f t="shared" si="68"/>
        <v>143</v>
      </c>
      <c r="AB418" s="35">
        <f t="shared" si="75"/>
        <v>3</v>
      </c>
      <c r="AC418" s="22">
        <f>AB418*Variables!$E$41</f>
        <v>1108800.0000000002</v>
      </c>
      <c r="AD418" s="115">
        <f>ROUND(IF(D418&lt;50000,0,(H418/(3.14*Variables!$C$34^2))),0)</f>
        <v>38</v>
      </c>
      <c r="AE418" s="116">
        <f t="shared" si="70"/>
        <v>38</v>
      </c>
      <c r="AF418" s="117">
        <f t="shared" si="76"/>
        <v>0</v>
      </c>
      <c r="AG418" s="107">
        <f>AF418*Variables!$E$42*Variables!$C$15</f>
        <v>0</v>
      </c>
      <c r="AH418" s="199">
        <f>ROUND((Z418)/Variables!$C$40,0)</f>
        <v>1</v>
      </c>
      <c r="AI418" s="33">
        <f t="shared" si="71"/>
        <v>1</v>
      </c>
      <c r="AJ418" s="199">
        <f t="shared" si="79"/>
        <v>0</v>
      </c>
      <c r="AK418" s="22">
        <f>AJ418*Variables!$E$43*Variables!$C$15</f>
        <v>0</v>
      </c>
      <c r="AL418" s="20">
        <f>Z418*Variables!$E$38*Variables!$C$15</f>
        <v>25878816.330153555</v>
      </c>
      <c r="AN418" s="200">
        <f t="shared" si="72"/>
        <v>0.14000000000000001</v>
      </c>
      <c r="AO418" s="201">
        <f t="shared" si="77"/>
        <v>42.22766153846154</v>
      </c>
      <c r="AP418" s="321">
        <f>VLOOKUP(A418,'Household Information'!H:Q,10,FALSE)</f>
        <v>74.965290925154619</v>
      </c>
      <c r="AQ418" s="122">
        <f>IF(12*(AO418-Variables!$C$3*AP418*F418)*(G418/5)&lt;0,0,12*(AO418-Variables!$C$3*AP418*F418)*(G418/5))</f>
        <v>0</v>
      </c>
    </row>
    <row r="419" spans="1:43" ht="14.25" customHeight="1" x14ac:dyDescent="0.35">
      <c r="A419" s="30">
        <v>38</v>
      </c>
      <c r="B419" s="28" t="s">
        <v>191</v>
      </c>
      <c r="C419" s="28">
        <v>2028</v>
      </c>
      <c r="D419" s="196">
        <f>Population!M39</f>
        <v>1283931.8121639709</v>
      </c>
      <c r="E419" s="303" t="str">
        <f t="shared" si="78"/>
        <v>Large</v>
      </c>
      <c r="F419" s="340">
        <f>VLOOKUP(A419,'Household Information'!$H$2:$M$49,6,FALSE)</f>
        <v>4.5378736842105267</v>
      </c>
      <c r="G419" s="196">
        <f t="shared" si="73"/>
        <v>282937</v>
      </c>
      <c r="H419" s="213">
        <f>Area!O39</f>
        <v>121.47629658071266</v>
      </c>
      <c r="J419" s="32">
        <f>D419*Variables!$C$20</f>
        <v>1155.5386309475737</v>
      </c>
      <c r="K419" s="202">
        <f t="shared" si="69"/>
        <v>1128.7863934234383</v>
      </c>
      <c r="L419" s="32">
        <f t="shared" si="74"/>
        <v>26.752237524135353</v>
      </c>
      <c r="S419" s="198">
        <f>$L419*Variables!$C$21/100</f>
        <v>1.4526101823059918</v>
      </c>
      <c r="T419" s="198">
        <f>$L419*Variables!$C$22/100</f>
        <v>2.542067819035486</v>
      </c>
      <c r="U419" s="198">
        <f>$L419*Variables!$C$23/100</f>
        <v>2.6631186675609855</v>
      </c>
      <c r="V419" s="198">
        <f>$L419*Variables!$C$24/100</f>
        <v>19.368135764079895</v>
      </c>
      <c r="W419" s="22">
        <f>S419*Variables!$E$25*Variables!$C$15+'Cost Calculations'!T419*Variables!$E$26*Variables!$C$15+'Cost Calculations'!U419*Variables!$E$27*Variables!$C$15+V419*Variables!$E$28*Variables!$C$15</f>
        <v>17943842.189676244</v>
      </c>
      <c r="X419" s="20">
        <f>J419*Variables!$E$29*Variables!$C$15</f>
        <v>197527.77357417825</v>
      </c>
      <c r="Z419" s="33">
        <f>D419*(IF(D419&lt;50000,0,IF(D419&gt;Variables!$C$7,Variables!$C$37,IF(D419&gt;Variables!$C$6,Variables!$C$36,IF(D419&gt;Variables!$C$5,Variables!$C$35)))))</f>
        <v>641.96590608198551</v>
      </c>
      <c r="AA419" s="34">
        <f t="shared" si="68"/>
        <v>627</v>
      </c>
      <c r="AB419" s="35">
        <f t="shared" si="75"/>
        <v>15</v>
      </c>
      <c r="AC419" s="22">
        <f>AB419*Variables!$E$41</f>
        <v>5544000.0000000009</v>
      </c>
      <c r="AD419" s="115">
        <f>ROUND(IF(D419&lt;50000,0,(H419/(3.14*Variables!$C$34^2))),0)</f>
        <v>155</v>
      </c>
      <c r="AE419" s="116">
        <f t="shared" si="70"/>
        <v>153</v>
      </c>
      <c r="AF419" s="117">
        <f t="shared" si="76"/>
        <v>2</v>
      </c>
      <c r="AG419" s="107">
        <f>AF419*Variables!$E$42*Variables!$C$15</f>
        <v>1355.088</v>
      </c>
      <c r="AH419" s="199">
        <f>ROUND((Z419)/Variables!$C$40,0)</f>
        <v>5</v>
      </c>
      <c r="AI419" s="33">
        <f t="shared" si="71"/>
        <v>5</v>
      </c>
      <c r="AJ419" s="199">
        <f t="shared" si="79"/>
        <v>0</v>
      </c>
      <c r="AK419" s="22">
        <f>AJ419*Variables!$E$43*Variables!$C$15</f>
        <v>0</v>
      </c>
      <c r="AL419" s="20">
        <f>Z419*Variables!$E$38*Variables!$C$15</f>
        <v>113806759.89428113</v>
      </c>
      <c r="AN419" s="200">
        <f t="shared" si="72"/>
        <v>0.21</v>
      </c>
      <c r="AO419" s="201">
        <f t="shared" si="77"/>
        <v>57.177208421052633</v>
      </c>
      <c r="AP419" s="321">
        <f>VLOOKUP(A419,'Household Information'!H:Q,10,FALSE)</f>
        <v>100.71942446043167</v>
      </c>
      <c r="AQ419" s="122">
        <f>IF(12*(AO419-Variables!$C$3*AP419*F419)*(G419/5)&lt;0,0,12*(AO419-Variables!$C$3*AP419*F419)*(G419/5))</f>
        <v>0</v>
      </c>
    </row>
    <row r="420" spans="1:43" ht="14.25" customHeight="1" x14ac:dyDescent="0.35">
      <c r="A420" s="30">
        <v>39</v>
      </c>
      <c r="B420" s="28" t="s">
        <v>192</v>
      </c>
      <c r="C420" s="28">
        <v>2028</v>
      </c>
      <c r="D420" s="196">
        <f>Population!M40</f>
        <v>105699.26098868315</v>
      </c>
      <c r="E420" s="303" t="str">
        <f t="shared" si="78"/>
        <v>Medium</v>
      </c>
      <c r="F420" s="340">
        <f>VLOOKUP(A420,'Household Information'!$H$2:$M$49,6,FALSE)</f>
        <v>3.6693548387096775</v>
      </c>
      <c r="G420" s="196">
        <f t="shared" si="73"/>
        <v>28806</v>
      </c>
      <c r="H420" s="213">
        <f>Area!O40</f>
        <v>28.949958530917499</v>
      </c>
      <c r="J420" s="32">
        <f>D420*Variables!$C$20</f>
        <v>95.129334889814828</v>
      </c>
      <c r="K420" s="202">
        <f t="shared" si="69"/>
        <v>92.926965800346608</v>
      </c>
      <c r="L420" s="32">
        <f t="shared" si="74"/>
        <v>2.2023690894682204</v>
      </c>
      <c r="S420" s="198">
        <f>$L420*Variables!$C$21/100</f>
        <v>0.11958565191682644</v>
      </c>
      <c r="T420" s="198">
        <f>$L420*Variables!$C$22/100</f>
        <v>0.20927489085444628</v>
      </c>
      <c r="U420" s="198">
        <f>$L420*Variables!$C$23/100</f>
        <v>0.21924036184751514</v>
      </c>
      <c r="V420" s="198">
        <f>$L420*Variables!$C$24/100</f>
        <v>1.5944753588910192</v>
      </c>
      <c r="W420" s="22">
        <f>S420*Variables!$E$25*Variables!$C$15+'Cost Calculations'!T420*Variables!$E$26*Variables!$C$15+'Cost Calculations'!U420*Variables!$E$27*Variables!$C$15+V420*Variables!$E$28*Variables!$C$15</f>
        <v>1477220.8623366724</v>
      </c>
      <c r="X420" s="20">
        <f>J420*Variables!$E$29*Variables!$C$15</f>
        <v>16261.408506064947</v>
      </c>
      <c r="Z420" s="33">
        <f>D420*(IF(D420&lt;50000,0,IF(D420&gt;Variables!$C$7,Variables!$C$37,IF(D420&gt;Variables!$C$6,Variables!$C$36,IF(D420&gt;Variables!$C$5,Variables!$C$35)))))</f>
        <v>52.849630494341575</v>
      </c>
      <c r="AA420" s="34">
        <f t="shared" si="68"/>
        <v>52</v>
      </c>
      <c r="AB420" s="35">
        <f t="shared" si="75"/>
        <v>1</v>
      </c>
      <c r="AC420" s="22">
        <f>AB420*Variables!$E$41</f>
        <v>369600.00000000006</v>
      </c>
      <c r="AD420" s="115">
        <f>ROUND(IF(D420&lt;50000,0,(H420/(3.14*Variables!$C$34^2))),0)</f>
        <v>37</v>
      </c>
      <c r="AE420" s="116">
        <f t="shared" si="70"/>
        <v>36</v>
      </c>
      <c r="AF420" s="117">
        <f t="shared" si="76"/>
        <v>1</v>
      </c>
      <c r="AG420" s="107">
        <f>AF420*Variables!$E$42*Variables!$C$15</f>
        <v>677.54399999999998</v>
      </c>
      <c r="AH420" s="199">
        <f>ROUND((Z420)/Variables!$C$40,0)</f>
        <v>0</v>
      </c>
      <c r="AI420" s="33">
        <f t="shared" si="71"/>
        <v>0</v>
      </c>
      <c r="AJ420" s="199">
        <f t="shared" si="79"/>
        <v>0</v>
      </c>
      <c r="AK420" s="22">
        <f>AJ420*Variables!$E$43*Variables!$C$15</f>
        <v>0</v>
      </c>
      <c r="AL420" s="20">
        <f>Z420*Variables!$E$38*Variables!$C$15</f>
        <v>9369103.7969279308</v>
      </c>
      <c r="AN420" s="200">
        <f t="shared" si="72"/>
        <v>0.25221875000000005</v>
      </c>
      <c r="AO420" s="201">
        <f t="shared" si="77"/>
        <v>55.5288054435484</v>
      </c>
      <c r="AP420" s="321">
        <f>VLOOKUP(A420,'Household Information'!H:Q,10,FALSE)</f>
        <v>69.973494888299896</v>
      </c>
      <c r="AQ420" s="122">
        <f>IF(12*(AO420-Variables!$C$3*AP420*F420)*(G420/5)&lt;0,0,12*(AO420-Variables!$C$3*AP420*F420)*(G420/5))</f>
        <v>1176333.4399867936</v>
      </c>
    </row>
    <row r="421" spans="1:43" ht="14.25" customHeight="1" x14ac:dyDescent="0.35">
      <c r="A421" s="30">
        <v>40</v>
      </c>
      <c r="B421" s="28" t="s">
        <v>193</v>
      </c>
      <c r="C421" s="28">
        <v>2028</v>
      </c>
      <c r="D421" s="196">
        <f>Population!M41</f>
        <v>188727.83235646304</v>
      </c>
      <c r="E421" s="303" t="str">
        <f t="shared" si="78"/>
        <v>Medium</v>
      </c>
      <c r="F421" s="340">
        <f>VLOOKUP(A421,'Household Information'!$H$2:$M$49,6,FALSE)</f>
        <v>4.2245333333333335</v>
      </c>
      <c r="G421" s="196">
        <f t="shared" si="73"/>
        <v>44674</v>
      </c>
      <c r="H421" s="213">
        <f>Area!O41</f>
        <v>40.416412694143645</v>
      </c>
      <c r="J421" s="32">
        <f>D421*Variables!$C$20</f>
        <v>169.85504912081674</v>
      </c>
      <c r="K421" s="202">
        <f t="shared" si="69"/>
        <v>172.36096000000003</v>
      </c>
      <c r="L421" s="32">
        <f t="shared" si="74"/>
        <v>0</v>
      </c>
      <c r="S421" s="198">
        <f>$L421*Variables!$C$21/100</f>
        <v>0</v>
      </c>
      <c r="T421" s="198">
        <f>$L421*Variables!$C$22/100</f>
        <v>0</v>
      </c>
      <c r="U421" s="198">
        <f>$L421*Variables!$C$23/100</f>
        <v>0</v>
      </c>
      <c r="V421" s="198">
        <f>$L421*Variables!$C$24/100</f>
        <v>0</v>
      </c>
      <c r="W421" s="22">
        <f>S421*Variables!$E$25*Variables!$C$15+'Cost Calculations'!T421*Variables!$E$26*Variables!$C$15+'Cost Calculations'!U421*Variables!$E$27*Variables!$C$15+V421*Variables!$E$28*Variables!$C$15</f>
        <v>0</v>
      </c>
      <c r="X421" s="20">
        <f>J421*Variables!$E$29*Variables!$C$15</f>
        <v>29035.022096712415</v>
      </c>
      <c r="Z421" s="33">
        <f>D421*(IF(D421&lt;50000,0,IF(D421&gt;Variables!$C$7,Variables!$C$37,IF(D421&gt;Variables!$C$6,Variables!$C$36,IF(D421&gt;Variables!$C$5,Variables!$C$35)))))</f>
        <v>94.36391617823152</v>
      </c>
      <c r="AA421" s="34">
        <f t="shared" si="68"/>
        <v>92</v>
      </c>
      <c r="AB421" s="35">
        <f t="shared" si="75"/>
        <v>2</v>
      </c>
      <c r="AC421" s="22">
        <f>AB421*Variables!$E$41</f>
        <v>739200.00000000012</v>
      </c>
      <c r="AD421" s="115">
        <f>ROUND(IF(D421&lt;50000,0,(H421/(3.14*Variables!$C$34^2))),0)</f>
        <v>51</v>
      </c>
      <c r="AE421" s="116">
        <f t="shared" si="70"/>
        <v>51</v>
      </c>
      <c r="AF421" s="117">
        <f t="shared" si="76"/>
        <v>0</v>
      </c>
      <c r="AG421" s="107">
        <f>AF421*Variables!$E$42*Variables!$C$15</f>
        <v>0</v>
      </c>
      <c r="AH421" s="199">
        <f>ROUND((Z421)/Variables!$C$40,0)</f>
        <v>1</v>
      </c>
      <c r="AI421" s="33">
        <f t="shared" si="71"/>
        <v>1</v>
      </c>
      <c r="AJ421" s="199">
        <f t="shared" si="79"/>
        <v>0</v>
      </c>
      <c r="AK421" s="22">
        <f>AJ421*Variables!$E$43*Variables!$C$15</f>
        <v>0</v>
      </c>
      <c r="AL421" s="20">
        <f>Z421*Variables!$E$38*Variables!$C$15</f>
        <v>16728694.545047311</v>
      </c>
      <c r="AN421" s="200">
        <f t="shared" si="72"/>
        <v>0.28000000000000003</v>
      </c>
      <c r="AO421" s="201">
        <f t="shared" si="77"/>
        <v>70.972160000000002</v>
      </c>
      <c r="AP421" s="321">
        <f>VLOOKUP(A421,'Household Information'!H:Q,10,FALSE)</f>
        <v>73.754890824182766</v>
      </c>
      <c r="AQ421" s="122">
        <f>IF(12*(AO421-Variables!$C$3*AP421*F421)*(G421/5)&lt;0,0,12*(AO421-Variables!$C$3*AP421*F421)*(G421/5))</f>
        <v>2598435.774717188</v>
      </c>
    </row>
    <row r="422" spans="1:43" ht="14.25" customHeight="1" x14ac:dyDescent="0.35">
      <c r="A422" s="30">
        <v>41</v>
      </c>
      <c r="B422" s="28" t="s">
        <v>194</v>
      </c>
      <c r="C422" s="28">
        <v>2028</v>
      </c>
      <c r="D422" s="196">
        <f>Population!M42</f>
        <v>90837.629195684305</v>
      </c>
      <c r="E422" s="303" t="str">
        <f t="shared" si="78"/>
        <v>Small</v>
      </c>
      <c r="F422" s="340">
        <f>VLOOKUP(A422,'Household Information'!$H$2:$M$49,6,FALSE)</f>
        <v>6.1423824388279122</v>
      </c>
      <c r="G422" s="196">
        <f t="shared" si="73"/>
        <v>14789</v>
      </c>
      <c r="H422" s="213">
        <f>Area!O42</f>
        <v>16.121153378001114</v>
      </c>
      <c r="J422" s="32">
        <f>D422*Variables!$C$20</f>
        <v>81.753866276115872</v>
      </c>
      <c r="K422" s="202">
        <f t="shared" si="69"/>
        <v>79.86115685856781</v>
      </c>
      <c r="L422" s="32">
        <f t="shared" si="74"/>
        <v>1.8927094175480619</v>
      </c>
      <c r="S422" s="198">
        <f>$L422*Variables!$C$21/100</f>
        <v>0.10277155208405764</v>
      </c>
      <c r="T422" s="198">
        <f>$L422*Variables!$C$22/100</f>
        <v>0.17985021614710089</v>
      </c>
      <c r="U422" s="198">
        <f>$L422*Variables!$C$23/100</f>
        <v>0.18841451215410573</v>
      </c>
      <c r="V422" s="198">
        <f>$L422*Variables!$C$24/100</f>
        <v>1.3702873611207687</v>
      </c>
      <c r="W422" s="22">
        <f>S422*Variables!$E$25*Variables!$C$15+'Cost Calculations'!T422*Variables!$E$26*Variables!$C$15+'Cost Calculations'!U422*Variables!$E$27*Variables!$C$15+V422*Variables!$E$28*Variables!$C$15</f>
        <v>1269519.1969926318</v>
      </c>
      <c r="X422" s="20">
        <f>J422*Variables!$E$29*Variables!$C$15</f>
        <v>13975.005901239247</v>
      </c>
      <c r="Z422" s="33">
        <f>D422*(IF(D422&lt;50000,0,IF(D422&gt;Variables!$C$7,Variables!$C$37,IF(D422&gt;Variables!$C$6,Variables!$C$36,IF(D422&gt;Variables!$C$5,Variables!$C$35)))))</f>
        <v>45.41881459784215</v>
      </c>
      <c r="AA422" s="34">
        <f t="shared" si="68"/>
        <v>44</v>
      </c>
      <c r="AB422" s="35">
        <f t="shared" si="75"/>
        <v>1</v>
      </c>
      <c r="AC422" s="22">
        <f>AB422*Variables!$E$41</f>
        <v>369600.00000000006</v>
      </c>
      <c r="AD422" s="115">
        <f>ROUND(IF(D422&lt;50000,0,(H422/(3.14*Variables!$C$34^2))),0)</f>
        <v>21</v>
      </c>
      <c r="AE422" s="116">
        <f t="shared" si="70"/>
        <v>20</v>
      </c>
      <c r="AF422" s="117">
        <f t="shared" si="76"/>
        <v>1</v>
      </c>
      <c r="AG422" s="107">
        <f>AF422*Variables!$E$42*Variables!$C$15</f>
        <v>677.54399999999998</v>
      </c>
      <c r="AH422" s="199">
        <f>ROUND((Z422)/Variables!$C$40,0)</f>
        <v>0</v>
      </c>
      <c r="AI422" s="33">
        <f t="shared" si="71"/>
        <v>0</v>
      </c>
      <c r="AJ422" s="199">
        <f t="shared" si="79"/>
        <v>0</v>
      </c>
      <c r="AK422" s="22">
        <f>AJ422*Variables!$E$43*Variables!$C$15</f>
        <v>0</v>
      </c>
      <c r="AL422" s="20">
        <f>Z422*Variables!$E$38*Variables!$C$15</f>
        <v>8051779.8198450794</v>
      </c>
      <c r="AN422" s="200">
        <f t="shared" si="72"/>
        <v>0.25221875000000005</v>
      </c>
      <c r="AO422" s="201">
        <f t="shared" si="77"/>
        <v>92.953441244587665</v>
      </c>
      <c r="AP422" s="321">
        <f>VLOOKUP(A422,'Household Information'!H:Q,10,FALSE)</f>
        <v>110.04922377887165</v>
      </c>
      <c r="AQ422" s="122">
        <f>IF(12*(AO422-Variables!$C$3*AP422*F422)*(G422/5)&lt;0,0,12*(AO422-Variables!$C$3*AP422*F422)*(G422/5))</f>
        <v>0</v>
      </c>
    </row>
    <row r="423" spans="1:43" ht="14.25" customHeight="1" x14ac:dyDescent="0.35">
      <c r="A423" s="30">
        <v>42</v>
      </c>
      <c r="B423" s="28" t="s">
        <v>195</v>
      </c>
      <c r="C423" s="28">
        <v>2028</v>
      </c>
      <c r="D423" s="196">
        <f>Population!M43</f>
        <v>112489.7460564261</v>
      </c>
      <c r="E423" s="303" t="str">
        <f t="shared" si="78"/>
        <v>Medium</v>
      </c>
      <c r="F423" s="340">
        <f>VLOOKUP(A423,'Household Information'!$H$2:$M$49,6,FALSE)</f>
        <v>4.2419137466307282</v>
      </c>
      <c r="G423" s="196">
        <f t="shared" si="73"/>
        <v>26519</v>
      </c>
      <c r="H423" s="213">
        <f>Area!O43</f>
        <v>17.029387371127939</v>
      </c>
      <c r="J423" s="32">
        <f>D423*Variables!$C$20</f>
        <v>101.24077145078348</v>
      </c>
      <c r="K423" s="202">
        <f t="shared" si="69"/>
        <v>110.2884</v>
      </c>
      <c r="L423" s="32">
        <f t="shared" si="74"/>
        <v>0</v>
      </c>
      <c r="S423" s="198">
        <f>$L423*Variables!$C$21/100</f>
        <v>0</v>
      </c>
      <c r="T423" s="198">
        <f>$L423*Variables!$C$22/100</f>
        <v>0</v>
      </c>
      <c r="U423" s="198">
        <f>$L423*Variables!$C$23/100</f>
        <v>0</v>
      </c>
      <c r="V423" s="198">
        <f>$L423*Variables!$C$24/100</f>
        <v>0</v>
      </c>
      <c r="W423" s="22">
        <f>S423*Variables!$E$25*Variables!$C$15+'Cost Calculations'!T423*Variables!$E$26*Variables!$C$15+'Cost Calculations'!U423*Variables!$E$27*Variables!$C$15+V423*Variables!$E$28*Variables!$C$15</f>
        <v>0</v>
      </c>
      <c r="X423" s="20">
        <f>J423*Variables!$E$29*Variables!$C$15</f>
        <v>17306.097471796929</v>
      </c>
      <c r="Z423" s="33">
        <f>D423*(IF(D423&lt;50000,0,IF(D423&gt;Variables!$C$7,Variables!$C$37,IF(D423&gt;Variables!$C$6,Variables!$C$36,IF(D423&gt;Variables!$C$5,Variables!$C$35)))))</f>
        <v>56.24487302821305</v>
      </c>
      <c r="AA423" s="34">
        <f t="shared" si="68"/>
        <v>55</v>
      </c>
      <c r="AB423" s="35">
        <f t="shared" si="75"/>
        <v>1</v>
      </c>
      <c r="AC423" s="22">
        <f>AB423*Variables!$E$41</f>
        <v>369600.00000000006</v>
      </c>
      <c r="AD423" s="115">
        <f>ROUND(IF(D423&lt;50000,0,(H423/(3.14*Variables!$C$34^2))),0)</f>
        <v>22</v>
      </c>
      <c r="AE423" s="116">
        <f t="shared" si="70"/>
        <v>21</v>
      </c>
      <c r="AF423" s="117">
        <f t="shared" si="76"/>
        <v>1</v>
      </c>
      <c r="AG423" s="107">
        <f>AF423*Variables!$E$42*Variables!$C$15</f>
        <v>677.54399999999998</v>
      </c>
      <c r="AH423" s="199">
        <f>ROUND((Z423)/Variables!$C$40,0)</f>
        <v>0</v>
      </c>
      <c r="AI423" s="33">
        <f t="shared" si="71"/>
        <v>0</v>
      </c>
      <c r="AJ423" s="199">
        <f t="shared" si="79"/>
        <v>0</v>
      </c>
      <c r="AK423" s="22">
        <f>AJ423*Variables!$E$43*Variables!$C$15</f>
        <v>0</v>
      </c>
      <c r="AL423" s="20">
        <f>Z423*Variables!$E$38*Variables!$C$15</f>
        <v>9971007.3375589717</v>
      </c>
      <c r="AN423" s="200">
        <f t="shared" si="72"/>
        <v>0.25221875000000005</v>
      </c>
      <c r="AO423" s="201">
        <f t="shared" si="77"/>
        <v>64.193410966981148</v>
      </c>
      <c r="AP423" s="321">
        <f>VLOOKUP(A423,'Household Information'!H:Q,10,FALSE)</f>
        <v>81.833648870377388</v>
      </c>
      <c r="AQ423" s="122">
        <f>IF(12*(AO423-Variables!$C$3*AP423*F423)*(G423/5)&lt;0,0,12*(AO423-Variables!$C$3*AP423*F423)*(G423/5))</f>
        <v>771621.36711918155</v>
      </c>
    </row>
    <row r="424" spans="1:43" ht="14.25" customHeight="1" x14ac:dyDescent="0.35">
      <c r="A424" s="30">
        <v>1</v>
      </c>
      <c r="B424" s="28" t="s">
        <v>154</v>
      </c>
      <c r="C424" s="28">
        <v>2029</v>
      </c>
      <c r="D424" s="196">
        <f>Population!N2</f>
        <v>609779.74368807941</v>
      </c>
      <c r="E424" s="303" t="str">
        <f t="shared" si="78"/>
        <v>Medium</v>
      </c>
      <c r="F424" s="340">
        <f>VLOOKUP(A424,'Household Information'!$H$2:$M$49,6,FALSE)</f>
        <v>3.974207650273224</v>
      </c>
      <c r="G424" s="196">
        <f t="shared" si="73"/>
        <v>153434</v>
      </c>
      <c r="H424" s="213">
        <f>Area!P2</f>
        <v>118.1437494435108</v>
      </c>
      <c r="J424" s="32">
        <f>D424*Variables!$C$20</f>
        <v>548.80176931927144</v>
      </c>
      <c r="K424" s="202">
        <f t="shared" si="69"/>
        <v>536.09628731002385</v>
      </c>
      <c r="L424" s="32">
        <f t="shared" si="74"/>
        <v>12.705482009247589</v>
      </c>
      <c r="S424" s="198">
        <f>$L424*Variables!$C$21/100</f>
        <v>0.68989042584149796</v>
      </c>
      <c r="T424" s="198">
        <f>$L424*Variables!$C$22/100</f>
        <v>1.2073082452226216</v>
      </c>
      <c r="U424" s="198">
        <f>$L424*Variables!$C$23/100</f>
        <v>1.2647991140427464</v>
      </c>
      <c r="V424" s="198">
        <f>$L424*Variables!$C$24/100</f>
        <v>9.1985390112199745</v>
      </c>
      <c r="W424" s="22">
        <f>S424*Variables!$E$25*Variables!$C$15+'Cost Calculations'!T424*Variables!$E$26*Variables!$C$15+'Cost Calculations'!U424*Variables!$E$27*Variables!$C$15+V424*Variables!$E$28*Variables!$C$15</f>
        <v>8522097.0362582039</v>
      </c>
      <c r="X424" s="20">
        <f>J424*Variables!$E$29*Variables!$C$15</f>
        <v>93812.174447436264</v>
      </c>
      <c r="Z424" s="33">
        <f>D424*(IF(D424&lt;50000,0,IF(D424&gt;Variables!$C$7,Variables!$C$37,IF(D424&gt;Variables!$C$6,Variables!$C$36,IF(D424&gt;Variables!$C$5,Variables!$C$35)))))</f>
        <v>304.8898718440397</v>
      </c>
      <c r="AA424" s="34">
        <f t="shared" si="68"/>
        <v>298</v>
      </c>
      <c r="AB424" s="35">
        <f t="shared" si="75"/>
        <v>7</v>
      </c>
      <c r="AC424" s="22">
        <f>AB424*Variables!$E$41</f>
        <v>2587200.0000000005</v>
      </c>
      <c r="AD424" s="115">
        <f>ROUND(IF(D424&lt;50000,0,(H424/(3.14*Variables!$C$34^2))),0)</f>
        <v>151</v>
      </c>
      <c r="AE424" s="116">
        <f t="shared" si="70"/>
        <v>148</v>
      </c>
      <c r="AF424" s="117">
        <f t="shared" si="76"/>
        <v>3</v>
      </c>
      <c r="AG424" s="107">
        <f>AF424*Variables!$E$42*Variables!$C$15</f>
        <v>2032.6320000000001</v>
      </c>
      <c r="AH424" s="199">
        <f>ROUND((Z424)/Variables!$C$40,0)</f>
        <v>2</v>
      </c>
      <c r="AI424" s="33">
        <f t="shared" si="71"/>
        <v>2</v>
      </c>
      <c r="AJ424" s="199">
        <f t="shared" si="79"/>
        <v>0</v>
      </c>
      <c r="AK424" s="22">
        <f>AJ424*Variables!$E$43*Variables!$C$15</f>
        <v>0</v>
      </c>
      <c r="AL424" s="20">
        <f>Z424*Variables!$E$38*Variables!$C$15</f>
        <v>54050422.476363443</v>
      </c>
      <c r="AN424" s="200">
        <f t="shared" si="72"/>
        <v>0.14000000000000001</v>
      </c>
      <c r="AO424" s="201">
        <f t="shared" si="77"/>
        <v>33.383344262295083</v>
      </c>
      <c r="AP424" s="321">
        <f>VLOOKUP(A424,'Household Information'!H:Q,10,FALSE)</f>
        <v>73.860911270983223</v>
      </c>
      <c r="AQ424" s="122">
        <f>IF(12*(AO424-Variables!$C$3*AP424*F424)*(G424/5)&lt;0,0,12*(AO424-Variables!$C$3*AP424*F424)*(G424/5))</f>
        <v>0</v>
      </c>
    </row>
    <row r="425" spans="1:43" ht="14.25" customHeight="1" x14ac:dyDescent="0.35">
      <c r="A425" s="30">
        <v>2</v>
      </c>
      <c r="B425" s="28" t="s">
        <v>155</v>
      </c>
      <c r="C425" s="28">
        <v>2029</v>
      </c>
      <c r="D425" s="196">
        <f>Population!N3</f>
        <v>447293.36025135126</v>
      </c>
      <c r="E425" s="303" t="str">
        <f t="shared" si="78"/>
        <v>Medium</v>
      </c>
      <c r="F425" s="340">
        <f>VLOOKUP(A425,'Household Information'!$H$2:$M$49,6,FALSE)</f>
        <v>4.8390533520244086</v>
      </c>
      <c r="G425" s="196">
        <f t="shared" si="73"/>
        <v>92434</v>
      </c>
      <c r="H425" s="213">
        <f>Area!P3</f>
        <v>710.4170196800585</v>
      </c>
      <c r="J425" s="32">
        <f>D425*Variables!$C$20</f>
        <v>402.56402422621613</v>
      </c>
      <c r="K425" s="202">
        <f t="shared" si="69"/>
        <v>393.24413815201336</v>
      </c>
      <c r="L425" s="32">
        <f t="shared" si="74"/>
        <v>9.3198860742027705</v>
      </c>
      <c r="S425" s="198">
        <f>$L425*Variables!$C$21/100</f>
        <v>0.50605716240015031</v>
      </c>
      <c r="T425" s="198">
        <f>$L425*Variables!$C$22/100</f>
        <v>0.88560003420026323</v>
      </c>
      <c r="U425" s="198">
        <f>$L425*Variables!$C$23/100</f>
        <v>0.9277714644002758</v>
      </c>
      <c r="V425" s="198">
        <f>$L425*Variables!$C$24/100</f>
        <v>6.7474288320020062</v>
      </c>
      <c r="W425" s="22">
        <f>S425*Variables!$E$25*Variables!$C$15+'Cost Calculations'!T425*Variables!$E$26*Variables!$C$15+'Cost Calculations'!U425*Variables!$E$27*Variables!$C$15+V425*Variables!$E$28*Variables!$C$15</f>
        <v>6251236.5476113912</v>
      </c>
      <c r="X425" s="20">
        <f>J425*Variables!$E$29*Variables!$C$15</f>
        <v>68814.294301229384</v>
      </c>
      <c r="Z425" s="33">
        <f>D425*(IF(D425&lt;50000,0,IF(D425&gt;Variables!$C$7,Variables!$C$37,IF(D425&gt;Variables!$C$6,Variables!$C$36,IF(D425&gt;Variables!$C$5,Variables!$C$35)))))</f>
        <v>223.64668012567563</v>
      </c>
      <c r="AA425" s="34">
        <f t="shared" si="68"/>
        <v>262</v>
      </c>
      <c r="AB425" s="35">
        <f t="shared" si="75"/>
        <v>0</v>
      </c>
      <c r="AC425" s="22">
        <f>AB425*Variables!$E$41</f>
        <v>0</v>
      </c>
      <c r="AD425" s="115">
        <f>ROUND(IF(D425&lt;50000,0,(H425/(3.14*Variables!$C$34^2))),0)</f>
        <v>905</v>
      </c>
      <c r="AE425" s="116">
        <f t="shared" si="70"/>
        <v>892</v>
      </c>
      <c r="AF425" s="117">
        <f t="shared" si="76"/>
        <v>13</v>
      </c>
      <c r="AG425" s="107">
        <f>AF425*Variables!$E$42*Variables!$C$15</f>
        <v>8808.0720000000001</v>
      </c>
      <c r="AH425" s="199">
        <f>ROUND((Z425)/Variables!$C$40,0)</f>
        <v>2</v>
      </c>
      <c r="AI425" s="33">
        <f t="shared" si="71"/>
        <v>2</v>
      </c>
      <c r="AJ425" s="199">
        <f t="shared" si="79"/>
        <v>0</v>
      </c>
      <c r="AK425" s="22">
        <f>AJ425*Variables!$E$43*Variables!$C$15</f>
        <v>0</v>
      </c>
      <c r="AL425" s="20">
        <f>Z425*Variables!$E$38*Variables!$C$15</f>
        <v>39647750.425807387</v>
      </c>
      <c r="AN425" s="200">
        <f t="shared" si="72"/>
        <v>0.49</v>
      </c>
      <c r="AO425" s="201">
        <f t="shared" si="77"/>
        <v>142.26816854951761</v>
      </c>
      <c r="AP425" s="321">
        <f>VLOOKUP(A425,'Household Information'!H:Q,10,FALSE)</f>
        <v>166.27540073204597</v>
      </c>
      <c r="AQ425" s="122">
        <f>IF(12*(AO425-Variables!$C$3*AP425*F425)*(G425/5)&lt;0,0,12*(AO425-Variables!$C$3*AP425*F425)*(G425/5))</f>
        <v>4786418.4806681452</v>
      </c>
    </row>
    <row r="426" spans="1:43" ht="14.25" customHeight="1" x14ac:dyDescent="0.35">
      <c r="A426" s="30">
        <v>3</v>
      </c>
      <c r="B426" s="28" t="s">
        <v>156</v>
      </c>
      <c r="C426" s="28">
        <v>2029</v>
      </c>
      <c r="D426" s="196">
        <f>Population!N4</f>
        <v>12871826.22495136</v>
      </c>
      <c r="E426" s="303" t="str">
        <f t="shared" si="78"/>
        <v>Large</v>
      </c>
      <c r="F426" s="340">
        <f>VLOOKUP(A426,'Household Information'!$H$2:$M$49,6,FALSE)</f>
        <v>4.0172949204764796</v>
      </c>
      <c r="G426" s="196">
        <f t="shared" si="73"/>
        <v>3204103</v>
      </c>
      <c r="H426" s="213">
        <f>Area!P4</f>
        <v>837.88790723753061</v>
      </c>
      <c r="J426" s="32">
        <f>D426*Variables!$C$20</f>
        <v>11584.643602456224</v>
      </c>
      <c r="K426" s="202">
        <f t="shared" si="69"/>
        <v>11316.443882442338</v>
      </c>
      <c r="L426" s="32">
        <f t="shared" si="74"/>
        <v>268.19972001388669</v>
      </c>
      <c r="S426" s="198">
        <f>$L426*Variables!$C$21/100</f>
        <v>14.562880724735928</v>
      </c>
      <c r="T426" s="198">
        <f>$L426*Variables!$C$22/100</f>
        <v>25.485041268287876</v>
      </c>
      <c r="U426" s="198">
        <f>$L426*Variables!$C$23/100</f>
        <v>26.698614662015871</v>
      </c>
      <c r="V426" s="198">
        <f>$L426*Variables!$C$24/100</f>
        <v>194.17174299647905</v>
      </c>
      <c r="W426" s="22">
        <f>S426*Variables!$E$25*Variables!$C$15+'Cost Calculations'!T426*Variables!$E$26*Variables!$C$15+'Cost Calculations'!U426*Variables!$E$27*Variables!$C$15+V426*Variables!$E$28*Variables!$C$15</f>
        <v>179892745.3041175</v>
      </c>
      <c r="X426" s="20">
        <f>J426*Variables!$E$29*Variables!$C$15</f>
        <v>1980278.9774038671</v>
      </c>
      <c r="Z426" s="33">
        <f>D426*(IF(D426&lt;50000,0,IF(D426&gt;Variables!$C$7,Variables!$C$37,IF(D426&gt;Variables!$C$6,Variables!$C$36,IF(D426&gt;Variables!$C$5,Variables!$C$35)))))</f>
        <v>6435.9131124756805</v>
      </c>
      <c r="AA426" s="34">
        <f t="shared" si="68"/>
        <v>6287</v>
      </c>
      <c r="AB426" s="35">
        <f t="shared" si="75"/>
        <v>149</v>
      </c>
      <c r="AC426" s="22">
        <f>AB426*Variables!$E$41</f>
        <v>55070400.000000007</v>
      </c>
      <c r="AD426" s="115">
        <f>ROUND(IF(D426&lt;50000,0,(H426/(3.14*Variables!$C$34^2))),0)</f>
        <v>1067</v>
      </c>
      <c r="AE426" s="116">
        <f t="shared" si="70"/>
        <v>1052</v>
      </c>
      <c r="AF426" s="117">
        <f t="shared" si="76"/>
        <v>15</v>
      </c>
      <c r="AG426" s="107">
        <f>AF426*Variables!$E$42*Variables!$C$15</f>
        <v>10163.16</v>
      </c>
      <c r="AH426" s="199">
        <f>ROUND((Z426)/Variables!$C$40,0)</f>
        <v>51</v>
      </c>
      <c r="AI426" s="33">
        <f t="shared" si="71"/>
        <v>50</v>
      </c>
      <c r="AJ426" s="199">
        <f t="shared" si="79"/>
        <v>1</v>
      </c>
      <c r="AK426" s="22">
        <f>AJ426*Variables!$E$43*Variables!$C$15</f>
        <v>552717.39600000007</v>
      </c>
      <c r="AL426" s="20">
        <f>Z426*Variables!$E$38*Variables!$C$15</f>
        <v>1140949093.01684</v>
      </c>
      <c r="AN426" s="200">
        <f t="shared" si="72"/>
        <v>0.42</v>
      </c>
      <c r="AO426" s="201">
        <f t="shared" si="77"/>
        <v>101.23583199600728</v>
      </c>
      <c r="AP426" s="321">
        <f>VLOOKUP(A426,'Household Information'!H:Q,10,FALSE)</f>
        <v>132.525558500568</v>
      </c>
      <c r="AQ426" s="122">
        <f>IF(12*(AO426-Variables!$C$3*AP426*F426)*(G426/5)&lt;0,0,12*(AO426-Variables!$C$3*AP426*F426)*(G426/5))</f>
        <v>164383510.85766751</v>
      </c>
    </row>
    <row r="427" spans="1:43" ht="14.25" customHeight="1" x14ac:dyDescent="0.35">
      <c r="A427" s="30">
        <v>4</v>
      </c>
      <c r="B427" s="28" t="s">
        <v>157</v>
      </c>
      <c r="C427" s="28">
        <v>2029</v>
      </c>
      <c r="D427" s="196">
        <f>Population!N5</f>
        <v>2741264.8651895751</v>
      </c>
      <c r="E427" s="303" t="str">
        <f t="shared" si="78"/>
        <v>Large</v>
      </c>
      <c r="F427" s="340">
        <f>VLOOKUP(A427,'Household Information'!$H$2:$M$49,6,FALSE)</f>
        <v>4.6988894405393395</v>
      </c>
      <c r="G427" s="196">
        <f t="shared" si="73"/>
        <v>583386</v>
      </c>
      <c r="H427" s="213">
        <f>Area!P5</f>
        <v>463.24785966008182</v>
      </c>
      <c r="J427" s="32">
        <f>D427*Variables!$C$20</f>
        <v>2467.1383786706174</v>
      </c>
      <c r="K427" s="202">
        <f t="shared" si="69"/>
        <v>2410.0208837263035</v>
      </c>
      <c r="L427" s="32">
        <f t="shared" si="74"/>
        <v>57.117494944313876</v>
      </c>
      <c r="S427" s="198">
        <f>$L427*Variables!$C$21/100</f>
        <v>3.1014024404152325</v>
      </c>
      <c r="T427" s="198">
        <f>$L427*Variables!$C$22/100</f>
        <v>5.4274542707266571</v>
      </c>
      <c r="U427" s="198">
        <f>$L427*Variables!$C$23/100</f>
        <v>5.6859044740945945</v>
      </c>
      <c r="V427" s="198">
        <f>$L427*Variables!$C$24/100</f>
        <v>41.352032538869771</v>
      </c>
      <c r="W427" s="22">
        <f>S427*Variables!$E$25*Variables!$C$15+'Cost Calculations'!T427*Variables!$E$26*Variables!$C$15+'Cost Calculations'!U427*Variables!$E$27*Variables!$C$15+V427*Variables!$E$28*Variables!$C$15</f>
        <v>38311087.609989531</v>
      </c>
      <c r="X427" s="20">
        <f>J427*Variables!$E$29*Variables!$C$15</f>
        <v>421732.63444995531</v>
      </c>
      <c r="Z427" s="33">
        <f>D427*(IF(D427&lt;50000,0,IF(D427&gt;Variables!$C$7,Variables!$C$37,IF(D427&gt;Variables!$C$6,Variables!$C$36,IF(D427&gt;Variables!$C$5,Variables!$C$35)))))</f>
        <v>1370.6324325947876</v>
      </c>
      <c r="AA427" s="34">
        <f t="shared" si="68"/>
        <v>1339</v>
      </c>
      <c r="AB427" s="35">
        <f t="shared" si="75"/>
        <v>32</v>
      </c>
      <c r="AC427" s="22">
        <f>AB427*Variables!$E$41</f>
        <v>11827200.000000002</v>
      </c>
      <c r="AD427" s="115">
        <f>ROUND(IF(D427&lt;50000,0,(H427/(3.14*Variables!$C$34^2))),0)</f>
        <v>590</v>
      </c>
      <c r="AE427" s="116">
        <f t="shared" si="70"/>
        <v>582</v>
      </c>
      <c r="AF427" s="117">
        <f t="shared" si="76"/>
        <v>8</v>
      </c>
      <c r="AG427" s="107">
        <f>AF427*Variables!$E$42*Variables!$C$15</f>
        <v>5420.3519999999999</v>
      </c>
      <c r="AH427" s="199">
        <f>ROUND((Z427)/Variables!$C$40,0)</f>
        <v>11</v>
      </c>
      <c r="AI427" s="33">
        <f t="shared" si="71"/>
        <v>11</v>
      </c>
      <c r="AJ427" s="199">
        <f t="shared" si="79"/>
        <v>0</v>
      </c>
      <c r="AK427" s="22">
        <f>AJ427*Variables!$E$43*Variables!$C$15</f>
        <v>0</v>
      </c>
      <c r="AL427" s="20">
        <f>Z427*Variables!$E$38*Variables!$C$15</f>
        <v>242983676.67473653</v>
      </c>
      <c r="AN427" s="200">
        <f t="shared" si="72"/>
        <v>0.28000000000000003</v>
      </c>
      <c r="AO427" s="201">
        <f t="shared" si="77"/>
        <v>78.94134260106091</v>
      </c>
      <c r="AP427" s="321">
        <f>VLOOKUP(A427,'Household Information'!H:Q,10,FALSE)</f>
        <v>108.65462509082352</v>
      </c>
      <c r="AQ427" s="122">
        <f>IF(12*(AO427-Variables!$C$3*AP427*F427)*(G427/5)&lt;0,0,12*(AO427-Variables!$C$3*AP427*F427)*(G427/5))</f>
        <v>3301402.8780366755</v>
      </c>
    </row>
    <row r="428" spans="1:43" ht="14.25" customHeight="1" x14ac:dyDescent="0.35">
      <c r="A428" s="30">
        <v>5</v>
      </c>
      <c r="B428" s="28" t="s">
        <v>158</v>
      </c>
      <c r="C428" s="28">
        <v>2029</v>
      </c>
      <c r="D428" s="196">
        <f>Population!N6</f>
        <v>1285710.7813572201</v>
      </c>
      <c r="E428" s="303" t="str">
        <f t="shared" si="78"/>
        <v>Large</v>
      </c>
      <c r="F428" s="340">
        <f>VLOOKUP(A428,'Household Information'!$H$2:$M$49,6,FALSE)</f>
        <v>4.2814892277702192</v>
      </c>
      <c r="G428" s="196">
        <f t="shared" si="73"/>
        <v>300295</v>
      </c>
      <c r="H428" s="213">
        <f>Area!P6</f>
        <v>209.8606075641311</v>
      </c>
      <c r="J428" s="32">
        <f>D428*Variables!$C$20</f>
        <v>1157.1397032214982</v>
      </c>
      <c r="K428" s="202">
        <f t="shared" si="69"/>
        <v>2378.3936399999998</v>
      </c>
      <c r="L428" s="32">
        <f t="shared" si="74"/>
        <v>0</v>
      </c>
      <c r="S428" s="198">
        <f>$L428*Variables!$C$21/100</f>
        <v>0</v>
      </c>
      <c r="T428" s="198">
        <f>$L428*Variables!$C$22/100</f>
        <v>0</v>
      </c>
      <c r="U428" s="198">
        <f>$L428*Variables!$C$23/100</f>
        <v>0</v>
      </c>
      <c r="V428" s="198">
        <f>$L428*Variables!$C$24/100</f>
        <v>0</v>
      </c>
      <c r="W428" s="22">
        <f>S428*Variables!$E$25*Variables!$C$15+'Cost Calculations'!T428*Variables!$E$26*Variables!$C$15+'Cost Calculations'!U428*Variables!$E$27*Variables!$C$15+V428*Variables!$E$28*Variables!$C$15</f>
        <v>0</v>
      </c>
      <c r="X428" s="20">
        <f>J428*Variables!$E$29*Variables!$C$15</f>
        <v>197801.46086868289</v>
      </c>
      <c r="Z428" s="33">
        <f>D428*(IF(D428&lt;50000,0,IF(D428&gt;Variables!$C$7,Variables!$C$37,IF(D428&gt;Variables!$C$6,Variables!$C$36,IF(D428&gt;Variables!$C$5,Variables!$C$35)))))</f>
        <v>642.85539067861009</v>
      </c>
      <c r="AA428" s="34">
        <f t="shared" si="68"/>
        <v>628</v>
      </c>
      <c r="AB428" s="35">
        <f t="shared" si="75"/>
        <v>15</v>
      </c>
      <c r="AC428" s="22">
        <f>AB428*Variables!$E$41</f>
        <v>5544000.0000000009</v>
      </c>
      <c r="AD428" s="115">
        <f>ROUND(IF(D428&lt;50000,0,(H428/(3.14*Variables!$C$34^2))),0)</f>
        <v>267</v>
      </c>
      <c r="AE428" s="116">
        <f t="shared" si="70"/>
        <v>264</v>
      </c>
      <c r="AF428" s="117">
        <f t="shared" si="76"/>
        <v>3</v>
      </c>
      <c r="AG428" s="107">
        <f>AF428*Variables!$E$42*Variables!$C$15</f>
        <v>2032.6320000000001</v>
      </c>
      <c r="AH428" s="199">
        <f>ROUND((Z428)/Variables!$C$40,0)</f>
        <v>5</v>
      </c>
      <c r="AI428" s="33">
        <f t="shared" si="71"/>
        <v>5</v>
      </c>
      <c r="AJ428" s="199">
        <f t="shared" si="79"/>
        <v>0</v>
      </c>
      <c r="AK428" s="22">
        <f>AJ428*Variables!$E$43*Variables!$C$15</f>
        <v>0</v>
      </c>
      <c r="AL428" s="20">
        <f>Z428*Variables!$E$38*Variables!$C$15</f>
        <v>113964446.3990607</v>
      </c>
      <c r="AN428" s="200">
        <f t="shared" si="72"/>
        <v>0.28000000000000003</v>
      </c>
      <c r="AO428" s="201">
        <f t="shared" si="77"/>
        <v>71.929019026539692</v>
      </c>
      <c r="AP428" s="321">
        <f>VLOOKUP(A428,'Household Information'!H:Q,10,FALSE)</f>
        <v>70.680297866969596</v>
      </c>
      <c r="AQ428" s="122">
        <f>IF(12*(AO428-Variables!$C$3*AP428*F428)*(G428/5)&lt;0,0,12*(AO428-Variables!$C$3*AP428*F428)*(G428/5))</f>
        <v>19125052.661429446</v>
      </c>
    </row>
    <row r="429" spans="1:43" ht="14.25" customHeight="1" x14ac:dyDescent="0.35">
      <c r="A429" s="30">
        <v>6</v>
      </c>
      <c r="B429" s="28" t="s">
        <v>159</v>
      </c>
      <c r="C429" s="28">
        <v>2029</v>
      </c>
      <c r="D429" s="196">
        <f>Population!N7</f>
        <v>1465876.0272242008</v>
      </c>
      <c r="E429" s="303" t="str">
        <f t="shared" si="78"/>
        <v>Large</v>
      </c>
      <c r="F429" s="340">
        <f>VLOOKUP(A429,'Household Information'!$H$2:$M$49,6,FALSE)</f>
        <v>4.4091899104485828</v>
      </c>
      <c r="G429" s="196">
        <f t="shared" si="73"/>
        <v>332459</v>
      </c>
      <c r="H429" s="213">
        <f>Area!P7</f>
        <v>180.77172530541489</v>
      </c>
      <c r="J429" s="32">
        <f>D429*Variables!$C$20</f>
        <v>1319.2884245017806</v>
      </c>
      <c r="K429" s="202">
        <f t="shared" si="69"/>
        <v>1288.7451641123187</v>
      </c>
      <c r="L429" s="32">
        <f t="shared" si="74"/>
        <v>30.543260389461921</v>
      </c>
      <c r="S429" s="198">
        <f>$L429*Variables!$C$21/100</f>
        <v>1.6584575777083392</v>
      </c>
      <c r="T429" s="198">
        <f>$L429*Variables!$C$22/100</f>
        <v>2.9023007609895943</v>
      </c>
      <c r="U429" s="198">
        <f>$L429*Variables!$C$23/100</f>
        <v>3.0405055591319559</v>
      </c>
      <c r="V429" s="198">
        <f>$L429*Variables!$C$24/100</f>
        <v>22.112767702777859</v>
      </c>
      <c r="W429" s="22">
        <f>S429*Variables!$E$25*Variables!$C$15+'Cost Calculations'!T429*Variables!$E$26*Variables!$C$15+'Cost Calculations'!U429*Variables!$E$27*Variables!$C$15+V429*Variables!$E$28*Variables!$C$15</f>
        <v>20486639.440616578</v>
      </c>
      <c r="X429" s="20">
        <f>J429*Variables!$E$29*Variables!$C$15</f>
        <v>225519.16328433438</v>
      </c>
      <c r="Z429" s="33">
        <f>D429*(IF(D429&lt;50000,0,IF(D429&gt;Variables!$C$7,Variables!$C$37,IF(D429&gt;Variables!$C$6,Variables!$C$36,IF(D429&gt;Variables!$C$5,Variables!$C$35)))))</f>
        <v>732.93801361210035</v>
      </c>
      <c r="AA429" s="34">
        <f t="shared" si="68"/>
        <v>716</v>
      </c>
      <c r="AB429" s="35">
        <f t="shared" si="75"/>
        <v>17</v>
      </c>
      <c r="AC429" s="22">
        <f>AB429*Variables!$E$41</f>
        <v>6283200.0000000009</v>
      </c>
      <c r="AD429" s="115">
        <f>ROUND(IF(D429&lt;50000,0,(H429/(3.14*Variables!$C$34^2))),0)</f>
        <v>230</v>
      </c>
      <c r="AE429" s="116">
        <f t="shared" si="70"/>
        <v>227</v>
      </c>
      <c r="AF429" s="117">
        <f t="shared" si="76"/>
        <v>3</v>
      </c>
      <c r="AG429" s="107">
        <f>AF429*Variables!$E$42*Variables!$C$15</f>
        <v>2032.6320000000001</v>
      </c>
      <c r="AH429" s="199">
        <f>ROUND((Z429)/Variables!$C$40,0)</f>
        <v>6</v>
      </c>
      <c r="AI429" s="33">
        <f t="shared" si="71"/>
        <v>6</v>
      </c>
      <c r="AJ429" s="199">
        <f t="shared" si="79"/>
        <v>0</v>
      </c>
      <c r="AK429" s="22">
        <f>AJ429*Variables!$E$43*Variables!$C$15</f>
        <v>0</v>
      </c>
      <c r="AL429" s="20">
        <f>Z429*Variables!$E$38*Variables!$C$15</f>
        <v>129934159.65285069</v>
      </c>
      <c r="AN429" s="200">
        <f t="shared" si="72"/>
        <v>0.28000000000000003</v>
      </c>
      <c r="AO429" s="201">
        <f t="shared" si="77"/>
        <v>74.074390495536193</v>
      </c>
      <c r="AP429" s="321">
        <f>VLOOKUP(A429,'Household Information'!H:Q,10,FALSE)</f>
        <v>228.82746434431402</v>
      </c>
      <c r="AQ429" s="122">
        <f>IF(12*(AO429-Variables!$C$3*AP429*F429)*(G429/5)&lt;0,0,12*(AO429-Variables!$C$3*AP429*F429)*(G429/5))</f>
        <v>0</v>
      </c>
    </row>
    <row r="430" spans="1:43" ht="14.25" customHeight="1" x14ac:dyDescent="0.35">
      <c r="A430" s="30">
        <v>7</v>
      </c>
      <c r="B430" s="28" t="s">
        <v>160</v>
      </c>
      <c r="C430" s="28">
        <v>2029</v>
      </c>
      <c r="D430" s="196">
        <f>Population!N8</f>
        <v>7083636.7835001564</v>
      </c>
      <c r="E430" s="303" t="str">
        <f t="shared" si="78"/>
        <v>Large</v>
      </c>
      <c r="F430" s="340">
        <f>VLOOKUP(A430,'Household Information'!$H$2:$M$49,6,FALSE)</f>
        <v>4.0232072880789485</v>
      </c>
      <c r="G430" s="196">
        <f t="shared" si="73"/>
        <v>1760694</v>
      </c>
      <c r="H430" s="213">
        <f>Area!P8</f>
        <v>1224.9641389669282</v>
      </c>
      <c r="J430" s="32">
        <f>D430*Variables!$C$20</f>
        <v>6375.2731051501405</v>
      </c>
      <c r="K430" s="202">
        <f t="shared" si="69"/>
        <v>6227.6771565401386</v>
      </c>
      <c r="L430" s="32">
        <f t="shared" si="74"/>
        <v>147.59594861000187</v>
      </c>
      <c r="S430" s="198">
        <f>$L430*Variables!$C$21/100</f>
        <v>8.0142596530317753</v>
      </c>
      <c r="T430" s="198">
        <f>$L430*Variables!$C$22/100</f>
        <v>14.024954392805608</v>
      </c>
      <c r="U430" s="198">
        <f>$L430*Variables!$C$23/100</f>
        <v>14.692809363891588</v>
      </c>
      <c r="V430" s="198">
        <f>$L430*Variables!$C$24/100</f>
        <v>106.85679537375701</v>
      </c>
      <c r="W430" s="22">
        <f>S430*Variables!$E$25*Variables!$C$15+'Cost Calculations'!T430*Variables!$E$26*Variables!$C$15+'Cost Calculations'!U430*Variables!$E$27*Variables!$C$15+V430*Variables!$E$28*Variables!$C$15</f>
        <v>98998762.526090324</v>
      </c>
      <c r="X430" s="20">
        <f>J430*Variables!$E$29*Variables!$C$15</f>
        <v>1089789.1845943651</v>
      </c>
      <c r="Z430" s="33">
        <f>D430*(IF(D430&lt;50000,0,IF(D430&gt;Variables!$C$7,Variables!$C$37,IF(D430&gt;Variables!$C$6,Variables!$C$36,IF(D430&gt;Variables!$C$5,Variables!$C$35)))))</f>
        <v>3541.8183917500783</v>
      </c>
      <c r="AA430" s="34">
        <f t="shared" ref="AA430:AA493" si="80">AA388+AB388</f>
        <v>4599</v>
      </c>
      <c r="AB430" s="35">
        <f t="shared" si="75"/>
        <v>0</v>
      </c>
      <c r="AC430" s="22">
        <f>AB430*Variables!$E$41</f>
        <v>0</v>
      </c>
      <c r="AD430" s="115">
        <f>ROUND(IF(D430&lt;50000,0,(H430/(3.14*Variables!$C$34^2))),0)</f>
        <v>1560</v>
      </c>
      <c r="AE430" s="116">
        <f t="shared" si="70"/>
        <v>1539</v>
      </c>
      <c r="AF430" s="117">
        <f t="shared" si="76"/>
        <v>21</v>
      </c>
      <c r="AG430" s="107">
        <f>AF430*Variables!$E$42*Variables!$C$15</f>
        <v>14228.424000000001</v>
      </c>
      <c r="AH430" s="199">
        <f>ROUND((Z430)/Variables!$C$40,0)</f>
        <v>28</v>
      </c>
      <c r="AI430" s="33">
        <f t="shared" si="71"/>
        <v>28</v>
      </c>
      <c r="AJ430" s="199">
        <f t="shared" si="79"/>
        <v>0</v>
      </c>
      <c r="AK430" s="22">
        <f>AJ430*Variables!$E$43*Variables!$C$15</f>
        <v>0</v>
      </c>
      <c r="AL430" s="20">
        <f>Z430*Variables!$E$38*Variables!$C$15</f>
        <v>627888290.45318866</v>
      </c>
      <c r="AN430" s="200">
        <f t="shared" si="72"/>
        <v>0.28000000000000003</v>
      </c>
      <c r="AO430" s="201">
        <f t="shared" si="77"/>
        <v>67.589882439726338</v>
      </c>
      <c r="AP430" s="321">
        <f>VLOOKUP(A430,'Household Information'!H:Q,10,FALSE)</f>
        <v>141.36059573393919</v>
      </c>
      <c r="AQ430" s="122">
        <f>IF(12*(AO430-Variables!$C$3*AP430*F430)*(G430/5)&lt;0,0,12*(AO430-Variables!$C$3*AP430*F430)*(G430/5))</f>
        <v>0</v>
      </c>
    </row>
    <row r="431" spans="1:43" ht="14.25" customHeight="1" x14ac:dyDescent="0.35">
      <c r="A431" s="30">
        <v>8</v>
      </c>
      <c r="B431" s="28" t="s">
        <v>161</v>
      </c>
      <c r="C431" s="28">
        <v>2029</v>
      </c>
      <c r="D431" s="196">
        <f>Population!N9</f>
        <v>67504.991475074072</v>
      </c>
      <c r="E431" s="303" t="str">
        <f t="shared" si="78"/>
        <v>Small</v>
      </c>
      <c r="F431" s="340">
        <f>VLOOKUP(A431,'Household Information'!$H$2:$M$49,6,FALSE)</f>
        <v>4.332028957151242</v>
      </c>
      <c r="G431" s="196">
        <f t="shared" si="73"/>
        <v>15583</v>
      </c>
      <c r="H431" s="213">
        <f>Area!P9</f>
        <v>172.55205510828549</v>
      </c>
      <c r="J431" s="32">
        <f>D431*Variables!$C$20</f>
        <v>60.754492327566666</v>
      </c>
      <c r="K431" s="202">
        <f t="shared" ref="K431:K494" si="81">K389+L389</f>
        <v>59.347946007196107</v>
      </c>
      <c r="L431" s="32">
        <f t="shared" si="74"/>
        <v>1.406546320370559</v>
      </c>
      <c r="S431" s="198">
        <f>$L431*Variables!$C$21/100</f>
        <v>7.6373555857224912E-2</v>
      </c>
      <c r="T431" s="198">
        <f>$L431*Variables!$C$22/100</f>
        <v>0.13365372275014362</v>
      </c>
      <c r="U431" s="198">
        <f>$L431*Variables!$C$23/100</f>
        <v>0.1400181857382457</v>
      </c>
      <c r="V431" s="198">
        <f>$L431*Variables!$C$24/100</f>
        <v>1.0183140780963322</v>
      </c>
      <c r="W431" s="22">
        <f>S431*Variables!$E$25*Variables!$C$15+'Cost Calculations'!T431*Variables!$E$26*Variables!$C$15+'Cost Calculations'!U431*Variables!$E$27*Variables!$C$15+V431*Variables!$E$28*Variables!$C$15</f>
        <v>943429.31810578902</v>
      </c>
      <c r="X431" s="20">
        <f>J431*Variables!$E$29*Variables!$C$15</f>
        <v>10385.372918474248</v>
      </c>
      <c r="Z431" s="33">
        <f>D431*(IF(D431&lt;50000,0,IF(D431&gt;Variables!$C$7,Variables!$C$37,IF(D431&gt;Variables!$C$6,Variables!$C$36,IF(D431&gt;Variables!$C$5,Variables!$C$35)))))</f>
        <v>33.752495737537039</v>
      </c>
      <c r="AA431" s="34">
        <f t="shared" si="80"/>
        <v>33</v>
      </c>
      <c r="AB431" s="35">
        <f t="shared" si="75"/>
        <v>1</v>
      </c>
      <c r="AC431" s="22">
        <f>AB431*Variables!$E$41</f>
        <v>369600.00000000006</v>
      </c>
      <c r="AD431" s="115">
        <f>ROUND(IF(D431&lt;50000,0,(H431/(3.14*Variables!$C$34^2))),0)</f>
        <v>220</v>
      </c>
      <c r="AE431" s="116">
        <f t="shared" ref="AE431:AE494" si="82">AE389+AF389</f>
        <v>217</v>
      </c>
      <c r="AF431" s="117">
        <f t="shared" si="76"/>
        <v>3</v>
      </c>
      <c r="AG431" s="107">
        <f>AF431*Variables!$E$42*Variables!$C$15</f>
        <v>2032.6320000000001</v>
      </c>
      <c r="AH431" s="199">
        <f>ROUND((Z431)/Variables!$C$40,0)</f>
        <v>0</v>
      </c>
      <c r="AI431" s="33">
        <f t="shared" ref="AI431:AI494" si="83">AI389+AJ389</f>
        <v>0</v>
      </c>
      <c r="AJ431" s="199">
        <f t="shared" si="79"/>
        <v>0</v>
      </c>
      <c r="AK431" s="22">
        <f>AJ431*Variables!$E$43*Variables!$C$15</f>
        <v>0</v>
      </c>
      <c r="AL431" s="20">
        <f>Z431*Variables!$E$38*Variables!$C$15</f>
        <v>5983592.1843239721</v>
      </c>
      <c r="AN431" s="200">
        <f t="shared" ref="AN431:AN494" si="84">AN389</f>
        <v>0.25221875000000005</v>
      </c>
      <c r="AO431" s="201">
        <f t="shared" si="77"/>
        <v>65.557135712189407</v>
      </c>
      <c r="AP431" s="321">
        <f>VLOOKUP(A431,'Household Information'!H:Q,10,FALSE)</f>
        <v>39.775337624637132</v>
      </c>
      <c r="AQ431" s="122">
        <f>IF(12*(AO431-Variables!$C$3*AP431*F431)*(G431/5)&lt;0,0,12*(AO431-Variables!$C$3*AP431*F431)*(G431/5))</f>
        <v>1485157.7072591207</v>
      </c>
    </row>
    <row r="432" spans="1:43" ht="14.25" customHeight="1" x14ac:dyDescent="0.35">
      <c r="A432" s="30">
        <v>9</v>
      </c>
      <c r="B432" s="28" t="s">
        <v>162</v>
      </c>
      <c r="C432" s="28">
        <v>2029</v>
      </c>
      <c r="D432" s="196">
        <f>Population!N10</f>
        <v>868284.13428457931</v>
      </c>
      <c r="E432" s="303" t="str">
        <f t="shared" si="78"/>
        <v>Medium</v>
      </c>
      <c r="F432" s="340">
        <f>VLOOKUP(A432,'Household Information'!$H$2:$M$49,6,FALSE)</f>
        <v>4.5911864516077028</v>
      </c>
      <c r="G432" s="196">
        <f t="shared" si="73"/>
        <v>189120</v>
      </c>
      <c r="H432" s="213">
        <f>Area!P10</f>
        <v>466.35690569806906</v>
      </c>
      <c r="J432" s="32">
        <f>D432*Variables!$C$20</f>
        <v>781.45572085612139</v>
      </c>
      <c r="K432" s="202">
        <f t="shared" si="81"/>
        <v>763.36399419372992</v>
      </c>
      <c r="L432" s="32">
        <f t="shared" si="74"/>
        <v>18.091726662391466</v>
      </c>
      <c r="S432" s="198">
        <f>$L432*Variables!$C$21/100</f>
        <v>0.98235619886288494</v>
      </c>
      <c r="T432" s="198">
        <f>$L432*Variables!$C$22/100</f>
        <v>1.7191233480100487</v>
      </c>
      <c r="U432" s="198">
        <f>$L432*Variables!$C$23/100</f>
        <v>1.8009863645819559</v>
      </c>
      <c r="V432" s="198">
        <f>$L432*Variables!$C$24/100</f>
        <v>13.098082651505132</v>
      </c>
      <c r="W432" s="22">
        <f>S432*Variables!$E$25*Variables!$C$15+'Cost Calculations'!T432*Variables!$E$26*Variables!$C$15+'Cost Calculations'!U432*Variables!$E$27*Variables!$C$15+V432*Variables!$E$28*Variables!$C$15</f>
        <v>12134876.115533553</v>
      </c>
      <c r="X432" s="20">
        <f>J432*Variables!$E$29*Variables!$C$15</f>
        <v>133582.0409231454</v>
      </c>
      <c r="Z432" s="33">
        <f>D432*(IF(D432&lt;50000,0,IF(D432&gt;Variables!$C$7,Variables!$C$37,IF(D432&gt;Variables!$C$6,Variables!$C$36,IF(D432&gt;Variables!$C$5,Variables!$C$35)))))</f>
        <v>434.14206714228965</v>
      </c>
      <c r="AA432" s="34">
        <f t="shared" si="80"/>
        <v>430</v>
      </c>
      <c r="AB432" s="35">
        <f t="shared" si="75"/>
        <v>4</v>
      </c>
      <c r="AC432" s="22">
        <f>AB432*Variables!$E$41</f>
        <v>1478400.0000000002</v>
      </c>
      <c r="AD432" s="115">
        <f>ROUND(IF(D432&lt;50000,0,(H432/(3.14*Variables!$C$34^2))),0)</f>
        <v>594</v>
      </c>
      <c r="AE432" s="116">
        <f t="shared" si="82"/>
        <v>586</v>
      </c>
      <c r="AF432" s="117">
        <f t="shared" si="76"/>
        <v>8</v>
      </c>
      <c r="AG432" s="107">
        <f>AF432*Variables!$E$42*Variables!$C$15</f>
        <v>5420.3519999999999</v>
      </c>
      <c r="AH432" s="199">
        <f>ROUND((Z432)/Variables!$C$40,0)</f>
        <v>3</v>
      </c>
      <c r="AI432" s="33">
        <f t="shared" si="83"/>
        <v>3</v>
      </c>
      <c r="AJ432" s="199">
        <f t="shared" si="79"/>
        <v>0</v>
      </c>
      <c r="AK432" s="22">
        <f>AJ432*Variables!$E$43*Variables!$C$15</f>
        <v>0</v>
      </c>
      <c r="AL432" s="20">
        <f>Z432*Variables!$E$38*Variables!$C$15</f>
        <v>76964059.192513406</v>
      </c>
      <c r="AN432" s="200">
        <f t="shared" si="84"/>
        <v>0.19600000000000001</v>
      </c>
      <c r="AO432" s="201">
        <f t="shared" si="77"/>
        <v>53.992352670906584</v>
      </c>
      <c r="AP432" s="321">
        <f>VLOOKUP(A432,'Household Information'!H:Q,10,FALSE)</f>
        <v>137.82658084059071</v>
      </c>
      <c r="AQ432" s="122">
        <f>IF(12*(AO432-Variables!$C$3*AP432*F432)*(G432/5)&lt;0,0,12*(AO432-Variables!$C$3*AP432*F432)*(G432/5))</f>
        <v>0</v>
      </c>
    </row>
    <row r="433" spans="1:43" ht="14.25" customHeight="1" x14ac:dyDescent="0.35">
      <c r="A433" s="30">
        <v>10</v>
      </c>
      <c r="B433" s="28" t="s">
        <v>163</v>
      </c>
      <c r="C433" s="28">
        <v>2029</v>
      </c>
      <c r="D433" s="196">
        <f>Population!N11</f>
        <v>805759.46906281519</v>
      </c>
      <c r="E433" s="303" t="str">
        <f t="shared" si="78"/>
        <v>Medium</v>
      </c>
      <c r="F433" s="340">
        <f>VLOOKUP(A433,'Household Information'!$H$2:$M$49,6,FALSE)</f>
        <v>4.0714439771379274</v>
      </c>
      <c r="G433" s="196">
        <f t="shared" si="73"/>
        <v>197905</v>
      </c>
      <c r="H433" s="213">
        <f>Area!P11</f>
        <v>138.16947157101774</v>
      </c>
      <c r="J433" s="32">
        <f>D433*Variables!$C$20</f>
        <v>725.18352215653363</v>
      </c>
      <c r="K433" s="202">
        <f t="shared" si="81"/>
        <v>718.84568000000002</v>
      </c>
      <c r="L433" s="32">
        <f t="shared" si="74"/>
        <v>6.3378421565336112</v>
      </c>
      <c r="S433" s="198">
        <f>$L433*Variables!$C$21/100</f>
        <v>0.34413622569413271</v>
      </c>
      <c r="T433" s="198">
        <f>$L433*Variables!$C$22/100</f>
        <v>0.6022383949647323</v>
      </c>
      <c r="U433" s="198">
        <f>$L433*Variables!$C$23/100</f>
        <v>0.63091641377257668</v>
      </c>
      <c r="V433" s="198">
        <f>$L433*Variables!$C$24/100</f>
        <v>4.5884830092551026</v>
      </c>
      <c r="W433" s="22">
        <f>S433*Variables!$E$25*Variables!$C$15+'Cost Calculations'!T433*Variables!$E$26*Variables!$C$15+'Cost Calculations'!U433*Variables!$E$27*Variables!$C$15+V433*Variables!$E$28*Variables!$C$15</f>
        <v>4251055.2389240628</v>
      </c>
      <c r="X433" s="20">
        <f>J433*Variables!$E$29*Variables!$C$15</f>
        <v>123962.87127743787</v>
      </c>
      <c r="Z433" s="33">
        <f>D433*(IF(D433&lt;50000,0,IF(D433&gt;Variables!$C$7,Variables!$C$37,IF(D433&gt;Variables!$C$6,Variables!$C$36,IF(D433&gt;Variables!$C$5,Variables!$C$35)))))</f>
        <v>402.87973453140762</v>
      </c>
      <c r="AA433" s="34">
        <f t="shared" si="80"/>
        <v>394</v>
      </c>
      <c r="AB433" s="35">
        <f t="shared" si="75"/>
        <v>9</v>
      </c>
      <c r="AC433" s="22">
        <f>AB433*Variables!$E$41</f>
        <v>3326400.0000000005</v>
      </c>
      <c r="AD433" s="115">
        <f>ROUND(IF(D433&lt;50000,0,(H433/(3.14*Variables!$C$34^2))),0)</f>
        <v>176</v>
      </c>
      <c r="AE433" s="116">
        <f t="shared" si="82"/>
        <v>174</v>
      </c>
      <c r="AF433" s="117">
        <f t="shared" si="76"/>
        <v>2</v>
      </c>
      <c r="AG433" s="107">
        <f>AF433*Variables!$E$42*Variables!$C$15</f>
        <v>1355.088</v>
      </c>
      <c r="AH433" s="199">
        <f>ROUND((Z433)/Variables!$C$40,0)</f>
        <v>3</v>
      </c>
      <c r="AI433" s="33">
        <f t="shared" si="83"/>
        <v>3</v>
      </c>
      <c r="AJ433" s="199">
        <f t="shared" si="79"/>
        <v>0</v>
      </c>
      <c r="AK433" s="22">
        <f>AJ433*Variables!$E$43*Variables!$C$15</f>
        <v>0</v>
      </c>
      <c r="AL433" s="20">
        <f>Z433*Variables!$E$38*Variables!$C$15</f>
        <v>71421919.419241026</v>
      </c>
      <c r="AN433" s="200">
        <f t="shared" si="84"/>
        <v>0.25221875000000005</v>
      </c>
      <c r="AO433" s="201">
        <f t="shared" si="77"/>
        <v>61.613670636525413</v>
      </c>
      <c r="AP433" s="321">
        <f>VLOOKUP(A433,'Household Information'!H:Q,10,FALSE)</f>
        <v>39.775337624637132</v>
      </c>
      <c r="AQ433" s="122">
        <f>IF(12*(AO433-Variables!$C$3*AP433*F433)*(G433/5)&lt;0,0,12*(AO433-Variables!$C$3*AP433*F433)*(G433/5))</f>
        <v>17727005.590173729</v>
      </c>
    </row>
    <row r="434" spans="1:43" ht="14.25" customHeight="1" x14ac:dyDescent="0.35">
      <c r="A434" s="30">
        <v>11</v>
      </c>
      <c r="B434" s="28" t="s">
        <v>164</v>
      </c>
      <c r="C434" s="28">
        <v>2029</v>
      </c>
      <c r="D434" s="196">
        <f>Population!N12</f>
        <v>314288.00816226902</v>
      </c>
      <c r="E434" s="303" t="str">
        <f t="shared" si="78"/>
        <v>Medium</v>
      </c>
      <c r="F434" s="340">
        <f>VLOOKUP(A434,'Household Information'!$H$2:$M$49,6,FALSE)</f>
        <v>4.5669760538732476</v>
      </c>
      <c r="G434" s="196">
        <f t="shared" si="73"/>
        <v>68818</v>
      </c>
      <c r="H434" s="213">
        <f>Area!P12</f>
        <v>177.21562416526621</v>
      </c>
      <c r="J434" s="32">
        <f>D434*Variables!$C$20</f>
        <v>282.85920734604213</v>
      </c>
      <c r="K434" s="202">
        <f t="shared" si="81"/>
        <v>276.31064505816363</v>
      </c>
      <c r="L434" s="32">
        <f t="shared" si="74"/>
        <v>6.5485622878784966</v>
      </c>
      <c r="S434" s="198">
        <f>$L434*Variables!$C$21/100</f>
        <v>0.35557804278073279</v>
      </c>
      <c r="T434" s="198">
        <f>$L434*Variables!$C$22/100</f>
        <v>0.62226157486628242</v>
      </c>
      <c r="U434" s="198">
        <f>$L434*Variables!$C$23/100</f>
        <v>0.65189307843134359</v>
      </c>
      <c r="V434" s="198">
        <f>$L434*Variables!$C$24/100</f>
        <v>4.7410405704097709</v>
      </c>
      <c r="W434" s="22">
        <f>S434*Variables!$E$25*Variables!$C$15+'Cost Calculations'!T434*Variables!$E$26*Variables!$C$15+'Cost Calculations'!U434*Variables!$E$27*Variables!$C$15+V434*Variables!$E$28*Variables!$C$15</f>
        <v>4392394.0252453638</v>
      </c>
      <c r="X434" s="20">
        <f>J434*Variables!$E$29*Variables!$C$15</f>
        <v>48351.952903732446</v>
      </c>
      <c r="Z434" s="33">
        <f>D434*(IF(D434&lt;50000,0,IF(D434&gt;Variables!$C$7,Variables!$C$37,IF(D434&gt;Variables!$C$6,Variables!$C$36,IF(D434&gt;Variables!$C$5,Variables!$C$35)))))</f>
        <v>157.14400408113451</v>
      </c>
      <c r="AA434" s="34">
        <f t="shared" si="80"/>
        <v>154</v>
      </c>
      <c r="AB434" s="35">
        <f t="shared" si="75"/>
        <v>3</v>
      </c>
      <c r="AC434" s="22">
        <f>AB434*Variables!$E$41</f>
        <v>1108800.0000000002</v>
      </c>
      <c r="AD434" s="115">
        <f>ROUND(IF(D434&lt;50000,0,(H434/(3.14*Variables!$C$34^2))),0)</f>
        <v>226</v>
      </c>
      <c r="AE434" s="116">
        <f t="shared" si="82"/>
        <v>223</v>
      </c>
      <c r="AF434" s="117">
        <f t="shared" si="76"/>
        <v>3</v>
      </c>
      <c r="AG434" s="107">
        <f>AF434*Variables!$E$42*Variables!$C$15</f>
        <v>2032.6320000000001</v>
      </c>
      <c r="AH434" s="199">
        <f>ROUND((Z434)/Variables!$C$40,0)</f>
        <v>1</v>
      </c>
      <c r="AI434" s="33">
        <f t="shared" si="83"/>
        <v>1</v>
      </c>
      <c r="AJ434" s="199">
        <f t="shared" si="79"/>
        <v>0</v>
      </c>
      <c r="AK434" s="22">
        <f>AJ434*Variables!$E$43*Variables!$C$15</f>
        <v>0</v>
      </c>
      <c r="AL434" s="20">
        <f>Z434*Variables!$E$38*Variables!$C$15</f>
        <v>27858255.044160608</v>
      </c>
      <c r="AN434" s="200">
        <f t="shared" si="84"/>
        <v>0.315</v>
      </c>
      <c r="AO434" s="201">
        <f t="shared" si="77"/>
        <v>86.31584741820437</v>
      </c>
      <c r="AP434" s="321">
        <f>VLOOKUP(A434,'Household Information'!H:Q,10,FALSE)</f>
        <v>93.297993184399843</v>
      </c>
      <c r="AQ434" s="122">
        <f>IF(12*(AO434-Variables!$C$3*AP434*F434)*(G434/5)&lt;0,0,12*(AO434-Variables!$C$3*AP434*F434)*(G434/5))</f>
        <v>3700050.8009253796</v>
      </c>
    </row>
    <row r="435" spans="1:43" ht="14.25" customHeight="1" x14ac:dyDescent="0.35">
      <c r="A435" s="30">
        <v>12</v>
      </c>
      <c r="B435" s="28" t="s">
        <v>165</v>
      </c>
      <c r="C435" s="28">
        <v>2029</v>
      </c>
      <c r="D435" s="196">
        <f>Population!N13</f>
        <v>152879.39964476039</v>
      </c>
      <c r="E435" s="303" t="str">
        <f t="shared" si="78"/>
        <v>Medium</v>
      </c>
      <c r="F435" s="340">
        <f>VLOOKUP(A435,'Household Information'!$H$2:$M$49,6,FALSE)</f>
        <v>4.2184831531569431</v>
      </c>
      <c r="G435" s="196">
        <f t="shared" si="73"/>
        <v>36240</v>
      </c>
      <c r="H435" s="213">
        <f>Area!P13</f>
        <v>29.5359373608777</v>
      </c>
      <c r="J435" s="32">
        <f>D435*Variables!$C$20</f>
        <v>137.59145968028434</v>
      </c>
      <c r="K435" s="202">
        <f t="shared" si="81"/>
        <v>134.40603661256648</v>
      </c>
      <c r="L435" s="32">
        <f t="shared" si="74"/>
        <v>3.1854230677178634</v>
      </c>
      <c r="S435" s="198">
        <f>$L435*Variables!$C$21/100</f>
        <v>0.17296414847336813</v>
      </c>
      <c r="T435" s="198">
        <f>$L435*Variables!$C$22/100</f>
        <v>0.30268725982839428</v>
      </c>
      <c r="U435" s="198">
        <f>$L435*Variables!$C$23/100</f>
        <v>0.31710093886784163</v>
      </c>
      <c r="V435" s="198">
        <f>$L435*Variables!$C$24/100</f>
        <v>2.3061886463115751</v>
      </c>
      <c r="W435" s="22">
        <f>S435*Variables!$E$25*Variables!$C$15+'Cost Calculations'!T435*Variables!$E$26*Variables!$C$15+'Cost Calculations'!U435*Variables!$E$27*Variables!$C$15+V435*Variables!$E$28*Variables!$C$15</f>
        <v>2136596.1924835718</v>
      </c>
      <c r="X435" s="20">
        <f>J435*Variables!$E$29*Variables!$C$15</f>
        <v>23519.884117747806</v>
      </c>
      <c r="Z435" s="33">
        <f>D435*(IF(D435&lt;50000,0,IF(D435&gt;Variables!$C$7,Variables!$C$37,IF(D435&gt;Variables!$C$6,Variables!$C$36,IF(D435&gt;Variables!$C$5,Variables!$C$35)))))</f>
        <v>76.439699822380192</v>
      </c>
      <c r="AA435" s="34">
        <f t="shared" si="80"/>
        <v>75</v>
      </c>
      <c r="AB435" s="35">
        <f t="shared" si="75"/>
        <v>1</v>
      </c>
      <c r="AC435" s="22">
        <f>AB435*Variables!$E$41</f>
        <v>369600.00000000006</v>
      </c>
      <c r="AD435" s="115">
        <f>ROUND(IF(D435&lt;50000,0,(H435/(3.14*Variables!$C$34^2))),0)</f>
        <v>38</v>
      </c>
      <c r="AE435" s="116">
        <f t="shared" si="82"/>
        <v>37</v>
      </c>
      <c r="AF435" s="117">
        <f t="shared" si="76"/>
        <v>1</v>
      </c>
      <c r="AG435" s="107">
        <f>AF435*Variables!$E$42*Variables!$C$15</f>
        <v>677.54399999999998</v>
      </c>
      <c r="AH435" s="199">
        <f>ROUND((Z435)/Variables!$C$40,0)</f>
        <v>1</v>
      </c>
      <c r="AI435" s="33">
        <f t="shared" si="83"/>
        <v>1</v>
      </c>
      <c r="AJ435" s="199">
        <f t="shared" si="79"/>
        <v>0</v>
      </c>
      <c r="AK435" s="22">
        <f>AJ435*Variables!$E$43*Variables!$C$15</f>
        <v>0</v>
      </c>
      <c r="AL435" s="20">
        <f>Z435*Variables!$E$38*Variables!$C$15</f>
        <v>13551116.159999859</v>
      </c>
      <c r="AN435" s="200">
        <f t="shared" si="84"/>
        <v>0.28000000000000003</v>
      </c>
      <c r="AO435" s="201">
        <f t="shared" si="77"/>
        <v>70.870516973036644</v>
      </c>
      <c r="AP435" s="321">
        <f>VLOOKUP(A435,'Household Information'!H:Q,10,FALSE)</f>
        <v>108.65462509082352</v>
      </c>
      <c r="AQ435" s="122">
        <f>IF(12*(AO435-Variables!$C$3*AP435*F435)*(G435/5)&lt;0,0,12*(AO435-Variables!$C$3*AP435*F435)*(G435/5))</f>
        <v>184116.11575667834</v>
      </c>
    </row>
    <row r="436" spans="1:43" ht="14.25" customHeight="1" x14ac:dyDescent="0.35">
      <c r="A436" s="30">
        <v>13</v>
      </c>
      <c r="B436" s="28" t="s">
        <v>166</v>
      </c>
      <c r="C436" s="28">
        <v>2029</v>
      </c>
      <c r="D436" s="196">
        <f>Population!N14</f>
        <v>10262170.330201637</v>
      </c>
      <c r="E436" s="303" t="str">
        <f t="shared" si="78"/>
        <v>Large</v>
      </c>
      <c r="F436" s="340">
        <f>VLOOKUP(A436,'Household Information'!$H$2:$M$49,6,FALSE)</f>
        <v>4.33</v>
      </c>
      <c r="G436" s="196">
        <f t="shared" si="73"/>
        <v>2370016</v>
      </c>
      <c r="H436" s="213">
        <f>Area!P14</f>
        <v>939.42363016068089</v>
      </c>
      <c r="J436" s="32">
        <f>D436*Variables!$C$20</f>
        <v>9235.9532971814733</v>
      </c>
      <c r="K436" s="202">
        <f t="shared" si="81"/>
        <v>9022.1288435884271</v>
      </c>
      <c r="L436" s="32">
        <f t="shared" si="74"/>
        <v>213.8244535930462</v>
      </c>
      <c r="S436" s="198">
        <f>$L436*Variables!$C$21/100</f>
        <v>11.61037757066314</v>
      </c>
      <c r="T436" s="198">
        <f>$L436*Variables!$C$22/100</f>
        <v>20.3181607486605</v>
      </c>
      <c r="U436" s="198">
        <f>$L436*Variables!$C$23/100</f>
        <v>21.285692212882427</v>
      </c>
      <c r="V436" s="198">
        <f>$L436*Variables!$C$24/100</f>
        <v>154.80503427550855</v>
      </c>
      <c r="W436" s="22">
        <f>S436*Variables!$E$25*Variables!$C$15+'Cost Calculations'!T436*Variables!$E$26*Variables!$C$15+'Cost Calculations'!U436*Variables!$E$27*Variables!$C$15+V436*Variables!$E$28*Variables!$C$15</f>
        <v>143420984.80943346</v>
      </c>
      <c r="X436" s="20">
        <f>J436*Variables!$E$29*Variables!$C$15</f>
        <v>1578793.8566202009</v>
      </c>
      <c r="Z436" s="33">
        <f>D436*(IF(D436&lt;50000,0,IF(D436&gt;Variables!$C$7,Variables!$C$37,IF(D436&gt;Variables!$C$6,Variables!$C$36,IF(D436&gt;Variables!$C$5,Variables!$C$35)))))</f>
        <v>5131.0851651008188</v>
      </c>
      <c r="AA436" s="34">
        <f t="shared" si="80"/>
        <v>5012</v>
      </c>
      <c r="AB436" s="35">
        <f t="shared" si="75"/>
        <v>119</v>
      </c>
      <c r="AC436" s="22">
        <f>AB436*Variables!$E$41</f>
        <v>43982400.000000007</v>
      </c>
      <c r="AD436" s="115">
        <f>ROUND(IF(D436&lt;50000,0,(H436/(3.14*Variables!$C$34^2))),0)</f>
        <v>1197</v>
      </c>
      <c r="AE436" s="116">
        <f t="shared" si="82"/>
        <v>1185</v>
      </c>
      <c r="AF436" s="117">
        <f t="shared" si="76"/>
        <v>12</v>
      </c>
      <c r="AG436" s="107">
        <f>AF436*Variables!$E$42*Variables!$C$15</f>
        <v>8130.5280000000002</v>
      </c>
      <c r="AH436" s="199">
        <f>ROUND((Z436)/Variables!$C$40,0)</f>
        <v>41</v>
      </c>
      <c r="AI436" s="33">
        <f t="shared" si="83"/>
        <v>40</v>
      </c>
      <c r="AJ436" s="199">
        <f t="shared" si="79"/>
        <v>1</v>
      </c>
      <c r="AK436" s="22">
        <f>AJ436*Variables!$E$43*Variables!$C$15</f>
        <v>552717.39600000007</v>
      </c>
      <c r="AL436" s="20">
        <f>Z436*Variables!$E$38*Variables!$C$15</f>
        <v>909631137.49402153</v>
      </c>
      <c r="AN436" s="200">
        <f t="shared" si="84"/>
        <v>0.28000000000000003</v>
      </c>
      <c r="AO436" s="201">
        <f t="shared" si="77"/>
        <v>72.744</v>
      </c>
      <c r="AP436" s="321">
        <f>VLOOKUP(A436,'Household Information'!H:Q,10,FALSE)</f>
        <v>139.85863940426606</v>
      </c>
      <c r="AQ436" s="122">
        <f>IF(12*(AO436-Variables!$C$3*AP436*F436)*(G436/5)&lt;0,0,12*(AO436-Variables!$C$3*AP436*F436)*(G436/5))</f>
        <v>0</v>
      </c>
    </row>
    <row r="437" spans="1:43" ht="14.25" customHeight="1" x14ac:dyDescent="0.35">
      <c r="A437" s="30">
        <v>14</v>
      </c>
      <c r="B437" s="28" t="s">
        <v>167</v>
      </c>
      <c r="C437" s="28">
        <v>2029</v>
      </c>
      <c r="D437" s="196">
        <f>Population!N15</f>
        <v>408918.78027750092</v>
      </c>
      <c r="E437" s="303" t="str">
        <f t="shared" si="78"/>
        <v>Medium</v>
      </c>
      <c r="F437" s="340">
        <f>VLOOKUP(A437,'Household Information'!$H$2:$M$49,6,FALSE)</f>
        <v>4.6437746693442286</v>
      </c>
      <c r="G437" s="196">
        <f t="shared" si="73"/>
        <v>88057</v>
      </c>
      <c r="H437" s="213">
        <f>Area!P15</f>
        <v>46.63569056980689</v>
      </c>
      <c r="J437" s="32">
        <f>D437*Variables!$C$20</f>
        <v>368.02690224975083</v>
      </c>
      <c r="K437" s="202">
        <f t="shared" si="81"/>
        <v>359.50659592629751</v>
      </c>
      <c r="L437" s="32">
        <f t="shared" si="74"/>
        <v>8.5203063234533261</v>
      </c>
      <c r="S437" s="198">
        <f>$L437*Variables!$C$21/100</f>
        <v>0.46264106733683213</v>
      </c>
      <c r="T437" s="198">
        <f>$L437*Variables!$C$22/100</f>
        <v>0.80962186783945622</v>
      </c>
      <c r="U437" s="198">
        <f>$L437*Variables!$C$23/100</f>
        <v>0.84817529011752568</v>
      </c>
      <c r="V437" s="198">
        <f>$L437*Variables!$C$24/100</f>
        <v>6.1685475644910959</v>
      </c>
      <c r="W437" s="22">
        <f>S437*Variables!$E$25*Variables!$C$15+'Cost Calculations'!T437*Variables!$E$26*Variables!$C$15+'Cost Calculations'!U437*Variables!$E$27*Variables!$C$15+V437*Variables!$E$28*Variables!$C$15</f>
        <v>5714925.0389921721</v>
      </c>
      <c r="X437" s="20">
        <f>J437*Variables!$E$29*Variables!$C$15</f>
        <v>62910.518670572405</v>
      </c>
      <c r="Z437" s="33">
        <f>D437*(IF(D437&lt;50000,0,IF(D437&gt;Variables!$C$7,Variables!$C$37,IF(D437&gt;Variables!$C$6,Variables!$C$36,IF(D437&gt;Variables!$C$5,Variables!$C$35)))))</f>
        <v>204.45939013875045</v>
      </c>
      <c r="AA437" s="34">
        <f t="shared" si="80"/>
        <v>200</v>
      </c>
      <c r="AB437" s="35">
        <f t="shared" si="75"/>
        <v>4</v>
      </c>
      <c r="AC437" s="22">
        <f>AB437*Variables!$E$41</f>
        <v>1478400.0000000002</v>
      </c>
      <c r="AD437" s="115">
        <f>ROUND(IF(D437&lt;50000,0,(H437/(3.14*Variables!$C$34^2))),0)</f>
        <v>59</v>
      </c>
      <c r="AE437" s="116">
        <f t="shared" si="82"/>
        <v>59</v>
      </c>
      <c r="AF437" s="117">
        <f t="shared" si="76"/>
        <v>0</v>
      </c>
      <c r="AG437" s="107">
        <f>AF437*Variables!$E$42*Variables!$C$15</f>
        <v>0</v>
      </c>
      <c r="AH437" s="199">
        <f>ROUND((Z437)/Variables!$C$40,0)</f>
        <v>2</v>
      </c>
      <c r="AI437" s="33">
        <f t="shared" si="83"/>
        <v>2</v>
      </c>
      <c r="AJ437" s="199">
        <f t="shared" si="79"/>
        <v>0</v>
      </c>
      <c r="AK437" s="22">
        <f>AJ437*Variables!$E$43*Variables!$C$15</f>
        <v>0</v>
      </c>
      <c r="AL437" s="20">
        <f>Z437*Variables!$E$38*Variables!$C$15</f>
        <v>36246256.228255607</v>
      </c>
      <c r="AN437" s="200">
        <f t="shared" si="84"/>
        <v>0.21</v>
      </c>
      <c r="AO437" s="201">
        <f t="shared" si="77"/>
        <v>58.511560833737278</v>
      </c>
      <c r="AP437" s="321">
        <f>VLOOKUP(A437,'Household Information'!H:Q,10,FALSE)</f>
        <v>108.65462509082352</v>
      </c>
      <c r="AQ437" s="122">
        <f>IF(12*(AO437-Variables!$C$3*AP437*F437)*(G437/5)&lt;0,0,12*(AO437-Variables!$C$3*AP437*F437)*(G437/5))</f>
        <v>0</v>
      </c>
    </row>
    <row r="438" spans="1:43" ht="14.25" customHeight="1" x14ac:dyDescent="0.35">
      <c r="A438" s="30">
        <v>15</v>
      </c>
      <c r="B438" s="28" t="s">
        <v>168</v>
      </c>
      <c r="C438" s="28">
        <v>2029</v>
      </c>
      <c r="D438" s="196">
        <f>Population!N16</f>
        <v>90688.585494154671</v>
      </c>
      <c r="E438" s="303" t="str">
        <f t="shared" si="78"/>
        <v>Small</v>
      </c>
      <c r="F438" s="340">
        <f>VLOOKUP(A438,'Household Information'!$H$2:$M$49,6,FALSE)</f>
        <v>4.4181210545859635</v>
      </c>
      <c r="G438" s="196">
        <f t="shared" si="73"/>
        <v>20527</v>
      </c>
      <c r="H438" s="213">
        <f>Area!P16</f>
        <v>259.60534417192503</v>
      </c>
      <c r="J438" s="32">
        <f>D438*Variables!$C$20</f>
        <v>81.619726944739199</v>
      </c>
      <c r="K438" s="202">
        <f t="shared" si="81"/>
        <v>79.730123028953003</v>
      </c>
      <c r="L438" s="32">
        <f t="shared" si="74"/>
        <v>1.8896039157861964</v>
      </c>
      <c r="S438" s="198">
        <f>$L438*Variables!$C$21/100</f>
        <v>0.10260292755400161</v>
      </c>
      <c r="T438" s="198">
        <f>$L438*Variables!$C$22/100</f>
        <v>0.17955512321950282</v>
      </c>
      <c r="U438" s="198">
        <f>$L438*Variables!$C$23/100</f>
        <v>0.18810536718233628</v>
      </c>
      <c r="V438" s="198">
        <f>$L438*Variables!$C$24/100</f>
        <v>1.3680390340533548</v>
      </c>
      <c r="W438" s="22">
        <f>S438*Variables!$E$25*Variables!$C$15+'Cost Calculations'!T438*Variables!$E$26*Variables!$C$15+'Cost Calculations'!U438*Variables!$E$27*Variables!$C$15+V438*Variables!$E$28*Variables!$C$15</f>
        <v>1267436.2073554322</v>
      </c>
      <c r="X438" s="20">
        <f>J438*Variables!$E$29*Variables!$C$15</f>
        <v>13952.076123933719</v>
      </c>
      <c r="Z438" s="33">
        <f>D438*(IF(D438&lt;50000,0,IF(D438&gt;Variables!$C$7,Variables!$C$37,IF(D438&gt;Variables!$C$6,Variables!$C$36,IF(D438&gt;Variables!$C$5,Variables!$C$35)))))</f>
        <v>45.34429274707734</v>
      </c>
      <c r="AA438" s="34">
        <f t="shared" si="80"/>
        <v>44</v>
      </c>
      <c r="AB438" s="35">
        <f t="shared" si="75"/>
        <v>1</v>
      </c>
      <c r="AC438" s="22">
        <f>AB438*Variables!$E$41</f>
        <v>369600.00000000006</v>
      </c>
      <c r="AD438" s="115">
        <f>ROUND(IF(D438&lt;50000,0,(H438/(3.14*Variables!$C$34^2))),0)</f>
        <v>331</v>
      </c>
      <c r="AE438" s="116">
        <f t="shared" si="82"/>
        <v>326</v>
      </c>
      <c r="AF438" s="117">
        <f t="shared" si="76"/>
        <v>5</v>
      </c>
      <c r="AG438" s="107">
        <f>AF438*Variables!$E$42*Variables!$C$15</f>
        <v>3387.7200000000003</v>
      </c>
      <c r="AH438" s="199">
        <f>ROUND((Z438)/Variables!$C$40,0)</f>
        <v>0</v>
      </c>
      <c r="AI438" s="33">
        <f t="shared" si="83"/>
        <v>0</v>
      </c>
      <c r="AJ438" s="199">
        <f t="shared" si="79"/>
        <v>0</v>
      </c>
      <c r="AK438" s="22">
        <f>AJ438*Variables!$E$43*Variables!$C$15</f>
        <v>0</v>
      </c>
      <c r="AL438" s="20">
        <f>Z438*Variables!$E$38*Variables!$C$15</f>
        <v>8038568.6971101826</v>
      </c>
      <c r="AN438" s="200">
        <f t="shared" si="84"/>
        <v>0.28000000000000003</v>
      </c>
      <c r="AO438" s="201">
        <f t="shared" si="77"/>
        <v>74.224433717044192</v>
      </c>
      <c r="AP438" s="321">
        <f>VLOOKUP(A438,'Household Information'!H:Q,10,FALSE)</f>
        <v>119.4497033951786</v>
      </c>
      <c r="AQ438" s="122">
        <f>IF(12*(AO438-Variables!$C$3*AP438*F438)*(G438/5)&lt;0,0,12*(AO438-Variables!$C$3*AP438*F438)*(G438/5))</f>
        <v>0</v>
      </c>
    </row>
    <row r="439" spans="1:43" ht="14.25" customHeight="1" x14ac:dyDescent="0.35">
      <c r="A439" s="30">
        <v>16</v>
      </c>
      <c r="B439" s="28" t="s">
        <v>169</v>
      </c>
      <c r="C439" s="28">
        <v>2029</v>
      </c>
      <c r="D439" s="196">
        <f>Population!N17</f>
        <v>4643674.7966823103</v>
      </c>
      <c r="E439" s="303" t="str">
        <f t="shared" si="78"/>
        <v>Large</v>
      </c>
      <c r="F439" s="340">
        <f>VLOOKUP(A439,'Household Information'!$H$2:$M$49,6,FALSE)</f>
        <v>5.0811133147736394</v>
      </c>
      <c r="G439" s="196">
        <f t="shared" si="73"/>
        <v>913909</v>
      </c>
      <c r="H439" s="213">
        <f>Area!P17</f>
        <v>314.91769833936161</v>
      </c>
      <c r="J439" s="32">
        <f>D439*Variables!$C$20</f>
        <v>4179.3073170140788</v>
      </c>
      <c r="K439" s="202">
        <f t="shared" si="81"/>
        <v>4082.550861594294</v>
      </c>
      <c r="L439" s="32">
        <f t="shared" si="74"/>
        <v>96.756455419784743</v>
      </c>
      <c r="S439" s="198">
        <f>$L439*Variables!$C$21/100</f>
        <v>5.2537441856896692</v>
      </c>
      <c r="T439" s="198">
        <f>$L439*Variables!$C$22/100</f>
        <v>9.194052324956921</v>
      </c>
      <c r="U439" s="198">
        <f>$L439*Variables!$C$23/100</f>
        <v>9.6318643404310595</v>
      </c>
      <c r="V439" s="198">
        <f>$L439*Variables!$C$24/100</f>
        <v>70.04992247586226</v>
      </c>
      <c r="W439" s="22">
        <f>S439*Variables!$E$25*Variables!$C$15+'Cost Calculations'!T439*Variables!$E$26*Variables!$C$15+'Cost Calculations'!U439*Variables!$E$27*Variables!$C$15+V439*Variables!$E$28*Variables!$C$15</f>
        <v>64898592.699721359</v>
      </c>
      <c r="X439" s="20">
        <f>J439*Variables!$E$29*Variables!$C$15</f>
        <v>714410.79277038667</v>
      </c>
      <c r="Z439" s="33">
        <f>D439*(IF(D439&lt;50000,0,IF(D439&gt;Variables!$C$7,Variables!$C$37,IF(D439&gt;Variables!$C$6,Variables!$C$36,IF(D439&gt;Variables!$C$5,Variables!$C$35)))))</f>
        <v>2321.8373983411552</v>
      </c>
      <c r="AA439" s="34">
        <f t="shared" si="80"/>
        <v>3249</v>
      </c>
      <c r="AB439" s="35">
        <f t="shared" si="75"/>
        <v>0</v>
      </c>
      <c r="AC439" s="22">
        <f>AB439*Variables!$E$41</f>
        <v>0</v>
      </c>
      <c r="AD439" s="115">
        <f>ROUND(IF(D439&lt;50000,0,(H439/(3.14*Variables!$C$34^2))),0)</f>
        <v>401</v>
      </c>
      <c r="AE439" s="116">
        <f t="shared" si="82"/>
        <v>566</v>
      </c>
      <c r="AF439" s="117">
        <f t="shared" si="76"/>
        <v>0</v>
      </c>
      <c r="AG439" s="107">
        <f>AF439*Variables!$E$42*Variables!$C$15</f>
        <v>0</v>
      </c>
      <c r="AH439" s="199">
        <f>ROUND((Z439)/Variables!$C$40,0)</f>
        <v>19</v>
      </c>
      <c r="AI439" s="33">
        <f t="shared" si="83"/>
        <v>18</v>
      </c>
      <c r="AJ439" s="199">
        <f t="shared" si="79"/>
        <v>1</v>
      </c>
      <c r="AK439" s="22">
        <f>AJ439*Variables!$E$43*Variables!$C$15</f>
        <v>552717.39600000007</v>
      </c>
      <c r="AL439" s="20">
        <f>Z439*Variables!$E$38*Variables!$C$15</f>
        <v>411611876.58590078</v>
      </c>
      <c r="AN439" s="200">
        <f t="shared" si="84"/>
        <v>0.21</v>
      </c>
      <c r="AO439" s="201">
        <f t="shared" si="77"/>
        <v>64.022027766147858</v>
      </c>
      <c r="AP439" s="321">
        <f>VLOOKUP(A439,'Household Information'!H:Q,10,FALSE)</f>
        <v>125.45752871387103</v>
      </c>
      <c r="AQ439" s="122">
        <f>IF(12*(AO439-Variables!$C$3*AP439*F439)*(G439/5)&lt;0,0,12*(AO439-Variables!$C$3*AP439*F439)*(G439/5))</f>
        <v>0</v>
      </c>
    </row>
    <row r="440" spans="1:43" ht="14.25" customHeight="1" x14ac:dyDescent="0.35">
      <c r="A440" s="30">
        <v>17</v>
      </c>
      <c r="B440" s="28" t="s">
        <v>170</v>
      </c>
      <c r="C440" s="28">
        <v>2029</v>
      </c>
      <c r="D440" s="196">
        <f>Population!N18</f>
        <v>17088.906427794147</v>
      </c>
      <c r="E440" s="303" t="str">
        <f t="shared" si="78"/>
        <v>Small</v>
      </c>
      <c r="F440" s="340">
        <f>VLOOKUP(A440,'Household Information'!$H$2:$M$49,6,FALSE)</f>
        <v>4.9910952804986639</v>
      </c>
      <c r="G440" s="196">
        <f t="shared" si="73"/>
        <v>3424</v>
      </c>
      <c r="H440" s="213">
        <f>Area!P18</f>
        <v>3.0051860066696374</v>
      </c>
      <c r="J440" s="32">
        <f>D440*Variables!$C$20</f>
        <v>15.380015785014733</v>
      </c>
      <c r="K440" s="202">
        <f t="shared" si="81"/>
        <v>15.023948212381294</v>
      </c>
      <c r="L440" s="32">
        <f t="shared" si="74"/>
        <v>0.3560675726334388</v>
      </c>
      <c r="S440" s="198">
        <f>$L440*Variables!$C$21/100</f>
        <v>1.9333985844349616E-2</v>
      </c>
      <c r="T440" s="198">
        <f>$L440*Variables!$C$22/100</f>
        <v>3.3834475227611828E-2</v>
      </c>
      <c r="U440" s="198">
        <f>$L440*Variables!$C$23/100</f>
        <v>3.5445640714640965E-2</v>
      </c>
      <c r="V440" s="198">
        <f>$L440*Variables!$C$24/100</f>
        <v>0.25778647792466158</v>
      </c>
      <c r="W440" s="22">
        <f>S440*Variables!$E$25*Variables!$C$15+'Cost Calculations'!T440*Variables!$E$26*Variables!$C$15+'Cost Calculations'!U440*Variables!$E$27*Variables!$C$15+V440*Variables!$E$28*Variables!$C$15</f>
        <v>238829.38114732565</v>
      </c>
      <c r="X440" s="20">
        <f>J440*Variables!$E$29*Variables!$C$15</f>
        <v>2629.0598982904185</v>
      </c>
      <c r="Z440" s="33">
        <f>D440*(IF(D440&lt;50000,0,IF(D440&gt;Variables!$C$7,Variables!$C$37,IF(D440&gt;Variables!$C$6,Variables!$C$36,IF(D440&gt;Variables!$C$5,Variables!$C$35)))))</f>
        <v>0</v>
      </c>
      <c r="AA440" s="34">
        <f t="shared" si="80"/>
        <v>0</v>
      </c>
      <c r="AB440" s="35">
        <f t="shared" si="75"/>
        <v>0</v>
      </c>
      <c r="AC440" s="22">
        <f>AB440*Variables!$E$41</f>
        <v>0</v>
      </c>
      <c r="AD440" s="115">
        <f>ROUND(IF(D440&lt;50000,0,(H440/(3.14*Variables!$C$34^2))),0)</f>
        <v>0</v>
      </c>
      <c r="AE440" s="116">
        <f t="shared" si="82"/>
        <v>0</v>
      </c>
      <c r="AF440" s="117">
        <f t="shared" si="76"/>
        <v>0</v>
      </c>
      <c r="AG440" s="107">
        <f>AF440*Variables!$E$42*Variables!$C$15</f>
        <v>0</v>
      </c>
      <c r="AH440" s="199">
        <f>ROUND((Z440)/Variables!$C$40,0)</f>
        <v>0</v>
      </c>
      <c r="AI440" s="33">
        <f t="shared" si="83"/>
        <v>0</v>
      </c>
      <c r="AJ440" s="199">
        <f t="shared" si="79"/>
        <v>0</v>
      </c>
      <c r="AK440" s="22">
        <f>AJ440*Variables!$E$43*Variables!$C$15</f>
        <v>0</v>
      </c>
      <c r="AL440" s="20">
        <f>Z440*Variables!$E$38*Variables!$C$15</f>
        <v>0</v>
      </c>
      <c r="AN440" s="200">
        <f t="shared" si="84"/>
        <v>0.25221875000000005</v>
      </c>
      <c r="AO440" s="201">
        <f t="shared" si="77"/>
        <v>75.530868766696358</v>
      </c>
      <c r="AP440" s="321">
        <f>VLOOKUP(A440,'Household Information'!H:Q,10,FALSE)</f>
        <v>108.65462509082352</v>
      </c>
      <c r="AQ440" s="122">
        <f>IF(12*(AO440-Variables!$C$3*AP440*F440)*(G440/5)&lt;0,0,12*(AO440-Variables!$C$3*AP440*F440)*(G440/5))</f>
        <v>0</v>
      </c>
    </row>
    <row r="441" spans="1:43" ht="14.25" customHeight="1" x14ac:dyDescent="0.35">
      <c r="A441" s="30">
        <v>18</v>
      </c>
      <c r="B441" s="28" t="s">
        <v>171</v>
      </c>
      <c r="C441" s="28">
        <v>2029</v>
      </c>
      <c r="D441" s="196">
        <f>Population!N19</f>
        <v>150978.4303035062</v>
      </c>
      <c r="E441" s="303" t="str">
        <f t="shared" si="78"/>
        <v>Medium</v>
      </c>
      <c r="F441" s="340">
        <f>VLOOKUP(A441,'Household Information'!$H$2:$M$49,6,FALSE)</f>
        <v>4.4388221584797423</v>
      </c>
      <c r="G441" s="196">
        <f t="shared" si="73"/>
        <v>34013</v>
      </c>
      <c r="H441" s="213">
        <f>Area!P19</f>
        <v>31.090460379871267</v>
      </c>
      <c r="J441" s="32">
        <f>D441*Variables!$C$20</f>
        <v>135.88058727315558</v>
      </c>
      <c r="K441" s="202">
        <f t="shared" si="81"/>
        <v>132.73477314951214</v>
      </c>
      <c r="L441" s="32">
        <f t="shared" si="74"/>
        <v>3.1458141236434471</v>
      </c>
      <c r="S441" s="198">
        <f>$L441*Variables!$C$21/100</f>
        <v>0.17081343657792469</v>
      </c>
      <c r="T441" s="198">
        <f>$L441*Variables!$C$22/100</f>
        <v>0.2989235140113683</v>
      </c>
      <c r="U441" s="198">
        <f>$L441*Variables!$C$23/100</f>
        <v>0.31315796705952864</v>
      </c>
      <c r="V441" s="198">
        <f>$L441*Variables!$C$24/100</f>
        <v>2.2775124877056627</v>
      </c>
      <c r="W441" s="22">
        <f>S441*Variables!$E$25*Variables!$C$15+'Cost Calculations'!T441*Variables!$E$26*Variables!$C$15+'Cost Calculations'!U441*Variables!$E$27*Variables!$C$15+V441*Variables!$E$28*Variables!$C$15</f>
        <v>2110028.8206467363</v>
      </c>
      <c r="X441" s="20">
        <f>J441*Variables!$E$29*Variables!$C$15</f>
        <v>23227.427588473216</v>
      </c>
      <c r="Z441" s="33">
        <f>D441*(IF(D441&lt;50000,0,IF(D441&gt;Variables!$C$7,Variables!$C$37,IF(D441&gt;Variables!$C$6,Variables!$C$36,IF(D441&gt;Variables!$C$5,Variables!$C$35)))))</f>
        <v>75.4892151517531</v>
      </c>
      <c r="AA441" s="34">
        <f t="shared" si="80"/>
        <v>94</v>
      </c>
      <c r="AB441" s="35">
        <f t="shared" si="75"/>
        <v>0</v>
      </c>
      <c r="AC441" s="22">
        <f>AB441*Variables!$E$41</f>
        <v>0</v>
      </c>
      <c r="AD441" s="115">
        <f>ROUND(IF(D441&lt;50000,0,(H441/(3.14*Variables!$C$34^2))),0)</f>
        <v>40</v>
      </c>
      <c r="AE441" s="116">
        <f t="shared" si="82"/>
        <v>39</v>
      </c>
      <c r="AF441" s="117">
        <f t="shared" si="76"/>
        <v>1</v>
      </c>
      <c r="AG441" s="107">
        <f>AF441*Variables!$E$42*Variables!$C$15</f>
        <v>677.54399999999998</v>
      </c>
      <c r="AH441" s="199">
        <f>ROUND((Z441)/Variables!$C$40,0)</f>
        <v>1</v>
      </c>
      <c r="AI441" s="33">
        <f t="shared" si="83"/>
        <v>1</v>
      </c>
      <c r="AJ441" s="199">
        <f t="shared" si="79"/>
        <v>0</v>
      </c>
      <c r="AK441" s="22">
        <f>AJ441*Variables!$E$43*Variables!$C$15</f>
        <v>0</v>
      </c>
      <c r="AL441" s="20">
        <f>Z441*Variables!$E$38*Variables!$C$15</f>
        <v>13382615.652934866</v>
      </c>
      <c r="AN441" s="200">
        <f t="shared" si="84"/>
        <v>0.25221875000000005</v>
      </c>
      <c r="AO441" s="201">
        <f t="shared" si="77"/>
        <v>67.17325057704376</v>
      </c>
      <c r="AP441" s="321">
        <f>VLOOKUP(A441,'Household Information'!H:Q,10,FALSE)</f>
        <v>98.76688123185663</v>
      </c>
      <c r="AQ441" s="122">
        <f>IF(12*(AO441-Variables!$C$3*AP441*F441)*(G441/5)&lt;0,0,12*(AO441-Variables!$C$3*AP441*F441)*(G441/5))</f>
        <v>115259.77990335246</v>
      </c>
    </row>
    <row r="442" spans="1:43" ht="14.25" customHeight="1" x14ac:dyDescent="0.35">
      <c r="A442" s="30">
        <v>19</v>
      </c>
      <c r="B442" s="28" t="s">
        <v>172</v>
      </c>
      <c r="C442" s="28">
        <v>2029</v>
      </c>
      <c r="D442" s="196">
        <f>Population!N20</f>
        <v>6854913.737771933</v>
      </c>
      <c r="E442" s="303" t="str">
        <f t="shared" si="78"/>
        <v>Large</v>
      </c>
      <c r="F442" s="340">
        <f>VLOOKUP(A442,'Household Information'!$H$2:$M$49,6,FALSE)</f>
        <v>4.3873267195354213</v>
      </c>
      <c r="G442" s="196">
        <f t="shared" si="73"/>
        <v>1562435</v>
      </c>
      <c r="H442" s="213">
        <f>Area!P20</f>
        <v>1054.1710313717253</v>
      </c>
      <c r="J442" s="32">
        <f>D442*Variables!$C$20</f>
        <v>6169.4223639947395</v>
      </c>
      <c r="K442" s="202">
        <f t="shared" si="81"/>
        <v>6026.5921305018455</v>
      </c>
      <c r="L442" s="32">
        <f t="shared" si="74"/>
        <v>142.83023349289397</v>
      </c>
      <c r="S442" s="198">
        <f>$L442*Variables!$C$21/100</f>
        <v>7.7554877914693545</v>
      </c>
      <c r="T442" s="198">
        <f>$L442*Variables!$C$22/100</f>
        <v>13.572103635071374</v>
      </c>
      <c r="U442" s="198">
        <f>$L442*Variables!$C$23/100</f>
        <v>14.218394284360485</v>
      </c>
      <c r="V442" s="198">
        <f>$L442*Variables!$C$24/100</f>
        <v>103.40650388625806</v>
      </c>
      <c r="W442" s="22">
        <f>S442*Variables!$E$25*Variables!$C$15+'Cost Calculations'!T442*Variables!$E$26*Variables!$C$15+'Cost Calculations'!U442*Variables!$E$27*Variables!$C$15+V442*Variables!$E$28*Variables!$C$15</f>
        <v>95802198.503915042</v>
      </c>
      <c r="X442" s="20">
        <f>J442*Variables!$E$29*Variables!$C$15</f>
        <v>1054601.0589012608</v>
      </c>
      <c r="Z442" s="33">
        <f>D442*(IF(D442&lt;50000,0,IF(D442&gt;Variables!$C$7,Variables!$C$37,IF(D442&gt;Variables!$C$6,Variables!$C$36,IF(D442&gt;Variables!$C$5,Variables!$C$35)))))</f>
        <v>3427.4568688859667</v>
      </c>
      <c r="AA442" s="34">
        <f t="shared" si="80"/>
        <v>5267</v>
      </c>
      <c r="AB442" s="35">
        <f t="shared" si="75"/>
        <v>0</v>
      </c>
      <c r="AC442" s="22">
        <f>AB442*Variables!$E$41</f>
        <v>0</v>
      </c>
      <c r="AD442" s="115">
        <f>ROUND(IF(D442&lt;50000,0,(H442/(3.14*Variables!$C$34^2))),0)</f>
        <v>1343</v>
      </c>
      <c r="AE442" s="116">
        <f t="shared" si="82"/>
        <v>1469</v>
      </c>
      <c r="AF442" s="117">
        <f t="shared" si="76"/>
        <v>0</v>
      </c>
      <c r="AG442" s="107">
        <f>AF442*Variables!$E$42*Variables!$C$15</f>
        <v>0</v>
      </c>
      <c r="AH442" s="199">
        <f>ROUND((Z442)/Variables!$C$40,0)</f>
        <v>27</v>
      </c>
      <c r="AI442" s="33">
        <f t="shared" si="83"/>
        <v>27</v>
      </c>
      <c r="AJ442" s="199">
        <f t="shared" si="79"/>
        <v>0</v>
      </c>
      <c r="AK442" s="22">
        <f>AJ442*Variables!$E$43*Variables!$C$15</f>
        <v>0</v>
      </c>
      <c r="AL442" s="20">
        <f>Z442*Variables!$E$38*Variables!$C$15</f>
        <v>607614449.97282183</v>
      </c>
      <c r="AN442" s="200">
        <f t="shared" si="84"/>
        <v>0.14000000000000001</v>
      </c>
      <c r="AO442" s="201">
        <f t="shared" si="77"/>
        <v>36.853544444097544</v>
      </c>
      <c r="AP442" s="321">
        <f>VLOOKUP(A442,'Household Information'!H:Q,10,FALSE)</f>
        <v>155.49665530733307</v>
      </c>
      <c r="AQ442" s="122">
        <f>IF(12*(AO442-Variables!$C$3*AP442*F442)*(G442/5)&lt;0,0,12*(AO442-Variables!$C$3*AP442*F442)*(G442/5))</f>
        <v>0</v>
      </c>
    </row>
    <row r="443" spans="1:43" ht="14.25" customHeight="1" x14ac:dyDescent="0.35">
      <c r="A443" s="30">
        <v>20</v>
      </c>
      <c r="B443" s="28" t="s">
        <v>173</v>
      </c>
      <c r="C443" s="28">
        <v>2029</v>
      </c>
      <c r="D443" s="196">
        <f>Population!N21</f>
        <v>4294490.9671963453</v>
      </c>
      <c r="E443" s="303" t="str">
        <f t="shared" si="78"/>
        <v>Large</v>
      </c>
      <c r="F443" s="340">
        <f>VLOOKUP(A443,'Household Information'!$H$2:$M$49,6,FALSE)</f>
        <v>5.2348048588773741</v>
      </c>
      <c r="G443" s="196">
        <f t="shared" si="73"/>
        <v>820373</v>
      </c>
      <c r="H443" s="213">
        <f>Area!P21</f>
        <v>523.87425740083074</v>
      </c>
      <c r="J443" s="32">
        <f>D443*Variables!$C$20</f>
        <v>3865.0418704767108</v>
      </c>
      <c r="K443" s="202">
        <f t="shared" si="81"/>
        <v>3775.561073045531</v>
      </c>
      <c r="L443" s="32">
        <f t="shared" si="74"/>
        <v>89.480797431179781</v>
      </c>
      <c r="S443" s="198">
        <f>$L443*Variables!$C$21/100</f>
        <v>4.8586858333672271</v>
      </c>
      <c r="T443" s="198">
        <f>$L443*Variables!$C$22/100</f>
        <v>8.5027002083926497</v>
      </c>
      <c r="U443" s="198">
        <f>$L443*Variables!$C$23/100</f>
        <v>8.9075906945065846</v>
      </c>
      <c r="V443" s="198">
        <f>$L443*Variables!$C$24/100</f>
        <v>64.782477778229705</v>
      </c>
      <c r="W443" s="22">
        <f>S443*Variables!$E$25*Variables!$C$15+'Cost Calculations'!T443*Variables!$E$26*Variables!$C$15+'Cost Calculations'!U443*Variables!$E$27*Variables!$C$15+V443*Variables!$E$28*Variables!$C$15</f>
        <v>60018505.243268333</v>
      </c>
      <c r="X443" s="20">
        <f>J443*Variables!$E$29*Variables!$C$15</f>
        <v>660690.25733928895</v>
      </c>
      <c r="Z443" s="33">
        <f>D443*(IF(D443&lt;50000,0,IF(D443&gt;Variables!$C$7,Variables!$C$37,IF(D443&gt;Variables!$C$6,Variables!$C$36,IF(D443&gt;Variables!$C$5,Variables!$C$35)))))</f>
        <v>2147.2454835981725</v>
      </c>
      <c r="AA443" s="34">
        <f t="shared" si="80"/>
        <v>3353</v>
      </c>
      <c r="AB443" s="35">
        <f t="shared" si="75"/>
        <v>0</v>
      </c>
      <c r="AC443" s="22">
        <f>AB443*Variables!$E$41</f>
        <v>0</v>
      </c>
      <c r="AD443" s="115">
        <f>ROUND(IF(D443&lt;50000,0,(H443/(3.14*Variables!$C$34^2))),0)</f>
        <v>667</v>
      </c>
      <c r="AE443" s="116">
        <f t="shared" si="82"/>
        <v>658</v>
      </c>
      <c r="AF443" s="117">
        <f t="shared" si="76"/>
        <v>9</v>
      </c>
      <c r="AG443" s="107">
        <f>AF443*Variables!$E$42*Variables!$C$15</f>
        <v>6097.8960000000006</v>
      </c>
      <c r="AH443" s="199">
        <f>ROUND((Z443)/Variables!$C$40,0)</f>
        <v>17</v>
      </c>
      <c r="AI443" s="33">
        <f t="shared" si="83"/>
        <v>17</v>
      </c>
      <c r="AJ443" s="199">
        <f t="shared" si="79"/>
        <v>0</v>
      </c>
      <c r="AK443" s="22">
        <f>AJ443*Variables!$E$43*Variables!$C$15</f>
        <v>0</v>
      </c>
      <c r="AL443" s="20">
        <f>Z443*Variables!$E$38*Variables!$C$15</f>
        <v>380660481.92087036</v>
      </c>
      <c r="AN443" s="200">
        <f t="shared" si="84"/>
        <v>0.56000000000000005</v>
      </c>
      <c r="AO443" s="201">
        <f t="shared" si="77"/>
        <v>175.88944325827978</v>
      </c>
      <c r="AP443" s="321">
        <f>VLOOKUP(A443,'Household Information'!H:Q,10,FALSE)</f>
        <v>92.944591695065014</v>
      </c>
      <c r="AQ443" s="122">
        <f>IF(12*(AO443-Variables!$C$3*AP443*F443)*(G443/5)&lt;0,0,12*(AO443-Variables!$C$3*AP443*F443)*(G443/5))</f>
        <v>202613931.63507318</v>
      </c>
    </row>
    <row r="444" spans="1:43" ht="14.25" customHeight="1" x14ac:dyDescent="0.35">
      <c r="A444" s="30">
        <v>21</v>
      </c>
      <c r="B444" s="30" t="s">
        <v>174</v>
      </c>
      <c r="C444" s="28">
        <v>2029</v>
      </c>
      <c r="D444" s="196">
        <f>Population!N22</f>
        <v>18967577.871249985</v>
      </c>
      <c r="E444" s="303" t="str">
        <f t="shared" si="78"/>
        <v>Large</v>
      </c>
      <c r="F444" s="340">
        <f>VLOOKUP(A444,'Household Information'!$H$2:$M$49,6,FALSE)</f>
        <v>4.4756737410071938</v>
      </c>
      <c r="G444" s="196">
        <f t="shared" si="73"/>
        <v>4237927</v>
      </c>
      <c r="H444" s="213">
        <f>Area!P22</f>
        <v>582.25252316393005</v>
      </c>
      <c r="J444" s="32">
        <f>D444*Variables!$C$20</f>
        <v>17070.820084124985</v>
      </c>
      <c r="K444" s="202">
        <f t="shared" si="81"/>
        <v>16675.608170484502</v>
      </c>
      <c r="L444" s="32">
        <f t="shared" si="74"/>
        <v>395.21191364048354</v>
      </c>
      <c r="S444" s="198">
        <f>$L444*Variables!$C$21/100</f>
        <v>21.459470423917654</v>
      </c>
      <c r="T444" s="198">
        <f>$L444*Variables!$C$22/100</f>
        <v>37.554073241855903</v>
      </c>
      <c r="U444" s="198">
        <f>$L444*Variables!$C$23/100</f>
        <v>39.342362443849041</v>
      </c>
      <c r="V444" s="198">
        <f>$L444*Variables!$C$24/100</f>
        <v>286.12627231890212</v>
      </c>
      <c r="W444" s="22">
        <f>S444*Variables!$E$25*Variables!$C$15+'Cost Calculations'!T444*Variables!$E$26*Variables!$C$15+'Cost Calculations'!U444*Variables!$E$27*Variables!$C$15+V444*Variables!$E$28*Variables!$C$15</f>
        <v>265085124.31705463</v>
      </c>
      <c r="X444" s="20">
        <f>J444*Variables!$E$29*Variables!$C$15</f>
        <v>2918085.9851803249</v>
      </c>
      <c r="Z444" s="33">
        <f>D444*(IF(D444&lt;50000,0,IF(D444&gt;Variables!$C$7,Variables!$C$37,IF(D444&gt;Variables!$C$6,Variables!$C$36,IF(D444&gt;Variables!$C$5,Variables!$C$35)))))</f>
        <v>9483.7889356249925</v>
      </c>
      <c r="AA444" s="34">
        <f t="shared" si="80"/>
        <v>9264</v>
      </c>
      <c r="AB444" s="35">
        <f t="shared" si="75"/>
        <v>220</v>
      </c>
      <c r="AC444" s="22">
        <f>AB444*Variables!$E$41</f>
        <v>81312000.000000015</v>
      </c>
      <c r="AD444" s="115">
        <f>ROUND(IF(D444&lt;50000,0,(H444/(3.14*Variables!$C$34^2))),0)</f>
        <v>742</v>
      </c>
      <c r="AE444" s="116">
        <f t="shared" si="82"/>
        <v>1087</v>
      </c>
      <c r="AF444" s="117">
        <f t="shared" si="76"/>
        <v>0</v>
      </c>
      <c r="AG444" s="107">
        <f>AF444*Variables!$E$42*Variables!$C$15</f>
        <v>0</v>
      </c>
      <c r="AH444" s="199">
        <f>ROUND((Z444)/Variables!$C$40,0)</f>
        <v>76</v>
      </c>
      <c r="AI444" s="33">
        <f t="shared" si="83"/>
        <v>74</v>
      </c>
      <c r="AJ444" s="199">
        <f t="shared" si="79"/>
        <v>2</v>
      </c>
      <c r="AK444" s="22">
        <f>AJ444*Variables!$E$43*Variables!$C$15</f>
        <v>1105434.7920000001</v>
      </c>
      <c r="AL444" s="20">
        <f>Z444*Variables!$E$38*Variables!$C$15</f>
        <v>1681271980.4264395</v>
      </c>
      <c r="AN444" s="200">
        <f t="shared" si="84"/>
        <v>0.28000000000000003</v>
      </c>
      <c r="AO444" s="201">
        <f t="shared" si="77"/>
        <v>75.191318848920858</v>
      </c>
      <c r="AP444" s="321">
        <f>VLOOKUP(A444,'Household Information'!H:Q,10,FALSE)</f>
        <v>254.44907232109051</v>
      </c>
      <c r="AQ444" s="122">
        <f>IF(12*(AO444-Variables!$C$3*AP444*F444)*(G444/5)&lt;0,0,12*(AO444-Variables!$C$3*AP444*F444)*(G444/5))</f>
        <v>0</v>
      </c>
    </row>
    <row r="445" spans="1:43" ht="14.25" customHeight="1" x14ac:dyDescent="0.35">
      <c r="A445" s="30">
        <v>22</v>
      </c>
      <c r="B445" s="28" t="s">
        <v>175</v>
      </c>
      <c r="C445" s="28">
        <v>2029</v>
      </c>
      <c r="D445" s="196">
        <f>Population!N23</f>
        <v>16821452.08450919</v>
      </c>
      <c r="E445" s="303" t="str">
        <f t="shared" si="78"/>
        <v>Large</v>
      </c>
      <c r="F445" s="340">
        <f>VLOOKUP(A445,'Household Information'!$H$2:$M$49,6,FALSE)</f>
        <v>4.7768636363636361</v>
      </c>
      <c r="G445" s="196">
        <f t="shared" si="73"/>
        <v>3521443</v>
      </c>
      <c r="H445" s="213">
        <f>Area!P23</f>
        <v>1215.6370008529664</v>
      </c>
      <c r="J445" s="32">
        <f>D445*Variables!$C$20</f>
        <v>15139.30687605827</v>
      </c>
      <c r="K445" s="202">
        <f t="shared" si="81"/>
        <v>19972.544550000002</v>
      </c>
      <c r="L445" s="32">
        <f t="shared" si="74"/>
        <v>0</v>
      </c>
      <c r="S445" s="198">
        <f>$L445*Variables!$C$21/100</f>
        <v>0</v>
      </c>
      <c r="T445" s="198">
        <f>$L445*Variables!$C$22/100</f>
        <v>0</v>
      </c>
      <c r="U445" s="198">
        <f>$L445*Variables!$C$23/100</f>
        <v>0</v>
      </c>
      <c r="V445" s="198">
        <f>$L445*Variables!$C$24/100</f>
        <v>0</v>
      </c>
      <c r="W445" s="22">
        <f>S445*Variables!$E$25*Variables!$C$15+'Cost Calculations'!T445*Variables!$E$26*Variables!$C$15+'Cost Calculations'!U445*Variables!$E$27*Variables!$C$15+V445*Variables!$E$28*Variables!$C$15</f>
        <v>0</v>
      </c>
      <c r="X445" s="20">
        <f>J445*Variables!$E$29*Variables!$C$15</f>
        <v>2587913.1173934005</v>
      </c>
      <c r="Z445" s="33">
        <f>D445*(IF(D445&lt;50000,0,IF(D445&gt;Variables!$C$7,Variables!$C$37,IF(D445&gt;Variables!$C$6,Variables!$C$36,IF(D445&gt;Variables!$C$5,Variables!$C$35)))))</f>
        <v>8410.7260422545951</v>
      </c>
      <c r="AA445" s="34">
        <f t="shared" si="80"/>
        <v>8216</v>
      </c>
      <c r="AB445" s="35">
        <f t="shared" si="75"/>
        <v>195</v>
      </c>
      <c r="AC445" s="22">
        <f>AB445*Variables!$E$41</f>
        <v>72072000.000000015</v>
      </c>
      <c r="AD445" s="115">
        <f>ROUND(IF(D445&lt;50000,0,(H445/(3.14*Variables!$C$34^2))),0)</f>
        <v>1549</v>
      </c>
      <c r="AE445" s="116">
        <f t="shared" si="82"/>
        <v>1527</v>
      </c>
      <c r="AF445" s="117">
        <f t="shared" si="76"/>
        <v>22</v>
      </c>
      <c r="AG445" s="107">
        <f>AF445*Variables!$E$42*Variables!$C$15</f>
        <v>14905.968000000001</v>
      </c>
      <c r="AH445" s="199">
        <f>ROUND((Z445)/Variables!$C$40,0)</f>
        <v>67</v>
      </c>
      <c r="AI445" s="33">
        <f t="shared" si="83"/>
        <v>69</v>
      </c>
      <c r="AJ445" s="199">
        <f t="shared" si="79"/>
        <v>0</v>
      </c>
      <c r="AK445" s="22">
        <f>AJ445*Variables!$E$43*Variables!$C$15</f>
        <v>0</v>
      </c>
      <c r="AL445" s="20">
        <f>Z445*Variables!$E$38*Variables!$C$15</f>
        <v>1491040988.5617855</v>
      </c>
      <c r="AN445" s="200">
        <f t="shared" si="84"/>
        <v>0.42</v>
      </c>
      <c r="AO445" s="201">
        <f t="shared" si="77"/>
        <v>120.37696363636363</v>
      </c>
      <c r="AP445" s="321">
        <f>VLOOKUP(A445,'Household Information'!H:Q,10,FALSE)</f>
        <v>150.91303799066011</v>
      </c>
      <c r="AQ445" s="122">
        <f>IF(12*(AO445-Variables!$C$3*AP445*F445)*(G445/5)&lt;0,0,12*(AO445-Variables!$C$3*AP445*F445)*(G445/5))</f>
        <v>103473910.29455894</v>
      </c>
    </row>
    <row r="446" spans="1:43" ht="14.25" customHeight="1" x14ac:dyDescent="0.35">
      <c r="A446" s="30">
        <v>23</v>
      </c>
      <c r="B446" s="28" t="s">
        <v>176</v>
      </c>
      <c r="C446" s="28">
        <v>2029</v>
      </c>
      <c r="D446" s="196">
        <f>Population!N24</f>
        <v>61003.279975114929</v>
      </c>
      <c r="E446" s="303" t="str">
        <f t="shared" si="78"/>
        <v>Small</v>
      </c>
      <c r="F446" s="340">
        <f>VLOOKUP(A446,'Household Information'!$H$2:$M$49,6,FALSE)</f>
        <v>3.9394565859421147</v>
      </c>
      <c r="G446" s="196">
        <f t="shared" si="73"/>
        <v>15485</v>
      </c>
      <c r="H446" s="213">
        <f>Area!P24</f>
        <v>115.33854643252155</v>
      </c>
      <c r="J446" s="32">
        <f>D446*Variables!$C$20</f>
        <v>54.902951977603436</v>
      </c>
      <c r="K446" s="202">
        <f t="shared" si="81"/>
        <v>53.631876504448016</v>
      </c>
      <c r="L446" s="32">
        <f t="shared" si="74"/>
        <v>1.2710754731554204</v>
      </c>
      <c r="S446" s="198">
        <f>$L446*Variables!$C$21/100</f>
        <v>6.9017672750520551E-2</v>
      </c>
      <c r="T446" s="198">
        <f>$L446*Variables!$C$22/100</f>
        <v>0.12078092731341097</v>
      </c>
      <c r="U446" s="198">
        <f>$L446*Variables!$C$23/100</f>
        <v>0.12653240004262103</v>
      </c>
      <c r="V446" s="198">
        <f>$L446*Variables!$C$24/100</f>
        <v>0.92023563667360753</v>
      </c>
      <c r="W446" s="22">
        <f>S446*Variables!$E$25*Variables!$C$15+'Cost Calculations'!T446*Variables!$E$26*Variables!$C$15+'Cost Calculations'!U446*Variables!$E$27*Variables!$C$15+V446*Variables!$E$28*Variables!$C$15</f>
        <v>852563.36711619026</v>
      </c>
      <c r="X446" s="20">
        <f>J446*Variables!$E$29*Variables!$C$15</f>
        <v>9385.110611051532</v>
      </c>
      <c r="Z446" s="33">
        <f>D446*(IF(D446&lt;50000,0,IF(D446&gt;Variables!$C$7,Variables!$C$37,IF(D446&gt;Variables!$C$6,Variables!$C$36,IF(D446&gt;Variables!$C$5,Variables!$C$35)))))</f>
        <v>30.501639987557464</v>
      </c>
      <c r="AA446" s="34">
        <f t="shared" si="80"/>
        <v>374.4</v>
      </c>
      <c r="AB446" s="35">
        <f t="shared" si="75"/>
        <v>0</v>
      </c>
      <c r="AC446" s="22">
        <f>AB446*Variables!$E$41</f>
        <v>0</v>
      </c>
      <c r="AD446" s="115">
        <f>ROUND(IF(D446&lt;50000,0,(H446/(3.14*Variables!$C$34^2))),0)</f>
        <v>147</v>
      </c>
      <c r="AE446" s="116">
        <f t="shared" si="82"/>
        <v>145</v>
      </c>
      <c r="AF446" s="117">
        <f t="shared" si="76"/>
        <v>2</v>
      </c>
      <c r="AG446" s="107">
        <f>AF446*Variables!$E$42*Variables!$C$15</f>
        <v>1355.088</v>
      </c>
      <c r="AH446" s="199">
        <f>ROUND((Z446)/Variables!$C$40,0)</f>
        <v>0</v>
      </c>
      <c r="AI446" s="33">
        <f t="shared" si="83"/>
        <v>1</v>
      </c>
      <c r="AJ446" s="199">
        <f t="shared" si="79"/>
        <v>0</v>
      </c>
      <c r="AK446" s="22">
        <f>AJ446*Variables!$E$43*Variables!$C$15</f>
        <v>0</v>
      </c>
      <c r="AL446" s="20">
        <f>Z446*Variables!$E$38*Variables!$C$15</f>
        <v>5407285.3177384119</v>
      </c>
      <c r="AN446" s="200">
        <f t="shared" si="84"/>
        <v>0.42</v>
      </c>
      <c r="AO446" s="201">
        <f t="shared" si="77"/>
        <v>99.274305965741291</v>
      </c>
      <c r="AP446" s="321">
        <f>VLOOKUP(A446,'Household Information'!H:Q,10,FALSE)</f>
        <v>127.00366022971097</v>
      </c>
      <c r="AQ446" s="122">
        <f>IF(12*(AO446-Variables!$C$3*AP446*F446)*(G446/5)&lt;0,0,12*(AO446-Variables!$C$3*AP446*F446)*(G446/5))</f>
        <v>900316.30012450786</v>
      </c>
    </row>
    <row r="447" spans="1:43" ht="14.25" customHeight="1" x14ac:dyDescent="0.35">
      <c r="A447" s="30">
        <v>24</v>
      </c>
      <c r="B447" s="28" t="s">
        <v>177</v>
      </c>
      <c r="C447" s="28">
        <v>2029</v>
      </c>
      <c r="D447" s="196">
        <f>Population!N25</f>
        <v>2567485.4738298226</v>
      </c>
      <c r="E447" s="303" t="str">
        <f t="shared" si="78"/>
        <v>Large</v>
      </c>
      <c r="F447" s="340">
        <f>VLOOKUP(A447,'Household Information'!$H$2:$M$49,6,FALSE)</f>
        <v>5.7167460931666056</v>
      </c>
      <c r="G447" s="196">
        <f t="shared" si="73"/>
        <v>449117</v>
      </c>
      <c r="H447" s="213">
        <f>Area!P25</f>
        <v>118.14374944351083</v>
      </c>
      <c r="J447" s="32">
        <f>D447*Variables!$C$20</f>
        <v>2310.7369264468402</v>
      </c>
      <c r="K447" s="202">
        <f t="shared" si="81"/>
        <v>2257.2403306113515</v>
      </c>
      <c r="L447" s="32">
        <f t="shared" si="74"/>
        <v>53.496595835488733</v>
      </c>
      <c r="S447" s="198">
        <f>$L447*Variables!$C$21/100</f>
        <v>2.9047925340536862</v>
      </c>
      <c r="T447" s="198">
        <f>$L447*Variables!$C$22/100</f>
        <v>5.0833869345939515</v>
      </c>
      <c r="U447" s="198">
        <f>$L447*Variables!$C$23/100</f>
        <v>5.3254529790984257</v>
      </c>
      <c r="V447" s="198">
        <f>$L447*Variables!$C$24/100</f>
        <v>38.730567120715826</v>
      </c>
      <c r="W447" s="22">
        <f>S447*Variables!$E$25*Variables!$C$15+'Cost Calculations'!T447*Variables!$E$26*Variables!$C$15+'Cost Calculations'!U447*Variables!$E$27*Variables!$C$15+V447*Variables!$E$28*Variables!$C$15</f>
        <v>35882399.46250727</v>
      </c>
      <c r="X447" s="20">
        <f>J447*Variables!$E$29*Variables!$C$15</f>
        <v>394997.37020682287</v>
      </c>
      <c r="Z447" s="33">
        <f>D447*(IF(D447&lt;50000,0,IF(D447&gt;Variables!$C$7,Variables!$C$37,IF(D447&gt;Variables!$C$6,Variables!$C$36,IF(D447&gt;Variables!$C$5,Variables!$C$35)))))</f>
        <v>1283.7427369149113</v>
      </c>
      <c r="AA447" s="34">
        <f t="shared" si="80"/>
        <v>1253.5999999999999</v>
      </c>
      <c r="AB447" s="35">
        <f t="shared" si="75"/>
        <v>30</v>
      </c>
      <c r="AC447" s="22">
        <f>AB447*Variables!$E$41</f>
        <v>11088000.000000002</v>
      </c>
      <c r="AD447" s="115">
        <f>ROUND(IF(D447&lt;50000,0,(H447/(3.14*Variables!$C$34^2))),0)</f>
        <v>151</v>
      </c>
      <c r="AE447" s="116">
        <f t="shared" si="82"/>
        <v>148</v>
      </c>
      <c r="AF447" s="117">
        <f t="shared" si="76"/>
        <v>3</v>
      </c>
      <c r="AG447" s="107">
        <f>AF447*Variables!$E$42*Variables!$C$15</f>
        <v>2032.6320000000001</v>
      </c>
      <c r="AH447" s="199">
        <f>ROUND((Z447)/Variables!$C$40,0)</f>
        <v>10</v>
      </c>
      <c r="AI447" s="33">
        <f t="shared" si="83"/>
        <v>10</v>
      </c>
      <c r="AJ447" s="199">
        <f t="shared" si="79"/>
        <v>0</v>
      </c>
      <c r="AK447" s="22">
        <f>AJ447*Variables!$E$43*Variables!$C$15</f>
        <v>0</v>
      </c>
      <c r="AL447" s="20">
        <f>Z447*Variables!$E$38*Variables!$C$15</f>
        <v>227580000.80995634</v>
      </c>
      <c r="AN447" s="200">
        <f t="shared" si="84"/>
        <v>0.14000000000000001</v>
      </c>
      <c r="AO447" s="201">
        <f t="shared" si="77"/>
        <v>48.020667182599489</v>
      </c>
      <c r="AP447" s="321">
        <f>VLOOKUP(A447,'Household Information'!H:Q,10,FALSE)</f>
        <v>84.816357440363504</v>
      </c>
      <c r="AQ447" s="122">
        <f>IF(12*(AO447-Variables!$C$3*AP447*F447)*(G447/5)&lt;0,0,12*(AO447-Variables!$C$3*AP447*F447)*(G447/5))</f>
        <v>0</v>
      </c>
    </row>
    <row r="448" spans="1:43" ht="14.25" customHeight="1" x14ac:dyDescent="0.35">
      <c r="A448" s="30">
        <v>25</v>
      </c>
      <c r="B448" s="28" t="s">
        <v>178</v>
      </c>
      <c r="C448" s="28">
        <v>2029</v>
      </c>
      <c r="D448" s="196">
        <f>Population!N26</f>
        <v>368567.0092566525</v>
      </c>
      <c r="E448" s="303" t="str">
        <f t="shared" si="78"/>
        <v>Medium</v>
      </c>
      <c r="F448" s="340">
        <f>VLOOKUP(A448,'Household Information'!$H$2:$M$49,6,FALSE)</f>
        <v>4.4000000000000004</v>
      </c>
      <c r="G448" s="196">
        <f t="shared" si="73"/>
        <v>83765</v>
      </c>
      <c r="H448" s="213">
        <f>Area!P26</f>
        <v>209.86060756413102</v>
      </c>
      <c r="J448" s="32">
        <f>D448*Variables!$C$20</f>
        <v>331.71030833098723</v>
      </c>
      <c r="K448" s="202">
        <f t="shared" si="81"/>
        <v>324.03077887172725</v>
      </c>
      <c r="L448" s="32">
        <f t="shared" si="74"/>
        <v>7.6795294592599816</v>
      </c>
      <c r="S448" s="198">
        <f>$L448*Variables!$C$21/100</f>
        <v>0.41698802493719356</v>
      </c>
      <c r="T448" s="198">
        <f>$L448*Variables!$C$22/100</f>
        <v>0.72972904364008873</v>
      </c>
      <c r="U448" s="198">
        <f>$L448*Variables!$C$23/100</f>
        <v>0.76447804571818823</v>
      </c>
      <c r="V448" s="198">
        <f>$L448*Variables!$C$24/100</f>
        <v>5.5598403324959147</v>
      </c>
      <c r="W448" s="22">
        <f>S448*Variables!$E$25*Variables!$C$15+'Cost Calculations'!T448*Variables!$E$26*Variables!$C$15+'Cost Calculations'!U448*Variables!$E$27*Variables!$C$15+V448*Variables!$E$28*Variables!$C$15</f>
        <v>5150980.9070590865</v>
      </c>
      <c r="X448" s="20">
        <f>J448*Variables!$E$29*Variables!$C$15</f>
        <v>56702.560106098957</v>
      </c>
      <c r="Z448" s="33">
        <f>D448*(IF(D448&lt;50000,0,IF(D448&gt;Variables!$C$7,Variables!$C$37,IF(D448&gt;Variables!$C$6,Variables!$C$36,IF(D448&gt;Variables!$C$5,Variables!$C$35)))))</f>
        <v>184.28350462832626</v>
      </c>
      <c r="AA448" s="34">
        <f t="shared" si="80"/>
        <v>180</v>
      </c>
      <c r="AB448" s="35">
        <f t="shared" si="75"/>
        <v>4</v>
      </c>
      <c r="AC448" s="22">
        <f>AB448*Variables!$E$41</f>
        <v>1478400.0000000002</v>
      </c>
      <c r="AD448" s="115">
        <f>ROUND(IF(D448&lt;50000,0,(H448/(3.14*Variables!$C$34^2))),0)</f>
        <v>267</v>
      </c>
      <c r="AE448" s="116">
        <f t="shared" si="82"/>
        <v>264</v>
      </c>
      <c r="AF448" s="117">
        <f t="shared" si="76"/>
        <v>3</v>
      </c>
      <c r="AG448" s="107">
        <f>AF448*Variables!$E$42*Variables!$C$15</f>
        <v>2032.6320000000001</v>
      </c>
      <c r="AH448" s="199">
        <f>ROUND((Z448)/Variables!$C$40,0)</f>
        <v>1</v>
      </c>
      <c r="AI448" s="33">
        <f t="shared" si="83"/>
        <v>1</v>
      </c>
      <c r="AJ448" s="199">
        <f t="shared" si="79"/>
        <v>0</v>
      </c>
      <c r="AK448" s="22">
        <f>AJ448*Variables!$E$43*Variables!$C$15</f>
        <v>0</v>
      </c>
      <c r="AL448" s="20">
        <f>Z448*Variables!$E$38*Variables!$C$15</f>
        <v>32669505.288391665</v>
      </c>
      <c r="AN448" s="200">
        <f t="shared" si="84"/>
        <v>0.14000000000000001</v>
      </c>
      <c r="AO448" s="201">
        <f t="shared" si="77"/>
        <v>36.960000000000008</v>
      </c>
      <c r="AP448" s="321">
        <f>VLOOKUP(A448,'Household Information'!H:Q,10,FALSE)</f>
        <v>100.80777483276538</v>
      </c>
      <c r="AQ448" s="122">
        <f>IF(12*(AO448-Variables!$C$3*AP448*F448)*(G448/5)&lt;0,0,12*(AO448-Variables!$C$3*AP448*F448)*(G448/5))</f>
        <v>0</v>
      </c>
    </row>
    <row r="449" spans="1:43" ht="14.25" customHeight="1" x14ac:dyDescent="0.35">
      <c r="A449" s="30">
        <v>26</v>
      </c>
      <c r="B449" s="28" t="s">
        <v>179</v>
      </c>
      <c r="C449" s="28">
        <v>2029</v>
      </c>
      <c r="D449" s="196">
        <f>Population!N27</f>
        <v>152726.95623327247</v>
      </c>
      <c r="E449" s="303" t="str">
        <f t="shared" si="78"/>
        <v>Medium</v>
      </c>
      <c r="F449" s="340">
        <f>VLOOKUP(A449,'Household Information'!$H$2:$M$49,6,FALSE)</f>
        <v>3.9948981478058339</v>
      </c>
      <c r="G449" s="196">
        <f t="shared" si="73"/>
        <v>38231</v>
      </c>
      <c r="H449" s="213">
        <f>Area!P27</f>
        <v>749.28009515489737</v>
      </c>
      <c r="J449" s="32">
        <f>D449*Variables!$C$20</f>
        <v>137.45426060994524</v>
      </c>
      <c r="K449" s="202">
        <f t="shared" si="81"/>
        <v>134.27201388096628</v>
      </c>
      <c r="L449" s="32">
        <f t="shared" si="74"/>
        <v>3.1822467289789529</v>
      </c>
      <c r="S449" s="198">
        <f>$L449*Variables!$C$21/100</f>
        <v>0.17279167759161734</v>
      </c>
      <c r="T449" s="198">
        <f>$L449*Variables!$C$22/100</f>
        <v>0.30238543578533039</v>
      </c>
      <c r="U449" s="198">
        <f>$L449*Variables!$C$23/100</f>
        <v>0.31678474225129849</v>
      </c>
      <c r="V449" s="198">
        <f>$L449*Variables!$C$24/100</f>
        <v>2.3038890345548979</v>
      </c>
      <c r="W449" s="22">
        <f>S449*Variables!$E$25*Variables!$C$15+'Cost Calculations'!T449*Variables!$E$26*Variables!$C$15+'Cost Calculations'!U449*Variables!$E$27*Variables!$C$15+V449*Variables!$E$28*Variables!$C$15</f>
        <v>2134465.6895295461</v>
      </c>
      <c r="X449" s="20">
        <f>J449*Variables!$E$29*Variables!$C$15</f>
        <v>23496.431308664043</v>
      </c>
      <c r="Z449" s="33">
        <f>D449*(IF(D449&lt;50000,0,IF(D449&gt;Variables!$C$7,Variables!$C$37,IF(D449&gt;Variables!$C$6,Variables!$C$36,IF(D449&gt;Variables!$C$5,Variables!$C$35)))))</f>
        <v>76.363478116636244</v>
      </c>
      <c r="AA449" s="34">
        <f t="shared" si="80"/>
        <v>139</v>
      </c>
      <c r="AB449" s="35">
        <f t="shared" si="75"/>
        <v>0</v>
      </c>
      <c r="AC449" s="22">
        <f>AB449*Variables!$E$41</f>
        <v>0</v>
      </c>
      <c r="AD449" s="115">
        <f>ROUND(IF(D449&lt;50000,0,(H449/(3.14*Variables!$C$34^2))),0)</f>
        <v>954</v>
      </c>
      <c r="AE449" s="116">
        <f t="shared" si="82"/>
        <v>941</v>
      </c>
      <c r="AF449" s="117">
        <f t="shared" si="76"/>
        <v>13</v>
      </c>
      <c r="AG449" s="107">
        <f>AF449*Variables!$E$42*Variables!$C$15</f>
        <v>8808.0720000000001</v>
      </c>
      <c r="AH449" s="199">
        <f>ROUND((Z449)/Variables!$C$40,0)</f>
        <v>1</v>
      </c>
      <c r="AI449" s="33">
        <f t="shared" si="83"/>
        <v>1</v>
      </c>
      <c r="AJ449" s="199">
        <f t="shared" si="79"/>
        <v>0</v>
      </c>
      <c r="AK449" s="22">
        <f>AJ449*Variables!$E$43*Variables!$C$15</f>
        <v>0</v>
      </c>
      <c r="AL449" s="20">
        <f>Z449*Variables!$E$38*Variables!$C$15</f>
        <v>13537603.689505475</v>
      </c>
      <c r="AN449" s="200">
        <f t="shared" si="84"/>
        <v>0.25221875000000005</v>
      </c>
      <c r="AO449" s="201">
        <f t="shared" si="77"/>
        <v>60.455293033014172</v>
      </c>
      <c r="AP449" s="321">
        <f>VLOOKUP(A449,'Household Information'!H:Q,10,FALSE)</f>
        <v>108.65462509082352</v>
      </c>
      <c r="AQ449" s="122">
        <f>IF(12*(AO449-Variables!$C$3*AP449*F449)*(G449/5)&lt;0,0,12*(AO449-Variables!$C$3*AP449*F449)*(G449/5))</f>
        <v>0</v>
      </c>
    </row>
    <row r="450" spans="1:43" ht="14.25" customHeight="1" x14ac:dyDescent="0.35">
      <c r="A450" s="30">
        <v>27</v>
      </c>
      <c r="B450" s="28" t="s">
        <v>180</v>
      </c>
      <c r="C450" s="28">
        <v>2029</v>
      </c>
      <c r="D450" s="196">
        <f>Population!N28</f>
        <v>1540338.5359995828</v>
      </c>
      <c r="E450" s="303" t="str">
        <f t="shared" si="78"/>
        <v>Large</v>
      </c>
      <c r="F450" s="340">
        <f>VLOOKUP(A450,'Household Information'!$H$2:$M$49,6,FALSE)</f>
        <v>4.6947316089524085</v>
      </c>
      <c r="G450" s="196">
        <f t="shared" si="73"/>
        <v>328099</v>
      </c>
      <c r="H450" s="213">
        <f>Area!P28</f>
        <v>139.90492218222553</v>
      </c>
      <c r="J450" s="32">
        <f>D450*Variables!$C$20</f>
        <v>1386.3046823996244</v>
      </c>
      <c r="K450" s="202">
        <f t="shared" si="81"/>
        <v>2162.4648561170238</v>
      </c>
      <c r="L450" s="32">
        <f t="shared" si="74"/>
        <v>0</v>
      </c>
      <c r="S450" s="198">
        <f>$L450*Variables!$C$21/100</f>
        <v>0</v>
      </c>
      <c r="T450" s="198">
        <f>$L450*Variables!$C$22/100</f>
        <v>0</v>
      </c>
      <c r="U450" s="198">
        <f>$L450*Variables!$C$23/100</f>
        <v>0</v>
      </c>
      <c r="V450" s="198">
        <f>$L450*Variables!$C$24/100</f>
        <v>0</v>
      </c>
      <c r="W450" s="22">
        <f>S450*Variables!$E$25*Variables!$C$15+'Cost Calculations'!T450*Variables!$E$26*Variables!$C$15+'Cost Calculations'!U450*Variables!$E$27*Variables!$C$15+V450*Variables!$E$28*Variables!$C$15</f>
        <v>0</v>
      </c>
      <c r="X450" s="20">
        <f>J450*Variables!$E$29*Variables!$C$15</f>
        <v>236974.92240939182</v>
      </c>
      <c r="Z450" s="33">
        <f>D450*(IF(D450&lt;50000,0,IF(D450&gt;Variables!$C$7,Variables!$C$37,IF(D450&gt;Variables!$C$6,Variables!$C$36,IF(D450&gt;Variables!$C$5,Variables!$C$35)))))</f>
        <v>770.16926799979149</v>
      </c>
      <c r="AA450" s="34">
        <f t="shared" si="80"/>
        <v>752</v>
      </c>
      <c r="AB450" s="35">
        <f t="shared" si="75"/>
        <v>18</v>
      </c>
      <c r="AC450" s="22">
        <f>AB450*Variables!$E$41</f>
        <v>6652800.0000000009</v>
      </c>
      <c r="AD450" s="115">
        <f>ROUND(IF(D450&lt;50000,0,(H450/(3.14*Variables!$C$34^2))),0)</f>
        <v>178</v>
      </c>
      <c r="AE450" s="116">
        <f t="shared" si="82"/>
        <v>176</v>
      </c>
      <c r="AF450" s="117">
        <f t="shared" si="76"/>
        <v>2</v>
      </c>
      <c r="AG450" s="107">
        <f>AF450*Variables!$E$42*Variables!$C$15</f>
        <v>1355.088</v>
      </c>
      <c r="AH450" s="199">
        <f>ROUND((Z450)/Variables!$C$40,0)</f>
        <v>6</v>
      </c>
      <c r="AI450" s="33">
        <f t="shared" si="83"/>
        <v>110</v>
      </c>
      <c r="AJ450" s="199">
        <f t="shared" si="79"/>
        <v>0</v>
      </c>
      <c r="AK450" s="22">
        <f>AJ450*Variables!$E$43*Variables!$C$15</f>
        <v>0</v>
      </c>
      <c r="AL450" s="20">
        <f>Z450*Variables!$E$38*Variables!$C$15</f>
        <v>136534460.99053845</v>
      </c>
      <c r="AN450" s="200">
        <f t="shared" si="84"/>
        <v>0.14000000000000001</v>
      </c>
      <c r="AO450" s="201">
        <f t="shared" si="77"/>
        <v>39.435745515200232</v>
      </c>
      <c r="AP450" s="321">
        <f>VLOOKUP(A450,'Household Information'!H:Q,10,FALSE)</f>
        <v>58.94736842105263</v>
      </c>
      <c r="AQ450" s="122">
        <f>IF(12*(AO450-Variables!$C$3*AP450*F450)*(G450/5)&lt;0,0,12*(AO450-Variables!$C$3*AP450*F450)*(G450/5))</f>
        <v>0</v>
      </c>
    </row>
    <row r="451" spans="1:43" ht="14.25" customHeight="1" x14ac:dyDescent="0.35">
      <c r="A451" s="30">
        <v>28</v>
      </c>
      <c r="B451" s="28" t="s">
        <v>181</v>
      </c>
      <c r="C451" s="28">
        <v>2029</v>
      </c>
      <c r="D451" s="196">
        <f>Population!N29</f>
        <v>1636368.7386322736</v>
      </c>
      <c r="E451" s="303" t="str">
        <f t="shared" si="78"/>
        <v>Large</v>
      </c>
      <c r="F451" s="340">
        <f>VLOOKUP(A451,'Household Information'!$H$2:$M$49,6,FALSE)</f>
        <v>3.2903489815623708</v>
      </c>
      <c r="G451" s="196">
        <f t="shared" si="73"/>
        <v>497324</v>
      </c>
      <c r="H451" s="213">
        <f>Area!P29</f>
        <v>180.32467020325325</v>
      </c>
      <c r="J451" s="32">
        <f>D451*Variables!$C$20</f>
        <v>1472.7318647690463</v>
      </c>
      <c r="K451" s="202">
        <f t="shared" si="81"/>
        <v>1438.6361871339711</v>
      </c>
      <c r="L451" s="32">
        <f t="shared" si="74"/>
        <v>34.095677635075162</v>
      </c>
      <c r="S451" s="198">
        <f>$L451*Variables!$C$21/100</f>
        <v>1.8513490118592848</v>
      </c>
      <c r="T451" s="198">
        <f>$L451*Variables!$C$22/100</f>
        <v>3.2398607707537486</v>
      </c>
      <c r="U451" s="198">
        <f>$L451*Variables!$C$23/100</f>
        <v>3.3941398550753559</v>
      </c>
      <c r="V451" s="198">
        <f>$L451*Variables!$C$24/100</f>
        <v>24.68465349145713</v>
      </c>
      <c r="W451" s="22">
        <f>S451*Variables!$E$25*Variables!$C$15+'Cost Calculations'!T451*Variables!$E$26*Variables!$C$15+'Cost Calculations'!U451*Variables!$E$27*Variables!$C$15+V451*Variables!$E$28*Variables!$C$15</f>
        <v>22869393.944409385</v>
      </c>
      <c r="X451" s="20">
        <f>J451*Variables!$E$29*Variables!$C$15</f>
        <v>251748.7849636208</v>
      </c>
      <c r="Z451" s="33">
        <f>D451*(IF(D451&lt;50000,0,IF(D451&gt;Variables!$C$7,Variables!$C$37,IF(D451&gt;Variables!$C$6,Variables!$C$36,IF(D451&gt;Variables!$C$5,Variables!$C$35)))))</f>
        <v>818.18436931613678</v>
      </c>
      <c r="AA451" s="34">
        <f t="shared" si="80"/>
        <v>799</v>
      </c>
      <c r="AB451" s="35">
        <f t="shared" si="75"/>
        <v>19</v>
      </c>
      <c r="AC451" s="22">
        <f>AB451*Variables!$E$41</f>
        <v>7022400.0000000009</v>
      </c>
      <c r="AD451" s="115">
        <f>ROUND(IF(D451&lt;50000,0,(H451/(3.14*Variables!$C$34^2))),0)</f>
        <v>230</v>
      </c>
      <c r="AE451" s="116">
        <f t="shared" si="82"/>
        <v>226</v>
      </c>
      <c r="AF451" s="117">
        <f t="shared" si="76"/>
        <v>4</v>
      </c>
      <c r="AG451" s="107">
        <f>AF451*Variables!$E$42*Variables!$C$15</f>
        <v>2710.1759999999999</v>
      </c>
      <c r="AH451" s="199">
        <f>ROUND((Z451)/Variables!$C$40,0)</f>
        <v>7</v>
      </c>
      <c r="AI451" s="33">
        <f t="shared" si="83"/>
        <v>6</v>
      </c>
      <c r="AJ451" s="199">
        <f t="shared" si="79"/>
        <v>1</v>
      </c>
      <c r="AK451" s="22">
        <f>AJ451*Variables!$E$43*Variables!$C$15</f>
        <v>552717.39600000007</v>
      </c>
      <c r="AL451" s="20">
        <f>Z451*Variables!$E$38*Variables!$C$15</f>
        <v>145046506.65377191</v>
      </c>
      <c r="AN451" s="200">
        <f t="shared" si="84"/>
        <v>0.21</v>
      </c>
      <c r="AO451" s="201">
        <f t="shared" si="77"/>
        <v>41.458397167685874</v>
      </c>
      <c r="AP451" s="321">
        <f>VLOOKUP(A451,'Household Information'!H:Q,10,FALSE)</f>
        <v>53.01022340022719</v>
      </c>
      <c r="AQ451" s="122">
        <f>IF(12*(AO451-Variables!$C$3*AP451*F451)*(G451/5)&lt;0,0,12*(AO451-Variables!$C$3*AP451*F451)*(G451/5))</f>
        <v>18255861.274900086</v>
      </c>
    </row>
    <row r="452" spans="1:43" ht="14.25" customHeight="1" x14ac:dyDescent="0.35">
      <c r="A452" s="30">
        <v>29</v>
      </c>
      <c r="B452" s="28" t="s">
        <v>182</v>
      </c>
      <c r="C452" s="28">
        <v>2029</v>
      </c>
      <c r="D452" s="196">
        <f>Population!N30</f>
        <v>218343.17384001141</v>
      </c>
      <c r="E452" s="303" t="str">
        <f t="shared" si="78"/>
        <v>Medium</v>
      </c>
      <c r="F452" s="340">
        <f>VLOOKUP(A452,'Household Information'!$H$2:$M$49,6,FALSE)</f>
        <v>4.6165672844480259</v>
      </c>
      <c r="G452" s="196">
        <f t="shared" ref="G452:G507" si="85">ROUND(D452/F452,0)</f>
        <v>47296</v>
      </c>
      <c r="H452" s="213">
        <f>Area!P30</f>
        <v>1013.5490083838031</v>
      </c>
      <c r="J452" s="32">
        <f>D452*Variables!$C$20</f>
        <v>196.50885645601028</v>
      </c>
      <c r="K452" s="202">
        <f t="shared" si="81"/>
        <v>191.95941824363609</v>
      </c>
      <c r="L452" s="32">
        <f t="shared" ref="L452:L507" si="86">IF(J452-K452&lt;0,0,J452-K452)</f>
        <v>4.5494382123741843</v>
      </c>
      <c r="S452" s="198">
        <f>$L452*Variables!$C$21/100</f>
        <v>0.24702831922393759</v>
      </c>
      <c r="T452" s="198">
        <f>$L452*Variables!$C$22/100</f>
        <v>0.43229955864189079</v>
      </c>
      <c r="U452" s="198">
        <f>$L452*Variables!$C$23/100</f>
        <v>0.45288525191055229</v>
      </c>
      <c r="V452" s="198">
        <f>$L452*Variables!$C$24/100</f>
        <v>3.2937109229858343</v>
      </c>
      <c r="W452" s="22">
        <f>S452*Variables!$E$25*Variables!$C$15+'Cost Calculations'!T452*Variables!$E$26*Variables!$C$15+'Cost Calculations'!U452*Variables!$E$27*Variables!$C$15+V452*Variables!$E$28*Variables!$C$15</f>
        <v>3051498.0760348057</v>
      </c>
      <c r="X452" s="20">
        <f>J452*Variables!$E$29*Variables!$C$15</f>
        <v>33591.223922590398</v>
      </c>
      <c r="Z452" s="33">
        <f>D452*(IF(D452&lt;50000,0,IF(D452&gt;Variables!$C$7,Variables!$C$37,IF(D452&gt;Variables!$C$6,Variables!$C$36,IF(D452&gt;Variables!$C$5,Variables!$C$35)))))</f>
        <v>109.17158692000571</v>
      </c>
      <c r="AA452" s="34">
        <f t="shared" si="80"/>
        <v>206</v>
      </c>
      <c r="AB452" s="35">
        <f t="shared" ref="AB452:AB507" si="87">IF(Z452-AA452&lt;0,0, ROUND(Z452-AA452,0))</f>
        <v>0</v>
      </c>
      <c r="AC452" s="22">
        <f>AB452*Variables!$E$41</f>
        <v>0</v>
      </c>
      <c r="AD452" s="115">
        <f>ROUND(IF(D452&lt;50000,0,(H452/(3.14*Variables!$C$34^2))),0)</f>
        <v>1291</v>
      </c>
      <c r="AE452" s="116">
        <f t="shared" si="82"/>
        <v>1273</v>
      </c>
      <c r="AF452" s="117">
        <f t="shared" ref="AF452:AF507" si="88">IF(AD452-AE452&lt;0,0,AD452-AE452)</f>
        <v>18</v>
      </c>
      <c r="AG452" s="107">
        <f>AF452*Variables!$E$42*Variables!$C$15</f>
        <v>12195.792000000001</v>
      </c>
      <c r="AH452" s="199">
        <f>ROUND((Z452)/Variables!$C$40,0)</f>
        <v>1</v>
      </c>
      <c r="AI452" s="33">
        <f t="shared" si="83"/>
        <v>1</v>
      </c>
      <c r="AJ452" s="199">
        <f t="shared" si="79"/>
        <v>0</v>
      </c>
      <c r="AK452" s="22">
        <f>AJ452*Variables!$E$43*Variables!$C$15</f>
        <v>0</v>
      </c>
      <c r="AL452" s="20">
        <f>Z452*Variables!$E$38*Variables!$C$15</f>
        <v>19353776.364404004</v>
      </c>
      <c r="AN452" s="200">
        <f t="shared" si="84"/>
        <v>0.14000000000000001</v>
      </c>
      <c r="AO452" s="201">
        <f t="shared" ref="AO452:AO507" si="89">AN452*2*30*F452</f>
        <v>38.779165189363418</v>
      </c>
      <c r="AP452" s="321">
        <f>VLOOKUP(A452,'Household Information'!H:Q,10,FALSE)</f>
        <v>91.707686482393044</v>
      </c>
      <c r="AQ452" s="122">
        <f>IF(12*(AO452-Variables!$C$3*AP452*F452)*(G452/5)&lt;0,0,12*(AO452-Variables!$C$3*AP452*F452)*(G452/5))</f>
        <v>0</v>
      </c>
    </row>
    <row r="453" spans="1:43" ht="14.25" customHeight="1" x14ac:dyDescent="0.35">
      <c r="A453" s="30">
        <v>30</v>
      </c>
      <c r="B453" s="28" t="s">
        <v>183</v>
      </c>
      <c r="C453" s="28">
        <v>2029</v>
      </c>
      <c r="D453" s="196">
        <f>Population!N31</f>
        <v>149798.51829858983</v>
      </c>
      <c r="E453" s="303" t="str">
        <f t="shared" ref="E453:E507" si="90">IF(D453&lt;100000,"Small",IF(D453&lt;1000000,"Medium","Large"))</f>
        <v>Medium</v>
      </c>
      <c r="F453" s="340">
        <f>VLOOKUP(A453,'Household Information'!$H$2:$M$49,6,FALSE)</f>
        <v>4.0765401369010581</v>
      </c>
      <c r="G453" s="196">
        <f t="shared" si="85"/>
        <v>36746</v>
      </c>
      <c r="H453" s="213">
        <f>Area!P31</f>
        <v>101.04399623458164</v>
      </c>
      <c r="J453" s="32">
        <f>D453*Variables!$C$20</f>
        <v>134.81866646873084</v>
      </c>
      <c r="K453" s="202">
        <f t="shared" si="81"/>
        <v>131.69743720692665</v>
      </c>
      <c r="L453" s="32">
        <f t="shared" si="86"/>
        <v>3.1212292618041886</v>
      </c>
      <c r="S453" s="198">
        <f>$L453*Variables!$C$21/100</f>
        <v>0.16947851195316857</v>
      </c>
      <c r="T453" s="198">
        <f>$L453*Variables!$C$22/100</f>
        <v>0.29658739591804506</v>
      </c>
      <c r="U453" s="198">
        <f>$L453*Variables!$C$23/100</f>
        <v>0.31071060524747579</v>
      </c>
      <c r="V453" s="198">
        <f>$L453*Variables!$C$24/100</f>
        <v>2.2597134927089146</v>
      </c>
      <c r="W453" s="22">
        <f>S453*Variables!$E$25*Variables!$C$15+'Cost Calculations'!T453*Variables!$E$26*Variables!$C$15+'Cost Calculations'!U453*Variables!$E$27*Variables!$C$15+V453*Variables!$E$28*Variables!$C$15</f>
        <v>2093538.7277825167</v>
      </c>
      <c r="X453" s="20">
        <f>J453*Variables!$E$29*Variables!$C$15</f>
        <v>23045.902846164852</v>
      </c>
      <c r="Z453" s="33">
        <f>D453*(IF(D453&lt;50000,0,IF(D453&gt;Variables!$C$7,Variables!$C$37,IF(D453&gt;Variables!$C$6,Variables!$C$36,IF(D453&gt;Variables!$C$5,Variables!$C$35)))))</f>
        <v>74.89925914929492</v>
      </c>
      <c r="AA453" s="34">
        <f t="shared" si="80"/>
        <v>73</v>
      </c>
      <c r="AB453" s="35">
        <f t="shared" si="87"/>
        <v>2</v>
      </c>
      <c r="AC453" s="22">
        <f>AB453*Variables!$E$41</f>
        <v>739200.00000000012</v>
      </c>
      <c r="AD453" s="115">
        <f>ROUND(IF(D453&lt;50000,0,(H453/(3.14*Variables!$C$34^2))),0)</f>
        <v>129</v>
      </c>
      <c r="AE453" s="116">
        <f t="shared" si="82"/>
        <v>127</v>
      </c>
      <c r="AF453" s="117">
        <f t="shared" si="88"/>
        <v>2</v>
      </c>
      <c r="AG453" s="107">
        <f>AF453*Variables!$E$42*Variables!$C$15</f>
        <v>1355.088</v>
      </c>
      <c r="AH453" s="199">
        <f>ROUND((Z453)/Variables!$C$40,0)</f>
        <v>1</v>
      </c>
      <c r="AI453" s="33">
        <f t="shared" si="83"/>
        <v>21</v>
      </c>
      <c r="AJ453" s="199">
        <f t="shared" ref="AJ453:AJ507" si="91">IF(AH453-AI453&lt;0,0,AH453-AI453)</f>
        <v>0</v>
      </c>
      <c r="AK453" s="22">
        <f>AJ453*Variables!$E$43*Variables!$C$15</f>
        <v>0</v>
      </c>
      <c r="AL453" s="20">
        <f>Z453*Variables!$E$38*Variables!$C$15</f>
        <v>13278029.131308323</v>
      </c>
      <c r="AN453" s="200">
        <f t="shared" si="84"/>
        <v>0.25221875000000005</v>
      </c>
      <c r="AO453" s="201">
        <f t="shared" si="89"/>
        <v>61.690791459240835</v>
      </c>
      <c r="AP453" s="321">
        <f>VLOOKUP(A453,'Household Information'!H:Q,10,FALSE)</f>
        <v>60.413984601792251</v>
      </c>
      <c r="AQ453" s="122">
        <f>IF(12*(AO453-Variables!$C$3*AP453*F453)*(G453/5)&lt;0,0,12*(AO453-Variables!$C$3*AP453*F453)*(G453/5))</f>
        <v>2182605.380979721</v>
      </c>
    </row>
    <row r="454" spans="1:43" ht="14.25" customHeight="1" x14ac:dyDescent="0.35">
      <c r="A454" s="30">
        <v>31</v>
      </c>
      <c r="B454" s="28" t="s">
        <v>184</v>
      </c>
      <c r="C454" s="28">
        <v>2029</v>
      </c>
      <c r="D454" s="196">
        <f>Population!N32</f>
        <v>258510.48833295947</v>
      </c>
      <c r="E454" s="303" t="str">
        <f t="shared" si="90"/>
        <v>Medium</v>
      </c>
      <c r="F454" s="340">
        <f>VLOOKUP(A454,'Household Information'!$H$2:$M$49,6,FALSE)</f>
        <v>3.6621172202306398</v>
      </c>
      <c r="G454" s="196">
        <f t="shared" si="85"/>
        <v>70590</v>
      </c>
      <c r="H454" s="213">
        <f>Area!P32</f>
        <v>763.27080232583955</v>
      </c>
      <c r="J454" s="32">
        <f>D454*Variables!$C$20</f>
        <v>232.65943949966353</v>
      </c>
      <c r="K454" s="202">
        <f t="shared" si="81"/>
        <v>522.30024000000003</v>
      </c>
      <c r="L454" s="32">
        <f t="shared" si="86"/>
        <v>0</v>
      </c>
      <c r="S454" s="198">
        <f>$L454*Variables!$C$21/100</f>
        <v>0</v>
      </c>
      <c r="T454" s="198">
        <f>$L454*Variables!$C$22/100</f>
        <v>0</v>
      </c>
      <c r="U454" s="198">
        <f>$L454*Variables!$C$23/100</f>
        <v>0</v>
      </c>
      <c r="V454" s="198">
        <f>$L454*Variables!$C$24/100</f>
        <v>0</v>
      </c>
      <c r="W454" s="22">
        <f>S454*Variables!$E$25*Variables!$C$15+'Cost Calculations'!T454*Variables!$E$26*Variables!$C$15+'Cost Calculations'!U454*Variables!$E$27*Variables!$C$15+V454*Variables!$E$28*Variables!$C$15</f>
        <v>0</v>
      </c>
      <c r="X454" s="20">
        <f>J454*Variables!$E$29*Variables!$C$15</f>
        <v>39770.804588072482</v>
      </c>
      <c r="Z454" s="33">
        <f>D454*(IF(D454&lt;50000,0,IF(D454&gt;Variables!$C$7,Variables!$C$37,IF(D454&gt;Variables!$C$6,Variables!$C$36,IF(D454&gt;Variables!$C$5,Variables!$C$35)))))</f>
        <v>129.25524416647974</v>
      </c>
      <c r="AA454" s="34">
        <f t="shared" si="80"/>
        <v>3158</v>
      </c>
      <c r="AB454" s="35">
        <f t="shared" si="87"/>
        <v>0</v>
      </c>
      <c r="AC454" s="22">
        <f>AB454*Variables!$E$41</f>
        <v>0</v>
      </c>
      <c r="AD454" s="115">
        <f>ROUND(IF(D454&lt;50000,0,(H454/(3.14*Variables!$C$34^2))),0)</f>
        <v>972</v>
      </c>
      <c r="AE454" s="116">
        <f t="shared" si="82"/>
        <v>959</v>
      </c>
      <c r="AF454" s="117">
        <f t="shared" si="88"/>
        <v>13</v>
      </c>
      <c r="AG454" s="107">
        <f>AF454*Variables!$E$42*Variables!$C$15</f>
        <v>8808.0720000000001</v>
      </c>
      <c r="AH454" s="199">
        <f>ROUND((Z454)/Variables!$C$40,0)</f>
        <v>1</v>
      </c>
      <c r="AI454" s="33">
        <f t="shared" si="83"/>
        <v>27</v>
      </c>
      <c r="AJ454" s="199">
        <f t="shared" si="91"/>
        <v>0</v>
      </c>
      <c r="AK454" s="22">
        <f>AJ454*Variables!$E$43*Variables!$C$15</f>
        <v>0</v>
      </c>
      <c r="AL454" s="20">
        <f>Z454*Variables!$E$38*Variables!$C$15</f>
        <v>22914177.21496975</v>
      </c>
      <c r="AN454" s="200">
        <f t="shared" si="84"/>
        <v>0.14000000000000001</v>
      </c>
      <c r="AO454" s="201">
        <f t="shared" si="89"/>
        <v>30.761784649937375</v>
      </c>
      <c r="AP454" s="321">
        <f>VLOOKUP(A454,'Household Information'!H:Q,10,FALSE)</f>
        <v>118.33648870377382</v>
      </c>
      <c r="AQ454" s="122">
        <f>IF(12*(AO454-Variables!$C$3*AP454*F454)*(G454/5)&lt;0,0,12*(AO454-Variables!$C$3*AP454*F454)*(G454/5))</f>
        <v>0</v>
      </c>
    </row>
    <row r="455" spans="1:43" ht="14.25" customHeight="1" x14ac:dyDescent="0.35">
      <c r="A455" s="30">
        <v>32</v>
      </c>
      <c r="B455" s="28" t="s">
        <v>185</v>
      </c>
      <c r="C455" s="28">
        <v>2029</v>
      </c>
      <c r="D455" s="196">
        <f>Population!N33</f>
        <v>1799701.1830027597</v>
      </c>
      <c r="E455" s="303" t="str">
        <f t="shared" si="90"/>
        <v>Large</v>
      </c>
      <c r="F455" s="340">
        <f>VLOOKUP(A455,'Household Information'!$H$2:$M$49,6,FALSE)</f>
        <v>6.457235996477583</v>
      </c>
      <c r="G455" s="196">
        <f t="shared" si="85"/>
        <v>278711</v>
      </c>
      <c r="H455" s="213">
        <f>Area!P33</f>
        <v>45.081167550813326</v>
      </c>
      <c r="J455" s="32">
        <f>D455*Variables!$C$20</f>
        <v>1619.7310647024838</v>
      </c>
      <c r="K455" s="202">
        <f t="shared" si="81"/>
        <v>1582.2321624523627</v>
      </c>
      <c r="L455" s="32">
        <f t="shared" si="86"/>
        <v>37.498902250121091</v>
      </c>
      <c r="S455" s="198">
        <f>$L455*Variables!$C$21/100</f>
        <v>2.0361394886943578</v>
      </c>
      <c r="T455" s="198">
        <f>$L455*Variables!$C$22/100</f>
        <v>3.563244105215126</v>
      </c>
      <c r="U455" s="198">
        <f>$L455*Variables!$C$23/100</f>
        <v>3.7329223959396565</v>
      </c>
      <c r="V455" s="198">
        <f>$L455*Variables!$C$24/100</f>
        <v>27.148526515924772</v>
      </c>
      <c r="W455" s="22">
        <f>S455*Variables!$E$25*Variables!$C$15+'Cost Calculations'!T455*Variables!$E$26*Variables!$C$15+'Cost Calculations'!U455*Variables!$E$27*Variables!$C$15+V455*Variables!$E$28*Variables!$C$15</f>
        <v>25152078.72445114</v>
      </c>
      <c r="X455" s="20">
        <f>J455*Variables!$E$29*Variables!$C$15</f>
        <v>276876.82820024254</v>
      </c>
      <c r="Z455" s="33">
        <f>D455*(IF(D455&lt;50000,0,IF(D455&gt;Variables!$C$7,Variables!$C$37,IF(D455&gt;Variables!$C$6,Variables!$C$36,IF(D455&gt;Variables!$C$5,Variables!$C$35)))))</f>
        <v>899.85059150137988</v>
      </c>
      <c r="AA455" s="34">
        <f t="shared" si="80"/>
        <v>879</v>
      </c>
      <c r="AB455" s="35">
        <f t="shared" si="87"/>
        <v>21</v>
      </c>
      <c r="AC455" s="22">
        <f>AB455*Variables!$E$41</f>
        <v>7761600.0000000009</v>
      </c>
      <c r="AD455" s="115">
        <f>ROUND(IF(D455&lt;50000,0,(H455/(3.14*Variables!$C$34^2))),0)</f>
        <v>57</v>
      </c>
      <c r="AE455" s="116">
        <f t="shared" si="82"/>
        <v>57</v>
      </c>
      <c r="AF455" s="117">
        <f t="shared" si="88"/>
        <v>0</v>
      </c>
      <c r="AG455" s="107">
        <f>AF455*Variables!$E$42*Variables!$C$15</f>
        <v>0</v>
      </c>
      <c r="AH455" s="199">
        <f>ROUND((Z455)/Variables!$C$40,0)</f>
        <v>7</v>
      </c>
      <c r="AI455" s="33">
        <f t="shared" si="83"/>
        <v>7</v>
      </c>
      <c r="AJ455" s="199">
        <f t="shared" si="91"/>
        <v>0</v>
      </c>
      <c r="AK455" s="22">
        <f>AJ455*Variables!$E$43*Variables!$C$15</f>
        <v>0</v>
      </c>
      <c r="AL455" s="20">
        <f>Z455*Variables!$E$38*Variables!$C$15</f>
        <v>159524172.91557184</v>
      </c>
      <c r="AN455" s="200">
        <f t="shared" si="84"/>
        <v>0.14000000000000001</v>
      </c>
      <c r="AO455" s="201">
        <f t="shared" si="89"/>
        <v>54.240782370411701</v>
      </c>
      <c r="AP455" s="321">
        <f>VLOOKUP(A455,'Household Information'!H:Q,10,FALSE)</f>
        <v>105.97627161428754</v>
      </c>
      <c r="AQ455" s="122">
        <f>IF(12*(AO455-Variables!$C$3*AP455*F455)*(G455/5)&lt;0,0,12*(AO455-Variables!$C$3*AP455*F455)*(G455/5))</f>
        <v>0</v>
      </c>
    </row>
    <row r="456" spans="1:43" ht="14.25" customHeight="1" x14ac:dyDescent="0.35">
      <c r="A456" s="30">
        <v>33</v>
      </c>
      <c r="B456" s="28" t="s">
        <v>186</v>
      </c>
      <c r="C456" s="28">
        <v>2029</v>
      </c>
      <c r="D456" s="196">
        <f>Population!N34</f>
        <v>1133707.9313285153</v>
      </c>
      <c r="E456" s="303" t="str">
        <f t="shared" si="90"/>
        <v>Large</v>
      </c>
      <c r="F456" s="340">
        <f>VLOOKUP(A456,'Household Information'!$H$2:$M$49,6,FALSE)</f>
        <v>3.9813857124502121</v>
      </c>
      <c r="G456" s="196">
        <f t="shared" si="85"/>
        <v>284752</v>
      </c>
      <c r="H456" s="213">
        <f>Area!P34</f>
        <v>376.19457059644219</v>
      </c>
      <c r="J456" s="32">
        <f>D456*Variables!$C$20</f>
        <v>1020.3371381956638</v>
      </c>
      <c r="K456" s="202">
        <f t="shared" si="81"/>
        <v>1137.8472300000001</v>
      </c>
      <c r="L456" s="32">
        <f t="shared" si="86"/>
        <v>0</v>
      </c>
      <c r="S456" s="198">
        <f>$L456*Variables!$C$21/100</f>
        <v>0</v>
      </c>
      <c r="T456" s="198">
        <f>$L456*Variables!$C$22/100</f>
        <v>0</v>
      </c>
      <c r="U456" s="198">
        <f>$L456*Variables!$C$23/100</f>
        <v>0</v>
      </c>
      <c r="V456" s="198">
        <f>$L456*Variables!$C$24/100</f>
        <v>0</v>
      </c>
      <c r="W456" s="22">
        <f>S456*Variables!$E$25*Variables!$C$15+'Cost Calculations'!T456*Variables!$E$26*Variables!$C$15+'Cost Calculations'!U456*Variables!$E$27*Variables!$C$15+V456*Variables!$E$28*Variables!$C$15</f>
        <v>0</v>
      </c>
      <c r="X456" s="20">
        <f>J456*Variables!$E$29*Variables!$C$15</f>
        <v>174416.43040316677</v>
      </c>
      <c r="Z456" s="33">
        <f>D456*(IF(D456&lt;50000,0,IF(D456&gt;Variables!$C$7,Variables!$C$37,IF(D456&gt;Variables!$C$6,Variables!$C$36,IF(D456&gt;Variables!$C$5,Variables!$C$35)))))</f>
        <v>566.85396566425766</v>
      </c>
      <c r="AA456" s="34">
        <f t="shared" si="80"/>
        <v>554</v>
      </c>
      <c r="AB456" s="35">
        <f t="shared" si="87"/>
        <v>13</v>
      </c>
      <c r="AC456" s="22">
        <f>AB456*Variables!$E$41</f>
        <v>4804800.0000000009</v>
      </c>
      <c r="AD456" s="115">
        <f>ROUND(IF(D456&lt;50000,0,(H456/(3.14*Variables!$C$34^2))),0)</f>
        <v>479</v>
      </c>
      <c r="AE456" s="116">
        <f t="shared" si="82"/>
        <v>473</v>
      </c>
      <c r="AF456" s="117">
        <f t="shared" si="88"/>
        <v>6</v>
      </c>
      <c r="AG456" s="107">
        <f>AF456*Variables!$E$42*Variables!$C$15</f>
        <v>4065.2640000000001</v>
      </c>
      <c r="AH456" s="199">
        <f>ROUND((Z456)/Variables!$C$40,0)</f>
        <v>5</v>
      </c>
      <c r="AI456" s="33">
        <f t="shared" si="83"/>
        <v>4</v>
      </c>
      <c r="AJ456" s="199">
        <f t="shared" si="91"/>
        <v>1</v>
      </c>
      <c r="AK456" s="22">
        <f>AJ456*Variables!$E$43*Variables!$C$15</f>
        <v>552717.39600000007</v>
      </c>
      <c r="AL456" s="20">
        <f>Z456*Variables!$E$38*Variables!$C$15</f>
        <v>100491026.94440356</v>
      </c>
      <c r="AN456" s="200">
        <f t="shared" si="84"/>
        <v>0.14000000000000001</v>
      </c>
      <c r="AO456" s="201">
        <f t="shared" si="89"/>
        <v>33.443639984581786</v>
      </c>
      <c r="AP456" s="321">
        <f>VLOOKUP(A456,'Household Information'!H:Q,10,FALSE)</f>
        <v>212.04089360090876</v>
      </c>
      <c r="AQ456" s="122">
        <f>IF(12*(AO456-Variables!$C$3*AP456*F456)*(G456/5)&lt;0,0,12*(AO456-Variables!$C$3*AP456*F456)*(G456/5))</f>
        <v>0</v>
      </c>
    </row>
    <row r="457" spans="1:43" ht="14.25" customHeight="1" x14ac:dyDescent="0.35">
      <c r="A457" s="30">
        <v>34</v>
      </c>
      <c r="B457" s="28" t="s">
        <v>187</v>
      </c>
      <c r="C457" s="28">
        <v>2029</v>
      </c>
      <c r="D457" s="196">
        <f>Population!N35</f>
        <v>655832.89829857543</v>
      </c>
      <c r="E457" s="303" t="str">
        <f t="shared" si="90"/>
        <v>Medium</v>
      </c>
      <c r="F457" s="340">
        <f>VLOOKUP(A457,'Household Information'!$H$2:$M$49,6,FALSE)</f>
        <v>4.3021399999999996</v>
      </c>
      <c r="G457" s="196">
        <f t="shared" si="85"/>
        <v>152443</v>
      </c>
      <c r="H457" s="213">
        <f>Area!P35</f>
        <v>114.44056975963275</v>
      </c>
      <c r="J457" s="32">
        <f>D457*Variables!$C$20</f>
        <v>590.24960846871784</v>
      </c>
      <c r="K457" s="202">
        <f t="shared" si="81"/>
        <v>576.58455452644125</v>
      </c>
      <c r="L457" s="32">
        <f t="shared" si="86"/>
        <v>13.665053942276586</v>
      </c>
      <c r="S457" s="198">
        <f>$L457*Variables!$C$21/100</f>
        <v>0.74199387921863802</v>
      </c>
      <c r="T457" s="198">
        <f>$L457*Variables!$C$22/100</f>
        <v>1.2984892886326167</v>
      </c>
      <c r="U457" s="198">
        <f>$L457*Variables!$C$23/100</f>
        <v>1.3603221119008366</v>
      </c>
      <c r="V457" s="198">
        <f>$L457*Variables!$C$24/100</f>
        <v>9.893251722915176</v>
      </c>
      <c r="W457" s="22">
        <f>S457*Variables!$E$25*Variables!$C$15+'Cost Calculations'!T457*Variables!$E$26*Variables!$C$15+'Cost Calculations'!U457*Variables!$E$27*Variables!$C$15+V457*Variables!$E$28*Variables!$C$15</f>
        <v>9165721.9786721151</v>
      </c>
      <c r="X457" s="20">
        <f>J457*Variables!$E$29*Variables!$C$15</f>
        <v>100897.26807164263</v>
      </c>
      <c r="Z457" s="33">
        <f>D457*(IF(D457&lt;50000,0,IF(D457&gt;Variables!$C$7,Variables!$C$37,IF(D457&gt;Variables!$C$6,Variables!$C$36,IF(D457&gt;Variables!$C$5,Variables!$C$35)))))</f>
        <v>327.9164491492877</v>
      </c>
      <c r="AA457" s="34">
        <f t="shared" si="80"/>
        <v>1061</v>
      </c>
      <c r="AB457" s="35">
        <f t="shared" si="87"/>
        <v>0</v>
      </c>
      <c r="AC457" s="22">
        <f>AB457*Variables!$E$41</f>
        <v>0</v>
      </c>
      <c r="AD457" s="115">
        <f>ROUND(IF(D457&lt;50000,0,(H457/(3.14*Variables!$C$34^2))),0)</f>
        <v>146</v>
      </c>
      <c r="AE457" s="116">
        <f t="shared" si="82"/>
        <v>144</v>
      </c>
      <c r="AF457" s="117">
        <f t="shared" si="88"/>
        <v>2</v>
      </c>
      <c r="AG457" s="107">
        <f>AF457*Variables!$E$42*Variables!$C$15</f>
        <v>1355.088</v>
      </c>
      <c r="AH457" s="199">
        <f>ROUND((Z457)/Variables!$C$40,0)</f>
        <v>3</v>
      </c>
      <c r="AI457" s="33">
        <f t="shared" si="83"/>
        <v>3</v>
      </c>
      <c r="AJ457" s="199">
        <f t="shared" si="91"/>
        <v>0</v>
      </c>
      <c r="AK457" s="22">
        <f>AJ457*Variables!$E$43*Variables!$C$15</f>
        <v>0</v>
      </c>
      <c r="AL457" s="20">
        <f>Z457*Variables!$E$38*Variables!$C$15</f>
        <v>58132539.812717415</v>
      </c>
      <c r="AN457" s="200">
        <f t="shared" si="84"/>
        <v>0.21</v>
      </c>
      <c r="AO457" s="201">
        <f t="shared" si="89"/>
        <v>54.206963999999992</v>
      </c>
      <c r="AP457" s="321">
        <f>VLOOKUP(A457,'Household Information'!H:Q,10,FALSE)</f>
        <v>71.56380159030671</v>
      </c>
      <c r="AQ457" s="122">
        <f>IF(12*(AO457-Variables!$C$3*AP457*F457)*(G457/5)&lt;0,0,12*(AO457-Variables!$C$3*AP457*F457)*(G457/5))</f>
        <v>2936176.5712714852</v>
      </c>
    </row>
    <row r="458" spans="1:43" ht="14.25" customHeight="1" x14ac:dyDescent="0.35">
      <c r="A458" s="30">
        <v>35</v>
      </c>
      <c r="B458" s="28" t="s">
        <v>188</v>
      </c>
      <c r="C458" s="28">
        <v>2029</v>
      </c>
      <c r="D458" s="196">
        <f>Population!N36</f>
        <v>279401.33344326197</v>
      </c>
      <c r="E458" s="303" t="str">
        <f t="shared" si="90"/>
        <v>Medium</v>
      </c>
      <c r="F458" s="340">
        <f>VLOOKUP(A458,'Household Information'!$H$2:$M$49,6,FALSE)</f>
        <v>5.0911666666666671</v>
      </c>
      <c r="G458" s="196">
        <f t="shared" si="85"/>
        <v>54880</v>
      </c>
      <c r="H458" s="213">
        <f>Area!P36</f>
        <v>38.917734492503321</v>
      </c>
      <c r="J458" s="32">
        <f>D458*Variables!$C$20</f>
        <v>251.46120009893576</v>
      </c>
      <c r="K458" s="202">
        <f t="shared" si="81"/>
        <v>245.63954293146014</v>
      </c>
      <c r="L458" s="32">
        <f t="shared" si="86"/>
        <v>5.821657167475621</v>
      </c>
      <c r="S458" s="198">
        <f>$L458*Variables!$C$21/100</f>
        <v>0.31610808149188885</v>
      </c>
      <c r="T458" s="198">
        <f>$L458*Variables!$C$22/100</f>
        <v>0.55318914261080565</v>
      </c>
      <c r="U458" s="198">
        <f>$L458*Variables!$C$23/100</f>
        <v>0.57953148273512978</v>
      </c>
      <c r="V458" s="198">
        <f>$L458*Variables!$C$24/100</f>
        <v>4.2147744198918522</v>
      </c>
      <c r="W458" s="22">
        <f>S458*Variables!$E$25*Variables!$C$15+'Cost Calculations'!T458*Variables!$E$26*Variables!$C$15+'Cost Calculations'!U458*Variables!$E$27*Variables!$C$15+V458*Variables!$E$28*Variables!$C$15</f>
        <v>3904828.4242144506</v>
      </c>
      <c r="X458" s="20">
        <f>J458*Variables!$E$29*Variables!$C$15</f>
        <v>42984.777544912082</v>
      </c>
      <c r="Z458" s="33">
        <f>D458*(IF(D458&lt;50000,0,IF(D458&gt;Variables!$C$7,Variables!$C$37,IF(D458&gt;Variables!$C$6,Variables!$C$36,IF(D458&gt;Variables!$C$5,Variables!$C$35)))))</f>
        <v>139.70066672163099</v>
      </c>
      <c r="AA458" s="34">
        <f t="shared" si="80"/>
        <v>136</v>
      </c>
      <c r="AB458" s="35">
        <f t="shared" si="87"/>
        <v>4</v>
      </c>
      <c r="AC458" s="22">
        <f>AB458*Variables!$E$41</f>
        <v>1478400.0000000002</v>
      </c>
      <c r="AD458" s="115">
        <f>ROUND(IF(D458&lt;50000,0,(H458/(3.14*Variables!$C$34^2))),0)</f>
        <v>50</v>
      </c>
      <c r="AE458" s="116">
        <f t="shared" si="82"/>
        <v>49</v>
      </c>
      <c r="AF458" s="117">
        <f t="shared" si="88"/>
        <v>1</v>
      </c>
      <c r="AG458" s="107">
        <f>AF458*Variables!$E$42*Variables!$C$15</f>
        <v>677.54399999999998</v>
      </c>
      <c r="AH458" s="199">
        <f>ROUND((Z458)/Variables!$C$40,0)</f>
        <v>1</v>
      </c>
      <c r="AI458" s="33">
        <f t="shared" si="83"/>
        <v>1</v>
      </c>
      <c r="AJ458" s="199">
        <f t="shared" si="91"/>
        <v>0</v>
      </c>
      <c r="AK458" s="22">
        <f>AJ458*Variables!$E$43*Variables!$C$15</f>
        <v>0</v>
      </c>
      <c r="AL458" s="20">
        <f>Z458*Variables!$E$38*Variables!$C$15</f>
        <v>24765926.171520397</v>
      </c>
      <c r="AN458" s="200">
        <f t="shared" si="84"/>
        <v>0.25221875000000005</v>
      </c>
      <c r="AO458" s="201">
        <f t="shared" si="89"/>
        <v>77.045261562500016</v>
      </c>
      <c r="AP458" s="321">
        <f>VLOOKUP(A458,'Household Information'!H:Q,10,FALSE)</f>
        <v>112.55837435314906</v>
      </c>
      <c r="AQ458" s="122">
        <f>IF(12*(AO458-Variables!$C$3*AP458*F458)*(G458/5)&lt;0,0,12*(AO458-Variables!$C$3*AP458*F458)*(G458/5))</f>
        <v>0</v>
      </c>
    </row>
    <row r="459" spans="1:43" ht="14.25" customHeight="1" x14ac:dyDescent="0.35">
      <c r="A459" s="30">
        <v>36</v>
      </c>
      <c r="B459" s="28" t="s">
        <v>189</v>
      </c>
      <c r="C459" s="28">
        <v>2029</v>
      </c>
      <c r="D459" s="196">
        <f>Population!N37</f>
        <v>1791386.9193402093</v>
      </c>
      <c r="E459" s="303" t="str">
        <f t="shared" si="90"/>
        <v>Large</v>
      </c>
      <c r="F459" s="340">
        <f>VLOOKUP(A459,'Household Information'!$H$2:$M$49,6,FALSE)</f>
        <v>4.8963166666666664</v>
      </c>
      <c r="G459" s="196">
        <f t="shared" si="85"/>
        <v>365864</v>
      </c>
      <c r="H459" s="213">
        <f>Area!P37</f>
        <v>72.884396253711884</v>
      </c>
      <c r="J459" s="32">
        <f>D459*Variables!$C$20</f>
        <v>1612.2482274061883</v>
      </c>
      <c r="K459" s="202">
        <f t="shared" si="81"/>
        <v>1574.9225626708883</v>
      </c>
      <c r="L459" s="32">
        <f t="shared" si="86"/>
        <v>37.325664735300052</v>
      </c>
      <c r="S459" s="198">
        <f>$L459*Variables!$C$21/100</f>
        <v>2.0267329268036223</v>
      </c>
      <c r="T459" s="198">
        <f>$L459*Variables!$C$22/100</f>
        <v>3.5467826219063396</v>
      </c>
      <c r="U459" s="198">
        <f>$L459*Variables!$C$23/100</f>
        <v>3.7156770324733084</v>
      </c>
      <c r="V459" s="198">
        <f>$L459*Variables!$C$24/100</f>
        <v>27.023105690714971</v>
      </c>
      <c r="W459" s="22">
        <f>S459*Variables!$E$25*Variables!$C$15+'Cost Calculations'!T459*Variables!$E$26*Variables!$C$15+'Cost Calculations'!U459*Variables!$E$27*Variables!$C$15+V459*Variables!$E$28*Variables!$C$15</f>
        <v>25035881.093338005</v>
      </c>
      <c r="X459" s="20">
        <f>J459*Variables!$E$29*Variables!$C$15</f>
        <v>275597.71199281386</v>
      </c>
      <c r="Z459" s="33">
        <f>D459*(IF(D459&lt;50000,0,IF(D459&gt;Variables!$C$7,Variables!$C$37,IF(D459&gt;Variables!$C$6,Variables!$C$36,IF(D459&gt;Variables!$C$5,Variables!$C$35)))))</f>
        <v>895.69345967010463</v>
      </c>
      <c r="AA459" s="34">
        <f t="shared" si="80"/>
        <v>875</v>
      </c>
      <c r="AB459" s="35">
        <f t="shared" si="87"/>
        <v>21</v>
      </c>
      <c r="AC459" s="22">
        <f>AB459*Variables!$E$41</f>
        <v>7761600.0000000009</v>
      </c>
      <c r="AD459" s="115">
        <f>ROUND(IF(D459&lt;50000,0,(H459/(3.14*Variables!$C$34^2))),0)</f>
        <v>93</v>
      </c>
      <c r="AE459" s="116">
        <f t="shared" si="82"/>
        <v>92</v>
      </c>
      <c r="AF459" s="117">
        <f t="shared" si="88"/>
        <v>1</v>
      </c>
      <c r="AG459" s="107">
        <f>AF459*Variables!$E$42*Variables!$C$15</f>
        <v>677.54399999999998</v>
      </c>
      <c r="AH459" s="199">
        <f>ROUND((Z459)/Variables!$C$40,0)</f>
        <v>7</v>
      </c>
      <c r="AI459" s="33">
        <f t="shared" si="83"/>
        <v>7</v>
      </c>
      <c r="AJ459" s="199">
        <f t="shared" si="91"/>
        <v>0</v>
      </c>
      <c r="AK459" s="22">
        <f>AJ459*Variables!$E$43*Variables!$C$15</f>
        <v>0</v>
      </c>
      <c r="AL459" s="20">
        <f>Z459*Variables!$E$38*Variables!$C$15</f>
        <v>158787202.77480799</v>
      </c>
      <c r="AN459" s="200">
        <f t="shared" si="84"/>
        <v>0.28000000000000003</v>
      </c>
      <c r="AO459" s="201">
        <f t="shared" si="89"/>
        <v>82.258120000000005</v>
      </c>
      <c r="AP459" s="321">
        <f>VLOOKUP(A459,'Household Information'!H:Q,10,FALSE)</f>
        <v>50.200681560015155</v>
      </c>
      <c r="AQ459" s="122">
        <f>IF(12*(AO459-Variables!$C$3*AP459*F459)*(G459/5)&lt;0,0,12*(AO459-Variables!$C$3*AP459*F459)*(G459/5))</f>
        <v>39854316.211419635</v>
      </c>
    </row>
    <row r="460" spans="1:43" ht="14.25" customHeight="1" x14ac:dyDescent="0.35">
      <c r="A460" s="30">
        <v>37</v>
      </c>
      <c r="B460" s="28" t="s">
        <v>190</v>
      </c>
      <c r="C460" s="28">
        <v>2029</v>
      </c>
      <c r="D460" s="196">
        <f>Population!N38</f>
        <v>298875.97926084185</v>
      </c>
      <c r="E460" s="303" t="str">
        <f t="shared" si="90"/>
        <v>Medium</v>
      </c>
      <c r="F460" s="340">
        <f>VLOOKUP(A460,'Household Information'!$H$2:$M$49,6,FALSE)</f>
        <v>5.027102564102564</v>
      </c>
      <c r="G460" s="196">
        <f t="shared" si="85"/>
        <v>59453</v>
      </c>
      <c r="H460" s="213">
        <f>Area!P38</f>
        <v>30.62756619824227</v>
      </c>
      <c r="J460" s="32">
        <f>D460*Variables!$C$20</f>
        <v>268.98838133475766</v>
      </c>
      <c r="K460" s="202">
        <f t="shared" si="81"/>
        <v>262.76094689338441</v>
      </c>
      <c r="L460" s="32">
        <f t="shared" si="86"/>
        <v>6.2274344413732479</v>
      </c>
      <c r="S460" s="198">
        <f>$L460*Variables!$C$21/100</f>
        <v>0.33814123663565143</v>
      </c>
      <c r="T460" s="198">
        <f>$L460*Variables!$C$22/100</f>
        <v>0.59174716411239003</v>
      </c>
      <c r="U460" s="198">
        <f>$L460*Variables!$C$23/100</f>
        <v>0.61992560049869438</v>
      </c>
      <c r="V460" s="198">
        <f>$L460*Variables!$C$24/100</f>
        <v>4.5085498218086864</v>
      </c>
      <c r="W460" s="22">
        <f>S460*Variables!$E$25*Variables!$C$15+'Cost Calculations'!T460*Variables!$E$26*Variables!$C$15+'Cost Calculations'!U460*Variables!$E$27*Variables!$C$15+V460*Variables!$E$28*Variables!$C$15</f>
        <v>4177000.1765924376</v>
      </c>
      <c r="X460" s="20">
        <f>J460*Variables!$E$29*Variables!$C$15</f>
        <v>45980.873905363478</v>
      </c>
      <c r="Z460" s="33">
        <f>D460*(IF(D460&lt;50000,0,IF(D460&gt;Variables!$C$7,Variables!$C$37,IF(D460&gt;Variables!$C$6,Variables!$C$36,IF(D460&gt;Variables!$C$5,Variables!$C$35)))))</f>
        <v>149.43798963042093</v>
      </c>
      <c r="AA460" s="34">
        <f t="shared" si="80"/>
        <v>146</v>
      </c>
      <c r="AB460" s="35">
        <f t="shared" si="87"/>
        <v>3</v>
      </c>
      <c r="AC460" s="22">
        <f>AB460*Variables!$E$41</f>
        <v>1108800.0000000002</v>
      </c>
      <c r="AD460" s="115">
        <f>ROUND(IF(D460&lt;50000,0,(H460/(3.14*Variables!$C$34^2))),0)</f>
        <v>39</v>
      </c>
      <c r="AE460" s="116">
        <f t="shared" si="82"/>
        <v>38</v>
      </c>
      <c r="AF460" s="117">
        <f t="shared" si="88"/>
        <v>1</v>
      </c>
      <c r="AG460" s="107">
        <f>AF460*Variables!$E$42*Variables!$C$15</f>
        <v>677.54399999999998</v>
      </c>
      <c r="AH460" s="199">
        <f>ROUND((Z460)/Variables!$C$40,0)</f>
        <v>1</v>
      </c>
      <c r="AI460" s="33">
        <f t="shared" si="83"/>
        <v>1</v>
      </c>
      <c r="AJ460" s="199">
        <f t="shared" si="91"/>
        <v>0</v>
      </c>
      <c r="AK460" s="22">
        <f>AJ460*Variables!$E$43*Variables!$C$15</f>
        <v>0</v>
      </c>
      <c r="AL460" s="20">
        <f>Z460*Variables!$E$38*Variables!$C$15</f>
        <v>26492144.277178194</v>
      </c>
      <c r="AN460" s="200">
        <f t="shared" si="84"/>
        <v>0.14000000000000001</v>
      </c>
      <c r="AO460" s="201">
        <f t="shared" si="89"/>
        <v>42.22766153846154</v>
      </c>
      <c r="AP460" s="321">
        <f>VLOOKUP(A460,'Household Information'!H:Q,10,FALSE)</f>
        <v>74.965290925154619</v>
      </c>
      <c r="AQ460" s="122">
        <f>IF(12*(AO460-Variables!$C$3*AP460*F460)*(G460/5)&lt;0,0,12*(AO460-Variables!$C$3*AP460*F460)*(G460/5))</f>
        <v>0</v>
      </c>
    </row>
    <row r="461" spans="1:43" ht="14.25" customHeight="1" x14ac:dyDescent="0.35">
      <c r="A461" s="30">
        <v>38</v>
      </c>
      <c r="B461" s="28" t="s">
        <v>191</v>
      </c>
      <c r="C461" s="28">
        <v>2029</v>
      </c>
      <c r="D461" s="196">
        <f>Population!N39</f>
        <v>1314360.996112257</v>
      </c>
      <c r="E461" s="303" t="str">
        <f t="shared" si="90"/>
        <v>Large</v>
      </c>
      <c r="F461" s="340">
        <f>VLOOKUP(A461,'Household Information'!$H$2:$M$49,6,FALSE)</f>
        <v>4.5378736842105267</v>
      </c>
      <c r="G461" s="196">
        <f t="shared" si="85"/>
        <v>289642</v>
      </c>
      <c r="H461" s="213">
        <f>Area!P39</f>
        <v>123.2011121508242</v>
      </c>
      <c r="J461" s="32">
        <f>D461*Variables!$C$20</f>
        <v>1182.9248965010313</v>
      </c>
      <c r="K461" s="202">
        <f t="shared" si="81"/>
        <v>1155.5386309475737</v>
      </c>
      <c r="L461" s="32">
        <f t="shared" si="86"/>
        <v>27.386265553457633</v>
      </c>
      <c r="S461" s="198">
        <f>$L461*Variables!$C$21/100</f>
        <v>1.4870370436266587</v>
      </c>
      <c r="T461" s="198">
        <f>$L461*Variables!$C$22/100</f>
        <v>2.6023148263466527</v>
      </c>
      <c r="U461" s="198">
        <f>$L461*Variables!$C$23/100</f>
        <v>2.7262345799822079</v>
      </c>
      <c r="V461" s="198">
        <f>$L461*Variables!$C$24/100</f>
        <v>19.827160581688783</v>
      </c>
      <c r="W461" s="22">
        <f>S461*Variables!$E$25*Variables!$C$15+'Cost Calculations'!T461*Variables!$E$26*Variables!$C$15+'Cost Calculations'!U461*Variables!$E$27*Variables!$C$15+V461*Variables!$E$28*Variables!$C$15</f>
        <v>18369111.249571756</v>
      </c>
      <c r="X461" s="20">
        <f>J461*Variables!$E$29*Variables!$C$15</f>
        <v>202209.18180788631</v>
      </c>
      <c r="Z461" s="33">
        <f>D461*(IF(D461&lt;50000,0,IF(D461&gt;Variables!$C$7,Variables!$C$37,IF(D461&gt;Variables!$C$6,Variables!$C$36,IF(D461&gt;Variables!$C$5,Variables!$C$35)))))</f>
        <v>657.1804980561285</v>
      </c>
      <c r="AA461" s="34">
        <f t="shared" si="80"/>
        <v>642</v>
      </c>
      <c r="AB461" s="35">
        <f t="shared" si="87"/>
        <v>15</v>
      </c>
      <c r="AC461" s="22">
        <f>AB461*Variables!$E$41</f>
        <v>5544000.0000000009</v>
      </c>
      <c r="AD461" s="115">
        <f>ROUND(IF(D461&lt;50000,0,(H461/(3.14*Variables!$C$34^2))),0)</f>
        <v>157</v>
      </c>
      <c r="AE461" s="116">
        <f t="shared" si="82"/>
        <v>155</v>
      </c>
      <c r="AF461" s="117">
        <f t="shared" si="88"/>
        <v>2</v>
      </c>
      <c r="AG461" s="107">
        <f>AF461*Variables!$E$42*Variables!$C$15</f>
        <v>1355.088</v>
      </c>
      <c r="AH461" s="199">
        <f>ROUND((Z461)/Variables!$C$40,0)</f>
        <v>5</v>
      </c>
      <c r="AI461" s="33">
        <f t="shared" si="83"/>
        <v>5</v>
      </c>
      <c r="AJ461" s="199">
        <f t="shared" si="91"/>
        <v>0</v>
      </c>
      <c r="AK461" s="22">
        <f>AJ461*Variables!$E$43*Variables!$C$15</f>
        <v>0</v>
      </c>
      <c r="AL461" s="20">
        <f>Z461*Variables!$E$38*Variables!$C$15</f>
        <v>116503980.10377558</v>
      </c>
      <c r="AN461" s="200">
        <f t="shared" si="84"/>
        <v>0.21</v>
      </c>
      <c r="AO461" s="201">
        <f t="shared" si="89"/>
        <v>57.177208421052633</v>
      </c>
      <c r="AP461" s="321">
        <f>VLOOKUP(A461,'Household Information'!H:Q,10,FALSE)</f>
        <v>100.71942446043167</v>
      </c>
      <c r="AQ461" s="122">
        <f>IF(12*(AO461-Variables!$C$3*AP461*F461)*(G461/5)&lt;0,0,12*(AO461-Variables!$C$3*AP461*F461)*(G461/5))</f>
        <v>0</v>
      </c>
    </row>
    <row r="462" spans="1:43" ht="14.25" customHeight="1" x14ac:dyDescent="0.35">
      <c r="A462" s="30">
        <v>39</v>
      </c>
      <c r="B462" s="28" t="s">
        <v>192</v>
      </c>
      <c r="C462" s="28">
        <v>2029</v>
      </c>
      <c r="D462" s="196">
        <f>Population!N40</f>
        <v>108204.33347411494</v>
      </c>
      <c r="E462" s="303" t="str">
        <f t="shared" si="90"/>
        <v>Medium</v>
      </c>
      <c r="F462" s="340">
        <f>VLOOKUP(A462,'Household Information'!$H$2:$M$49,6,FALSE)</f>
        <v>3.6693548387096775</v>
      </c>
      <c r="G462" s="196">
        <f t="shared" si="85"/>
        <v>29489</v>
      </c>
      <c r="H462" s="213">
        <f>Area!P40</f>
        <v>29.36101270884128</v>
      </c>
      <c r="J462" s="32">
        <f>D462*Variables!$C$20</f>
        <v>97.383900126703452</v>
      </c>
      <c r="K462" s="202">
        <f t="shared" si="81"/>
        <v>95.129334889814828</v>
      </c>
      <c r="L462" s="32">
        <f t="shared" si="86"/>
        <v>2.2545652368886238</v>
      </c>
      <c r="S462" s="198">
        <f>$L462*Variables!$C$21/100</f>
        <v>0.12241983186725557</v>
      </c>
      <c r="T462" s="198">
        <f>$L462*Variables!$C$22/100</f>
        <v>0.21423470576769726</v>
      </c>
      <c r="U462" s="198">
        <f>$L462*Variables!$C$23/100</f>
        <v>0.22443635842330192</v>
      </c>
      <c r="V462" s="198">
        <f>$L462*Variables!$C$24/100</f>
        <v>1.6322644248967413</v>
      </c>
      <c r="W462" s="22">
        <f>S462*Variables!$E$25*Variables!$C$15+'Cost Calculations'!T462*Variables!$E$26*Variables!$C$15+'Cost Calculations'!U462*Variables!$E$27*Variables!$C$15+V462*Variables!$E$28*Variables!$C$15</f>
        <v>1512230.996774056</v>
      </c>
      <c r="X462" s="20">
        <f>J462*Variables!$E$29*Variables!$C$15</f>
        <v>16646.803887658691</v>
      </c>
      <c r="Z462" s="33">
        <f>D462*(IF(D462&lt;50000,0,IF(D462&gt;Variables!$C$7,Variables!$C$37,IF(D462&gt;Variables!$C$6,Variables!$C$36,IF(D462&gt;Variables!$C$5,Variables!$C$35)))))</f>
        <v>54.102166737057473</v>
      </c>
      <c r="AA462" s="34">
        <f t="shared" si="80"/>
        <v>53</v>
      </c>
      <c r="AB462" s="35">
        <f t="shared" si="87"/>
        <v>1</v>
      </c>
      <c r="AC462" s="22">
        <f>AB462*Variables!$E$41</f>
        <v>369600.00000000006</v>
      </c>
      <c r="AD462" s="115">
        <f>ROUND(IF(D462&lt;50000,0,(H462/(3.14*Variables!$C$34^2))),0)</f>
        <v>37</v>
      </c>
      <c r="AE462" s="116">
        <f t="shared" si="82"/>
        <v>37</v>
      </c>
      <c r="AF462" s="117">
        <f t="shared" si="88"/>
        <v>0</v>
      </c>
      <c r="AG462" s="107">
        <f>AF462*Variables!$E$42*Variables!$C$15</f>
        <v>0</v>
      </c>
      <c r="AH462" s="199">
        <f>ROUND((Z462)/Variables!$C$40,0)</f>
        <v>0</v>
      </c>
      <c r="AI462" s="33">
        <f t="shared" si="83"/>
        <v>0</v>
      </c>
      <c r="AJ462" s="199">
        <f t="shared" si="91"/>
        <v>0</v>
      </c>
      <c r="AK462" s="22">
        <f>AJ462*Variables!$E$43*Variables!$C$15</f>
        <v>0</v>
      </c>
      <c r="AL462" s="20">
        <f>Z462*Variables!$E$38*Variables!$C$15</f>
        <v>9591151.556915123</v>
      </c>
      <c r="AN462" s="200">
        <f t="shared" si="84"/>
        <v>0.25221875000000005</v>
      </c>
      <c r="AO462" s="201">
        <f t="shared" si="89"/>
        <v>55.5288054435484</v>
      </c>
      <c r="AP462" s="321">
        <f>VLOOKUP(A462,'Household Information'!H:Q,10,FALSE)</f>
        <v>69.973494888299896</v>
      </c>
      <c r="AQ462" s="122">
        <f>IF(12*(AO462-Variables!$C$3*AP462*F462)*(G462/5)&lt;0,0,12*(AO462-Variables!$C$3*AP462*F462)*(G462/5))</f>
        <v>1204224.7035954508</v>
      </c>
    </row>
    <row r="463" spans="1:43" ht="14.25" customHeight="1" x14ac:dyDescent="0.35">
      <c r="A463" s="30">
        <v>40</v>
      </c>
      <c r="B463" s="28" t="s">
        <v>193</v>
      </c>
      <c r="C463" s="28">
        <v>2029</v>
      </c>
      <c r="D463" s="196">
        <f>Population!N41</f>
        <v>193200.68198331125</v>
      </c>
      <c r="E463" s="303" t="str">
        <f t="shared" si="90"/>
        <v>Medium</v>
      </c>
      <c r="F463" s="340">
        <f>VLOOKUP(A463,'Household Information'!$H$2:$M$49,6,FALSE)</f>
        <v>4.2245333333333335</v>
      </c>
      <c r="G463" s="196">
        <f t="shared" si="85"/>
        <v>45733</v>
      </c>
      <c r="H463" s="213">
        <f>Area!P41</f>
        <v>40.990276566068601</v>
      </c>
      <c r="J463" s="32">
        <f>D463*Variables!$C$20</f>
        <v>173.88061378498011</v>
      </c>
      <c r="K463" s="202">
        <f t="shared" si="81"/>
        <v>172.36096000000003</v>
      </c>
      <c r="L463" s="32">
        <f t="shared" si="86"/>
        <v>1.5196537849800791</v>
      </c>
      <c r="S463" s="198">
        <f>$L463*Variables!$C$21/100</f>
        <v>8.2515137645977135E-2</v>
      </c>
      <c r="T463" s="198">
        <f>$L463*Variables!$C$22/100</f>
        <v>0.14440149088046</v>
      </c>
      <c r="U463" s="198">
        <f>$L463*Variables!$C$23/100</f>
        <v>0.15127775235095808</v>
      </c>
      <c r="V463" s="198">
        <f>$L463*Variables!$C$24/100</f>
        <v>1.1002018352796952</v>
      </c>
      <c r="W463" s="22">
        <f>S463*Variables!$E$25*Variables!$C$15+'Cost Calculations'!T463*Variables!$E$26*Variables!$C$15+'Cost Calculations'!U463*Variables!$E$27*Variables!$C$15+V463*Variables!$E$28*Variables!$C$15</f>
        <v>1019295.2150647468</v>
      </c>
      <c r="X463" s="20">
        <f>J463*Variables!$E$29*Variables!$C$15</f>
        <v>29723.152120404502</v>
      </c>
      <c r="Z463" s="33">
        <f>D463*(IF(D463&lt;50000,0,IF(D463&gt;Variables!$C$7,Variables!$C$37,IF(D463&gt;Variables!$C$6,Variables!$C$36,IF(D463&gt;Variables!$C$5,Variables!$C$35)))))</f>
        <v>96.600340991655628</v>
      </c>
      <c r="AA463" s="34">
        <f t="shared" si="80"/>
        <v>94</v>
      </c>
      <c r="AB463" s="35">
        <f t="shared" si="87"/>
        <v>3</v>
      </c>
      <c r="AC463" s="22">
        <f>AB463*Variables!$E$41</f>
        <v>1108800.0000000002</v>
      </c>
      <c r="AD463" s="115">
        <f>ROUND(IF(D463&lt;50000,0,(H463/(3.14*Variables!$C$34^2))),0)</f>
        <v>52</v>
      </c>
      <c r="AE463" s="116">
        <f t="shared" si="82"/>
        <v>51</v>
      </c>
      <c r="AF463" s="117">
        <f t="shared" si="88"/>
        <v>1</v>
      </c>
      <c r="AG463" s="107">
        <f>AF463*Variables!$E$42*Variables!$C$15</f>
        <v>677.54399999999998</v>
      </c>
      <c r="AH463" s="199">
        <f>ROUND((Z463)/Variables!$C$40,0)</f>
        <v>1</v>
      </c>
      <c r="AI463" s="33">
        <f t="shared" si="83"/>
        <v>1</v>
      </c>
      <c r="AJ463" s="199">
        <f t="shared" si="91"/>
        <v>0</v>
      </c>
      <c r="AK463" s="22">
        <f>AJ463*Variables!$E$43*Variables!$C$15</f>
        <v>0</v>
      </c>
      <c r="AL463" s="20">
        <f>Z463*Variables!$E$38*Variables!$C$15</f>
        <v>17125164.605764937</v>
      </c>
      <c r="AN463" s="200">
        <f t="shared" si="84"/>
        <v>0.28000000000000003</v>
      </c>
      <c r="AO463" s="201">
        <f t="shared" si="89"/>
        <v>70.972160000000002</v>
      </c>
      <c r="AP463" s="321">
        <f>VLOOKUP(A463,'Household Information'!H:Q,10,FALSE)</f>
        <v>73.754890824182766</v>
      </c>
      <c r="AQ463" s="122">
        <f>IF(12*(AO463-Variables!$C$3*AP463*F463)*(G463/5)&lt;0,0,12*(AO463-Variables!$C$3*AP463*F463)*(G463/5))</f>
        <v>2660031.8593620714</v>
      </c>
    </row>
    <row r="464" spans="1:43" ht="14.25" customHeight="1" x14ac:dyDescent="0.35">
      <c r="A464" s="30">
        <v>41</v>
      </c>
      <c r="B464" s="28" t="s">
        <v>194</v>
      </c>
      <c r="C464" s="28">
        <v>2029</v>
      </c>
      <c r="D464" s="196">
        <f>Population!N42</f>
        <v>92990.481007622031</v>
      </c>
      <c r="E464" s="303" t="str">
        <f t="shared" si="90"/>
        <v>Small</v>
      </c>
      <c r="F464" s="340">
        <f>VLOOKUP(A464,'Household Information'!$H$2:$M$49,6,FALSE)</f>
        <v>6.1423824388279122</v>
      </c>
      <c r="G464" s="196">
        <f t="shared" si="85"/>
        <v>15139</v>
      </c>
      <c r="H464" s="213">
        <f>Area!P42</f>
        <v>16.350054135903768</v>
      </c>
      <c r="J464" s="32">
        <f>D464*Variables!$C$20</f>
        <v>83.691432906859831</v>
      </c>
      <c r="K464" s="202">
        <f t="shared" si="81"/>
        <v>81.753866276115872</v>
      </c>
      <c r="L464" s="32">
        <f t="shared" si="86"/>
        <v>1.9375666307439587</v>
      </c>
      <c r="S464" s="198">
        <f>$L464*Variables!$C$21/100</f>
        <v>0.10520723786845024</v>
      </c>
      <c r="T464" s="198">
        <f>$L464*Variables!$C$22/100</f>
        <v>0.18411266626978795</v>
      </c>
      <c r="U464" s="198">
        <f>$L464*Variables!$C$23/100</f>
        <v>0.19287993609215878</v>
      </c>
      <c r="V464" s="198">
        <f>$L464*Variables!$C$24/100</f>
        <v>1.4027631715793367</v>
      </c>
      <c r="W464" s="22">
        <f>S464*Variables!$E$25*Variables!$C$15+'Cost Calculations'!T464*Variables!$E$26*Variables!$C$15+'Cost Calculations'!U464*Variables!$E$27*Variables!$C$15+V464*Variables!$E$28*Variables!$C$15</f>
        <v>1299606.8019613624</v>
      </c>
      <c r="X464" s="20">
        <f>J464*Variables!$E$29*Variables!$C$15</f>
        <v>14306.213541098619</v>
      </c>
      <c r="Z464" s="33">
        <f>D464*(IF(D464&lt;50000,0,IF(D464&gt;Variables!$C$7,Variables!$C$37,IF(D464&gt;Variables!$C$6,Variables!$C$36,IF(D464&gt;Variables!$C$5,Variables!$C$35)))))</f>
        <v>46.495240503811019</v>
      </c>
      <c r="AA464" s="34">
        <f t="shared" si="80"/>
        <v>45</v>
      </c>
      <c r="AB464" s="35">
        <f t="shared" si="87"/>
        <v>1</v>
      </c>
      <c r="AC464" s="22">
        <f>AB464*Variables!$E$41</f>
        <v>369600.00000000006</v>
      </c>
      <c r="AD464" s="115">
        <f>ROUND(IF(D464&lt;50000,0,(H464/(3.14*Variables!$C$34^2))),0)</f>
        <v>21</v>
      </c>
      <c r="AE464" s="116">
        <f t="shared" si="82"/>
        <v>21</v>
      </c>
      <c r="AF464" s="117">
        <f t="shared" si="88"/>
        <v>0</v>
      </c>
      <c r="AG464" s="107">
        <f>AF464*Variables!$E$42*Variables!$C$15</f>
        <v>0</v>
      </c>
      <c r="AH464" s="199">
        <f>ROUND((Z464)/Variables!$C$40,0)</f>
        <v>0</v>
      </c>
      <c r="AI464" s="33">
        <f t="shared" si="83"/>
        <v>0</v>
      </c>
      <c r="AJ464" s="199">
        <f t="shared" si="91"/>
        <v>0</v>
      </c>
      <c r="AK464" s="22">
        <f>AJ464*Variables!$E$43*Variables!$C$15</f>
        <v>0</v>
      </c>
      <c r="AL464" s="20">
        <f>Z464*Variables!$E$38*Variables!$C$15</f>
        <v>8242607.0015754085</v>
      </c>
      <c r="AN464" s="200">
        <f t="shared" si="84"/>
        <v>0.25221875000000005</v>
      </c>
      <c r="AO464" s="201">
        <f t="shared" si="89"/>
        <v>92.953441244587665</v>
      </c>
      <c r="AP464" s="321">
        <f>VLOOKUP(A464,'Household Information'!H:Q,10,FALSE)</f>
        <v>110.04922377887165</v>
      </c>
      <c r="AQ464" s="122">
        <f>IF(12*(AO464-Variables!$C$3*AP464*F464)*(G464/5)&lt;0,0,12*(AO464-Variables!$C$3*AP464*F464)*(G464/5))</f>
        <v>0</v>
      </c>
    </row>
    <row r="465" spans="1:43" ht="14.25" customHeight="1" x14ac:dyDescent="0.35">
      <c r="A465" s="30">
        <v>42</v>
      </c>
      <c r="B465" s="28" t="s">
        <v>195</v>
      </c>
      <c r="C465" s="28">
        <v>2029</v>
      </c>
      <c r="D465" s="196">
        <f>Population!N43</f>
        <v>115155.75303796341</v>
      </c>
      <c r="E465" s="303" t="str">
        <f t="shared" si="90"/>
        <v>Medium</v>
      </c>
      <c r="F465" s="340">
        <f>VLOOKUP(A465,'Household Information'!$H$2:$M$49,6,FALSE)</f>
        <v>4.2419137466307282</v>
      </c>
      <c r="G465" s="196">
        <f t="shared" si="85"/>
        <v>27147</v>
      </c>
      <c r="H465" s="213">
        <f>Area!P43</f>
        <v>17.271183946377221</v>
      </c>
      <c r="J465" s="32">
        <f>D465*Variables!$C$20</f>
        <v>103.64017773416707</v>
      </c>
      <c r="K465" s="202">
        <f t="shared" si="81"/>
        <v>110.2884</v>
      </c>
      <c r="L465" s="32">
        <f t="shared" si="86"/>
        <v>0</v>
      </c>
      <c r="S465" s="198">
        <f>$L465*Variables!$C$21/100</f>
        <v>0</v>
      </c>
      <c r="T465" s="198">
        <f>$L465*Variables!$C$22/100</f>
        <v>0</v>
      </c>
      <c r="U465" s="198">
        <f>$L465*Variables!$C$23/100</f>
        <v>0</v>
      </c>
      <c r="V465" s="198">
        <f>$L465*Variables!$C$24/100</f>
        <v>0</v>
      </c>
      <c r="W465" s="22">
        <f>S465*Variables!$E$25*Variables!$C$15+'Cost Calculations'!T465*Variables!$E$26*Variables!$C$15+'Cost Calculations'!U465*Variables!$E$27*Variables!$C$15+V465*Variables!$E$28*Variables!$C$15</f>
        <v>0</v>
      </c>
      <c r="X465" s="20">
        <f>J465*Variables!$E$29*Variables!$C$15</f>
        <v>17716.251981878519</v>
      </c>
      <c r="Z465" s="33">
        <f>D465*(IF(D465&lt;50000,0,IF(D465&gt;Variables!$C$7,Variables!$C$37,IF(D465&gt;Variables!$C$6,Variables!$C$36,IF(D465&gt;Variables!$C$5,Variables!$C$35)))))</f>
        <v>57.577876518981704</v>
      </c>
      <c r="AA465" s="34">
        <f t="shared" si="80"/>
        <v>56</v>
      </c>
      <c r="AB465" s="35">
        <f t="shared" si="87"/>
        <v>2</v>
      </c>
      <c r="AC465" s="22">
        <f>AB465*Variables!$E$41</f>
        <v>739200.00000000012</v>
      </c>
      <c r="AD465" s="115">
        <f>ROUND(IF(D465&lt;50000,0,(H465/(3.14*Variables!$C$34^2))),0)</f>
        <v>22</v>
      </c>
      <c r="AE465" s="116">
        <f t="shared" si="82"/>
        <v>22</v>
      </c>
      <c r="AF465" s="117">
        <f t="shared" si="88"/>
        <v>0</v>
      </c>
      <c r="AG465" s="107">
        <f>AF465*Variables!$E$42*Variables!$C$15</f>
        <v>0</v>
      </c>
      <c r="AH465" s="199">
        <f>ROUND((Z465)/Variables!$C$40,0)</f>
        <v>0</v>
      </c>
      <c r="AI465" s="33">
        <f t="shared" si="83"/>
        <v>0</v>
      </c>
      <c r="AJ465" s="199">
        <f t="shared" si="91"/>
        <v>0</v>
      </c>
      <c r="AK465" s="22">
        <f>AJ465*Variables!$E$43*Variables!$C$15</f>
        <v>0</v>
      </c>
      <c r="AL465" s="20">
        <f>Z465*Variables!$E$38*Variables!$C$15</f>
        <v>10207320.211459121</v>
      </c>
      <c r="AN465" s="200">
        <f t="shared" si="84"/>
        <v>0.25221875000000005</v>
      </c>
      <c r="AO465" s="201">
        <f t="shared" si="89"/>
        <v>64.193410966981148</v>
      </c>
      <c r="AP465" s="321">
        <f>VLOOKUP(A465,'Household Information'!H:Q,10,FALSE)</f>
        <v>81.833648870377388</v>
      </c>
      <c r="AQ465" s="122">
        <f>IF(12*(AO465-Variables!$C$3*AP465*F465)*(G465/5)&lt;0,0,12*(AO465-Variables!$C$3*AP465*F465)*(G465/5))</f>
        <v>789894.23632808251</v>
      </c>
    </row>
    <row r="466" spans="1:43" ht="14.25" customHeight="1" x14ac:dyDescent="0.35">
      <c r="A466" s="30">
        <v>1</v>
      </c>
      <c r="B466" s="28" t="s">
        <v>154</v>
      </c>
      <c r="C466" s="28">
        <v>2030</v>
      </c>
      <c r="D466" s="196">
        <f>Population!O2</f>
        <v>624231.52361348702</v>
      </c>
      <c r="E466" s="303" t="str">
        <f t="shared" si="90"/>
        <v>Medium</v>
      </c>
      <c r="F466" s="340">
        <f>VLOOKUP(A466,'Household Information'!$H$2:$M$49,6,FALSE)</f>
        <v>3.974207650273224</v>
      </c>
      <c r="G466" s="196">
        <f t="shared" si="85"/>
        <v>157071</v>
      </c>
      <c r="H466" s="213">
        <f>Area!Q2</f>
        <v>119.82124690011237</v>
      </c>
      <c r="J466" s="32">
        <f>D466*Variables!$C$20</f>
        <v>561.80837125213827</v>
      </c>
      <c r="K466" s="202">
        <f t="shared" si="81"/>
        <v>548.80176931927144</v>
      </c>
      <c r="L466" s="32">
        <f t="shared" si="86"/>
        <v>13.006601932866829</v>
      </c>
      <c r="S466" s="198">
        <f>$L466*Variables!$C$21/100</f>
        <v>0.70624082893394546</v>
      </c>
      <c r="T466" s="198">
        <f>$L466*Variables!$C$22/100</f>
        <v>1.2359214506344045</v>
      </c>
      <c r="U466" s="198">
        <f>$L466*Variables!$C$23/100</f>
        <v>1.2947748530455667</v>
      </c>
      <c r="V466" s="198">
        <f>$L466*Variables!$C$24/100</f>
        <v>9.4165443857859401</v>
      </c>
      <c r="W466" s="22">
        <f>S466*Variables!$E$25*Variables!$C$15+'Cost Calculations'!T466*Variables!$E$26*Variables!$C$15+'Cost Calculations'!U466*Variables!$E$27*Variables!$C$15+V466*Variables!$E$28*Variables!$C$15</f>
        <v>8724070.7360175718</v>
      </c>
      <c r="X466" s="20">
        <f>J466*Variables!$E$29*Variables!$C$15</f>
        <v>96035.522981840521</v>
      </c>
      <c r="Z466" s="33">
        <f>D466*(IF(D466&lt;50000,0,IF(D466&gt;Variables!$C$7,Variables!$C$37,IF(D466&gt;Variables!$C$6,Variables!$C$36,IF(D466&gt;Variables!$C$5,Variables!$C$35)))))</f>
        <v>312.11576180674354</v>
      </c>
      <c r="AA466" s="34">
        <f t="shared" si="80"/>
        <v>305</v>
      </c>
      <c r="AB466" s="35">
        <f t="shared" si="87"/>
        <v>7</v>
      </c>
      <c r="AC466" s="22">
        <f>AB466*Variables!$E$41</f>
        <v>2587200.0000000005</v>
      </c>
      <c r="AD466" s="115">
        <f>ROUND(IF(D466&lt;50000,0,(H466/(3.14*Variables!$C$34^2))),0)</f>
        <v>153</v>
      </c>
      <c r="AE466" s="116">
        <f t="shared" si="82"/>
        <v>151</v>
      </c>
      <c r="AF466" s="117">
        <f t="shared" si="88"/>
        <v>2</v>
      </c>
      <c r="AG466" s="107">
        <f>AF466*Variables!$E$42*Variables!$C$15</f>
        <v>1355.088</v>
      </c>
      <c r="AH466" s="199">
        <f>ROUND((Z466)/Variables!$C$40,0)</f>
        <v>2</v>
      </c>
      <c r="AI466" s="33">
        <f t="shared" si="83"/>
        <v>2</v>
      </c>
      <c r="AJ466" s="199">
        <f t="shared" si="91"/>
        <v>0</v>
      </c>
      <c r="AK466" s="22">
        <f>AJ466*Variables!$E$43*Variables!$C$15</f>
        <v>0</v>
      </c>
      <c r="AL466" s="20">
        <f>Z466*Variables!$E$38*Variables!$C$15</f>
        <v>55331417.489053272</v>
      </c>
      <c r="AN466" s="200">
        <f t="shared" si="84"/>
        <v>0.14000000000000001</v>
      </c>
      <c r="AO466" s="201">
        <f t="shared" si="89"/>
        <v>33.383344262295083</v>
      </c>
      <c r="AP466" s="321">
        <f>VLOOKUP(A466,'Household Information'!H:Q,10,FALSE)</f>
        <v>73.860911270983223</v>
      </c>
      <c r="AQ466" s="122">
        <f>IF(12*(AO466-Variables!$C$3*AP466*F466)*(G466/5)&lt;0,0,12*(AO466-Variables!$C$3*AP466*F466)*(G466/5))</f>
        <v>0</v>
      </c>
    </row>
    <row r="467" spans="1:43" ht="14.25" customHeight="1" x14ac:dyDescent="0.35">
      <c r="A467" s="30">
        <v>2</v>
      </c>
      <c r="B467" s="28" t="s">
        <v>155</v>
      </c>
      <c r="C467" s="28">
        <v>2030</v>
      </c>
      <c r="D467" s="196">
        <f>Population!O3</f>
        <v>457894.21288930834</v>
      </c>
      <c r="E467" s="303" t="str">
        <f t="shared" si="90"/>
        <v>Medium</v>
      </c>
      <c r="F467" s="340">
        <f>VLOOKUP(A467,'Household Information'!$H$2:$M$49,6,FALSE)</f>
        <v>4.8390533520244086</v>
      </c>
      <c r="G467" s="196">
        <f t="shared" si="85"/>
        <v>94625</v>
      </c>
      <c r="H467" s="213">
        <f>Area!Q3</f>
        <v>720.50407675462316</v>
      </c>
      <c r="J467" s="32">
        <f>D467*Variables!$C$20</f>
        <v>412.1047916003775</v>
      </c>
      <c r="K467" s="202">
        <f t="shared" si="81"/>
        <v>402.56402422621613</v>
      </c>
      <c r="L467" s="32">
        <f t="shared" si="86"/>
        <v>9.5407673741613621</v>
      </c>
      <c r="S467" s="198">
        <f>$L467*Variables!$C$21/100</f>
        <v>0.51805071714903317</v>
      </c>
      <c r="T467" s="198">
        <f>$L467*Variables!$C$22/100</f>
        <v>0.90658875501080816</v>
      </c>
      <c r="U467" s="198">
        <f>$L467*Variables!$C$23/100</f>
        <v>0.94975964810656099</v>
      </c>
      <c r="V467" s="198">
        <f>$L467*Variables!$C$24/100</f>
        <v>6.9073428953204425</v>
      </c>
      <c r="W467" s="22">
        <f>S467*Variables!$E$25*Variables!$C$15+'Cost Calculations'!T467*Variables!$E$26*Variables!$C$15+'Cost Calculations'!U467*Variables!$E$27*Variables!$C$15+V467*Variables!$E$28*Variables!$C$15</f>
        <v>6399390.853789771</v>
      </c>
      <c r="X467" s="20">
        <f>J467*Variables!$E$29*Variables!$C$15</f>
        <v>70445.193076168522</v>
      </c>
      <c r="Z467" s="33">
        <f>D467*(IF(D467&lt;50000,0,IF(D467&gt;Variables!$C$7,Variables!$C$37,IF(D467&gt;Variables!$C$6,Variables!$C$36,IF(D467&gt;Variables!$C$5,Variables!$C$35)))))</f>
        <v>228.94710644465417</v>
      </c>
      <c r="AA467" s="34">
        <f t="shared" si="80"/>
        <v>262</v>
      </c>
      <c r="AB467" s="35">
        <f t="shared" si="87"/>
        <v>0</v>
      </c>
      <c r="AC467" s="22">
        <f>AB467*Variables!$E$41</f>
        <v>0</v>
      </c>
      <c r="AD467" s="115">
        <f>ROUND(IF(D467&lt;50000,0,(H467/(3.14*Variables!$C$34^2))),0)</f>
        <v>918</v>
      </c>
      <c r="AE467" s="116">
        <f t="shared" si="82"/>
        <v>905</v>
      </c>
      <c r="AF467" s="117">
        <f t="shared" si="88"/>
        <v>13</v>
      </c>
      <c r="AG467" s="107">
        <f>AF467*Variables!$E$42*Variables!$C$15</f>
        <v>8808.0720000000001</v>
      </c>
      <c r="AH467" s="199">
        <f>ROUND((Z467)/Variables!$C$40,0)</f>
        <v>2</v>
      </c>
      <c r="AI467" s="33">
        <f t="shared" si="83"/>
        <v>2</v>
      </c>
      <c r="AJ467" s="199">
        <f t="shared" si="91"/>
        <v>0</v>
      </c>
      <c r="AK467" s="22">
        <f>AJ467*Variables!$E$43*Variables!$C$15</f>
        <v>0</v>
      </c>
      <c r="AL467" s="20">
        <f>Z467*Variables!$E$38*Variables!$C$15</f>
        <v>40587402.110899016</v>
      </c>
      <c r="AN467" s="200">
        <f t="shared" si="84"/>
        <v>0.49</v>
      </c>
      <c r="AO467" s="201">
        <f t="shared" si="89"/>
        <v>142.26816854951761</v>
      </c>
      <c r="AP467" s="321">
        <f>VLOOKUP(A467,'Household Information'!H:Q,10,FALSE)</f>
        <v>166.27540073204597</v>
      </c>
      <c r="AQ467" s="122">
        <f>IF(12*(AO467-Variables!$C$3*AP467*F467)*(G467/5)&lt;0,0,12*(AO467-Variables!$C$3*AP467*F467)*(G467/5))</f>
        <v>4899872.8685680944</v>
      </c>
    </row>
    <row r="468" spans="1:43" ht="14.25" customHeight="1" x14ac:dyDescent="0.35">
      <c r="A468" s="30">
        <v>3</v>
      </c>
      <c r="B468" s="28" t="s">
        <v>156</v>
      </c>
      <c r="C468" s="28">
        <v>2030</v>
      </c>
      <c r="D468" s="196">
        <f>Population!O4</f>
        <v>13176888.506482709</v>
      </c>
      <c r="E468" s="303" t="str">
        <f t="shared" si="90"/>
        <v>Large</v>
      </c>
      <c r="F468" s="340">
        <f>VLOOKUP(A468,'Household Information'!$H$2:$M$49,6,FALSE)</f>
        <v>4.0172949204764796</v>
      </c>
      <c r="G468" s="196">
        <f t="shared" si="85"/>
        <v>3280040</v>
      </c>
      <c r="H468" s="213">
        <f>Area!Q4</f>
        <v>849.78489577842856</v>
      </c>
      <c r="J468" s="32">
        <f>D468*Variables!$C$20</f>
        <v>11859.199655834438</v>
      </c>
      <c r="K468" s="202">
        <f t="shared" si="81"/>
        <v>11584.643602456224</v>
      </c>
      <c r="L468" s="32">
        <f t="shared" si="86"/>
        <v>274.55605337821362</v>
      </c>
      <c r="S468" s="198">
        <f>$L468*Variables!$C$21/100</f>
        <v>14.908020997912049</v>
      </c>
      <c r="T468" s="198">
        <f>$L468*Variables!$C$22/100</f>
        <v>26.089036746346093</v>
      </c>
      <c r="U468" s="198">
        <f>$L468*Variables!$C$23/100</f>
        <v>27.331371829505429</v>
      </c>
      <c r="V468" s="198">
        <f>$L468*Variables!$C$24/100</f>
        <v>198.77361330549402</v>
      </c>
      <c r="W468" s="22">
        <f>S468*Variables!$E$25*Variables!$C$15+'Cost Calculations'!T468*Variables!$E$26*Variables!$C$15+'Cost Calculations'!U468*Variables!$E$27*Variables!$C$15+V468*Variables!$E$28*Variables!$C$15</f>
        <v>184156203.36782363</v>
      </c>
      <c r="X468" s="20">
        <f>J468*Variables!$E$29*Variables!$C$15</f>
        <v>2027211.589168339</v>
      </c>
      <c r="Z468" s="33">
        <f>D468*(IF(D468&lt;50000,0,IF(D468&gt;Variables!$C$7,Variables!$C$37,IF(D468&gt;Variables!$C$6,Variables!$C$36,IF(D468&gt;Variables!$C$5,Variables!$C$35)))))</f>
        <v>6588.444253241355</v>
      </c>
      <c r="AA468" s="34">
        <f t="shared" si="80"/>
        <v>6436</v>
      </c>
      <c r="AB468" s="35">
        <f t="shared" si="87"/>
        <v>152</v>
      </c>
      <c r="AC468" s="22">
        <f>AB468*Variables!$E$41</f>
        <v>56179200.000000007</v>
      </c>
      <c r="AD468" s="115">
        <f>ROUND(IF(D468&lt;50000,0,(H468/(3.14*Variables!$C$34^2))),0)</f>
        <v>1083</v>
      </c>
      <c r="AE468" s="116">
        <f t="shared" si="82"/>
        <v>1067</v>
      </c>
      <c r="AF468" s="117">
        <f t="shared" si="88"/>
        <v>16</v>
      </c>
      <c r="AG468" s="107">
        <f>AF468*Variables!$E$42*Variables!$C$15</f>
        <v>10840.704</v>
      </c>
      <c r="AH468" s="199">
        <f>ROUND((Z468)/Variables!$C$40,0)</f>
        <v>53</v>
      </c>
      <c r="AI468" s="33">
        <f t="shared" si="83"/>
        <v>51</v>
      </c>
      <c r="AJ468" s="199">
        <f t="shared" si="91"/>
        <v>2</v>
      </c>
      <c r="AK468" s="22">
        <f>AJ468*Variables!$E$43*Variables!$C$15</f>
        <v>1105434.7920000001</v>
      </c>
      <c r="AL468" s="20">
        <f>Z468*Variables!$E$38*Variables!$C$15</f>
        <v>1167989586.5213394</v>
      </c>
      <c r="AN468" s="200">
        <f t="shared" si="84"/>
        <v>0.42</v>
      </c>
      <c r="AO468" s="201">
        <f t="shared" si="89"/>
        <v>101.23583199600728</v>
      </c>
      <c r="AP468" s="321">
        <f>VLOOKUP(A468,'Household Information'!H:Q,10,FALSE)</f>
        <v>132.525558500568</v>
      </c>
      <c r="AQ468" s="122">
        <f>IF(12*(AO468-Variables!$C$3*AP468*F468)*(G468/5)&lt;0,0,12*(AO468-Variables!$C$3*AP468*F468)*(G468/5))</f>
        <v>168279387.695584</v>
      </c>
    </row>
    <row r="469" spans="1:43" ht="14.25" customHeight="1" x14ac:dyDescent="0.35">
      <c r="A469" s="30">
        <v>4</v>
      </c>
      <c r="B469" s="28" t="s">
        <v>157</v>
      </c>
      <c r="C469" s="28">
        <v>2030</v>
      </c>
      <c r="D469" s="196">
        <f>Population!O5</f>
        <v>2806232.8424945683</v>
      </c>
      <c r="E469" s="303" t="str">
        <f t="shared" si="90"/>
        <v>Large</v>
      </c>
      <c r="F469" s="340">
        <f>VLOOKUP(A469,'Household Information'!$H$2:$M$49,6,FALSE)</f>
        <v>4.6988894405393395</v>
      </c>
      <c r="G469" s="196">
        <f t="shared" si="85"/>
        <v>597212</v>
      </c>
      <c r="H469" s="213">
        <f>Area!Q5</f>
        <v>469.8254154767564</v>
      </c>
      <c r="J469" s="32">
        <f>D469*Variables!$C$20</f>
        <v>2525.6095582451112</v>
      </c>
      <c r="K469" s="202">
        <f t="shared" si="81"/>
        <v>2467.1383786706174</v>
      </c>
      <c r="L469" s="32">
        <f t="shared" si="86"/>
        <v>58.471179574493817</v>
      </c>
      <c r="S469" s="198">
        <f>$L469*Variables!$C$21/100</f>
        <v>3.1749056782530571</v>
      </c>
      <c r="T469" s="198">
        <f>$L469*Variables!$C$22/100</f>
        <v>5.5560849369428515</v>
      </c>
      <c r="U469" s="198">
        <f>$L469*Variables!$C$23/100</f>
        <v>5.8206604101306061</v>
      </c>
      <c r="V469" s="198">
        <f>$L469*Variables!$C$24/100</f>
        <v>42.332075710040769</v>
      </c>
      <c r="W469" s="22">
        <f>S469*Variables!$E$25*Variables!$C$15+'Cost Calculations'!T469*Variables!$E$26*Variables!$C$15+'Cost Calculations'!U469*Variables!$E$27*Variables!$C$15+V469*Variables!$E$28*Variables!$C$15</f>
        <v>39219060.386346079</v>
      </c>
      <c r="X469" s="20">
        <f>J469*Variables!$E$29*Variables!$C$15</f>
        <v>431727.69788641931</v>
      </c>
      <c r="Z469" s="33">
        <f>D469*(IF(D469&lt;50000,0,IF(D469&gt;Variables!$C$7,Variables!$C$37,IF(D469&gt;Variables!$C$6,Variables!$C$36,IF(D469&gt;Variables!$C$5,Variables!$C$35)))))</f>
        <v>1403.1164212472843</v>
      </c>
      <c r="AA469" s="34">
        <f t="shared" si="80"/>
        <v>1371</v>
      </c>
      <c r="AB469" s="35">
        <f t="shared" si="87"/>
        <v>32</v>
      </c>
      <c r="AC469" s="22">
        <f>AB469*Variables!$E$41</f>
        <v>11827200.000000002</v>
      </c>
      <c r="AD469" s="115">
        <f>ROUND(IF(D469&lt;50000,0,(H469/(3.14*Variables!$C$34^2))),0)</f>
        <v>599</v>
      </c>
      <c r="AE469" s="116">
        <f t="shared" si="82"/>
        <v>590</v>
      </c>
      <c r="AF469" s="117">
        <f t="shared" si="88"/>
        <v>9</v>
      </c>
      <c r="AG469" s="107">
        <f>AF469*Variables!$E$42*Variables!$C$15</f>
        <v>6097.8960000000006</v>
      </c>
      <c r="AH469" s="199">
        <f>ROUND((Z469)/Variables!$C$40,0)</f>
        <v>11</v>
      </c>
      <c r="AI469" s="33">
        <f t="shared" si="83"/>
        <v>11</v>
      </c>
      <c r="AJ469" s="199">
        <f t="shared" si="91"/>
        <v>0</v>
      </c>
      <c r="AK469" s="22">
        <f>AJ469*Variables!$E$43*Variables!$C$15</f>
        <v>0</v>
      </c>
      <c r="AL469" s="20">
        <f>Z469*Variables!$E$38*Variables!$C$15</f>
        <v>248742389.81192786</v>
      </c>
      <c r="AN469" s="200">
        <f t="shared" si="84"/>
        <v>0.28000000000000003</v>
      </c>
      <c r="AO469" s="201">
        <f t="shared" si="89"/>
        <v>78.94134260106091</v>
      </c>
      <c r="AP469" s="321">
        <f>VLOOKUP(A469,'Household Information'!H:Q,10,FALSE)</f>
        <v>108.65462509082352</v>
      </c>
      <c r="AQ469" s="122">
        <f>IF(12*(AO469-Variables!$C$3*AP469*F469)*(G469/5)&lt;0,0,12*(AO469-Variables!$C$3*AP469*F469)*(G469/5))</f>
        <v>3379644.7216731962</v>
      </c>
    </row>
    <row r="470" spans="1:43" ht="14.25" customHeight="1" x14ac:dyDescent="0.35">
      <c r="A470" s="30">
        <v>5</v>
      </c>
      <c r="B470" s="28" t="s">
        <v>158</v>
      </c>
      <c r="C470" s="28">
        <v>2030</v>
      </c>
      <c r="D470" s="196">
        <f>Population!O6</f>
        <v>1316182.1268753866</v>
      </c>
      <c r="E470" s="303" t="str">
        <f t="shared" si="90"/>
        <v>Large</v>
      </c>
      <c r="F470" s="340">
        <f>VLOOKUP(A470,'Household Information'!$H$2:$M$49,6,FALSE)</f>
        <v>4.2814892277702192</v>
      </c>
      <c r="G470" s="196">
        <f t="shared" si="85"/>
        <v>307412</v>
      </c>
      <c r="H470" s="213">
        <f>Area!Q6</f>
        <v>212.84037278309444</v>
      </c>
      <c r="J470" s="32">
        <f>D470*Variables!$C$20</f>
        <v>1184.5639141878478</v>
      </c>
      <c r="K470" s="202">
        <f t="shared" si="81"/>
        <v>2378.3936399999998</v>
      </c>
      <c r="L470" s="32">
        <f t="shared" si="86"/>
        <v>0</v>
      </c>
      <c r="S470" s="198">
        <f>$L470*Variables!$C$21/100</f>
        <v>0</v>
      </c>
      <c r="T470" s="198">
        <f>$L470*Variables!$C$22/100</f>
        <v>0</v>
      </c>
      <c r="U470" s="198">
        <f>$L470*Variables!$C$23/100</f>
        <v>0</v>
      </c>
      <c r="V470" s="198">
        <f>$L470*Variables!$C$24/100</f>
        <v>0</v>
      </c>
      <c r="W470" s="22">
        <f>S470*Variables!$E$25*Variables!$C$15+'Cost Calculations'!T470*Variables!$E$26*Variables!$C$15+'Cost Calculations'!U470*Variables!$E$27*Variables!$C$15+V470*Variables!$E$28*Variables!$C$15</f>
        <v>0</v>
      </c>
      <c r="X470" s="20">
        <f>J470*Variables!$E$29*Variables!$C$15</f>
        <v>202489.35549127072</v>
      </c>
      <c r="Z470" s="33">
        <f>D470*(IF(D470&lt;50000,0,IF(D470&gt;Variables!$C$7,Variables!$C$37,IF(D470&gt;Variables!$C$6,Variables!$C$36,IF(D470&gt;Variables!$C$5,Variables!$C$35)))))</f>
        <v>658.09106343769326</v>
      </c>
      <c r="AA470" s="34">
        <f t="shared" si="80"/>
        <v>643</v>
      </c>
      <c r="AB470" s="35">
        <f t="shared" si="87"/>
        <v>15</v>
      </c>
      <c r="AC470" s="22">
        <f>AB470*Variables!$E$41</f>
        <v>5544000.0000000009</v>
      </c>
      <c r="AD470" s="115">
        <f>ROUND(IF(D470&lt;50000,0,(H470/(3.14*Variables!$C$34^2))),0)</f>
        <v>271</v>
      </c>
      <c r="AE470" s="116">
        <f t="shared" si="82"/>
        <v>267</v>
      </c>
      <c r="AF470" s="117">
        <f t="shared" si="88"/>
        <v>4</v>
      </c>
      <c r="AG470" s="107">
        <f>AF470*Variables!$E$42*Variables!$C$15</f>
        <v>2710.1759999999999</v>
      </c>
      <c r="AH470" s="199">
        <f>ROUND((Z470)/Variables!$C$40,0)</f>
        <v>5</v>
      </c>
      <c r="AI470" s="33">
        <f t="shared" si="83"/>
        <v>5</v>
      </c>
      <c r="AJ470" s="199">
        <f t="shared" si="91"/>
        <v>0</v>
      </c>
      <c r="AK470" s="22">
        <f>AJ470*Variables!$E$43*Variables!$C$15</f>
        <v>0</v>
      </c>
      <c r="AL470" s="20">
        <f>Z470*Variables!$E$38*Variables!$C$15</f>
        <v>116665403.77871846</v>
      </c>
      <c r="AN470" s="200">
        <f t="shared" si="84"/>
        <v>0.28000000000000003</v>
      </c>
      <c r="AO470" s="201">
        <f t="shared" si="89"/>
        <v>71.929019026539692</v>
      </c>
      <c r="AP470" s="321">
        <f>VLOOKUP(A470,'Household Information'!H:Q,10,FALSE)</f>
        <v>70.680297866969596</v>
      </c>
      <c r="AQ470" s="122">
        <f>IF(12*(AO470-Variables!$C$3*AP470*F470)*(G470/5)&lt;0,0,12*(AO470-Variables!$C$3*AP470*F470)*(G470/5))</f>
        <v>19578316.950849492</v>
      </c>
    </row>
    <row r="471" spans="1:43" ht="14.25" customHeight="1" x14ac:dyDescent="0.35">
      <c r="A471" s="30">
        <v>6</v>
      </c>
      <c r="B471" s="28" t="s">
        <v>159</v>
      </c>
      <c r="C471" s="28">
        <v>2030</v>
      </c>
      <c r="D471" s="196">
        <f>Population!O7</f>
        <v>1500617.2890694146</v>
      </c>
      <c r="E471" s="303" t="str">
        <f t="shared" si="90"/>
        <v>Large</v>
      </c>
      <c r="F471" s="340">
        <f>VLOOKUP(A471,'Household Information'!$H$2:$M$49,6,FALSE)</f>
        <v>4.4091899104485828</v>
      </c>
      <c r="G471" s="196">
        <f t="shared" si="85"/>
        <v>340339</v>
      </c>
      <c r="H471" s="213">
        <f>Area!Q7</f>
        <v>183.33846379859523</v>
      </c>
      <c r="J471" s="32">
        <f>D471*Variables!$C$20</f>
        <v>1350.5555601624731</v>
      </c>
      <c r="K471" s="202">
        <f t="shared" si="81"/>
        <v>1319.2884245017806</v>
      </c>
      <c r="L471" s="32">
        <f t="shared" si="86"/>
        <v>31.267135660692475</v>
      </c>
      <c r="S471" s="198">
        <f>$L471*Variables!$C$21/100</f>
        <v>1.6977630223000437</v>
      </c>
      <c r="T471" s="198">
        <f>$L471*Variables!$C$22/100</f>
        <v>2.9710852890250767</v>
      </c>
      <c r="U471" s="198">
        <f>$L471*Variables!$C$23/100</f>
        <v>3.1125655408834136</v>
      </c>
      <c r="V471" s="198">
        <f>$L471*Variables!$C$24/100</f>
        <v>22.636840297333919</v>
      </c>
      <c r="W471" s="22">
        <f>S471*Variables!$E$25*Variables!$C$15+'Cost Calculations'!T471*Variables!$E$26*Variables!$C$15+'Cost Calculations'!U471*Variables!$E$27*Variables!$C$15+V471*Variables!$E$28*Variables!$C$15</f>
        <v>20972172.795359399</v>
      </c>
      <c r="X471" s="20">
        <f>J471*Variables!$E$29*Variables!$C$15</f>
        <v>230863.96745417317</v>
      </c>
      <c r="Z471" s="33">
        <f>D471*(IF(D471&lt;50000,0,IF(D471&gt;Variables!$C$7,Variables!$C$37,IF(D471&gt;Variables!$C$6,Variables!$C$36,IF(D471&gt;Variables!$C$5,Variables!$C$35)))))</f>
        <v>750.30864453470735</v>
      </c>
      <c r="AA471" s="34">
        <f t="shared" si="80"/>
        <v>733</v>
      </c>
      <c r="AB471" s="35">
        <f t="shared" si="87"/>
        <v>17</v>
      </c>
      <c r="AC471" s="22">
        <f>AB471*Variables!$E$41</f>
        <v>6283200.0000000009</v>
      </c>
      <c r="AD471" s="115">
        <f>ROUND(IF(D471&lt;50000,0,(H471/(3.14*Variables!$C$34^2))),0)</f>
        <v>234</v>
      </c>
      <c r="AE471" s="116">
        <f t="shared" si="82"/>
        <v>230</v>
      </c>
      <c r="AF471" s="117">
        <f t="shared" si="88"/>
        <v>4</v>
      </c>
      <c r="AG471" s="107">
        <f>AF471*Variables!$E$42*Variables!$C$15</f>
        <v>2710.1759999999999</v>
      </c>
      <c r="AH471" s="199">
        <f>ROUND((Z471)/Variables!$C$40,0)</f>
        <v>6</v>
      </c>
      <c r="AI471" s="33">
        <f t="shared" si="83"/>
        <v>6</v>
      </c>
      <c r="AJ471" s="199">
        <f t="shared" si="91"/>
        <v>0</v>
      </c>
      <c r="AK471" s="22">
        <f>AJ471*Variables!$E$43*Variables!$C$15</f>
        <v>0</v>
      </c>
      <c r="AL471" s="20">
        <f>Z471*Variables!$E$38*Variables!$C$15</f>
        <v>133013599.2366233</v>
      </c>
      <c r="AN471" s="200">
        <f t="shared" si="84"/>
        <v>0.28000000000000003</v>
      </c>
      <c r="AO471" s="201">
        <f t="shared" si="89"/>
        <v>74.074390495536193</v>
      </c>
      <c r="AP471" s="321">
        <f>VLOOKUP(A471,'Household Information'!H:Q,10,FALSE)</f>
        <v>228.82746434431402</v>
      </c>
      <c r="AQ471" s="122">
        <f>IF(12*(AO471-Variables!$C$3*AP471*F471)*(G471/5)&lt;0,0,12*(AO471-Variables!$C$3*AP471*F471)*(G471/5))</f>
        <v>0</v>
      </c>
    </row>
    <row r="472" spans="1:43" ht="14.25" customHeight="1" x14ac:dyDescent="0.35">
      <c r="A472" s="30">
        <v>7</v>
      </c>
      <c r="B472" s="28" t="s">
        <v>160</v>
      </c>
      <c r="C472" s="28">
        <v>2030</v>
      </c>
      <c r="D472" s="196">
        <f>Population!O8</f>
        <v>7251518.9752691109</v>
      </c>
      <c r="E472" s="303" t="str">
        <f t="shared" si="90"/>
        <v>Large</v>
      </c>
      <c r="F472" s="340">
        <f>VLOOKUP(A472,'Household Information'!$H$2:$M$49,6,FALSE)</f>
        <v>4.0232072880789485</v>
      </c>
      <c r="G472" s="196">
        <f t="shared" si="85"/>
        <v>1802422</v>
      </c>
      <c r="H472" s="213">
        <f>Area!Q8</f>
        <v>1242.3571389116919</v>
      </c>
      <c r="J472" s="32">
        <f>D472*Variables!$C$20</f>
        <v>6526.3670777421994</v>
      </c>
      <c r="K472" s="202">
        <f t="shared" si="81"/>
        <v>6375.2731051501405</v>
      </c>
      <c r="L472" s="32">
        <f t="shared" si="86"/>
        <v>151.09397259205889</v>
      </c>
      <c r="S472" s="198">
        <f>$L472*Variables!$C$21/100</f>
        <v>8.2041976068086271</v>
      </c>
      <c r="T472" s="198">
        <f>$L472*Variables!$C$22/100</f>
        <v>14.357345811915097</v>
      </c>
      <c r="U472" s="198">
        <f>$L472*Variables!$C$23/100</f>
        <v>15.041028945815818</v>
      </c>
      <c r="V472" s="198">
        <f>$L472*Variables!$C$24/100</f>
        <v>109.38930142411503</v>
      </c>
      <c r="W472" s="22">
        <f>S472*Variables!$E$25*Variables!$C$15+'Cost Calculations'!T472*Variables!$E$26*Variables!$C$15+'Cost Calculations'!U472*Variables!$E$27*Variables!$C$15+V472*Variables!$E$28*Variables!$C$15</f>
        <v>101345033.19795866</v>
      </c>
      <c r="X472" s="20">
        <f>J472*Variables!$E$29*Variables!$C$15</f>
        <v>1115617.1882692517</v>
      </c>
      <c r="Z472" s="33">
        <f>D472*(IF(D472&lt;50000,0,IF(D472&gt;Variables!$C$7,Variables!$C$37,IF(D472&gt;Variables!$C$6,Variables!$C$36,IF(D472&gt;Variables!$C$5,Variables!$C$35)))))</f>
        <v>3625.7594876345556</v>
      </c>
      <c r="AA472" s="34">
        <f t="shared" si="80"/>
        <v>4599</v>
      </c>
      <c r="AB472" s="35">
        <f t="shared" si="87"/>
        <v>0</v>
      </c>
      <c r="AC472" s="22">
        <f>AB472*Variables!$E$41</f>
        <v>0</v>
      </c>
      <c r="AD472" s="115">
        <f>ROUND(IF(D472&lt;50000,0,(H472/(3.14*Variables!$C$34^2))),0)</f>
        <v>1583</v>
      </c>
      <c r="AE472" s="116">
        <f t="shared" si="82"/>
        <v>1560</v>
      </c>
      <c r="AF472" s="117">
        <f t="shared" si="88"/>
        <v>23</v>
      </c>
      <c r="AG472" s="107">
        <f>AF472*Variables!$E$42*Variables!$C$15</f>
        <v>15583.512000000001</v>
      </c>
      <c r="AH472" s="199">
        <f>ROUND((Z472)/Variables!$C$40,0)</f>
        <v>29</v>
      </c>
      <c r="AI472" s="33">
        <f t="shared" si="83"/>
        <v>28</v>
      </c>
      <c r="AJ472" s="199">
        <f t="shared" si="91"/>
        <v>1</v>
      </c>
      <c r="AK472" s="22">
        <f>AJ472*Variables!$E$43*Variables!$C$15</f>
        <v>552717.39600000007</v>
      </c>
      <c r="AL472" s="20">
        <f>Z472*Variables!$E$38*Variables!$C$15</f>
        <v>642769242.93692935</v>
      </c>
      <c r="AN472" s="200">
        <f t="shared" si="84"/>
        <v>0.28000000000000003</v>
      </c>
      <c r="AO472" s="201">
        <f t="shared" si="89"/>
        <v>67.589882439726338</v>
      </c>
      <c r="AP472" s="321">
        <f>VLOOKUP(A472,'Household Information'!H:Q,10,FALSE)</f>
        <v>141.36059573393919</v>
      </c>
      <c r="AQ472" s="122">
        <f>IF(12*(AO472-Variables!$C$3*AP472*F472)*(G472/5)&lt;0,0,12*(AO472-Variables!$C$3*AP472*F472)*(G472/5))</f>
        <v>0</v>
      </c>
    </row>
    <row r="473" spans="1:43" ht="14.25" customHeight="1" x14ac:dyDescent="0.35">
      <c r="A473" s="30">
        <v>8</v>
      </c>
      <c r="B473" s="28" t="s">
        <v>161</v>
      </c>
      <c r="C473" s="28">
        <v>2030</v>
      </c>
      <c r="D473" s="196">
        <f>Population!O9</f>
        <v>69104.859773033342</v>
      </c>
      <c r="E473" s="303" t="str">
        <f t="shared" si="90"/>
        <v>Small</v>
      </c>
      <c r="F473" s="340">
        <f>VLOOKUP(A473,'Household Information'!$H$2:$M$49,6,FALSE)</f>
        <v>4.332028957151242</v>
      </c>
      <c r="G473" s="196">
        <f t="shared" si="85"/>
        <v>15952</v>
      </c>
      <c r="H473" s="213">
        <f>Area!Q9</f>
        <v>175.00208428832201</v>
      </c>
      <c r="J473" s="32">
        <f>D473*Variables!$C$20</f>
        <v>62.194373795730009</v>
      </c>
      <c r="K473" s="202">
        <f t="shared" si="81"/>
        <v>60.754492327566666</v>
      </c>
      <c r="L473" s="32">
        <f t="shared" si="86"/>
        <v>1.4398814681633425</v>
      </c>
      <c r="S473" s="198">
        <f>$L473*Variables!$C$21/100</f>
        <v>7.8183609131041221E-2</v>
      </c>
      <c r="T473" s="198">
        <f>$L473*Variables!$C$22/100</f>
        <v>0.13682131597932215</v>
      </c>
      <c r="U473" s="198">
        <f>$L473*Variables!$C$23/100</f>
        <v>0.14333661674024223</v>
      </c>
      <c r="V473" s="198">
        <f>$L473*Variables!$C$24/100</f>
        <v>1.0424481217472163</v>
      </c>
      <c r="W473" s="22">
        <f>S473*Variables!$E$25*Variables!$C$15+'Cost Calculations'!T473*Variables!$E$26*Variables!$C$15+'Cost Calculations'!U473*Variables!$E$27*Variables!$C$15+V473*Variables!$E$28*Variables!$C$15</f>
        <v>965788.59294489701</v>
      </c>
      <c r="X473" s="20">
        <f>J473*Variables!$E$29*Variables!$C$15</f>
        <v>10631.506256642087</v>
      </c>
      <c r="Z473" s="33">
        <f>D473*(IF(D473&lt;50000,0,IF(D473&gt;Variables!$C$7,Variables!$C$37,IF(D473&gt;Variables!$C$6,Variables!$C$36,IF(D473&gt;Variables!$C$5,Variables!$C$35)))))</f>
        <v>34.55242988651667</v>
      </c>
      <c r="AA473" s="34">
        <f t="shared" si="80"/>
        <v>34</v>
      </c>
      <c r="AB473" s="35">
        <f t="shared" si="87"/>
        <v>1</v>
      </c>
      <c r="AC473" s="22">
        <f>AB473*Variables!$E$41</f>
        <v>369600.00000000006</v>
      </c>
      <c r="AD473" s="115">
        <f>ROUND(IF(D473&lt;50000,0,(H473/(3.14*Variables!$C$34^2))),0)</f>
        <v>223</v>
      </c>
      <c r="AE473" s="116">
        <f t="shared" si="82"/>
        <v>220</v>
      </c>
      <c r="AF473" s="117">
        <f t="shared" si="88"/>
        <v>3</v>
      </c>
      <c r="AG473" s="107">
        <f>AF473*Variables!$E$42*Variables!$C$15</f>
        <v>2032.6320000000001</v>
      </c>
      <c r="AH473" s="199">
        <f>ROUND((Z473)/Variables!$C$40,0)</f>
        <v>0</v>
      </c>
      <c r="AI473" s="33">
        <f t="shared" si="83"/>
        <v>0</v>
      </c>
      <c r="AJ473" s="199">
        <f t="shared" si="91"/>
        <v>0</v>
      </c>
      <c r="AK473" s="22">
        <f>AJ473*Variables!$E$43*Variables!$C$15</f>
        <v>0</v>
      </c>
      <c r="AL473" s="20">
        <f>Z473*Variables!$E$38*Variables!$C$15</f>
        <v>6125403.3190924497</v>
      </c>
      <c r="AN473" s="200">
        <f t="shared" si="84"/>
        <v>0.25221875000000005</v>
      </c>
      <c r="AO473" s="201">
        <f t="shared" si="89"/>
        <v>65.557135712189407</v>
      </c>
      <c r="AP473" s="321">
        <f>VLOOKUP(A473,'Household Information'!H:Q,10,FALSE)</f>
        <v>39.775337624637132</v>
      </c>
      <c r="AQ473" s="122">
        <f>IF(12*(AO473-Variables!$C$3*AP473*F473)*(G473/5)&lt;0,0,12*(AO473-Variables!$C$3*AP473*F473)*(G473/5))</f>
        <v>1520325.7233008724</v>
      </c>
    </row>
    <row r="474" spans="1:43" ht="14.25" customHeight="1" x14ac:dyDescent="0.35">
      <c r="A474" s="30">
        <v>9</v>
      </c>
      <c r="B474" s="28" t="s">
        <v>162</v>
      </c>
      <c r="C474" s="28">
        <v>2030</v>
      </c>
      <c r="D474" s="196">
        <f>Population!O10</f>
        <v>888862.46826712403</v>
      </c>
      <c r="E474" s="303" t="str">
        <f t="shared" si="90"/>
        <v>Medium</v>
      </c>
      <c r="F474" s="340">
        <f>VLOOKUP(A474,'Household Information'!$H$2:$M$49,6,FALSE)</f>
        <v>4.5911864516077028</v>
      </c>
      <c r="G474" s="196">
        <f t="shared" si="85"/>
        <v>193602</v>
      </c>
      <c r="H474" s="213">
        <f>Area!Q10</f>
        <v>472.97860618465421</v>
      </c>
      <c r="J474" s="32">
        <f>D474*Variables!$C$20</f>
        <v>799.97622144041156</v>
      </c>
      <c r="K474" s="202">
        <f t="shared" si="81"/>
        <v>781.45572085612139</v>
      </c>
      <c r="L474" s="32">
        <f t="shared" si="86"/>
        <v>18.520500584290176</v>
      </c>
      <c r="S474" s="198">
        <f>$L474*Variables!$C$21/100</f>
        <v>1.0056380407759371</v>
      </c>
      <c r="T474" s="198">
        <f>$L474*Variables!$C$22/100</f>
        <v>1.7598665713578898</v>
      </c>
      <c r="U474" s="198">
        <f>$L474*Variables!$C$23/100</f>
        <v>1.8436697414225514</v>
      </c>
      <c r="V474" s="198">
        <f>$L474*Variables!$C$24/100</f>
        <v>13.408507210345828</v>
      </c>
      <c r="W474" s="22">
        <f>S474*Variables!$E$25*Variables!$C$15+'Cost Calculations'!T474*Variables!$E$26*Variables!$C$15+'Cost Calculations'!U474*Variables!$E$27*Variables!$C$15+V474*Variables!$E$28*Variables!$C$15</f>
        <v>12422472.67947172</v>
      </c>
      <c r="X474" s="20">
        <f>J474*Variables!$E$29*Variables!$C$15</f>
        <v>136747.93529302397</v>
      </c>
      <c r="Z474" s="33">
        <f>D474*(IF(D474&lt;50000,0,IF(D474&gt;Variables!$C$7,Variables!$C$37,IF(D474&gt;Variables!$C$6,Variables!$C$36,IF(D474&gt;Variables!$C$5,Variables!$C$35)))))</f>
        <v>444.43123413356204</v>
      </c>
      <c r="AA474" s="34">
        <f t="shared" si="80"/>
        <v>434</v>
      </c>
      <c r="AB474" s="35">
        <f t="shared" si="87"/>
        <v>10</v>
      </c>
      <c r="AC474" s="22">
        <f>AB474*Variables!$E$41</f>
        <v>3696000.0000000005</v>
      </c>
      <c r="AD474" s="115">
        <f>ROUND(IF(D474&lt;50000,0,(H474/(3.14*Variables!$C$34^2))),0)</f>
        <v>603</v>
      </c>
      <c r="AE474" s="116">
        <f t="shared" si="82"/>
        <v>594</v>
      </c>
      <c r="AF474" s="117">
        <f t="shared" si="88"/>
        <v>9</v>
      </c>
      <c r="AG474" s="107">
        <f>AF474*Variables!$E$42*Variables!$C$15</f>
        <v>6097.8960000000006</v>
      </c>
      <c r="AH474" s="199">
        <f>ROUND((Z474)/Variables!$C$40,0)</f>
        <v>4</v>
      </c>
      <c r="AI474" s="33">
        <f t="shared" si="83"/>
        <v>3</v>
      </c>
      <c r="AJ474" s="199">
        <f t="shared" si="91"/>
        <v>1</v>
      </c>
      <c r="AK474" s="22">
        <f>AJ474*Variables!$E$43*Variables!$C$15</f>
        <v>552717.39600000007</v>
      </c>
      <c r="AL474" s="20">
        <f>Z474*Variables!$E$38*Variables!$C$15</f>
        <v>78788107.395375997</v>
      </c>
      <c r="AN474" s="200">
        <f t="shared" si="84"/>
        <v>0.19600000000000001</v>
      </c>
      <c r="AO474" s="201">
        <f t="shared" si="89"/>
        <v>53.992352670906584</v>
      </c>
      <c r="AP474" s="321">
        <f>VLOOKUP(A474,'Household Information'!H:Q,10,FALSE)</f>
        <v>137.82658084059071</v>
      </c>
      <c r="AQ474" s="122">
        <f>IF(12*(AO474-Variables!$C$3*AP474*F474)*(G474/5)&lt;0,0,12*(AO474-Variables!$C$3*AP474*F474)*(G474/5))</f>
        <v>0</v>
      </c>
    </row>
    <row r="475" spans="1:43" ht="14.25" customHeight="1" x14ac:dyDescent="0.35">
      <c r="A475" s="30">
        <v>10</v>
      </c>
      <c r="B475" s="28" t="s">
        <v>163</v>
      </c>
      <c r="C475" s="28">
        <v>2030</v>
      </c>
      <c r="D475" s="196">
        <f>Population!O11</f>
        <v>824855.96847960399</v>
      </c>
      <c r="E475" s="303" t="str">
        <f t="shared" si="90"/>
        <v>Medium</v>
      </c>
      <c r="F475" s="340">
        <f>VLOOKUP(A475,'Household Information'!$H$2:$M$49,6,FALSE)</f>
        <v>4.0714439771379274</v>
      </c>
      <c r="G475" s="196">
        <f t="shared" si="85"/>
        <v>202595</v>
      </c>
      <c r="H475" s="213">
        <f>Area!Q11</f>
        <v>140.13130990975429</v>
      </c>
      <c r="J475" s="32">
        <f>D475*Variables!$C$20</f>
        <v>742.37037163164359</v>
      </c>
      <c r="K475" s="202">
        <f t="shared" si="81"/>
        <v>725.18352215653363</v>
      </c>
      <c r="L475" s="32">
        <f t="shared" si="86"/>
        <v>17.186849475109966</v>
      </c>
      <c r="S475" s="198">
        <f>$L475*Variables!$C$21/100</f>
        <v>0.93322259593357271</v>
      </c>
      <c r="T475" s="198">
        <f>$L475*Variables!$C$22/100</f>
        <v>1.6331395428837525</v>
      </c>
      <c r="U475" s="198">
        <f>$L475*Variables!$C$23/100</f>
        <v>1.7109080925448836</v>
      </c>
      <c r="V475" s="198">
        <f>$L475*Variables!$C$24/100</f>
        <v>12.442967945780969</v>
      </c>
      <c r="W475" s="22">
        <f>S475*Variables!$E$25*Variables!$C$15+'Cost Calculations'!T475*Variables!$E$26*Variables!$C$15+'Cost Calculations'!U475*Variables!$E$27*Variables!$C$15+V475*Variables!$E$28*Variables!$C$15</f>
        <v>11527937.221731916</v>
      </c>
      <c r="X475" s="20">
        <f>J475*Variables!$E$29*Variables!$C$15</f>
        <v>126900.79132671317</v>
      </c>
      <c r="Z475" s="33">
        <f>D475*(IF(D475&lt;50000,0,IF(D475&gt;Variables!$C$7,Variables!$C$37,IF(D475&gt;Variables!$C$6,Variables!$C$36,IF(D475&gt;Variables!$C$5,Variables!$C$35)))))</f>
        <v>412.42798423980202</v>
      </c>
      <c r="AA475" s="34">
        <f t="shared" si="80"/>
        <v>403</v>
      </c>
      <c r="AB475" s="35">
        <f t="shared" si="87"/>
        <v>9</v>
      </c>
      <c r="AC475" s="22">
        <f>AB475*Variables!$E$41</f>
        <v>3326400.0000000005</v>
      </c>
      <c r="AD475" s="115">
        <f>ROUND(IF(D475&lt;50000,0,(H475/(3.14*Variables!$C$34^2))),0)</f>
        <v>179</v>
      </c>
      <c r="AE475" s="116">
        <f t="shared" si="82"/>
        <v>176</v>
      </c>
      <c r="AF475" s="117">
        <f t="shared" si="88"/>
        <v>3</v>
      </c>
      <c r="AG475" s="107">
        <f>AF475*Variables!$E$42*Variables!$C$15</f>
        <v>2032.6320000000001</v>
      </c>
      <c r="AH475" s="199">
        <f>ROUND((Z475)/Variables!$C$40,0)</f>
        <v>3</v>
      </c>
      <c r="AI475" s="33">
        <f t="shared" si="83"/>
        <v>3</v>
      </c>
      <c r="AJ475" s="199">
        <f t="shared" si="91"/>
        <v>0</v>
      </c>
      <c r="AK475" s="22">
        <f>AJ475*Variables!$E$43*Variables!$C$15</f>
        <v>0</v>
      </c>
      <c r="AL475" s="20">
        <f>Z475*Variables!$E$38*Variables!$C$15</f>
        <v>73114618.909477055</v>
      </c>
      <c r="AN475" s="200">
        <f t="shared" si="84"/>
        <v>0.25221875000000005</v>
      </c>
      <c r="AO475" s="201">
        <f t="shared" si="89"/>
        <v>61.613670636525413</v>
      </c>
      <c r="AP475" s="321">
        <f>VLOOKUP(A475,'Household Information'!H:Q,10,FALSE)</f>
        <v>39.775337624637132</v>
      </c>
      <c r="AQ475" s="122">
        <f>IF(12*(AO475-Variables!$C$3*AP475*F475)*(G475/5)&lt;0,0,12*(AO475-Variables!$C$3*AP475*F475)*(G475/5))</f>
        <v>18147104.406362884</v>
      </c>
    </row>
    <row r="476" spans="1:43" ht="14.25" customHeight="1" x14ac:dyDescent="0.35">
      <c r="A476" s="30">
        <v>11</v>
      </c>
      <c r="B476" s="28" t="s">
        <v>164</v>
      </c>
      <c r="C476" s="28">
        <v>2030</v>
      </c>
      <c r="D476" s="196">
        <f>Population!O12</f>
        <v>321736.63395571487</v>
      </c>
      <c r="E476" s="303" t="str">
        <f t="shared" si="90"/>
        <v>Medium</v>
      </c>
      <c r="F476" s="340">
        <f>VLOOKUP(A476,'Household Information'!$H$2:$M$49,6,FALSE)</f>
        <v>4.5669760538732476</v>
      </c>
      <c r="G476" s="196">
        <f t="shared" si="85"/>
        <v>70449</v>
      </c>
      <c r="H476" s="213">
        <f>Area!Q12</f>
        <v>179.73187035016855</v>
      </c>
      <c r="J476" s="32">
        <f>D476*Variables!$C$20</f>
        <v>289.56297056014336</v>
      </c>
      <c r="K476" s="202">
        <f t="shared" si="81"/>
        <v>282.85920734604213</v>
      </c>
      <c r="L476" s="32">
        <f t="shared" si="86"/>
        <v>6.7037632141012296</v>
      </c>
      <c r="S476" s="198">
        <f>$L476*Variables!$C$21/100</f>
        <v>0.36400524239463683</v>
      </c>
      <c r="T476" s="198">
        <f>$L476*Variables!$C$22/100</f>
        <v>0.63700917419061454</v>
      </c>
      <c r="U476" s="198">
        <f>$L476*Variables!$C$23/100</f>
        <v>0.66734294439016761</v>
      </c>
      <c r="V476" s="198">
        <f>$L476*Variables!$C$24/100</f>
        <v>4.8534032319284925</v>
      </c>
      <c r="W476" s="22">
        <f>S476*Variables!$E$25*Variables!$C$15+'Cost Calculations'!T476*Variables!$E$26*Variables!$C$15+'Cost Calculations'!U476*Variables!$E$27*Variables!$C$15+V476*Variables!$E$28*Variables!$C$15</f>
        <v>4496493.7636436885</v>
      </c>
      <c r="X476" s="20">
        <f>J476*Variables!$E$29*Variables!$C$15</f>
        <v>49497.894187550904</v>
      </c>
      <c r="Z476" s="33">
        <f>D476*(IF(D476&lt;50000,0,IF(D476&gt;Variables!$C$7,Variables!$C$37,IF(D476&gt;Variables!$C$6,Variables!$C$36,IF(D476&gt;Variables!$C$5,Variables!$C$35)))))</f>
        <v>160.86831697785743</v>
      </c>
      <c r="AA476" s="34">
        <f t="shared" si="80"/>
        <v>157</v>
      </c>
      <c r="AB476" s="35">
        <f t="shared" si="87"/>
        <v>4</v>
      </c>
      <c r="AC476" s="22">
        <f>AB476*Variables!$E$41</f>
        <v>1478400.0000000002</v>
      </c>
      <c r="AD476" s="115">
        <f>ROUND(IF(D476&lt;50000,0,(H476/(3.14*Variables!$C$34^2))),0)</f>
        <v>229</v>
      </c>
      <c r="AE476" s="116">
        <f t="shared" si="82"/>
        <v>226</v>
      </c>
      <c r="AF476" s="117">
        <f t="shared" si="88"/>
        <v>3</v>
      </c>
      <c r="AG476" s="107">
        <f>AF476*Variables!$E$42*Variables!$C$15</f>
        <v>2032.6320000000001</v>
      </c>
      <c r="AH476" s="199">
        <f>ROUND((Z476)/Variables!$C$40,0)</f>
        <v>1</v>
      </c>
      <c r="AI476" s="33">
        <f t="shared" si="83"/>
        <v>1</v>
      </c>
      <c r="AJ476" s="199">
        <f t="shared" si="91"/>
        <v>0</v>
      </c>
      <c r="AK476" s="22">
        <f>AJ476*Variables!$E$43*Variables!$C$15</f>
        <v>0</v>
      </c>
      <c r="AL476" s="20">
        <f>Z476*Variables!$E$38*Variables!$C$15</f>
        <v>28518495.688707225</v>
      </c>
      <c r="AN476" s="200">
        <f t="shared" si="84"/>
        <v>0.315</v>
      </c>
      <c r="AO476" s="201">
        <f t="shared" si="89"/>
        <v>86.31584741820437</v>
      </c>
      <c r="AP476" s="321">
        <f>VLOOKUP(A476,'Household Information'!H:Q,10,FALSE)</f>
        <v>93.297993184399843</v>
      </c>
      <c r="AQ476" s="122">
        <f>IF(12*(AO476-Variables!$C$3*AP476*F476)*(G476/5)&lt;0,0,12*(AO476-Variables!$C$3*AP476*F476)*(G476/5))</f>
        <v>3787742.7253682474</v>
      </c>
    </row>
    <row r="477" spans="1:43" ht="14.25" customHeight="1" x14ac:dyDescent="0.35">
      <c r="A477" s="30">
        <v>12</v>
      </c>
      <c r="B477" s="28" t="s">
        <v>165</v>
      </c>
      <c r="C477" s="28">
        <v>2030</v>
      </c>
      <c r="D477" s="196">
        <f>Population!O13</f>
        <v>156502.64141634121</v>
      </c>
      <c r="E477" s="303" t="str">
        <f t="shared" si="90"/>
        <v>Medium</v>
      </c>
      <c r="F477" s="340">
        <f>VLOOKUP(A477,'Household Information'!$H$2:$M$49,6,FALSE)</f>
        <v>4.2184831531569431</v>
      </c>
      <c r="G477" s="196">
        <f t="shared" si="85"/>
        <v>37099</v>
      </c>
      <c r="H477" s="213">
        <f>Area!Q13</f>
        <v>29.955311725028096</v>
      </c>
      <c r="J477" s="32">
        <f>D477*Variables!$C$20</f>
        <v>140.8523772747071</v>
      </c>
      <c r="K477" s="202">
        <f t="shared" si="81"/>
        <v>137.59145968028434</v>
      </c>
      <c r="L477" s="32">
        <f t="shared" si="86"/>
        <v>3.2609175944227502</v>
      </c>
      <c r="S477" s="198">
        <f>$L477*Variables!$C$21/100</f>
        <v>0.17706339879218549</v>
      </c>
      <c r="T477" s="198">
        <f>$L477*Variables!$C$22/100</f>
        <v>0.30986094788632468</v>
      </c>
      <c r="U477" s="198">
        <f>$L477*Variables!$C$23/100</f>
        <v>0.32461623111900678</v>
      </c>
      <c r="V477" s="198">
        <f>$L477*Variables!$C$24/100</f>
        <v>2.3608453172291406</v>
      </c>
      <c r="W477" s="22">
        <f>S477*Variables!$E$25*Variables!$C$15+'Cost Calculations'!T477*Variables!$E$26*Variables!$C$15+'Cost Calculations'!U477*Variables!$E$27*Variables!$C$15+V477*Variables!$E$28*Variables!$C$15</f>
        <v>2187233.5222454146</v>
      </c>
      <c r="X477" s="20">
        <f>J477*Variables!$E$29*Variables!$C$15</f>
        <v>24077.305371338429</v>
      </c>
      <c r="Z477" s="33">
        <f>D477*(IF(D477&lt;50000,0,IF(D477&gt;Variables!$C$7,Variables!$C$37,IF(D477&gt;Variables!$C$6,Variables!$C$36,IF(D477&gt;Variables!$C$5,Variables!$C$35)))))</f>
        <v>78.25132070817061</v>
      </c>
      <c r="AA477" s="34">
        <f t="shared" si="80"/>
        <v>76</v>
      </c>
      <c r="AB477" s="35">
        <f t="shared" si="87"/>
        <v>2</v>
      </c>
      <c r="AC477" s="22">
        <f>AB477*Variables!$E$41</f>
        <v>739200.00000000012</v>
      </c>
      <c r="AD477" s="115">
        <f>ROUND(IF(D477&lt;50000,0,(H477/(3.14*Variables!$C$34^2))),0)</f>
        <v>38</v>
      </c>
      <c r="AE477" s="116">
        <f t="shared" si="82"/>
        <v>38</v>
      </c>
      <c r="AF477" s="117">
        <f t="shared" si="88"/>
        <v>0</v>
      </c>
      <c r="AG477" s="107">
        <f>AF477*Variables!$E$42*Variables!$C$15</f>
        <v>0</v>
      </c>
      <c r="AH477" s="199">
        <f>ROUND((Z477)/Variables!$C$40,0)</f>
        <v>1</v>
      </c>
      <c r="AI477" s="33">
        <f t="shared" si="83"/>
        <v>1</v>
      </c>
      <c r="AJ477" s="199">
        <f t="shared" si="91"/>
        <v>0</v>
      </c>
      <c r="AK477" s="22">
        <f>AJ477*Variables!$E$43*Variables!$C$15</f>
        <v>0</v>
      </c>
      <c r="AL477" s="20">
        <f>Z477*Variables!$E$38*Variables!$C$15</f>
        <v>13872277.612991858</v>
      </c>
      <c r="AN477" s="200">
        <f t="shared" si="84"/>
        <v>0.28000000000000003</v>
      </c>
      <c r="AO477" s="201">
        <f t="shared" si="89"/>
        <v>70.870516973036644</v>
      </c>
      <c r="AP477" s="321">
        <f>VLOOKUP(A477,'Household Information'!H:Q,10,FALSE)</f>
        <v>108.65462509082352</v>
      </c>
      <c r="AQ477" s="122">
        <f>IF(12*(AO477-Variables!$C$3*AP477*F477)*(G477/5)&lt;0,0,12*(AO477-Variables!$C$3*AP477*F477)*(G477/5))</f>
        <v>188480.23671238989</v>
      </c>
    </row>
    <row r="478" spans="1:43" ht="14.25" customHeight="1" x14ac:dyDescent="0.35">
      <c r="A478" s="30">
        <v>13</v>
      </c>
      <c r="B478" s="28" t="s">
        <v>166</v>
      </c>
      <c r="C478" s="28">
        <v>2030</v>
      </c>
      <c r="D478" s="196">
        <f>Population!O14</f>
        <v>10505383.767027419</v>
      </c>
      <c r="E478" s="303" t="str">
        <f t="shared" si="90"/>
        <v>Large</v>
      </c>
      <c r="F478" s="340">
        <f>VLOOKUP(A478,'Household Information'!$H$2:$M$49,6,FALSE)</f>
        <v>4.33</v>
      </c>
      <c r="G478" s="196">
        <f t="shared" si="85"/>
        <v>2426186</v>
      </c>
      <c r="H478" s="213">
        <f>Area!Q14</f>
        <v>948.9127577380616</v>
      </c>
      <c r="J478" s="32">
        <f>D478*Variables!$C$20</f>
        <v>9454.8453903246773</v>
      </c>
      <c r="K478" s="202">
        <f t="shared" si="81"/>
        <v>9235.9532971814733</v>
      </c>
      <c r="L478" s="32">
        <f t="shared" si="86"/>
        <v>218.89209314320397</v>
      </c>
      <c r="S478" s="198">
        <f>$L478*Variables!$C$21/100</f>
        <v>11.885543519087996</v>
      </c>
      <c r="T478" s="198">
        <f>$L478*Variables!$C$22/100</f>
        <v>20.799701158403995</v>
      </c>
      <c r="U478" s="198">
        <f>$L478*Variables!$C$23/100</f>
        <v>21.790163118327996</v>
      </c>
      <c r="V478" s="198">
        <f>$L478*Variables!$C$24/100</f>
        <v>158.47391358783997</v>
      </c>
      <c r="W478" s="22">
        <f>S478*Variables!$E$25*Variables!$C$15+'Cost Calculations'!T478*Variables!$E$26*Variables!$C$15+'Cost Calculations'!U478*Variables!$E$27*Variables!$C$15+V478*Variables!$E$28*Variables!$C$15</f>
        <v>146820062.14941877</v>
      </c>
      <c r="X478" s="20">
        <f>J478*Variables!$E$29*Variables!$C$15</f>
        <v>1616211.2710221002</v>
      </c>
      <c r="Z478" s="33">
        <f>D478*(IF(D478&lt;50000,0,IF(D478&gt;Variables!$C$7,Variables!$C$37,IF(D478&gt;Variables!$C$6,Variables!$C$36,IF(D478&gt;Variables!$C$5,Variables!$C$35)))))</f>
        <v>5252.6918835137094</v>
      </c>
      <c r="AA478" s="34">
        <f t="shared" si="80"/>
        <v>5131</v>
      </c>
      <c r="AB478" s="35">
        <f t="shared" si="87"/>
        <v>122</v>
      </c>
      <c r="AC478" s="22">
        <f>AB478*Variables!$E$41</f>
        <v>45091200.000000007</v>
      </c>
      <c r="AD478" s="115">
        <f>ROUND(IF(D478&lt;50000,0,(H478/(3.14*Variables!$C$34^2))),0)</f>
        <v>1209</v>
      </c>
      <c r="AE478" s="116">
        <f t="shared" si="82"/>
        <v>1197</v>
      </c>
      <c r="AF478" s="117">
        <f t="shared" si="88"/>
        <v>12</v>
      </c>
      <c r="AG478" s="107">
        <f>AF478*Variables!$E$42*Variables!$C$15</f>
        <v>8130.5280000000002</v>
      </c>
      <c r="AH478" s="199">
        <f>ROUND((Z478)/Variables!$C$40,0)</f>
        <v>42</v>
      </c>
      <c r="AI478" s="33">
        <f t="shared" si="83"/>
        <v>41</v>
      </c>
      <c r="AJ478" s="199">
        <f t="shared" si="91"/>
        <v>1</v>
      </c>
      <c r="AK478" s="22">
        <f>AJ478*Variables!$E$43*Variables!$C$15</f>
        <v>552717.39600000007</v>
      </c>
      <c r="AL478" s="20">
        <f>Z478*Variables!$E$38*Variables!$C$15</f>
        <v>931189395.45263016</v>
      </c>
      <c r="AN478" s="200">
        <f t="shared" si="84"/>
        <v>0.28000000000000003</v>
      </c>
      <c r="AO478" s="201">
        <f t="shared" si="89"/>
        <v>72.744</v>
      </c>
      <c r="AP478" s="321">
        <f>VLOOKUP(A478,'Household Information'!H:Q,10,FALSE)</f>
        <v>139.85863940426606</v>
      </c>
      <c r="AQ478" s="122">
        <f>IF(12*(AO478-Variables!$C$3*AP478*F478)*(G478/5)&lt;0,0,12*(AO478-Variables!$C$3*AP478*F478)*(G478/5))</f>
        <v>0</v>
      </c>
    </row>
    <row r="479" spans="1:43" ht="14.25" customHeight="1" x14ac:dyDescent="0.35">
      <c r="A479" s="30">
        <v>14</v>
      </c>
      <c r="B479" s="28" t="s">
        <v>167</v>
      </c>
      <c r="C479" s="28">
        <v>2030</v>
      </c>
      <c r="D479" s="196">
        <f>Population!O15</f>
        <v>418610.15537007776</v>
      </c>
      <c r="E479" s="303" t="str">
        <f t="shared" si="90"/>
        <v>Medium</v>
      </c>
      <c r="F479" s="340">
        <f>VLOOKUP(A479,'Household Information'!$H$2:$M$49,6,FALSE)</f>
        <v>4.6437746693442286</v>
      </c>
      <c r="G479" s="196">
        <f t="shared" si="85"/>
        <v>90144</v>
      </c>
      <c r="H479" s="213">
        <f>Area!Q15</f>
        <v>47.297860618465407</v>
      </c>
      <c r="J479" s="32">
        <f>D479*Variables!$C$20</f>
        <v>376.74913983306999</v>
      </c>
      <c r="K479" s="202">
        <f t="shared" si="81"/>
        <v>368.02690224975083</v>
      </c>
      <c r="L479" s="32">
        <f t="shared" si="86"/>
        <v>8.7222375833191563</v>
      </c>
      <c r="S479" s="198">
        <f>$L479*Variables!$C$21/100</f>
        <v>0.47360566063271436</v>
      </c>
      <c r="T479" s="198">
        <f>$L479*Variables!$C$22/100</f>
        <v>0.82880990610725025</v>
      </c>
      <c r="U479" s="198">
        <f>$L479*Variables!$C$23/100</f>
        <v>0.86827704449330967</v>
      </c>
      <c r="V479" s="198">
        <f>$L479*Variables!$C$24/100</f>
        <v>6.3147421417695249</v>
      </c>
      <c r="W479" s="22">
        <f>S479*Variables!$E$25*Variables!$C$15+'Cost Calculations'!T479*Variables!$E$26*Variables!$C$15+'Cost Calculations'!U479*Variables!$E$27*Variables!$C$15+V479*Variables!$E$28*Variables!$C$15</f>
        <v>5850368.762416278</v>
      </c>
      <c r="X479" s="20">
        <f>J479*Variables!$E$29*Variables!$C$15</f>
        <v>64401.497963064983</v>
      </c>
      <c r="Z479" s="33">
        <f>D479*(IF(D479&lt;50000,0,IF(D479&gt;Variables!$C$7,Variables!$C$37,IF(D479&gt;Variables!$C$6,Variables!$C$36,IF(D479&gt;Variables!$C$5,Variables!$C$35)))))</f>
        <v>209.3050776850389</v>
      </c>
      <c r="AA479" s="34">
        <f t="shared" si="80"/>
        <v>204</v>
      </c>
      <c r="AB479" s="35">
        <f t="shared" si="87"/>
        <v>5</v>
      </c>
      <c r="AC479" s="22">
        <f>AB479*Variables!$E$41</f>
        <v>1848000.0000000002</v>
      </c>
      <c r="AD479" s="115">
        <f>ROUND(IF(D479&lt;50000,0,(H479/(3.14*Variables!$C$34^2))),0)</f>
        <v>60</v>
      </c>
      <c r="AE479" s="116">
        <f t="shared" si="82"/>
        <v>59</v>
      </c>
      <c r="AF479" s="117">
        <f t="shared" si="88"/>
        <v>1</v>
      </c>
      <c r="AG479" s="107">
        <f>AF479*Variables!$E$42*Variables!$C$15</f>
        <v>677.54399999999998</v>
      </c>
      <c r="AH479" s="199">
        <f>ROUND((Z479)/Variables!$C$40,0)</f>
        <v>2</v>
      </c>
      <c r="AI479" s="33">
        <f t="shared" si="83"/>
        <v>2</v>
      </c>
      <c r="AJ479" s="199">
        <f t="shared" si="91"/>
        <v>0</v>
      </c>
      <c r="AK479" s="22">
        <f>AJ479*Variables!$E$43*Variables!$C$15</f>
        <v>0</v>
      </c>
      <c r="AL479" s="20">
        <f>Z479*Variables!$E$38*Variables!$C$15</f>
        <v>37105292.500865273</v>
      </c>
      <c r="AN479" s="200">
        <f t="shared" si="84"/>
        <v>0.21</v>
      </c>
      <c r="AO479" s="201">
        <f t="shared" si="89"/>
        <v>58.511560833737278</v>
      </c>
      <c r="AP479" s="321">
        <f>VLOOKUP(A479,'Household Information'!H:Q,10,FALSE)</f>
        <v>108.65462509082352</v>
      </c>
      <c r="AQ479" s="122">
        <f>IF(12*(AO479-Variables!$C$3*AP479*F479)*(G479/5)&lt;0,0,12*(AO479-Variables!$C$3*AP479*F479)*(G479/5))</f>
        <v>0</v>
      </c>
    </row>
    <row r="480" spans="1:43" ht="14.25" customHeight="1" x14ac:dyDescent="0.35">
      <c r="A480" s="30">
        <v>15</v>
      </c>
      <c r="B480" s="28" t="s">
        <v>168</v>
      </c>
      <c r="C480" s="28">
        <v>2030</v>
      </c>
      <c r="D480" s="196">
        <f>Population!O16</f>
        <v>92837.904970366144</v>
      </c>
      <c r="E480" s="303" t="str">
        <f t="shared" si="90"/>
        <v>Small</v>
      </c>
      <c r="F480" s="340">
        <f>VLOOKUP(A480,'Household Information'!$H$2:$M$49,6,FALSE)</f>
        <v>4.4181210545859635</v>
      </c>
      <c r="G480" s="196">
        <f t="shared" si="85"/>
        <v>21013</v>
      </c>
      <c r="H480" s="213">
        <f>Area!Q16</f>
        <v>263.29142410945741</v>
      </c>
      <c r="J480" s="32">
        <f>D480*Variables!$C$20</f>
        <v>83.554114473329534</v>
      </c>
      <c r="K480" s="202">
        <f t="shared" si="81"/>
        <v>81.619726944739199</v>
      </c>
      <c r="L480" s="32">
        <f t="shared" si="86"/>
        <v>1.9343875285903351</v>
      </c>
      <c r="S480" s="198">
        <f>$L480*Variables!$C$21/100</f>
        <v>0.10503461693703177</v>
      </c>
      <c r="T480" s="198">
        <f>$L480*Variables!$C$22/100</f>
        <v>0.1838105796398056</v>
      </c>
      <c r="U480" s="198">
        <f>$L480*Variables!$C$23/100</f>
        <v>0.19256346438455826</v>
      </c>
      <c r="V480" s="198">
        <f>$L480*Variables!$C$24/100</f>
        <v>1.4004615591604235</v>
      </c>
      <c r="W480" s="22">
        <f>S480*Variables!$E$25*Variables!$C$15+'Cost Calculations'!T480*Variables!$E$26*Variables!$C$15+'Cost Calculations'!U480*Variables!$E$27*Variables!$C$15+V480*Variables!$E$28*Variables!$C$15</f>
        <v>1297474.4454697599</v>
      </c>
      <c r="X480" s="20">
        <f>J480*Variables!$E$29*Variables!$C$15</f>
        <v>14282.740328070951</v>
      </c>
      <c r="Z480" s="33">
        <f>D480*(IF(D480&lt;50000,0,IF(D480&gt;Variables!$C$7,Variables!$C$37,IF(D480&gt;Variables!$C$6,Variables!$C$36,IF(D480&gt;Variables!$C$5,Variables!$C$35)))))</f>
        <v>46.41895248518307</v>
      </c>
      <c r="AA480" s="34">
        <f t="shared" si="80"/>
        <v>45</v>
      </c>
      <c r="AB480" s="35">
        <f t="shared" si="87"/>
        <v>1</v>
      </c>
      <c r="AC480" s="22">
        <f>AB480*Variables!$E$41</f>
        <v>369600.00000000006</v>
      </c>
      <c r="AD480" s="115">
        <f>ROUND(IF(D480&lt;50000,0,(H480/(3.14*Variables!$C$34^2))),0)</f>
        <v>335</v>
      </c>
      <c r="AE480" s="116">
        <f t="shared" si="82"/>
        <v>331</v>
      </c>
      <c r="AF480" s="117">
        <f t="shared" si="88"/>
        <v>4</v>
      </c>
      <c r="AG480" s="107">
        <f>AF480*Variables!$E$42*Variables!$C$15</f>
        <v>2710.1759999999999</v>
      </c>
      <c r="AH480" s="199">
        <f>ROUND((Z480)/Variables!$C$40,0)</f>
        <v>0</v>
      </c>
      <c r="AI480" s="33">
        <f t="shared" si="83"/>
        <v>0</v>
      </c>
      <c r="AJ480" s="199">
        <f t="shared" si="91"/>
        <v>0</v>
      </c>
      <c r="AK480" s="22">
        <f>AJ480*Variables!$E$43*Variables!$C$15</f>
        <v>0</v>
      </c>
      <c r="AL480" s="20">
        <f>Z480*Variables!$E$38*Variables!$C$15</f>
        <v>8229082.7752316929</v>
      </c>
      <c r="AN480" s="200">
        <f t="shared" si="84"/>
        <v>0.28000000000000003</v>
      </c>
      <c r="AO480" s="201">
        <f t="shared" si="89"/>
        <v>74.224433717044192</v>
      </c>
      <c r="AP480" s="321">
        <f>VLOOKUP(A480,'Household Information'!H:Q,10,FALSE)</f>
        <v>119.4497033951786</v>
      </c>
      <c r="AQ480" s="122">
        <f>IF(12*(AO480-Variables!$C$3*AP480*F480)*(G480/5)&lt;0,0,12*(AO480-Variables!$C$3*AP480*F480)*(G480/5))</f>
        <v>0</v>
      </c>
    </row>
    <row r="481" spans="1:43" ht="14.25" customHeight="1" x14ac:dyDescent="0.35">
      <c r="A481" s="30">
        <v>16</v>
      </c>
      <c r="B481" s="28" t="s">
        <v>169</v>
      </c>
      <c r="C481" s="28">
        <v>2030</v>
      </c>
      <c r="D481" s="196">
        <f>Population!O17</f>
        <v>4753729.8893636819</v>
      </c>
      <c r="E481" s="303" t="str">
        <f t="shared" si="90"/>
        <v>Large</v>
      </c>
      <c r="F481" s="340">
        <f>VLOOKUP(A481,'Household Information'!$H$2:$M$49,6,FALSE)</f>
        <v>5.0811133147736394</v>
      </c>
      <c r="G481" s="196">
        <f t="shared" si="85"/>
        <v>935569</v>
      </c>
      <c r="H481" s="213">
        <f>Area!Q17</f>
        <v>304.26830757426245</v>
      </c>
      <c r="J481" s="32">
        <f>D481*Variables!$C$20</f>
        <v>4278.356900427314</v>
      </c>
      <c r="K481" s="202">
        <f t="shared" si="81"/>
        <v>4179.3073170140788</v>
      </c>
      <c r="L481" s="32">
        <f t="shared" si="86"/>
        <v>99.049583413235268</v>
      </c>
      <c r="S481" s="198">
        <f>$L481*Variables!$C$21/100</f>
        <v>5.3782579228906027</v>
      </c>
      <c r="T481" s="198">
        <f>$L481*Variables!$C$22/100</f>
        <v>9.411951365058556</v>
      </c>
      <c r="U481" s="198">
        <f>$L481*Variables!$C$23/100</f>
        <v>9.8601395252994379</v>
      </c>
      <c r="V481" s="198">
        <f>$L481*Variables!$C$24/100</f>
        <v>71.710105638541378</v>
      </c>
      <c r="W481" s="22">
        <f>S481*Variables!$E$25*Variables!$C$15+'Cost Calculations'!T481*Variables!$E$26*Variables!$C$15+'Cost Calculations'!U481*Variables!$E$27*Variables!$C$15+V481*Variables!$E$28*Variables!$C$15</f>
        <v>66436689.346705846</v>
      </c>
      <c r="X481" s="20">
        <f>J481*Variables!$E$29*Variables!$C$15</f>
        <v>731342.3285590451</v>
      </c>
      <c r="Z481" s="33">
        <f>D481*(IF(D481&lt;50000,0,IF(D481&gt;Variables!$C$7,Variables!$C$37,IF(D481&gt;Variables!$C$6,Variables!$C$36,IF(D481&gt;Variables!$C$5,Variables!$C$35)))))</f>
        <v>2376.8649446818408</v>
      </c>
      <c r="AA481" s="34">
        <f t="shared" si="80"/>
        <v>3249</v>
      </c>
      <c r="AB481" s="35">
        <f t="shared" si="87"/>
        <v>0</v>
      </c>
      <c r="AC481" s="22">
        <f>AB481*Variables!$E$41</f>
        <v>0</v>
      </c>
      <c r="AD481" s="115">
        <f>ROUND(IF(D481&lt;50000,0,(H481/(3.14*Variables!$C$34^2))),0)</f>
        <v>388</v>
      </c>
      <c r="AE481" s="116">
        <f t="shared" si="82"/>
        <v>566</v>
      </c>
      <c r="AF481" s="117">
        <f t="shared" si="88"/>
        <v>0</v>
      </c>
      <c r="AG481" s="107">
        <f>AF481*Variables!$E$42*Variables!$C$15</f>
        <v>0</v>
      </c>
      <c r="AH481" s="199">
        <f>ROUND((Z481)/Variables!$C$40,0)</f>
        <v>19</v>
      </c>
      <c r="AI481" s="33">
        <f t="shared" si="83"/>
        <v>19</v>
      </c>
      <c r="AJ481" s="199">
        <f t="shared" si="91"/>
        <v>0</v>
      </c>
      <c r="AK481" s="22">
        <f>AJ481*Variables!$E$43*Variables!$C$15</f>
        <v>0</v>
      </c>
      <c r="AL481" s="20">
        <f>Z481*Variables!$E$38*Variables!$C$15</f>
        <v>421367078.06098676</v>
      </c>
      <c r="AN481" s="200">
        <f t="shared" si="84"/>
        <v>0.21</v>
      </c>
      <c r="AO481" s="201">
        <f t="shared" si="89"/>
        <v>64.022027766147858</v>
      </c>
      <c r="AP481" s="321">
        <f>VLOOKUP(A481,'Household Information'!H:Q,10,FALSE)</f>
        <v>125.45752871387103</v>
      </c>
      <c r="AQ481" s="122">
        <f>IF(12*(AO481-Variables!$C$3*AP481*F481)*(G481/5)&lt;0,0,12*(AO481-Variables!$C$3*AP481*F481)*(G481/5))</f>
        <v>0</v>
      </c>
    </row>
    <row r="482" spans="1:43" ht="14.25" customHeight="1" x14ac:dyDescent="0.35">
      <c r="A482" s="30">
        <v>17</v>
      </c>
      <c r="B482" s="28" t="s">
        <v>170</v>
      </c>
      <c r="C482" s="28">
        <v>2030</v>
      </c>
      <c r="D482" s="196">
        <f>Population!O18</f>
        <v>17493.913510132872</v>
      </c>
      <c r="E482" s="303" t="str">
        <f t="shared" si="90"/>
        <v>Small</v>
      </c>
      <c r="F482" s="340">
        <f>VLOOKUP(A482,'Household Information'!$H$2:$M$49,6,FALSE)</f>
        <v>4.9910952804986639</v>
      </c>
      <c r="G482" s="196">
        <f t="shared" si="85"/>
        <v>3505</v>
      </c>
      <c r="H482" s="213">
        <f>Area!Q18</f>
        <v>3.0478559905371578</v>
      </c>
      <c r="J482" s="32">
        <f>D482*Variables!$C$20</f>
        <v>15.744522159119585</v>
      </c>
      <c r="K482" s="202">
        <f t="shared" si="81"/>
        <v>15.380015785014733</v>
      </c>
      <c r="L482" s="32">
        <f t="shared" si="86"/>
        <v>0.36450637410485243</v>
      </c>
      <c r="S482" s="198">
        <f>$L482*Variables!$C$21/100</f>
        <v>1.9792201308860766E-2</v>
      </c>
      <c r="T482" s="198">
        <f>$L482*Variables!$C$22/100</f>
        <v>3.4636352290506343E-2</v>
      </c>
      <c r="U482" s="198">
        <f>$L482*Variables!$C$23/100</f>
        <v>3.6285702399578068E-2</v>
      </c>
      <c r="V482" s="198">
        <f>$L482*Variables!$C$24/100</f>
        <v>0.26389601745147684</v>
      </c>
      <c r="W482" s="22">
        <f>S482*Variables!$E$25*Variables!$C$15+'Cost Calculations'!T482*Variables!$E$26*Variables!$C$15+'Cost Calculations'!U482*Variables!$E$27*Variables!$C$15+V482*Variables!$E$28*Variables!$C$15</f>
        <v>244489.63748051802</v>
      </c>
      <c r="X482" s="20">
        <f>J482*Variables!$E$29*Variables!$C$15</f>
        <v>2691.3686178799016</v>
      </c>
      <c r="Z482" s="33">
        <f>D482*(IF(D482&lt;50000,0,IF(D482&gt;Variables!$C$7,Variables!$C$37,IF(D482&gt;Variables!$C$6,Variables!$C$36,IF(D482&gt;Variables!$C$5,Variables!$C$35)))))</f>
        <v>0</v>
      </c>
      <c r="AA482" s="34">
        <f t="shared" si="80"/>
        <v>0</v>
      </c>
      <c r="AB482" s="35">
        <f t="shared" si="87"/>
        <v>0</v>
      </c>
      <c r="AC482" s="22">
        <f>AB482*Variables!$E$41</f>
        <v>0</v>
      </c>
      <c r="AD482" s="115">
        <f>ROUND(IF(D482&lt;50000,0,(H482/(3.14*Variables!$C$34^2))),0)</f>
        <v>0</v>
      </c>
      <c r="AE482" s="116">
        <f t="shared" si="82"/>
        <v>0</v>
      </c>
      <c r="AF482" s="117">
        <f t="shared" si="88"/>
        <v>0</v>
      </c>
      <c r="AG482" s="107">
        <f>AF482*Variables!$E$42*Variables!$C$15</f>
        <v>0</v>
      </c>
      <c r="AH482" s="199">
        <f>ROUND((Z482)/Variables!$C$40,0)</f>
        <v>0</v>
      </c>
      <c r="AI482" s="33">
        <f t="shared" si="83"/>
        <v>0</v>
      </c>
      <c r="AJ482" s="199">
        <f t="shared" si="91"/>
        <v>0</v>
      </c>
      <c r="AK482" s="22">
        <f>AJ482*Variables!$E$43*Variables!$C$15</f>
        <v>0</v>
      </c>
      <c r="AL482" s="20">
        <f>Z482*Variables!$E$38*Variables!$C$15</f>
        <v>0</v>
      </c>
      <c r="AN482" s="200">
        <f t="shared" si="84"/>
        <v>0.25221875000000005</v>
      </c>
      <c r="AO482" s="201">
        <f t="shared" si="89"/>
        <v>75.530868766696358</v>
      </c>
      <c r="AP482" s="321">
        <f>VLOOKUP(A482,'Household Information'!H:Q,10,FALSE)</f>
        <v>108.65462509082352</v>
      </c>
      <c r="AQ482" s="122">
        <f>IF(12*(AO482-Variables!$C$3*AP482*F482)*(G482/5)&lt;0,0,12*(AO482-Variables!$C$3*AP482*F482)*(G482/5))</f>
        <v>0</v>
      </c>
    </row>
    <row r="483" spans="1:43" ht="14.25" customHeight="1" x14ac:dyDescent="0.35">
      <c r="A483" s="30">
        <v>18</v>
      </c>
      <c r="B483" s="28" t="s">
        <v>171</v>
      </c>
      <c r="C483" s="28">
        <v>2030</v>
      </c>
      <c r="D483" s="196">
        <f>Population!O19</f>
        <v>154556.61910169933</v>
      </c>
      <c r="E483" s="303" t="str">
        <f t="shared" si="90"/>
        <v>Medium</v>
      </c>
      <c r="F483" s="340">
        <f>VLOOKUP(A483,'Household Information'!$H$2:$M$49,6,FALSE)</f>
        <v>4.4388221584797423</v>
      </c>
      <c r="G483" s="196">
        <f t="shared" si="85"/>
        <v>34819</v>
      </c>
      <c r="H483" s="213">
        <f>Area!Q19</f>
        <v>31.531907078976943</v>
      </c>
      <c r="J483" s="32">
        <f>D483*Variables!$C$20</f>
        <v>139.10095719152937</v>
      </c>
      <c r="K483" s="202">
        <f t="shared" si="81"/>
        <v>135.88058727315558</v>
      </c>
      <c r="L483" s="32">
        <f t="shared" si="86"/>
        <v>3.2203699183737911</v>
      </c>
      <c r="S483" s="198">
        <f>$L483*Variables!$C$21/100</f>
        <v>0.17486171502482123</v>
      </c>
      <c r="T483" s="198">
        <f>$L483*Variables!$C$22/100</f>
        <v>0.30600800129343719</v>
      </c>
      <c r="U483" s="198">
        <f>$L483*Variables!$C$23/100</f>
        <v>0.32057981087883897</v>
      </c>
      <c r="V483" s="198">
        <f>$L483*Variables!$C$24/100</f>
        <v>2.3314895336642834</v>
      </c>
      <c r="W483" s="22">
        <f>S483*Variables!$E$25*Variables!$C$15+'Cost Calculations'!T483*Variables!$E$26*Variables!$C$15+'Cost Calculations'!U483*Variables!$E$27*Variables!$C$15+V483*Variables!$E$28*Variables!$C$15</f>
        <v>2160036.5036960607</v>
      </c>
      <c r="X483" s="20">
        <f>J483*Variables!$E$29*Variables!$C$15</f>
        <v>23777.917622320034</v>
      </c>
      <c r="Z483" s="33">
        <f>D483*(IF(D483&lt;50000,0,IF(D483&gt;Variables!$C$7,Variables!$C$37,IF(D483&gt;Variables!$C$6,Variables!$C$36,IF(D483&gt;Variables!$C$5,Variables!$C$35)))))</f>
        <v>77.27830955084967</v>
      </c>
      <c r="AA483" s="34">
        <f t="shared" si="80"/>
        <v>94</v>
      </c>
      <c r="AB483" s="35">
        <f t="shared" si="87"/>
        <v>0</v>
      </c>
      <c r="AC483" s="22">
        <f>AB483*Variables!$E$41</f>
        <v>0</v>
      </c>
      <c r="AD483" s="115">
        <f>ROUND(IF(D483&lt;50000,0,(H483/(3.14*Variables!$C$34^2))),0)</f>
        <v>40</v>
      </c>
      <c r="AE483" s="116">
        <f t="shared" si="82"/>
        <v>40</v>
      </c>
      <c r="AF483" s="117">
        <f t="shared" si="88"/>
        <v>0</v>
      </c>
      <c r="AG483" s="107">
        <f>AF483*Variables!$E$42*Variables!$C$15</f>
        <v>0</v>
      </c>
      <c r="AH483" s="199">
        <f>ROUND((Z483)/Variables!$C$40,0)</f>
        <v>1</v>
      </c>
      <c r="AI483" s="33">
        <f t="shared" si="83"/>
        <v>1</v>
      </c>
      <c r="AJ483" s="199">
        <f t="shared" si="91"/>
        <v>0</v>
      </c>
      <c r="AK483" s="22">
        <f>AJ483*Variables!$E$43*Variables!$C$15</f>
        <v>0</v>
      </c>
      <c r="AL483" s="20">
        <f>Z483*Variables!$E$38*Variables!$C$15</f>
        <v>13699783.643909426</v>
      </c>
      <c r="AN483" s="200">
        <f t="shared" si="84"/>
        <v>0.25221875000000005</v>
      </c>
      <c r="AO483" s="201">
        <f t="shared" si="89"/>
        <v>67.17325057704376</v>
      </c>
      <c r="AP483" s="321">
        <f>VLOOKUP(A483,'Household Information'!H:Q,10,FALSE)</f>
        <v>98.76688123185663</v>
      </c>
      <c r="AQ483" s="122">
        <f>IF(12*(AO483-Variables!$C$3*AP483*F483)*(G483/5)&lt;0,0,12*(AO483-Variables!$C$3*AP483*F483)*(G483/5))</f>
        <v>117991.07036882456</v>
      </c>
    </row>
    <row r="484" spans="1:43" ht="14.25" customHeight="1" x14ac:dyDescent="0.35">
      <c r="A484" s="30">
        <v>19</v>
      </c>
      <c r="B484" s="28" t="s">
        <v>172</v>
      </c>
      <c r="C484" s="28">
        <v>2030</v>
      </c>
      <c r="D484" s="196">
        <f>Population!O20</f>
        <v>7017375.1933571296</v>
      </c>
      <c r="E484" s="303" t="str">
        <f t="shared" si="90"/>
        <v>Large</v>
      </c>
      <c r="F484" s="340">
        <f>VLOOKUP(A484,'Household Information'!$H$2:$M$49,6,FALSE)</f>
        <v>4.3873267195354213</v>
      </c>
      <c r="G484" s="196">
        <f t="shared" si="85"/>
        <v>1599465</v>
      </c>
      <c r="H484" s="213">
        <f>Area!Q20</f>
        <v>1044.7681183069628</v>
      </c>
      <c r="J484" s="32">
        <f>D484*Variables!$C$20</f>
        <v>6315.6376740214164</v>
      </c>
      <c r="K484" s="202">
        <f t="shared" si="81"/>
        <v>6169.4223639947395</v>
      </c>
      <c r="L484" s="32">
        <f t="shared" si="86"/>
        <v>146.21531002667689</v>
      </c>
      <c r="S484" s="198">
        <f>$L484*Variables!$C$21/100</f>
        <v>7.9392928521272506</v>
      </c>
      <c r="T484" s="198">
        <f>$L484*Variables!$C$22/100</f>
        <v>13.89376249122269</v>
      </c>
      <c r="U484" s="198">
        <f>$L484*Variables!$C$23/100</f>
        <v>14.555370228899962</v>
      </c>
      <c r="V484" s="198">
        <f>$L484*Variables!$C$24/100</f>
        <v>105.85723802836335</v>
      </c>
      <c r="W484" s="22">
        <f>S484*Variables!$E$25*Variables!$C$15+'Cost Calculations'!T484*Variables!$E$26*Variables!$C$15+'Cost Calculations'!U484*Variables!$E$27*Variables!$C$15+V484*Variables!$E$28*Variables!$C$15</f>
        <v>98072710.608458728</v>
      </c>
      <c r="X484" s="20">
        <f>J484*Variables!$E$29*Variables!$C$15</f>
        <v>1079595.103997221</v>
      </c>
      <c r="Z484" s="33">
        <f>D484*(IF(D484&lt;50000,0,IF(D484&gt;Variables!$C$7,Variables!$C$37,IF(D484&gt;Variables!$C$6,Variables!$C$36,IF(D484&gt;Variables!$C$5,Variables!$C$35)))))</f>
        <v>3508.6875966785647</v>
      </c>
      <c r="AA484" s="34">
        <f t="shared" si="80"/>
        <v>5267</v>
      </c>
      <c r="AB484" s="35">
        <f t="shared" si="87"/>
        <v>0</v>
      </c>
      <c r="AC484" s="22">
        <f>AB484*Variables!$E$41</f>
        <v>0</v>
      </c>
      <c r="AD484" s="115">
        <f>ROUND(IF(D484&lt;50000,0,(H484/(3.14*Variables!$C$34^2))),0)</f>
        <v>1331</v>
      </c>
      <c r="AE484" s="116">
        <f t="shared" si="82"/>
        <v>1469</v>
      </c>
      <c r="AF484" s="117">
        <f t="shared" si="88"/>
        <v>0</v>
      </c>
      <c r="AG484" s="107">
        <f>AF484*Variables!$E$42*Variables!$C$15</f>
        <v>0</v>
      </c>
      <c r="AH484" s="199">
        <f>ROUND((Z484)/Variables!$C$40,0)</f>
        <v>28</v>
      </c>
      <c r="AI484" s="33">
        <f t="shared" si="83"/>
        <v>27</v>
      </c>
      <c r="AJ484" s="199">
        <f t="shared" si="91"/>
        <v>1</v>
      </c>
      <c r="AK484" s="22">
        <f>AJ484*Variables!$E$43*Variables!$C$15</f>
        <v>552717.39600000007</v>
      </c>
      <c r="AL484" s="20">
        <f>Z484*Variables!$E$38*Variables!$C$15</f>
        <v>622014912.43717778</v>
      </c>
      <c r="AN484" s="200">
        <f t="shared" si="84"/>
        <v>0.14000000000000001</v>
      </c>
      <c r="AO484" s="201">
        <f t="shared" si="89"/>
        <v>36.853544444097544</v>
      </c>
      <c r="AP484" s="321">
        <f>VLOOKUP(A484,'Household Information'!H:Q,10,FALSE)</f>
        <v>155.49665530733307</v>
      </c>
      <c r="AQ484" s="122">
        <f>IF(12*(AO484-Variables!$C$3*AP484*F484)*(G484/5)&lt;0,0,12*(AO484-Variables!$C$3*AP484*F484)*(G484/5))</f>
        <v>0</v>
      </c>
    </row>
    <row r="485" spans="1:43" ht="14.25" customHeight="1" x14ac:dyDescent="0.35">
      <c r="A485" s="30">
        <v>20</v>
      </c>
      <c r="B485" s="28" t="s">
        <v>173</v>
      </c>
      <c r="C485" s="28">
        <v>2030</v>
      </c>
      <c r="D485" s="196">
        <f>Population!O21</f>
        <v>4396270.4031188991</v>
      </c>
      <c r="E485" s="303" t="str">
        <f t="shared" si="90"/>
        <v>Large</v>
      </c>
      <c r="F485" s="340">
        <f>VLOOKUP(A485,'Household Information'!$H$2:$M$49,6,FALSE)</f>
        <v>5.2348048588773741</v>
      </c>
      <c r="G485" s="196">
        <f t="shared" si="85"/>
        <v>839816</v>
      </c>
      <c r="H485" s="213">
        <f>Area!Q21</f>
        <v>531.31263428076147</v>
      </c>
      <c r="J485" s="32">
        <f>D485*Variables!$C$20</f>
        <v>3956.643362807009</v>
      </c>
      <c r="K485" s="202">
        <f t="shared" si="81"/>
        <v>3865.0418704767108</v>
      </c>
      <c r="L485" s="32">
        <f t="shared" si="86"/>
        <v>91.601492330298242</v>
      </c>
      <c r="S485" s="198">
        <f>$L485*Variables!$C$21/100</f>
        <v>4.9738366876180038</v>
      </c>
      <c r="T485" s="198">
        <f>$L485*Variables!$C$22/100</f>
        <v>8.7042142033315084</v>
      </c>
      <c r="U485" s="198">
        <f>$L485*Variables!$C$23/100</f>
        <v>9.1187005939663415</v>
      </c>
      <c r="V485" s="198">
        <f>$L485*Variables!$C$24/100</f>
        <v>66.317822501573389</v>
      </c>
      <c r="W485" s="22">
        <f>S485*Variables!$E$25*Variables!$C$15+'Cost Calculations'!T485*Variables!$E$26*Variables!$C$15+'Cost Calculations'!U485*Variables!$E$27*Variables!$C$15+V485*Variables!$E$28*Variables!$C$15</f>
        <v>61440943.817533456</v>
      </c>
      <c r="X485" s="20">
        <f>J485*Variables!$E$29*Variables!$C$15</f>
        <v>676348.61643823015</v>
      </c>
      <c r="Z485" s="33">
        <f>D485*(IF(D485&lt;50000,0,IF(D485&gt;Variables!$C$7,Variables!$C$37,IF(D485&gt;Variables!$C$6,Variables!$C$36,IF(D485&gt;Variables!$C$5,Variables!$C$35)))))</f>
        <v>2198.1352015594498</v>
      </c>
      <c r="AA485" s="34">
        <f t="shared" si="80"/>
        <v>3353</v>
      </c>
      <c r="AB485" s="35">
        <f t="shared" si="87"/>
        <v>0</v>
      </c>
      <c r="AC485" s="22">
        <f>AB485*Variables!$E$41</f>
        <v>0</v>
      </c>
      <c r="AD485" s="115">
        <f>ROUND(IF(D485&lt;50000,0,(H485/(3.14*Variables!$C$34^2))),0)</f>
        <v>677</v>
      </c>
      <c r="AE485" s="116">
        <f t="shared" si="82"/>
        <v>667</v>
      </c>
      <c r="AF485" s="117">
        <f t="shared" si="88"/>
        <v>10</v>
      </c>
      <c r="AG485" s="107">
        <f>AF485*Variables!$E$42*Variables!$C$15</f>
        <v>6775.4400000000005</v>
      </c>
      <c r="AH485" s="199">
        <f>ROUND((Z485)/Variables!$C$40,0)</f>
        <v>18</v>
      </c>
      <c r="AI485" s="33">
        <f t="shared" si="83"/>
        <v>17</v>
      </c>
      <c r="AJ485" s="199">
        <f t="shared" si="91"/>
        <v>1</v>
      </c>
      <c r="AK485" s="22">
        <f>AJ485*Variables!$E$43*Variables!$C$15</f>
        <v>552717.39600000007</v>
      </c>
      <c r="AL485" s="20">
        <f>Z485*Variables!$E$38*Variables!$C$15</f>
        <v>389682135.34239501</v>
      </c>
      <c r="AN485" s="200">
        <f t="shared" si="84"/>
        <v>0.56000000000000005</v>
      </c>
      <c r="AO485" s="201">
        <f t="shared" si="89"/>
        <v>175.88944325827978</v>
      </c>
      <c r="AP485" s="321">
        <f>VLOOKUP(A485,'Household Information'!H:Q,10,FALSE)</f>
        <v>92.944591695065014</v>
      </c>
      <c r="AQ485" s="122">
        <f>IF(12*(AO485-Variables!$C$3*AP485*F485)*(G485/5)&lt;0,0,12*(AO485-Variables!$C$3*AP485*F485)*(G485/5))</f>
        <v>207415921.30657715</v>
      </c>
    </row>
    <row r="486" spans="1:43" ht="14.25" customHeight="1" x14ac:dyDescent="0.35">
      <c r="A486" s="30">
        <v>21</v>
      </c>
      <c r="B486" s="30" t="s">
        <v>174</v>
      </c>
      <c r="C486" s="28">
        <v>2030</v>
      </c>
      <c r="D486" s="196">
        <f>Population!O22</f>
        <v>19417109.466798615</v>
      </c>
      <c r="E486" s="303" t="str">
        <f t="shared" si="90"/>
        <v>Large</v>
      </c>
      <c r="F486" s="340">
        <f>VLOOKUP(A486,'Household Information'!$H$2:$M$49,6,FALSE)</f>
        <v>4.4756737410071938</v>
      </c>
      <c r="G486" s="196">
        <f t="shared" si="85"/>
        <v>4338366</v>
      </c>
      <c r="H486" s="213">
        <f>Area!Q22</f>
        <v>560.39703865633305</v>
      </c>
      <c r="J486" s="32">
        <f>D486*Variables!$C$20</f>
        <v>17475.398520118753</v>
      </c>
      <c r="K486" s="202">
        <f t="shared" si="81"/>
        <v>17070.820084124985</v>
      </c>
      <c r="L486" s="32">
        <f t="shared" si="86"/>
        <v>404.57843599376793</v>
      </c>
      <c r="S486" s="198">
        <f>$L486*Variables!$C$21/100</f>
        <v>21.968059872964773</v>
      </c>
      <c r="T486" s="198">
        <f>$L486*Variables!$C$22/100</f>
        <v>38.444104777688352</v>
      </c>
      <c r="U486" s="198">
        <f>$L486*Variables!$C$23/100</f>
        <v>40.27477643376875</v>
      </c>
      <c r="V486" s="198">
        <f>$L486*Variables!$C$24/100</f>
        <v>292.90746497286364</v>
      </c>
      <c r="W486" s="22">
        <f>S486*Variables!$E$25*Variables!$C$15+'Cost Calculations'!T486*Variables!$E$26*Variables!$C$15+'Cost Calculations'!U486*Variables!$E$27*Variables!$C$15+V486*Variables!$E$28*Variables!$C$15</f>
        <v>271367641.76337206</v>
      </c>
      <c r="X486" s="20">
        <f>J486*Variables!$E$29*Variables!$C$15</f>
        <v>2987244.6230290998</v>
      </c>
      <c r="Z486" s="33">
        <f>D486*(IF(D486&lt;50000,0,IF(D486&gt;Variables!$C$7,Variables!$C$37,IF(D486&gt;Variables!$C$6,Variables!$C$36,IF(D486&gt;Variables!$C$5,Variables!$C$35)))))</f>
        <v>9708.5547333993072</v>
      </c>
      <c r="AA486" s="34">
        <f t="shared" si="80"/>
        <v>9484</v>
      </c>
      <c r="AB486" s="35">
        <f t="shared" si="87"/>
        <v>225</v>
      </c>
      <c r="AC486" s="22">
        <f>AB486*Variables!$E$41</f>
        <v>83160000.000000015</v>
      </c>
      <c r="AD486" s="115">
        <f>ROUND(IF(D486&lt;50000,0,(H486/(3.14*Variables!$C$34^2))),0)</f>
        <v>714</v>
      </c>
      <c r="AE486" s="116">
        <f t="shared" si="82"/>
        <v>1087</v>
      </c>
      <c r="AF486" s="117">
        <f t="shared" si="88"/>
        <v>0</v>
      </c>
      <c r="AG486" s="107">
        <f>AF486*Variables!$E$42*Variables!$C$15</f>
        <v>0</v>
      </c>
      <c r="AH486" s="199">
        <f>ROUND((Z486)/Variables!$C$40,0)</f>
        <v>78</v>
      </c>
      <c r="AI486" s="33">
        <f t="shared" si="83"/>
        <v>76</v>
      </c>
      <c r="AJ486" s="199">
        <f t="shared" si="91"/>
        <v>2</v>
      </c>
      <c r="AK486" s="22">
        <f>AJ486*Variables!$E$43*Variables!$C$15</f>
        <v>1105434.7920000001</v>
      </c>
      <c r="AL486" s="20">
        <f>Z486*Variables!$E$38*Variables!$C$15</f>
        <v>1721118126.3625467</v>
      </c>
      <c r="AN486" s="200">
        <f t="shared" si="84"/>
        <v>0.28000000000000003</v>
      </c>
      <c r="AO486" s="201">
        <f t="shared" si="89"/>
        <v>75.191318848920858</v>
      </c>
      <c r="AP486" s="321">
        <f>VLOOKUP(A486,'Household Information'!H:Q,10,FALSE)</f>
        <v>254.44907232109051</v>
      </c>
      <c r="AQ486" s="122">
        <f>IF(12*(AO486-Variables!$C$3*AP486*F486)*(G486/5)&lt;0,0,12*(AO486-Variables!$C$3*AP486*F486)*(G486/5))</f>
        <v>0</v>
      </c>
    </row>
    <row r="487" spans="1:43" ht="14.25" customHeight="1" x14ac:dyDescent="0.35">
      <c r="A487" s="30">
        <v>22</v>
      </c>
      <c r="B487" s="28" t="s">
        <v>175</v>
      </c>
      <c r="C487" s="28">
        <v>2030</v>
      </c>
      <c r="D487" s="196">
        <f>Population!O23</f>
        <v>17220120.498912062</v>
      </c>
      <c r="E487" s="303" t="str">
        <f t="shared" si="90"/>
        <v>Large</v>
      </c>
      <c r="F487" s="340">
        <f>VLOOKUP(A487,'Household Information'!$H$2:$M$49,6,FALSE)</f>
        <v>4.7768636363636361</v>
      </c>
      <c r="G487" s="196">
        <f t="shared" si="85"/>
        <v>3604901</v>
      </c>
      <c r="H487" s="213">
        <f>Area!Q23</f>
        <v>1232.8975667879984</v>
      </c>
      <c r="J487" s="32">
        <f>D487*Variables!$C$20</f>
        <v>15498.108449020856</v>
      </c>
      <c r="K487" s="202">
        <f t="shared" si="81"/>
        <v>19972.544550000002</v>
      </c>
      <c r="L487" s="32">
        <f t="shared" si="86"/>
        <v>0</v>
      </c>
      <c r="S487" s="198">
        <f>$L487*Variables!$C$21/100</f>
        <v>0</v>
      </c>
      <c r="T487" s="198">
        <f>$L487*Variables!$C$22/100</f>
        <v>0</v>
      </c>
      <c r="U487" s="198">
        <f>$L487*Variables!$C$23/100</f>
        <v>0</v>
      </c>
      <c r="V487" s="198">
        <f>$L487*Variables!$C$24/100</f>
        <v>0</v>
      </c>
      <c r="W487" s="22">
        <f>S487*Variables!$E$25*Variables!$C$15+'Cost Calculations'!T487*Variables!$E$26*Variables!$C$15+'Cost Calculations'!U487*Variables!$E$27*Variables!$C$15+V487*Variables!$E$28*Variables!$C$15</f>
        <v>0</v>
      </c>
      <c r="X487" s="20">
        <f>J487*Variables!$E$29*Variables!$C$15</f>
        <v>2649246.6582756252</v>
      </c>
      <c r="Z487" s="33">
        <f>D487*(IF(D487&lt;50000,0,IF(D487&gt;Variables!$C$7,Variables!$C$37,IF(D487&gt;Variables!$C$6,Variables!$C$36,IF(D487&gt;Variables!$C$5,Variables!$C$35)))))</f>
        <v>8610.0602494560317</v>
      </c>
      <c r="AA487" s="34">
        <f t="shared" si="80"/>
        <v>8411</v>
      </c>
      <c r="AB487" s="35">
        <f t="shared" si="87"/>
        <v>199</v>
      </c>
      <c r="AC487" s="22">
        <f>AB487*Variables!$E$41</f>
        <v>73550400.000000015</v>
      </c>
      <c r="AD487" s="115">
        <f>ROUND(IF(D487&lt;50000,0,(H487/(3.14*Variables!$C$34^2))),0)</f>
        <v>1571</v>
      </c>
      <c r="AE487" s="116">
        <f t="shared" si="82"/>
        <v>1549</v>
      </c>
      <c r="AF487" s="117">
        <f t="shared" si="88"/>
        <v>22</v>
      </c>
      <c r="AG487" s="107">
        <f>AF487*Variables!$E$42*Variables!$C$15</f>
        <v>14905.968000000001</v>
      </c>
      <c r="AH487" s="199">
        <f>ROUND((Z487)/Variables!$C$40,0)</f>
        <v>69</v>
      </c>
      <c r="AI487" s="33">
        <f t="shared" si="83"/>
        <v>69</v>
      </c>
      <c r="AJ487" s="199">
        <f t="shared" si="91"/>
        <v>0</v>
      </c>
      <c r="AK487" s="22">
        <f>AJ487*Variables!$E$43*Variables!$C$15</f>
        <v>0</v>
      </c>
      <c r="AL487" s="20">
        <f>Z487*Variables!$E$38*Variables!$C$15</f>
        <v>1526378659.9907002</v>
      </c>
      <c r="AN487" s="200">
        <f t="shared" si="84"/>
        <v>0.42</v>
      </c>
      <c r="AO487" s="201">
        <f t="shared" si="89"/>
        <v>120.37696363636363</v>
      </c>
      <c r="AP487" s="321">
        <f>VLOOKUP(A487,'Household Information'!H:Q,10,FALSE)</f>
        <v>150.91303799066011</v>
      </c>
      <c r="AQ487" s="122">
        <f>IF(12*(AO487-Variables!$C$3*AP487*F487)*(G487/5)&lt;0,0,12*(AO487-Variables!$C$3*AP487*F487)*(G487/5))</f>
        <v>105926236.11819525</v>
      </c>
    </row>
    <row r="488" spans="1:43" ht="14.25" customHeight="1" x14ac:dyDescent="0.35">
      <c r="A488" s="30">
        <v>23</v>
      </c>
      <c r="B488" s="28" t="s">
        <v>176</v>
      </c>
      <c r="C488" s="28">
        <v>2030</v>
      </c>
      <c r="D488" s="196">
        <f>Population!O24</f>
        <v>62449.057710525165</v>
      </c>
      <c r="E488" s="303" t="str">
        <f t="shared" si="90"/>
        <v>Small</v>
      </c>
      <c r="F488" s="340">
        <f>VLOOKUP(A488,'Household Information'!$H$2:$M$49,6,FALSE)</f>
        <v>3.9394565859421147</v>
      </c>
      <c r="G488" s="196">
        <f t="shared" si="85"/>
        <v>15852</v>
      </c>
      <c r="H488" s="213">
        <f>Area!Q24</f>
        <v>116.97621342040725</v>
      </c>
      <c r="J488" s="32">
        <f>D488*Variables!$C$20</f>
        <v>56.204151939472645</v>
      </c>
      <c r="K488" s="202">
        <f t="shared" si="81"/>
        <v>54.902951977603436</v>
      </c>
      <c r="L488" s="32">
        <f t="shared" si="86"/>
        <v>1.3011999618692087</v>
      </c>
      <c r="S488" s="198">
        <f>$L488*Variables!$C$21/100</f>
        <v>7.0653391594708154E-2</v>
      </c>
      <c r="T488" s="198">
        <f>$L488*Variables!$C$22/100</f>
        <v>0.12364343529073929</v>
      </c>
      <c r="U488" s="198">
        <f>$L488*Variables!$C$23/100</f>
        <v>0.12953121792363165</v>
      </c>
      <c r="V488" s="198">
        <f>$L488*Variables!$C$24/100</f>
        <v>0.94204522126277557</v>
      </c>
      <c r="W488" s="22">
        <f>S488*Variables!$E$25*Variables!$C$15+'Cost Calculations'!T488*Variables!$E$26*Variables!$C$15+'Cost Calculations'!U488*Variables!$E$27*Variables!$C$15+V488*Variables!$E$28*Variables!$C$15</f>
        <v>872769.11891684728</v>
      </c>
      <c r="X488" s="20">
        <f>J488*Variables!$E$29*Variables!$C$15</f>
        <v>9607.5377325334557</v>
      </c>
      <c r="Z488" s="33">
        <f>D488*(IF(D488&lt;50000,0,IF(D488&gt;Variables!$C$7,Variables!$C$37,IF(D488&gt;Variables!$C$6,Variables!$C$36,IF(D488&gt;Variables!$C$5,Variables!$C$35)))))</f>
        <v>31.224528855262584</v>
      </c>
      <c r="AA488" s="34">
        <f t="shared" si="80"/>
        <v>374.4</v>
      </c>
      <c r="AB488" s="35">
        <f t="shared" si="87"/>
        <v>0</v>
      </c>
      <c r="AC488" s="22">
        <f>AB488*Variables!$E$41</f>
        <v>0</v>
      </c>
      <c r="AD488" s="115">
        <f>ROUND(IF(D488&lt;50000,0,(H488/(3.14*Variables!$C$34^2))),0)</f>
        <v>149</v>
      </c>
      <c r="AE488" s="116">
        <f t="shared" si="82"/>
        <v>147</v>
      </c>
      <c r="AF488" s="117">
        <f t="shared" si="88"/>
        <v>2</v>
      </c>
      <c r="AG488" s="107">
        <f>AF488*Variables!$E$42*Variables!$C$15</f>
        <v>1355.088</v>
      </c>
      <c r="AH488" s="199">
        <f>ROUND((Z488)/Variables!$C$40,0)</f>
        <v>0</v>
      </c>
      <c r="AI488" s="33">
        <f t="shared" si="83"/>
        <v>1</v>
      </c>
      <c r="AJ488" s="199">
        <f t="shared" si="91"/>
        <v>0</v>
      </c>
      <c r="AK488" s="22">
        <f>AJ488*Variables!$E$43*Variables!$C$15</f>
        <v>0</v>
      </c>
      <c r="AL488" s="20">
        <f>Z488*Variables!$E$38*Variables!$C$15</f>
        <v>5535437.9797688127</v>
      </c>
      <c r="AN488" s="200">
        <f t="shared" si="84"/>
        <v>0.42</v>
      </c>
      <c r="AO488" s="201">
        <f t="shared" si="89"/>
        <v>99.274305965741291</v>
      </c>
      <c r="AP488" s="321">
        <f>VLOOKUP(A488,'Household Information'!H:Q,10,FALSE)</f>
        <v>127.00366022971097</v>
      </c>
      <c r="AQ488" s="122">
        <f>IF(12*(AO488-Variables!$C$3*AP488*F488)*(G488/5)&lt;0,0,12*(AO488-Variables!$C$3*AP488*F488)*(G488/5))</f>
        <v>921654.1162139941</v>
      </c>
    </row>
    <row r="489" spans="1:43" ht="14.25" customHeight="1" x14ac:dyDescent="0.35">
      <c r="A489" s="30">
        <v>24</v>
      </c>
      <c r="B489" s="28" t="s">
        <v>177</v>
      </c>
      <c r="C489" s="28">
        <v>2030</v>
      </c>
      <c r="D489" s="196">
        <f>Population!O25</f>
        <v>2628334.87955959</v>
      </c>
      <c r="E489" s="303" t="str">
        <f t="shared" si="90"/>
        <v>Large</v>
      </c>
      <c r="F489" s="340">
        <f>VLOOKUP(A489,'Household Information'!$H$2:$M$49,6,FALSE)</f>
        <v>5.7167460931666056</v>
      </c>
      <c r="G489" s="196">
        <f t="shared" si="85"/>
        <v>459761</v>
      </c>
      <c r="H489" s="213">
        <f>Area!Q25</f>
        <v>119.8212469001124</v>
      </c>
      <c r="J489" s="32">
        <f>D489*Variables!$C$20</f>
        <v>2365.501391603631</v>
      </c>
      <c r="K489" s="202">
        <f t="shared" si="81"/>
        <v>2310.7369264468402</v>
      </c>
      <c r="L489" s="32">
        <f t="shared" si="86"/>
        <v>54.76446515679072</v>
      </c>
      <c r="S489" s="198">
        <f>$L489*Variables!$C$21/100</f>
        <v>2.9736361171108081</v>
      </c>
      <c r="T489" s="198">
        <f>$L489*Variables!$C$22/100</f>
        <v>5.2038632049439153</v>
      </c>
      <c r="U489" s="198">
        <f>$L489*Variables!$C$23/100</f>
        <v>5.4516662147031489</v>
      </c>
      <c r="V489" s="198">
        <f>$L489*Variables!$C$24/100</f>
        <v>39.648481561477439</v>
      </c>
      <c r="W489" s="22">
        <f>S489*Variables!$E$25*Variables!$C$15+'Cost Calculations'!T489*Variables!$E$26*Variables!$C$15+'Cost Calculations'!U489*Variables!$E$27*Variables!$C$15+V489*Variables!$E$28*Variables!$C$15</f>
        <v>36732812.329769298</v>
      </c>
      <c r="X489" s="20">
        <f>J489*Variables!$E$29*Variables!$C$15</f>
        <v>404358.80788072466</v>
      </c>
      <c r="Z489" s="33">
        <f>D489*(IF(D489&lt;50000,0,IF(D489&gt;Variables!$C$7,Variables!$C$37,IF(D489&gt;Variables!$C$6,Variables!$C$36,IF(D489&gt;Variables!$C$5,Variables!$C$35)))))</f>
        <v>1314.1674397797951</v>
      </c>
      <c r="AA489" s="34">
        <f t="shared" si="80"/>
        <v>1283.5999999999999</v>
      </c>
      <c r="AB489" s="35">
        <f t="shared" si="87"/>
        <v>31</v>
      </c>
      <c r="AC489" s="22">
        <f>AB489*Variables!$E$41</f>
        <v>11457600.000000002</v>
      </c>
      <c r="AD489" s="115">
        <f>ROUND(IF(D489&lt;50000,0,(H489/(3.14*Variables!$C$34^2))),0)</f>
        <v>153</v>
      </c>
      <c r="AE489" s="116">
        <f t="shared" si="82"/>
        <v>151</v>
      </c>
      <c r="AF489" s="117">
        <f t="shared" si="88"/>
        <v>2</v>
      </c>
      <c r="AG489" s="107">
        <f>AF489*Variables!$E$42*Variables!$C$15</f>
        <v>1355.088</v>
      </c>
      <c r="AH489" s="199">
        <f>ROUND((Z489)/Variables!$C$40,0)</f>
        <v>11</v>
      </c>
      <c r="AI489" s="33">
        <f t="shared" si="83"/>
        <v>10</v>
      </c>
      <c r="AJ489" s="199">
        <f t="shared" si="91"/>
        <v>1</v>
      </c>
      <c r="AK489" s="22">
        <f>AJ489*Variables!$E$43*Variables!$C$15</f>
        <v>552717.39600000007</v>
      </c>
      <c r="AL489" s="20">
        <f>Z489*Variables!$E$38*Variables!$C$15</f>
        <v>232973646.82915238</v>
      </c>
      <c r="AN489" s="200">
        <f t="shared" si="84"/>
        <v>0.14000000000000001</v>
      </c>
      <c r="AO489" s="201">
        <f t="shared" si="89"/>
        <v>48.020667182599489</v>
      </c>
      <c r="AP489" s="321">
        <f>VLOOKUP(A489,'Household Information'!H:Q,10,FALSE)</f>
        <v>84.816357440363504</v>
      </c>
      <c r="AQ489" s="122">
        <f>IF(12*(AO489-Variables!$C$3*AP489*F489)*(G489/5)&lt;0,0,12*(AO489-Variables!$C$3*AP489*F489)*(G489/5))</f>
        <v>0</v>
      </c>
    </row>
    <row r="490" spans="1:43" ht="14.25" customHeight="1" x14ac:dyDescent="0.35">
      <c r="A490" s="30">
        <v>25</v>
      </c>
      <c r="B490" s="28" t="s">
        <v>178</v>
      </c>
      <c r="C490" s="28">
        <v>2030</v>
      </c>
      <c r="D490" s="196">
        <f>Population!O26</f>
        <v>377302.04737603519</v>
      </c>
      <c r="E490" s="303" t="str">
        <f t="shared" si="90"/>
        <v>Medium</v>
      </c>
      <c r="F490" s="340">
        <f>VLOOKUP(A490,'Household Information'!$H$2:$M$49,6,FALSE)</f>
        <v>4.4000000000000004</v>
      </c>
      <c r="G490" s="196">
        <f t="shared" si="85"/>
        <v>85750</v>
      </c>
      <c r="H490" s="213">
        <f>Area!Q26</f>
        <v>212.84037278309432</v>
      </c>
      <c r="J490" s="32">
        <f>D490*Variables!$C$20</f>
        <v>339.57184263843163</v>
      </c>
      <c r="K490" s="202">
        <f t="shared" si="81"/>
        <v>331.71030833098723</v>
      </c>
      <c r="L490" s="32">
        <f t="shared" si="86"/>
        <v>7.8615343074444013</v>
      </c>
      <c r="S490" s="198">
        <f>$L490*Variables!$C$21/100</f>
        <v>0.42687064112820272</v>
      </c>
      <c r="T490" s="198">
        <f>$L490*Variables!$C$22/100</f>
        <v>0.7470236219743549</v>
      </c>
      <c r="U490" s="198">
        <f>$L490*Variables!$C$23/100</f>
        <v>0.78259617540170512</v>
      </c>
      <c r="V490" s="198">
        <f>$L490*Variables!$C$24/100</f>
        <v>5.6916085483760366</v>
      </c>
      <c r="W490" s="22">
        <f>S490*Variables!$E$25*Variables!$C$15+'Cost Calculations'!T490*Variables!$E$26*Variables!$C$15+'Cost Calculations'!U490*Variables!$E$27*Variables!$C$15+V490*Variables!$E$28*Variables!$C$15</f>
        <v>5273059.1545563582</v>
      </c>
      <c r="X490" s="20">
        <f>J490*Variables!$E$29*Variables!$C$15</f>
        <v>58046.4107806135</v>
      </c>
      <c r="Z490" s="33">
        <f>D490*(IF(D490&lt;50000,0,IF(D490&gt;Variables!$C$7,Variables!$C$37,IF(D490&gt;Variables!$C$6,Variables!$C$36,IF(D490&gt;Variables!$C$5,Variables!$C$35)))))</f>
        <v>188.6510236880176</v>
      </c>
      <c r="AA490" s="34">
        <f t="shared" si="80"/>
        <v>184</v>
      </c>
      <c r="AB490" s="35">
        <f t="shared" si="87"/>
        <v>5</v>
      </c>
      <c r="AC490" s="22">
        <f>AB490*Variables!$E$41</f>
        <v>1848000.0000000002</v>
      </c>
      <c r="AD490" s="115">
        <f>ROUND(IF(D490&lt;50000,0,(H490/(3.14*Variables!$C$34^2))),0)</f>
        <v>271</v>
      </c>
      <c r="AE490" s="116">
        <f t="shared" si="82"/>
        <v>267</v>
      </c>
      <c r="AF490" s="117">
        <f t="shared" si="88"/>
        <v>4</v>
      </c>
      <c r="AG490" s="107">
        <f>AF490*Variables!$E$42*Variables!$C$15</f>
        <v>2710.1759999999999</v>
      </c>
      <c r="AH490" s="199">
        <f>ROUND((Z490)/Variables!$C$40,0)</f>
        <v>2</v>
      </c>
      <c r="AI490" s="33">
        <f t="shared" si="83"/>
        <v>1</v>
      </c>
      <c r="AJ490" s="199">
        <f t="shared" si="91"/>
        <v>1</v>
      </c>
      <c r="AK490" s="22">
        <f>AJ490*Variables!$E$43*Variables!$C$15</f>
        <v>552717.39600000007</v>
      </c>
      <c r="AL490" s="20">
        <f>Z490*Variables!$E$38*Variables!$C$15</f>
        <v>33443772.563726548</v>
      </c>
      <c r="AN490" s="200">
        <f t="shared" si="84"/>
        <v>0.14000000000000001</v>
      </c>
      <c r="AO490" s="201">
        <f t="shared" si="89"/>
        <v>36.960000000000008</v>
      </c>
      <c r="AP490" s="321">
        <f>VLOOKUP(A490,'Household Information'!H:Q,10,FALSE)</f>
        <v>100.80777483276538</v>
      </c>
      <c r="AQ490" s="122">
        <f>IF(12*(AO490-Variables!$C$3*AP490*F490)*(G490/5)&lt;0,0,12*(AO490-Variables!$C$3*AP490*F490)*(G490/5))</f>
        <v>0</v>
      </c>
    </row>
    <row r="491" spans="1:43" ht="14.25" customHeight="1" x14ac:dyDescent="0.35">
      <c r="A491" s="30">
        <v>26</v>
      </c>
      <c r="B491" s="28" t="s">
        <v>179</v>
      </c>
      <c r="C491" s="28">
        <v>2030</v>
      </c>
      <c r="D491" s="196">
        <f>Population!O27</f>
        <v>156346.58509600104</v>
      </c>
      <c r="E491" s="303" t="str">
        <f t="shared" si="90"/>
        <v>Medium</v>
      </c>
      <c r="F491" s="340">
        <f>VLOOKUP(A491,'Household Information'!$H$2:$M$49,6,FALSE)</f>
        <v>3.9948981478058339</v>
      </c>
      <c r="G491" s="196">
        <f t="shared" si="85"/>
        <v>39137</v>
      </c>
      <c r="H491" s="213">
        <f>Area!Q27</f>
        <v>759.91896060334409</v>
      </c>
      <c r="J491" s="32">
        <f>D491*Variables!$C$20</f>
        <v>140.71192658640092</v>
      </c>
      <c r="K491" s="202">
        <f t="shared" si="81"/>
        <v>137.45426060994524</v>
      </c>
      <c r="L491" s="32">
        <f t="shared" si="86"/>
        <v>3.2576659764556837</v>
      </c>
      <c r="S491" s="198">
        <f>$L491*Variables!$C$21/100</f>
        <v>0.17688684035053484</v>
      </c>
      <c r="T491" s="198">
        <f>$L491*Variables!$C$22/100</f>
        <v>0.30955197061343598</v>
      </c>
      <c r="U491" s="198">
        <f>$L491*Variables!$C$23/100</f>
        <v>0.32429254064264723</v>
      </c>
      <c r="V491" s="198">
        <f>$L491*Variables!$C$24/100</f>
        <v>2.3584912046737982</v>
      </c>
      <c r="W491" s="22">
        <f>S491*Variables!$E$25*Variables!$C$15+'Cost Calculations'!T491*Variables!$E$26*Variables!$C$15+'Cost Calculations'!U491*Variables!$E$27*Variables!$C$15+V491*Variables!$E$28*Variables!$C$15</f>
        <v>2185052.5263713491</v>
      </c>
      <c r="X491" s="20">
        <f>J491*Variables!$E$29*Variables!$C$15</f>
        <v>24053.296730679376</v>
      </c>
      <c r="Z491" s="33">
        <f>D491*(IF(D491&lt;50000,0,IF(D491&gt;Variables!$C$7,Variables!$C$37,IF(D491&gt;Variables!$C$6,Variables!$C$36,IF(D491&gt;Variables!$C$5,Variables!$C$35)))))</f>
        <v>78.173292548000518</v>
      </c>
      <c r="AA491" s="34">
        <f t="shared" si="80"/>
        <v>139</v>
      </c>
      <c r="AB491" s="35">
        <f t="shared" si="87"/>
        <v>0</v>
      </c>
      <c r="AC491" s="22">
        <f>AB491*Variables!$E$41</f>
        <v>0</v>
      </c>
      <c r="AD491" s="115">
        <f>ROUND(IF(D491&lt;50000,0,(H491/(3.14*Variables!$C$34^2))),0)</f>
        <v>968</v>
      </c>
      <c r="AE491" s="116">
        <f t="shared" si="82"/>
        <v>954</v>
      </c>
      <c r="AF491" s="117">
        <f t="shared" si="88"/>
        <v>14</v>
      </c>
      <c r="AG491" s="107">
        <f>AF491*Variables!$E$42*Variables!$C$15</f>
        <v>9485.616</v>
      </c>
      <c r="AH491" s="199">
        <f>ROUND((Z491)/Variables!$C$40,0)</f>
        <v>1</v>
      </c>
      <c r="AI491" s="33">
        <f t="shared" si="83"/>
        <v>1</v>
      </c>
      <c r="AJ491" s="199">
        <f t="shared" si="91"/>
        <v>0</v>
      </c>
      <c r="AK491" s="22">
        <f>AJ491*Variables!$E$43*Variables!$C$15</f>
        <v>0</v>
      </c>
      <c r="AL491" s="20">
        <f>Z491*Variables!$E$38*Variables!$C$15</f>
        <v>13858444.896946754</v>
      </c>
      <c r="AN491" s="200">
        <f t="shared" si="84"/>
        <v>0.25221875000000005</v>
      </c>
      <c r="AO491" s="201">
        <f t="shared" si="89"/>
        <v>60.455293033014172</v>
      </c>
      <c r="AP491" s="321">
        <f>VLOOKUP(A491,'Household Information'!H:Q,10,FALSE)</f>
        <v>108.65462509082352</v>
      </c>
      <c r="AQ491" s="122">
        <f>IF(12*(AO491-Variables!$C$3*AP491*F491)*(G491/5)&lt;0,0,12*(AO491-Variables!$C$3*AP491*F491)*(G491/5))</f>
        <v>0</v>
      </c>
    </row>
    <row r="492" spans="1:43" ht="14.25" customHeight="1" x14ac:dyDescent="0.35">
      <c r="A492" s="30">
        <v>27</v>
      </c>
      <c r="B492" s="28" t="s">
        <v>180</v>
      </c>
      <c r="C492" s="28">
        <v>2030</v>
      </c>
      <c r="D492" s="196">
        <f>Population!O28</f>
        <v>1576844.5593027731</v>
      </c>
      <c r="E492" s="303" t="str">
        <f t="shared" si="90"/>
        <v>Large</v>
      </c>
      <c r="F492" s="340">
        <f>VLOOKUP(A492,'Household Information'!$H$2:$M$49,6,FALSE)</f>
        <v>4.6947316089524085</v>
      </c>
      <c r="G492" s="196">
        <f t="shared" si="85"/>
        <v>335875</v>
      </c>
      <c r="H492" s="213">
        <f>Area!Q28</f>
        <v>141.89140180753097</v>
      </c>
      <c r="J492" s="32">
        <f>D492*Variables!$C$20</f>
        <v>1419.1601033724958</v>
      </c>
      <c r="K492" s="202">
        <f t="shared" si="81"/>
        <v>2162.4648561170238</v>
      </c>
      <c r="L492" s="32">
        <f t="shared" si="86"/>
        <v>0</v>
      </c>
      <c r="S492" s="198">
        <f>$L492*Variables!$C$21/100</f>
        <v>0</v>
      </c>
      <c r="T492" s="198">
        <f>$L492*Variables!$C$22/100</f>
        <v>0</v>
      </c>
      <c r="U492" s="198">
        <f>$L492*Variables!$C$23/100</f>
        <v>0</v>
      </c>
      <c r="V492" s="198">
        <f>$L492*Variables!$C$24/100</f>
        <v>0</v>
      </c>
      <c r="W492" s="22">
        <f>S492*Variables!$E$25*Variables!$C$15+'Cost Calculations'!T492*Variables!$E$26*Variables!$C$15+'Cost Calculations'!U492*Variables!$E$27*Variables!$C$15+V492*Variables!$E$28*Variables!$C$15</f>
        <v>0</v>
      </c>
      <c r="X492" s="20">
        <f>J492*Variables!$E$29*Variables!$C$15</f>
        <v>242591.22807049443</v>
      </c>
      <c r="Z492" s="33">
        <f>D492*(IF(D492&lt;50000,0,IF(D492&gt;Variables!$C$7,Variables!$C$37,IF(D492&gt;Variables!$C$6,Variables!$C$36,IF(D492&gt;Variables!$C$5,Variables!$C$35)))))</f>
        <v>788.42227965138659</v>
      </c>
      <c r="AA492" s="34">
        <f t="shared" si="80"/>
        <v>770</v>
      </c>
      <c r="AB492" s="35">
        <f t="shared" si="87"/>
        <v>18</v>
      </c>
      <c r="AC492" s="22">
        <f>AB492*Variables!$E$41</f>
        <v>6652800.0000000009</v>
      </c>
      <c r="AD492" s="115">
        <f>ROUND(IF(D492&lt;50000,0,(H492/(3.14*Variables!$C$34^2))),0)</f>
        <v>181</v>
      </c>
      <c r="AE492" s="116">
        <f t="shared" si="82"/>
        <v>178</v>
      </c>
      <c r="AF492" s="117">
        <f t="shared" si="88"/>
        <v>3</v>
      </c>
      <c r="AG492" s="107">
        <f>AF492*Variables!$E$42*Variables!$C$15</f>
        <v>2032.6320000000001</v>
      </c>
      <c r="AH492" s="199">
        <f>ROUND((Z492)/Variables!$C$40,0)</f>
        <v>6</v>
      </c>
      <c r="AI492" s="33">
        <f t="shared" si="83"/>
        <v>110</v>
      </c>
      <c r="AJ492" s="199">
        <f t="shared" si="91"/>
        <v>0</v>
      </c>
      <c r="AK492" s="22">
        <f>AJ492*Variables!$E$43*Variables!$C$15</f>
        <v>0</v>
      </c>
      <c r="AL492" s="20">
        <f>Z492*Variables!$E$38*Variables!$C$15</f>
        <v>139770327.71601424</v>
      </c>
      <c r="AN492" s="200">
        <f t="shared" si="84"/>
        <v>0.14000000000000001</v>
      </c>
      <c r="AO492" s="201">
        <f t="shared" si="89"/>
        <v>39.435745515200232</v>
      </c>
      <c r="AP492" s="321">
        <f>VLOOKUP(A492,'Household Information'!H:Q,10,FALSE)</f>
        <v>58.94736842105263</v>
      </c>
      <c r="AQ492" s="122">
        <f>IF(12*(AO492-Variables!$C$3*AP492*F492)*(G492/5)&lt;0,0,12*(AO492-Variables!$C$3*AP492*F492)*(G492/5))</f>
        <v>0</v>
      </c>
    </row>
    <row r="493" spans="1:43" ht="14.25" customHeight="1" x14ac:dyDescent="0.35">
      <c r="A493" s="30">
        <v>28</v>
      </c>
      <c r="B493" s="28" t="s">
        <v>181</v>
      </c>
      <c r="C493" s="28">
        <v>2030</v>
      </c>
      <c r="D493" s="196">
        <f>Population!O29</f>
        <v>1675150.6777378588</v>
      </c>
      <c r="E493" s="303" t="str">
        <f t="shared" si="90"/>
        <v>Large</v>
      </c>
      <c r="F493" s="340">
        <f>VLOOKUP(A493,'Household Information'!$H$2:$M$49,6,FALSE)</f>
        <v>3.2903489815623708</v>
      </c>
      <c r="G493" s="196">
        <f t="shared" si="85"/>
        <v>509110</v>
      </c>
      <c r="H493" s="213">
        <f>Area!Q29</f>
        <v>182.88506105806621</v>
      </c>
      <c r="J493" s="32">
        <f>D493*Variables!$C$20</f>
        <v>1507.635609964073</v>
      </c>
      <c r="K493" s="202">
        <f t="shared" si="81"/>
        <v>1472.7318647690463</v>
      </c>
      <c r="L493" s="32">
        <f t="shared" si="86"/>
        <v>34.903745195026659</v>
      </c>
      <c r="S493" s="198">
        <f>$L493*Variables!$C$21/100</f>
        <v>1.8952259834403613</v>
      </c>
      <c r="T493" s="198">
        <f>$L493*Variables!$C$22/100</f>
        <v>3.316645471020633</v>
      </c>
      <c r="U493" s="198">
        <f>$L493*Variables!$C$23/100</f>
        <v>3.4745809696406629</v>
      </c>
      <c r="V493" s="198">
        <f>$L493*Variables!$C$24/100</f>
        <v>25.269679779204822</v>
      </c>
      <c r="W493" s="22">
        <f>S493*Variables!$E$25*Variables!$C$15+'Cost Calculations'!T493*Variables!$E$26*Variables!$C$15+'Cost Calculations'!U493*Variables!$E$27*Variables!$C$15+V493*Variables!$E$28*Variables!$C$15</f>
        <v>23411398.580892026</v>
      </c>
      <c r="X493" s="20">
        <f>J493*Variables!$E$29*Variables!$C$15</f>
        <v>257715.23116725864</v>
      </c>
      <c r="Z493" s="33">
        <f>D493*(IF(D493&lt;50000,0,IF(D493&gt;Variables!$C$7,Variables!$C$37,IF(D493&gt;Variables!$C$6,Variables!$C$36,IF(D493&gt;Variables!$C$5,Variables!$C$35)))))</f>
        <v>837.57533886892941</v>
      </c>
      <c r="AA493" s="34">
        <f t="shared" si="80"/>
        <v>818</v>
      </c>
      <c r="AB493" s="35">
        <f t="shared" si="87"/>
        <v>20</v>
      </c>
      <c r="AC493" s="22">
        <f>AB493*Variables!$E$41</f>
        <v>7392000.0000000009</v>
      </c>
      <c r="AD493" s="115">
        <f>ROUND(IF(D493&lt;50000,0,(H493/(3.14*Variables!$C$34^2))),0)</f>
        <v>233</v>
      </c>
      <c r="AE493" s="116">
        <f t="shared" si="82"/>
        <v>230</v>
      </c>
      <c r="AF493" s="117">
        <f t="shared" si="88"/>
        <v>3</v>
      </c>
      <c r="AG493" s="107">
        <f>AF493*Variables!$E$42*Variables!$C$15</f>
        <v>2032.6320000000001</v>
      </c>
      <c r="AH493" s="199">
        <f>ROUND((Z493)/Variables!$C$40,0)</f>
        <v>7</v>
      </c>
      <c r="AI493" s="33">
        <f t="shared" si="83"/>
        <v>7</v>
      </c>
      <c r="AJ493" s="199">
        <f t="shared" si="91"/>
        <v>0</v>
      </c>
      <c r="AK493" s="22">
        <f>AJ493*Variables!$E$43*Variables!$C$15</f>
        <v>0</v>
      </c>
      <c r="AL493" s="20">
        <f>Z493*Variables!$E$38*Variables!$C$15</f>
        <v>148484108.86146632</v>
      </c>
      <c r="AN493" s="200">
        <f t="shared" si="84"/>
        <v>0.21</v>
      </c>
      <c r="AO493" s="201">
        <f t="shared" si="89"/>
        <v>41.458397167685874</v>
      </c>
      <c r="AP493" s="321">
        <f>VLOOKUP(A493,'Household Information'!H:Q,10,FALSE)</f>
        <v>53.01022340022719</v>
      </c>
      <c r="AQ493" s="122">
        <f>IF(12*(AO493-Variables!$C$3*AP493*F493)*(G493/5)&lt;0,0,12*(AO493-Variables!$C$3*AP493*F493)*(G493/5))</f>
        <v>18688503.940417882</v>
      </c>
    </row>
    <row r="494" spans="1:43" ht="14.25" customHeight="1" x14ac:dyDescent="0.35">
      <c r="A494" s="30">
        <v>29</v>
      </c>
      <c r="B494" s="28" t="s">
        <v>182</v>
      </c>
      <c r="C494" s="28">
        <v>2030</v>
      </c>
      <c r="D494" s="196">
        <f>Population!O30</f>
        <v>223517.9070600197</v>
      </c>
      <c r="E494" s="303" t="str">
        <f t="shared" si="90"/>
        <v>Medium</v>
      </c>
      <c r="F494" s="340">
        <f>VLOOKUP(A494,'Household Information'!$H$2:$M$49,6,FALSE)</f>
        <v>4.6165672844480259</v>
      </c>
      <c r="G494" s="196">
        <f t="shared" si="85"/>
        <v>48416</v>
      </c>
      <c r="H494" s="213">
        <f>Area!Q30</f>
        <v>1027.9401707746481</v>
      </c>
      <c r="J494" s="32">
        <f>D494*Variables!$C$20</f>
        <v>201.16611635401773</v>
      </c>
      <c r="K494" s="202">
        <f t="shared" si="81"/>
        <v>196.50885645601028</v>
      </c>
      <c r="L494" s="32">
        <f t="shared" si="86"/>
        <v>4.6572598980074531</v>
      </c>
      <c r="S494" s="198">
        <f>$L494*Variables!$C$21/100</f>
        <v>0.25288289038954492</v>
      </c>
      <c r="T494" s="198">
        <f>$L494*Variables!$C$22/100</f>
        <v>0.4425450581817037</v>
      </c>
      <c r="U494" s="198">
        <f>$L494*Variables!$C$23/100</f>
        <v>0.46361863238083245</v>
      </c>
      <c r="V494" s="198">
        <f>$L494*Variables!$C$24/100</f>
        <v>3.3717718718605996</v>
      </c>
      <c r="W494" s="22">
        <f>S494*Variables!$E$25*Variables!$C$15+'Cost Calculations'!T494*Variables!$E$26*Variables!$C$15+'Cost Calculations'!U494*Variables!$E$27*Variables!$C$15+V494*Variables!$E$28*Variables!$C$15</f>
        <v>3123818.5804368313</v>
      </c>
      <c r="X494" s="20">
        <f>J494*Variables!$E$29*Variables!$C$15</f>
        <v>34387.335929555789</v>
      </c>
      <c r="Z494" s="33">
        <f>D494*(IF(D494&lt;50000,0,IF(D494&gt;Variables!$C$7,Variables!$C$37,IF(D494&gt;Variables!$C$6,Variables!$C$36,IF(D494&gt;Variables!$C$5,Variables!$C$35)))))</f>
        <v>111.75895353000985</v>
      </c>
      <c r="AA494" s="34">
        <f t="shared" ref="AA494:AA507" si="92">AA452+AB452</f>
        <v>206</v>
      </c>
      <c r="AB494" s="35">
        <f t="shared" si="87"/>
        <v>0</v>
      </c>
      <c r="AC494" s="22">
        <f>AB494*Variables!$E$41</f>
        <v>0</v>
      </c>
      <c r="AD494" s="115">
        <f>ROUND(IF(D494&lt;50000,0,(H494/(3.14*Variables!$C$34^2))),0)</f>
        <v>1309</v>
      </c>
      <c r="AE494" s="116">
        <f t="shared" si="82"/>
        <v>1291</v>
      </c>
      <c r="AF494" s="117">
        <f t="shared" si="88"/>
        <v>18</v>
      </c>
      <c r="AG494" s="107">
        <f>AF494*Variables!$E$42*Variables!$C$15</f>
        <v>12195.792000000001</v>
      </c>
      <c r="AH494" s="199">
        <f>ROUND((Z494)/Variables!$C$40,0)</f>
        <v>1</v>
      </c>
      <c r="AI494" s="33">
        <f t="shared" si="83"/>
        <v>1</v>
      </c>
      <c r="AJ494" s="199">
        <f t="shared" si="91"/>
        <v>0</v>
      </c>
      <c r="AK494" s="22">
        <f>AJ494*Variables!$E$43*Variables!$C$15</f>
        <v>0</v>
      </c>
      <c r="AL494" s="20">
        <f>Z494*Variables!$E$38*Variables!$C$15</f>
        <v>19812460.864240382</v>
      </c>
      <c r="AN494" s="200">
        <f t="shared" si="84"/>
        <v>0.14000000000000001</v>
      </c>
      <c r="AO494" s="201">
        <f t="shared" si="89"/>
        <v>38.779165189363418</v>
      </c>
      <c r="AP494" s="321">
        <f>VLOOKUP(A494,'Household Information'!H:Q,10,FALSE)</f>
        <v>91.707686482393044</v>
      </c>
      <c r="AQ494" s="122">
        <f>IF(12*(AO494-Variables!$C$3*AP494*F494)*(G494/5)&lt;0,0,12*(AO494-Variables!$C$3*AP494*F494)*(G494/5))</f>
        <v>0</v>
      </c>
    </row>
    <row r="495" spans="1:43" ht="14.25" customHeight="1" x14ac:dyDescent="0.35">
      <c r="A495" s="30">
        <v>30</v>
      </c>
      <c r="B495" s="28" t="s">
        <v>183</v>
      </c>
      <c r="C495" s="28">
        <v>2030</v>
      </c>
      <c r="D495" s="196">
        <f>Population!O31</f>
        <v>153348.74318226642</v>
      </c>
      <c r="E495" s="303" t="str">
        <f t="shared" si="90"/>
        <v>Medium</v>
      </c>
      <c r="F495" s="340">
        <f>VLOOKUP(A495,'Household Information'!$H$2:$M$49,6,FALSE)</f>
        <v>4.0765401369010581</v>
      </c>
      <c r="G495" s="196">
        <f t="shared" si="85"/>
        <v>37617</v>
      </c>
      <c r="H495" s="213">
        <f>Area!Q31</f>
        <v>102.4786980066751</v>
      </c>
      <c r="J495" s="32">
        <f>D495*Variables!$C$20</f>
        <v>138.01386886403978</v>
      </c>
      <c r="K495" s="202">
        <f t="shared" ref="K495:K507" si="93">K453+L453</f>
        <v>134.81866646873084</v>
      </c>
      <c r="L495" s="32">
        <f t="shared" si="86"/>
        <v>3.1952023953089395</v>
      </c>
      <c r="S495" s="198">
        <f>$L495*Variables!$C$21/100</f>
        <v>0.17349515268645824</v>
      </c>
      <c r="T495" s="198">
        <f>$L495*Variables!$C$22/100</f>
        <v>0.30361651720130195</v>
      </c>
      <c r="U495" s="198">
        <f>$L495*Variables!$C$23/100</f>
        <v>0.31807444659184014</v>
      </c>
      <c r="V495" s="198">
        <f>$L495*Variables!$C$24/100</f>
        <v>2.3132687024861101</v>
      </c>
      <c r="W495" s="22">
        <f>S495*Variables!$E$25*Variables!$C$15+'Cost Calculations'!T495*Variables!$E$26*Variables!$C$15+'Cost Calculations'!U495*Variables!$E$27*Variables!$C$15+V495*Variables!$E$28*Variables!$C$15</f>
        <v>2143155.5956309573</v>
      </c>
      <c r="X495" s="20">
        <f>J495*Variables!$E$29*Variables!$C$15</f>
        <v>23592.090743618959</v>
      </c>
      <c r="Z495" s="33">
        <f>D495*(IF(D495&lt;50000,0,IF(D495&gt;Variables!$C$7,Variables!$C$37,IF(D495&gt;Variables!$C$6,Variables!$C$36,IF(D495&gt;Variables!$C$5,Variables!$C$35)))))</f>
        <v>76.674371591133209</v>
      </c>
      <c r="AA495" s="34">
        <f t="shared" si="92"/>
        <v>75</v>
      </c>
      <c r="AB495" s="35">
        <f t="shared" si="87"/>
        <v>2</v>
      </c>
      <c r="AC495" s="22">
        <f>AB495*Variables!$E$41</f>
        <v>739200.00000000012</v>
      </c>
      <c r="AD495" s="115">
        <f>ROUND(IF(D495&lt;50000,0,(H495/(3.14*Variables!$C$34^2))),0)</f>
        <v>131</v>
      </c>
      <c r="AE495" s="116">
        <f t="shared" ref="AE495:AE507" si="94">AE453+AF453</f>
        <v>129</v>
      </c>
      <c r="AF495" s="117">
        <f t="shared" si="88"/>
        <v>2</v>
      </c>
      <c r="AG495" s="107">
        <f>AF495*Variables!$E$42*Variables!$C$15</f>
        <v>1355.088</v>
      </c>
      <c r="AH495" s="199">
        <f>ROUND((Z495)/Variables!$C$40,0)</f>
        <v>1</v>
      </c>
      <c r="AI495" s="33">
        <f t="shared" ref="AI495:AI507" si="95">AI453+AJ453</f>
        <v>21</v>
      </c>
      <c r="AJ495" s="199">
        <f t="shared" si="91"/>
        <v>0</v>
      </c>
      <c r="AK495" s="22">
        <f>AJ495*Variables!$E$43*Variables!$C$15</f>
        <v>0</v>
      </c>
      <c r="AL495" s="20">
        <f>Z495*Variables!$E$38*Variables!$C$15</f>
        <v>13592718.421720328</v>
      </c>
      <c r="AN495" s="200">
        <f t="shared" ref="AN495:AN507" si="96">AN453</f>
        <v>0.25221875000000005</v>
      </c>
      <c r="AO495" s="201">
        <f t="shared" si="89"/>
        <v>61.690791459240835</v>
      </c>
      <c r="AP495" s="321">
        <f>VLOOKUP(A495,'Household Information'!H:Q,10,FALSE)</f>
        <v>60.413984601792251</v>
      </c>
      <c r="AQ495" s="122">
        <f>IF(12*(AO495-Variables!$C$3*AP495*F495)*(G495/5)&lt;0,0,12*(AO495-Variables!$C$3*AP495*F495)*(G495/5))</f>
        <v>2234340.2442800351</v>
      </c>
    </row>
    <row r="496" spans="1:43" ht="14.25" customHeight="1" x14ac:dyDescent="0.35">
      <c r="A496" s="30">
        <v>31</v>
      </c>
      <c r="B496" s="28" t="s">
        <v>184</v>
      </c>
      <c r="C496" s="28">
        <v>2030</v>
      </c>
      <c r="D496" s="196">
        <f>Population!O32</f>
        <v>264637.18690645066</v>
      </c>
      <c r="E496" s="303" t="str">
        <f t="shared" si="90"/>
        <v>Medium</v>
      </c>
      <c r="F496" s="340">
        <f>VLOOKUP(A496,'Household Information'!$H$2:$M$49,6,FALSE)</f>
        <v>3.6621172202306398</v>
      </c>
      <c r="G496" s="196">
        <f t="shared" si="85"/>
        <v>72263</v>
      </c>
      <c r="H496" s="213">
        <f>Area!Q32</f>
        <v>774.10831878888393</v>
      </c>
      <c r="J496" s="32">
        <f>D496*Variables!$C$20</f>
        <v>238.1734682158056</v>
      </c>
      <c r="K496" s="202">
        <f t="shared" si="93"/>
        <v>522.30024000000003</v>
      </c>
      <c r="L496" s="32">
        <f t="shared" si="86"/>
        <v>0</v>
      </c>
      <c r="S496" s="198">
        <f>$L496*Variables!$C$21/100</f>
        <v>0</v>
      </c>
      <c r="T496" s="198">
        <f>$L496*Variables!$C$22/100</f>
        <v>0</v>
      </c>
      <c r="U496" s="198">
        <f>$L496*Variables!$C$23/100</f>
        <v>0</v>
      </c>
      <c r="V496" s="198">
        <f>$L496*Variables!$C$24/100</f>
        <v>0</v>
      </c>
      <c r="W496" s="22">
        <f>S496*Variables!$E$25*Variables!$C$15+'Cost Calculations'!T496*Variables!$E$26*Variables!$C$15+'Cost Calculations'!U496*Variables!$E$27*Variables!$C$15+V496*Variables!$E$28*Variables!$C$15</f>
        <v>0</v>
      </c>
      <c r="X496" s="20">
        <f>J496*Variables!$E$29*Variables!$C$15</f>
        <v>40713.372656809806</v>
      </c>
      <c r="Z496" s="33">
        <f>D496*(IF(D496&lt;50000,0,IF(D496&gt;Variables!$C$7,Variables!$C$37,IF(D496&gt;Variables!$C$6,Variables!$C$36,IF(D496&gt;Variables!$C$5,Variables!$C$35)))))</f>
        <v>132.31859345322533</v>
      </c>
      <c r="AA496" s="34">
        <f t="shared" si="92"/>
        <v>3158</v>
      </c>
      <c r="AB496" s="35">
        <f t="shared" si="87"/>
        <v>0</v>
      </c>
      <c r="AC496" s="22">
        <f>AB496*Variables!$E$41</f>
        <v>0</v>
      </c>
      <c r="AD496" s="115">
        <f>ROUND(IF(D496&lt;50000,0,(H496/(3.14*Variables!$C$34^2))),0)</f>
        <v>986</v>
      </c>
      <c r="AE496" s="116">
        <f t="shared" si="94"/>
        <v>972</v>
      </c>
      <c r="AF496" s="117">
        <f t="shared" si="88"/>
        <v>14</v>
      </c>
      <c r="AG496" s="107">
        <f>AF496*Variables!$E$42*Variables!$C$15</f>
        <v>9485.616</v>
      </c>
      <c r="AH496" s="199">
        <f>ROUND((Z496)/Variables!$C$40,0)</f>
        <v>1</v>
      </c>
      <c r="AI496" s="33">
        <f t="shared" si="95"/>
        <v>27</v>
      </c>
      <c r="AJ496" s="199">
        <f t="shared" si="91"/>
        <v>0</v>
      </c>
      <c r="AK496" s="22">
        <f>AJ496*Variables!$E$43*Variables!$C$15</f>
        <v>0</v>
      </c>
      <c r="AL496" s="20">
        <f>Z496*Variables!$E$38*Variables!$C$15</f>
        <v>23457243.214964535</v>
      </c>
      <c r="AN496" s="200">
        <f t="shared" si="96"/>
        <v>0.14000000000000001</v>
      </c>
      <c r="AO496" s="201">
        <f t="shared" si="89"/>
        <v>30.761784649937375</v>
      </c>
      <c r="AP496" s="321">
        <f>VLOOKUP(A496,'Household Information'!H:Q,10,FALSE)</f>
        <v>118.33648870377382</v>
      </c>
      <c r="AQ496" s="122">
        <f>IF(12*(AO496-Variables!$C$3*AP496*F496)*(G496/5)&lt;0,0,12*(AO496-Variables!$C$3*AP496*F496)*(G496/5))</f>
        <v>0</v>
      </c>
    </row>
    <row r="497" spans="1:43" ht="14.25" customHeight="1" x14ac:dyDescent="0.35">
      <c r="A497" s="30">
        <v>32</v>
      </c>
      <c r="B497" s="28" t="s">
        <v>185</v>
      </c>
      <c r="C497" s="28">
        <v>2030</v>
      </c>
      <c r="D497" s="196">
        <f>Population!O33</f>
        <v>1842354.1010399254</v>
      </c>
      <c r="E497" s="303" t="str">
        <f t="shared" si="90"/>
        <v>Large</v>
      </c>
      <c r="F497" s="340">
        <f>VLOOKUP(A497,'Household Information'!$H$2:$M$49,6,FALSE)</f>
        <v>6.457235996477583</v>
      </c>
      <c r="G497" s="196">
        <f t="shared" si="85"/>
        <v>285316</v>
      </c>
      <c r="H497" s="213">
        <f>Area!Q33</f>
        <v>45.721265264516553</v>
      </c>
      <c r="J497" s="32">
        <f>D497*Variables!$C$20</f>
        <v>1658.1186909359328</v>
      </c>
      <c r="K497" s="202">
        <f t="shared" si="93"/>
        <v>1619.7310647024838</v>
      </c>
      <c r="L497" s="32">
        <f t="shared" si="86"/>
        <v>38.387626233449055</v>
      </c>
      <c r="S497" s="198">
        <f>$L497*Variables!$C$21/100</f>
        <v>2.0843959945764188</v>
      </c>
      <c r="T497" s="198">
        <f>$L497*Variables!$C$22/100</f>
        <v>3.6476929905087339</v>
      </c>
      <c r="U497" s="198">
        <f>$L497*Variables!$C$23/100</f>
        <v>3.8213926567234351</v>
      </c>
      <c r="V497" s="198">
        <f>$L497*Variables!$C$24/100</f>
        <v>27.791946594352257</v>
      </c>
      <c r="W497" s="22">
        <f>S497*Variables!$E$25*Variables!$C$15+'Cost Calculations'!T497*Variables!$E$26*Variables!$C$15+'Cost Calculations'!U497*Variables!$E$27*Variables!$C$15+V497*Variables!$E$28*Variables!$C$15</f>
        <v>25748182.990220696</v>
      </c>
      <c r="X497" s="20">
        <f>J497*Variables!$E$29*Variables!$C$15</f>
        <v>283438.80902858841</v>
      </c>
      <c r="Z497" s="33">
        <f>D497*(IF(D497&lt;50000,0,IF(D497&gt;Variables!$C$7,Variables!$C$37,IF(D497&gt;Variables!$C$6,Variables!$C$36,IF(D497&gt;Variables!$C$5,Variables!$C$35)))))</f>
        <v>921.17705051996268</v>
      </c>
      <c r="AA497" s="34">
        <f t="shared" si="92"/>
        <v>900</v>
      </c>
      <c r="AB497" s="35">
        <f t="shared" si="87"/>
        <v>21</v>
      </c>
      <c r="AC497" s="22">
        <f>AB497*Variables!$E$41</f>
        <v>7761600.0000000009</v>
      </c>
      <c r="AD497" s="115">
        <f>ROUND(IF(D497&lt;50000,0,(H497/(3.14*Variables!$C$34^2))),0)</f>
        <v>58</v>
      </c>
      <c r="AE497" s="116">
        <f t="shared" si="94"/>
        <v>57</v>
      </c>
      <c r="AF497" s="117">
        <f t="shared" si="88"/>
        <v>1</v>
      </c>
      <c r="AG497" s="107">
        <f>AF497*Variables!$E$42*Variables!$C$15</f>
        <v>677.54399999999998</v>
      </c>
      <c r="AH497" s="199">
        <f>ROUND((Z497)/Variables!$C$40,0)</f>
        <v>7</v>
      </c>
      <c r="AI497" s="33">
        <f t="shared" si="95"/>
        <v>7</v>
      </c>
      <c r="AJ497" s="199">
        <f t="shared" si="91"/>
        <v>0</v>
      </c>
      <c r="AK497" s="22">
        <f>AJ497*Variables!$E$43*Variables!$C$15</f>
        <v>0</v>
      </c>
      <c r="AL497" s="20">
        <f>Z497*Variables!$E$38*Variables!$C$15</f>
        <v>163304895.81367087</v>
      </c>
      <c r="AN497" s="200">
        <f t="shared" si="96"/>
        <v>0.14000000000000001</v>
      </c>
      <c r="AO497" s="201">
        <f t="shared" si="89"/>
        <v>54.240782370411701</v>
      </c>
      <c r="AP497" s="321">
        <f>VLOOKUP(A497,'Household Information'!H:Q,10,FALSE)</f>
        <v>105.97627161428754</v>
      </c>
      <c r="AQ497" s="122">
        <f>IF(12*(AO497-Variables!$C$3*AP497*F497)*(G497/5)&lt;0,0,12*(AO497-Variables!$C$3*AP497*F497)*(G497/5))</f>
        <v>0</v>
      </c>
    </row>
    <row r="498" spans="1:43" ht="14.25" customHeight="1" x14ac:dyDescent="0.35">
      <c r="A498" s="30">
        <v>33</v>
      </c>
      <c r="B498" s="28" t="s">
        <v>186</v>
      </c>
      <c r="C498" s="28">
        <v>2030</v>
      </c>
      <c r="D498" s="196">
        <f>Population!O34</f>
        <v>1160576.8093010013</v>
      </c>
      <c r="E498" s="303" t="str">
        <f t="shared" si="90"/>
        <v>Large</v>
      </c>
      <c r="F498" s="340">
        <f>VLOOKUP(A498,'Household Information'!$H$2:$M$49,6,FALSE)</f>
        <v>3.9813857124502121</v>
      </c>
      <c r="G498" s="196">
        <f t="shared" si="85"/>
        <v>291501</v>
      </c>
      <c r="H498" s="213">
        <f>Area!Q34</f>
        <v>381.53607565562089</v>
      </c>
      <c r="J498" s="32">
        <f>D498*Variables!$C$20</f>
        <v>1044.5191283709012</v>
      </c>
      <c r="K498" s="202">
        <f t="shared" si="93"/>
        <v>1137.8472300000001</v>
      </c>
      <c r="L498" s="32">
        <f t="shared" si="86"/>
        <v>0</v>
      </c>
      <c r="S498" s="198">
        <f>$L498*Variables!$C$21/100</f>
        <v>0</v>
      </c>
      <c r="T498" s="198">
        <f>$L498*Variables!$C$22/100</f>
        <v>0</v>
      </c>
      <c r="U498" s="198">
        <f>$L498*Variables!$C$23/100</f>
        <v>0</v>
      </c>
      <c r="V498" s="198">
        <f>$L498*Variables!$C$24/100</f>
        <v>0</v>
      </c>
      <c r="W498" s="22">
        <f>S498*Variables!$E$25*Variables!$C$15+'Cost Calculations'!T498*Variables!$E$26*Variables!$C$15+'Cost Calculations'!U498*Variables!$E$27*Variables!$C$15+V498*Variables!$E$28*Variables!$C$15</f>
        <v>0</v>
      </c>
      <c r="X498" s="20">
        <f>J498*Variables!$E$29*Variables!$C$15</f>
        <v>178550.09980372185</v>
      </c>
      <c r="Z498" s="33">
        <f>D498*(IF(D498&lt;50000,0,IF(D498&gt;Variables!$C$7,Variables!$C$37,IF(D498&gt;Variables!$C$6,Variables!$C$36,IF(D498&gt;Variables!$C$5,Variables!$C$35)))))</f>
        <v>580.28840465050064</v>
      </c>
      <c r="AA498" s="34">
        <f t="shared" si="92"/>
        <v>567</v>
      </c>
      <c r="AB498" s="35">
        <f t="shared" si="87"/>
        <v>13</v>
      </c>
      <c r="AC498" s="22">
        <f>AB498*Variables!$E$41</f>
        <v>4804800.0000000009</v>
      </c>
      <c r="AD498" s="115">
        <f>ROUND(IF(D498&lt;50000,0,(H498/(3.14*Variables!$C$34^2))),0)</f>
        <v>486</v>
      </c>
      <c r="AE498" s="116">
        <f t="shared" si="94"/>
        <v>479</v>
      </c>
      <c r="AF498" s="117">
        <f t="shared" si="88"/>
        <v>7</v>
      </c>
      <c r="AG498" s="107">
        <f>AF498*Variables!$E$42*Variables!$C$15</f>
        <v>4742.808</v>
      </c>
      <c r="AH498" s="199">
        <f>ROUND((Z498)/Variables!$C$40,0)</f>
        <v>5</v>
      </c>
      <c r="AI498" s="33">
        <f t="shared" si="95"/>
        <v>5</v>
      </c>
      <c r="AJ498" s="199">
        <f t="shared" si="91"/>
        <v>0</v>
      </c>
      <c r="AK498" s="22">
        <f>AJ498*Variables!$E$43*Variables!$C$15</f>
        <v>0</v>
      </c>
      <c r="AL498" s="20">
        <f>Z498*Variables!$E$38*Variables!$C$15</f>
        <v>102872664.28298594</v>
      </c>
      <c r="AN498" s="200">
        <f t="shared" si="96"/>
        <v>0.14000000000000001</v>
      </c>
      <c r="AO498" s="201">
        <f t="shared" si="89"/>
        <v>33.443639984581786</v>
      </c>
      <c r="AP498" s="321">
        <f>VLOOKUP(A498,'Household Information'!H:Q,10,FALSE)</f>
        <v>212.04089360090876</v>
      </c>
      <c r="AQ498" s="122">
        <f>IF(12*(AO498-Variables!$C$3*AP498*F498)*(G498/5)&lt;0,0,12*(AO498-Variables!$C$3*AP498*F498)*(G498/5))</f>
        <v>0</v>
      </c>
    </row>
    <row r="499" spans="1:43" ht="14.25" customHeight="1" x14ac:dyDescent="0.35">
      <c r="A499" s="30">
        <v>34</v>
      </c>
      <c r="B499" s="28" t="s">
        <v>187</v>
      </c>
      <c r="C499" s="28">
        <v>2030</v>
      </c>
      <c r="D499" s="196">
        <f>Population!O35</f>
        <v>671376.13798825187</v>
      </c>
      <c r="E499" s="303" t="str">
        <f t="shared" si="90"/>
        <v>Medium</v>
      </c>
      <c r="F499" s="340">
        <f>VLOOKUP(A499,'Household Information'!$H$2:$M$49,6,FALSE)</f>
        <v>4.3021399999999996</v>
      </c>
      <c r="G499" s="196">
        <f t="shared" si="85"/>
        <v>156056</v>
      </c>
      <c r="H499" s="213">
        <f>Area!Q35</f>
        <v>116.06548657163565</v>
      </c>
      <c r="J499" s="32">
        <f>D499*Variables!$C$20</f>
        <v>604.2385241894267</v>
      </c>
      <c r="K499" s="202">
        <f t="shared" si="93"/>
        <v>590.24960846871784</v>
      </c>
      <c r="L499" s="32">
        <f t="shared" si="86"/>
        <v>13.98891572070886</v>
      </c>
      <c r="S499" s="198">
        <f>$L499*Variables!$C$21/100</f>
        <v>0.7595791341561372</v>
      </c>
      <c r="T499" s="198">
        <f>$L499*Variables!$C$22/100</f>
        <v>1.3292634847732401</v>
      </c>
      <c r="U499" s="198">
        <f>$L499*Variables!$C$23/100</f>
        <v>1.392561745952918</v>
      </c>
      <c r="V499" s="198">
        <f>$L499*Variables!$C$24/100</f>
        <v>10.127721788748495</v>
      </c>
      <c r="W499" s="22">
        <f>S499*Variables!$E$25*Variables!$C$15+'Cost Calculations'!T499*Variables!$E$26*Variables!$C$15+'Cost Calculations'!U499*Variables!$E$27*Variables!$C$15+V499*Variables!$E$28*Variables!$C$15</f>
        <v>9382949.5895668585</v>
      </c>
      <c r="X499" s="20">
        <f>J499*Variables!$E$29*Variables!$C$15</f>
        <v>103288.5333249406</v>
      </c>
      <c r="Z499" s="33">
        <f>D499*(IF(D499&lt;50000,0,IF(D499&gt;Variables!$C$7,Variables!$C$37,IF(D499&gt;Variables!$C$6,Variables!$C$36,IF(D499&gt;Variables!$C$5,Variables!$C$35)))))</f>
        <v>335.68806899412596</v>
      </c>
      <c r="AA499" s="34">
        <f t="shared" si="92"/>
        <v>1061</v>
      </c>
      <c r="AB499" s="35">
        <f t="shared" si="87"/>
        <v>0</v>
      </c>
      <c r="AC499" s="22">
        <f>AB499*Variables!$E$41</f>
        <v>0</v>
      </c>
      <c r="AD499" s="115">
        <f>ROUND(IF(D499&lt;50000,0,(H499/(3.14*Variables!$C$34^2))),0)</f>
        <v>148</v>
      </c>
      <c r="AE499" s="116">
        <f t="shared" si="94"/>
        <v>146</v>
      </c>
      <c r="AF499" s="117">
        <f t="shared" si="88"/>
        <v>2</v>
      </c>
      <c r="AG499" s="107">
        <f>AF499*Variables!$E$42*Variables!$C$15</f>
        <v>1355.088</v>
      </c>
      <c r="AH499" s="199">
        <f>ROUND((Z499)/Variables!$C$40,0)</f>
        <v>3</v>
      </c>
      <c r="AI499" s="33">
        <f t="shared" si="95"/>
        <v>3</v>
      </c>
      <c r="AJ499" s="199">
        <f t="shared" si="91"/>
        <v>0</v>
      </c>
      <c r="AK499" s="22">
        <f>AJ499*Variables!$E$43*Variables!$C$15</f>
        <v>0</v>
      </c>
      <c r="AL499" s="20">
        <f>Z499*Variables!$E$38*Variables!$C$15</f>
        <v>59510281.006278843</v>
      </c>
      <c r="AN499" s="200">
        <f t="shared" si="96"/>
        <v>0.21</v>
      </c>
      <c r="AO499" s="201">
        <f t="shared" si="89"/>
        <v>54.206963999999992</v>
      </c>
      <c r="AP499" s="321">
        <f>VLOOKUP(A499,'Household Information'!H:Q,10,FALSE)</f>
        <v>71.56380159030671</v>
      </c>
      <c r="AQ499" s="122">
        <f>IF(12*(AO499-Variables!$C$3*AP499*F499)*(G499/5)&lt;0,0,12*(AO499-Variables!$C$3*AP499*F499)*(G499/5))</f>
        <v>3005765.8994269529</v>
      </c>
    </row>
    <row r="500" spans="1:43" ht="14.25" customHeight="1" x14ac:dyDescent="0.35">
      <c r="A500" s="30">
        <v>35</v>
      </c>
      <c r="B500" s="28" t="s">
        <v>188</v>
      </c>
      <c r="C500" s="28">
        <v>2030</v>
      </c>
      <c r="D500" s="196">
        <f>Population!O36</f>
        <v>286023.14504586736</v>
      </c>
      <c r="E500" s="303" t="str">
        <f t="shared" si="90"/>
        <v>Medium</v>
      </c>
      <c r="F500" s="340">
        <f>VLOOKUP(A500,'Household Information'!$H$2:$M$49,6,FALSE)</f>
        <v>5.0911666666666671</v>
      </c>
      <c r="G500" s="196">
        <f t="shared" si="85"/>
        <v>56180</v>
      </c>
      <c r="H500" s="213">
        <f>Area!Q36</f>
        <v>39.470318957914117</v>
      </c>
      <c r="J500" s="32">
        <f>D500*Variables!$C$20</f>
        <v>257.42083054128062</v>
      </c>
      <c r="K500" s="202">
        <f t="shared" si="93"/>
        <v>251.46120009893576</v>
      </c>
      <c r="L500" s="32">
        <f t="shared" si="86"/>
        <v>5.9596304423448601</v>
      </c>
      <c r="S500" s="198">
        <f>$L500*Variables!$C$21/100</f>
        <v>0.32359984302325029</v>
      </c>
      <c r="T500" s="198">
        <f>$L500*Variables!$C$22/100</f>
        <v>0.56629972529068806</v>
      </c>
      <c r="U500" s="198">
        <f>$L500*Variables!$C$23/100</f>
        <v>0.5932663788759589</v>
      </c>
      <c r="V500" s="198">
        <f>$L500*Variables!$C$24/100</f>
        <v>4.3146645736433378</v>
      </c>
      <c r="W500" s="22">
        <f>S500*Variables!$E$25*Variables!$C$15+'Cost Calculations'!T500*Variables!$E$26*Variables!$C$15+'Cost Calculations'!U500*Variables!$E$27*Variables!$C$15+V500*Variables!$E$28*Variables!$C$15</f>
        <v>3997372.8578683781</v>
      </c>
      <c r="X500" s="20">
        <f>J500*Variables!$E$29*Variables!$C$15</f>
        <v>44003.516772726514</v>
      </c>
      <c r="Z500" s="33">
        <f>D500*(IF(D500&lt;50000,0,IF(D500&gt;Variables!$C$7,Variables!$C$37,IF(D500&gt;Variables!$C$6,Variables!$C$36,IF(D500&gt;Variables!$C$5,Variables!$C$35)))))</f>
        <v>143.01157252293368</v>
      </c>
      <c r="AA500" s="34">
        <f t="shared" si="92"/>
        <v>140</v>
      </c>
      <c r="AB500" s="35">
        <f t="shared" si="87"/>
        <v>3</v>
      </c>
      <c r="AC500" s="22">
        <f>AB500*Variables!$E$41</f>
        <v>1108800.0000000002</v>
      </c>
      <c r="AD500" s="115">
        <f>ROUND(IF(D500&lt;50000,0,(H500/(3.14*Variables!$C$34^2))),0)</f>
        <v>50</v>
      </c>
      <c r="AE500" s="116">
        <f t="shared" si="94"/>
        <v>50</v>
      </c>
      <c r="AF500" s="117">
        <f t="shared" si="88"/>
        <v>0</v>
      </c>
      <c r="AG500" s="107">
        <f>AF500*Variables!$E$42*Variables!$C$15</f>
        <v>0</v>
      </c>
      <c r="AH500" s="199">
        <f>ROUND((Z500)/Variables!$C$40,0)</f>
        <v>1</v>
      </c>
      <c r="AI500" s="33">
        <f t="shared" si="95"/>
        <v>1</v>
      </c>
      <c r="AJ500" s="199">
        <f t="shared" si="91"/>
        <v>0</v>
      </c>
      <c r="AK500" s="22">
        <f>AJ500*Variables!$E$43*Variables!$C$15</f>
        <v>0</v>
      </c>
      <c r="AL500" s="20">
        <f>Z500*Variables!$E$38*Variables!$C$15</f>
        <v>25352878.621785432</v>
      </c>
      <c r="AN500" s="200">
        <f t="shared" si="96"/>
        <v>0.25221875000000005</v>
      </c>
      <c r="AO500" s="201">
        <f t="shared" si="89"/>
        <v>77.045261562500016</v>
      </c>
      <c r="AP500" s="321">
        <f>VLOOKUP(A500,'Household Information'!H:Q,10,FALSE)</f>
        <v>112.55837435314906</v>
      </c>
      <c r="AQ500" s="122">
        <f>IF(12*(AO500-Variables!$C$3*AP500*F500)*(G500/5)&lt;0,0,12*(AO500-Variables!$C$3*AP500*F500)*(G500/5))</f>
        <v>0</v>
      </c>
    </row>
    <row r="501" spans="1:43" ht="14.25" customHeight="1" x14ac:dyDescent="0.35">
      <c r="A501" s="30">
        <v>36</v>
      </c>
      <c r="B501" s="28" t="s">
        <v>189</v>
      </c>
      <c r="C501" s="28">
        <v>2030</v>
      </c>
      <c r="D501" s="196">
        <f>Population!O37</f>
        <v>1833842.7893285726</v>
      </c>
      <c r="E501" s="303" t="str">
        <f t="shared" si="90"/>
        <v>Large</v>
      </c>
      <c r="F501" s="340">
        <f>VLOOKUP(A501,'Household Information'!$H$2:$M$49,6,FALSE)</f>
        <v>4.8963166666666664</v>
      </c>
      <c r="G501" s="196">
        <f t="shared" si="85"/>
        <v>374535</v>
      </c>
      <c r="H501" s="213">
        <f>Area!Q37</f>
        <v>73.919265977395426</v>
      </c>
      <c r="J501" s="32">
        <f>D501*Variables!$C$20</f>
        <v>1650.4585103957152</v>
      </c>
      <c r="K501" s="202">
        <f t="shared" si="93"/>
        <v>1612.2482274061883</v>
      </c>
      <c r="L501" s="32">
        <f t="shared" si="86"/>
        <v>38.210282989526831</v>
      </c>
      <c r="S501" s="198">
        <f>$L501*Variables!$C$21/100</f>
        <v>2.0747664971688775</v>
      </c>
      <c r="T501" s="198">
        <f>$L501*Variables!$C$22/100</f>
        <v>3.6308413700455362</v>
      </c>
      <c r="U501" s="198">
        <f>$L501*Variables!$C$23/100</f>
        <v>3.8037385781429425</v>
      </c>
      <c r="V501" s="198">
        <f>$L501*Variables!$C$24/100</f>
        <v>27.663553295585032</v>
      </c>
      <c r="W501" s="22">
        <f>S501*Variables!$E$25*Variables!$C$15+'Cost Calculations'!T501*Variables!$E$26*Variables!$C$15+'Cost Calculations'!U501*Variables!$E$27*Variables!$C$15+V501*Variables!$E$28*Variables!$C$15</f>
        <v>25629231.475250229</v>
      </c>
      <c r="X501" s="20">
        <f>J501*Variables!$E$29*Variables!$C$15</f>
        <v>282129.37776704354</v>
      </c>
      <c r="Z501" s="33">
        <f>D501*(IF(D501&lt;50000,0,IF(D501&gt;Variables!$C$7,Variables!$C$37,IF(D501&gt;Variables!$C$6,Variables!$C$36,IF(D501&gt;Variables!$C$5,Variables!$C$35)))))</f>
        <v>916.92139466428625</v>
      </c>
      <c r="AA501" s="34">
        <f t="shared" si="92"/>
        <v>896</v>
      </c>
      <c r="AB501" s="35">
        <f t="shared" si="87"/>
        <v>21</v>
      </c>
      <c r="AC501" s="22">
        <f>AB501*Variables!$E$41</f>
        <v>7761600.0000000009</v>
      </c>
      <c r="AD501" s="115">
        <f>ROUND(IF(D501&lt;50000,0,(H501/(3.14*Variables!$C$34^2))),0)</f>
        <v>94</v>
      </c>
      <c r="AE501" s="116">
        <f t="shared" si="94"/>
        <v>93</v>
      </c>
      <c r="AF501" s="117">
        <f t="shared" si="88"/>
        <v>1</v>
      </c>
      <c r="AG501" s="107">
        <f>AF501*Variables!$E$42*Variables!$C$15</f>
        <v>677.54399999999998</v>
      </c>
      <c r="AH501" s="199">
        <f>ROUND((Z501)/Variables!$C$40,0)</f>
        <v>7</v>
      </c>
      <c r="AI501" s="33">
        <f t="shared" si="95"/>
        <v>7</v>
      </c>
      <c r="AJ501" s="199">
        <f t="shared" si="91"/>
        <v>0</v>
      </c>
      <c r="AK501" s="22">
        <f>AJ501*Variables!$E$43*Variables!$C$15</f>
        <v>0</v>
      </c>
      <c r="AL501" s="20">
        <f>Z501*Variables!$E$38*Variables!$C$15</f>
        <v>162550459.48057097</v>
      </c>
      <c r="AN501" s="200">
        <f t="shared" si="96"/>
        <v>0.28000000000000003</v>
      </c>
      <c r="AO501" s="201">
        <f t="shared" si="89"/>
        <v>82.258120000000005</v>
      </c>
      <c r="AP501" s="321">
        <f>VLOOKUP(A501,'Household Information'!H:Q,10,FALSE)</f>
        <v>50.200681560015155</v>
      </c>
      <c r="AQ501" s="122">
        <f>IF(12*(AO501-Variables!$C$3*AP501*F501)*(G501/5)&lt;0,0,12*(AO501-Variables!$C$3*AP501*F501)*(G501/5))</f>
        <v>40798866.032853879</v>
      </c>
    </row>
    <row r="502" spans="1:43" ht="14.25" customHeight="1" x14ac:dyDescent="0.35">
      <c r="A502" s="30">
        <v>37</v>
      </c>
      <c r="B502" s="28" t="s">
        <v>190</v>
      </c>
      <c r="C502" s="28">
        <v>2030</v>
      </c>
      <c r="D502" s="196">
        <f>Population!O38</f>
        <v>305959.33996932383</v>
      </c>
      <c r="E502" s="303" t="str">
        <f t="shared" si="90"/>
        <v>Medium</v>
      </c>
      <c r="F502" s="340">
        <f>VLOOKUP(A502,'Household Information'!$H$2:$M$49,6,FALSE)</f>
        <v>5.027102564102564</v>
      </c>
      <c r="G502" s="196">
        <f t="shared" si="85"/>
        <v>60862</v>
      </c>
      <c r="H502" s="213">
        <f>Area!Q38</f>
        <v>31.062440363328871</v>
      </c>
      <c r="J502" s="32">
        <f>D502*Variables!$C$20</f>
        <v>275.36340597239143</v>
      </c>
      <c r="K502" s="202">
        <f t="shared" si="93"/>
        <v>268.98838133475766</v>
      </c>
      <c r="L502" s="32">
        <f t="shared" si="86"/>
        <v>6.3750246376337714</v>
      </c>
      <c r="S502" s="198">
        <f>$L502*Variables!$C$21/100</f>
        <v>0.34615518394391515</v>
      </c>
      <c r="T502" s="198">
        <f>$L502*Variables!$C$22/100</f>
        <v>0.60577157190185149</v>
      </c>
      <c r="U502" s="198">
        <f>$L502*Variables!$C$23/100</f>
        <v>0.63461783723051124</v>
      </c>
      <c r="V502" s="198">
        <f>$L502*Variables!$C$24/100</f>
        <v>4.6154024525855357</v>
      </c>
      <c r="W502" s="22">
        <f>S502*Variables!$E$25*Variables!$C$15+'Cost Calculations'!T502*Variables!$E$26*Variables!$C$15+'Cost Calculations'!U502*Variables!$E$27*Variables!$C$15+V502*Variables!$E$28*Variables!$C$15</f>
        <v>4275995.0807776637</v>
      </c>
      <c r="X502" s="20">
        <f>J502*Variables!$E$29*Variables!$C$15</f>
        <v>47070.620616920591</v>
      </c>
      <c r="Z502" s="33">
        <f>D502*(IF(D502&lt;50000,0,IF(D502&gt;Variables!$C$7,Variables!$C$37,IF(D502&gt;Variables!$C$6,Variables!$C$36,IF(D502&gt;Variables!$C$5,Variables!$C$35)))))</f>
        <v>152.97966998466191</v>
      </c>
      <c r="AA502" s="34">
        <f t="shared" si="92"/>
        <v>149</v>
      </c>
      <c r="AB502" s="35">
        <f t="shared" si="87"/>
        <v>4</v>
      </c>
      <c r="AC502" s="22">
        <f>AB502*Variables!$E$41</f>
        <v>1478400.0000000002</v>
      </c>
      <c r="AD502" s="115">
        <f>ROUND(IF(D502&lt;50000,0,(H502/(3.14*Variables!$C$34^2))),0)</f>
        <v>40</v>
      </c>
      <c r="AE502" s="116">
        <f t="shared" si="94"/>
        <v>39</v>
      </c>
      <c r="AF502" s="117">
        <f t="shared" si="88"/>
        <v>1</v>
      </c>
      <c r="AG502" s="107">
        <f>AF502*Variables!$E$42*Variables!$C$15</f>
        <v>677.54399999999998</v>
      </c>
      <c r="AH502" s="199">
        <f>ROUND((Z502)/Variables!$C$40,0)</f>
        <v>1</v>
      </c>
      <c r="AI502" s="33">
        <f t="shared" si="95"/>
        <v>1</v>
      </c>
      <c r="AJ502" s="199">
        <f t="shared" si="91"/>
        <v>0</v>
      </c>
      <c r="AK502" s="22">
        <f>AJ502*Variables!$E$43*Variables!$C$15</f>
        <v>0</v>
      </c>
      <c r="AL502" s="20">
        <f>Z502*Variables!$E$38*Variables!$C$15</f>
        <v>27120008.09654732</v>
      </c>
      <c r="AN502" s="200">
        <f t="shared" si="96"/>
        <v>0.14000000000000001</v>
      </c>
      <c r="AO502" s="201">
        <f t="shared" si="89"/>
        <v>42.22766153846154</v>
      </c>
      <c r="AP502" s="321">
        <f>VLOOKUP(A502,'Household Information'!H:Q,10,FALSE)</f>
        <v>74.965290925154619</v>
      </c>
      <c r="AQ502" s="122">
        <f>IF(12*(AO502-Variables!$C$3*AP502*F502)*(G502/5)&lt;0,0,12*(AO502-Variables!$C$3*AP502*F502)*(G502/5))</f>
        <v>0</v>
      </c>
    </row>
    <row r="503" spans="1:43" ht="14.25" customHeight="1" x14ac:dyDescent="0.35">
      <c r="A503" s="30">
        <v>38</v>
      </c>
      <c r="B503" s="28" t="s">
        <v>191</v>
      </c>
      <c r="C503" s="28">
        <v>2030</v>
      </c>
      <c r="D503" s="196">
        <f>Population!O39</f>
        <v>1345511.3517201177</v>
      </c>
      <c r="E503" s="303" t="str">
        <f t="shared" si="90"/>
        <v>Large</v>
      </c>
      <c r="F503" s="340">
        <f>VLOOKUP(A503,'Household Information'!$H$2:$M$49,6,FALSE)</f>
        <v>4.5378736842105267</v>
      </c>
      <c r="G503" s="196">
        <f t="shared" si="85"/>
        <v>296507</v>
      </c>
      <c r="H503" s="213">
        <f>Area!Q39</f>
        <v>124.95041800286431</v>
      </c>
      <c r="J503" s="32">
        <f>D503*Variables!$C$20</f>
        <v>1210.960216548106</v>
      </c>
      <c r="K503" s="202">
        <f t="shared" si="93"/>
        <v>1182.9248965010313</v>
      </c>
      <c r="L503" s="32">
        <f t="shared" si="86"/>
        <v>28.03532004707472</v>
      </c>
      <c r="S503" s="198">
        <f>$L503*Variables!$C$21/100</f>
        <v>1.5222798215606181</v>
      </c>
      <c r="T503" s="198">
        <f>$L503*Variables!$C$22/100</f>
        <v>2.6639896877310822</v>
      </c>
      <c r="U503" s="198">
        <f>$L503*Variables!$C$23/100</f>
        <v>2.7908463395277998</v>
      </c>
      <c r="V503" s="198">
        <f>$L503*Variables!$C$24/100</f>
        <v>20.29706428747491</v>
      </c>
      <c r="W503" s="22">
        <f>S503*Variables!$E$25*Variables!$C$15+'Cost Calculations'!T503*Variables!$E$26*Variables!$C$15+'Cost Calculations'!U503*Variables!$E$27*Variables!$C$15+V503*Variables!$E$28*Variables!$C$15</f>
        <v>18804459.186186701</v>
      </c>
      <c r="X503" s="20">
        <f>J503*Variables!$E$29*Variables!$C$15</f>
        <v>207001.53941673326</v>
      </c>
      <c r="Z503" s="33">
        <f>D503*(IF(D503&lt;50000,0,IF(D503&gt;Variables!$C$7,Variables!$C$37,IF(D503&gt;Variables!$C$6,Variables!$C$36,IF(D503&gt;Variables!$C$5,Variables!$C$35)))))</f>
        <v>672.75567586005889</v>
      </c>
      <c r="AA503" s="34">
        <f t="shared" si="92"/>
        <v>657</v>
      </c>
      <c r="AB503" s="35">
        <f t="shared" si="87"/>
        <v>16</v>
      </c>
      <c r="AC503" s="22">
        <f>AB503*Variables!$E$41</f>
        <v>5913600.0000000009</v>
      </c>
      <c r="AD503" s="115">
        <f>ROUND(IF(D503&lt;50000,0,(H503/(3.14*Variables!$C$34^2))),0)</f>
        <v>159</v>
      </c>
      <c r="AE503" s="116">
        <f t="shared" si="94"/>
        <v>157</v>
      </c>
      <c r="AF503" s="117">
        <f t="shared" si="88"/>
        <v>2</v>
      </c>
      <c r="AG503" s="107">
        <f>AF503*Variables!$E$42*Variables!$C$15</f>
        <v>1355.088</v>
      </c>
      <c r="AH503" s="199">
        <f>ROUND((Z503)/Variables!$C$40,0)</f>
        <v>5</v>
      </c>
      <c r="AI503" s="33">
        <f t="shared" si="95"/>
        <v>5</v>
      </c>
      <c r="AJ503" s="199">
        <f t="shared" si="91"/>
        <v>0</v>
      </c>
      <c r="AK503" s="22">
        <f>AJ503*Variables!$E$43*Variables!$C$15</f>
        <v>0</v>
      </c>
      <c r="AL503" s="20">
        <f>Z503*Variables!$E$38*Variables!$C$15</f>
        <v>119265124.43223508</v>
      </c>
      <c r="AN503" s="200">
        <f t="shared" si="96"/>
        <v>0.21</v>
      </c>
      <c r="AO503" s="201">
        <f t="shared" si="89"/>
        <v>57.177208421052633</v>
      </c>
      <c r="AP503" s="321">
        <f>VLOOKUP(A503,'Household Information'!H:Q,10,FALSE)</f>
        <v>100.71942446043167</v>
      </c>
      <c r="AQ503" s="122">
        <f>IF(12*(AO503-Variables!$C$3*AP503*F503)*(G503/5)&lt;0,0,12*(AO503-Variables!$C$3*AP503*F503)*(G503/5))</f>
        <v>0</v>
      </c>
    </row>
    <row r="504" spans="1:43" ht="14.25" customHeight="1" x14ac:dyDescent="0.35">
      <c r="A504" s="30">
        <v>39</v>
      </c>
      <c r="B504" s="28" t="s">
        <v>192</v>
      </c>
      <c r="C504" s="28">
        <v>2030</v>
      </c>
      <c r="D504" s="196">
        <f>Population!O40</f>
        <v>110768.77617745149</v>
      </c>
      <c r="E504" s="303" t="str">
        <f t="shared" si="90"/>
        <v>Medium</v>
      </c>
      <c r="F504" s="340">
        <f>VLOOKUP(A504,'Household Information'!$H$2:$M$49,6,FALSE)</f>
        <v>3.6693548387096775</v>
      </c>
      <c r="G504" s="196">
        <f t="shared" si="85"/>
        <v>30188</v>
      </c>
      <c r="H504" s="213">
        <f>Area!Q40</f>
        <v>29.777903355822797</v>
      </c>
      <c r="J504" s="32">
        <f>D504*Variables!$C$20</f>
        <v>99.691898559706345</v>
      </c>
      <c r="K504" s="202">
        <f t="shared" si="93"/>
        <v>97.383900126703452</v>
      </c>
      <c r="L504" s="32">
        <f t="shared" si="86"/>
        <v>2.3079984330028935</v>
      </c>
      <c r="S504" s="198">
        <f>$L504*Variables!$C$21/100</f>
        <v>0.12532118188251004</v>
      </c>
      <c r="T504" s="198">
        <f>$L504*Variables!$C$22/100</f>
        <v>0.21931206829439259</v>
      </c>
      <c r="U504" s="198">
        <f>$L504*Variables!$C$23/100</f>
        <v>0.22975550011793511</v>
      </c>
      <c r="V504" s="198">
        <f>$L504*Variables!$C$24/100</f>
        <v>1.6709490917668006</v>
      </c>
      <c r="W504" s="22">
        <f>S504*Variables!$E$25*Variables!$C$15+'Cost Calculations'!T504*Variables!$E$26*Variables!$C$15+'Cost Calculations'!U504*Variables!$E$27*Variables!$C$15+V504*Variables!$E$28*Variables!$C$15</f>
        <v>1548070.8713976073</v>
      </c>
      <c r="X504" s="20">
        <f>J504*Variables!$E$29*Variables!$C$15</f>
        <v>17041.333139796203</v>
      </c>
      <c r="Z504" s="33">
        <f>D504*(IF(D504&lt;50000,0,IF(D504&gt;Variables!$C$7,Variables!$C$37,IF(D504&gt;Variables!$C$6,Variables!$C$36,IF(D504&gt;Variables!$C$5,Variables!$C$35)))))</f>
        <v>55.38438808872575</v>
      </c>
      <c r="AA504" s="34">
        <f t="shared" si="92"/>
        <v>54</v>
      </c>
      <c r="AB504" s="35">
        <f t="shared" si="87"/>
        <v>1</v>
      </c>
      <c r="AC504" s="22">
        <f>AB504*Variables!$E$41</f>
        <v>369600.00000000006</v>
      </c>
      <c r="AD504" s="115">
        <f>ROUND(IF(D504&lt;50000,0,(H504/(3.14*Variables!$C$34^2))),0)</f>
        <v>38</v>
      </c>
      <c r="AE504" s="116">
        <f t="shared" si="94"/>
        <v>37</v>
      </c>
      <c r="AF504" s="117">
        <f t="shared" si="88"/>
        <v>1</v>
      </c>
      <c r="AG504" s="107">
        <f>AF504*Variables!$E$42*Variables!$C$15</f>
        <v>677.54399999999998</v>
      </c>
      <c r="AH504" s="199">
        <f>ROUND((Z504)/Variables!$C$40,0)</f>
        <v>0</v>
      </c>
      <c r="AI504" s="33">
        <f t="shared" si="95"/>
        <v>0</v>
      </c>
      <c r="AJ504" s="199">
        <f t="shared" si="91"/>
        <v>0</v>
      </c>
      <c r="AK504" s="22">
        <f>AJ504*Variables!$E$43*Variables!$C$15</f>
        <v>0</v>
      </c>
      <c r="AL504" s="20">
        <f>Z504*Variables!$E$38*Variables!$C$15</f>
        <v>9818461.8488140143</v>
      </c>
      <c r="AN504" s="200">
        <f t="shared" si="96"/>
        <v>0.25221875000000005</v>
      </c>
      <c r="AO504" s="201">
        <f t="shared" si="89"/>
        <v>55.5288054435484</v>
      </c>
      <c r="AP504" s="321">
        <f>VLOOKUP(A504,'Household Information'!H:Q,10,FALSE)</f>
        <v>69.973494888299896</v>
      </c>
      <c r="AQ504" s="122">
        <f>IF(12*(AO504-Variables!$C$3*AP504*F504)*(G504/5)&lt;0,0,12*(AO504-Variables!$C$3*AP504*F504)*(G504/5))</f>
        <v>1232769.3496605332</v>
      </c>
    </row>
    <row r="505" spans="1:43" ht="14.25" customHeight="1" x14ac:dyDescent="0.35">
      <c r="A505" s="30">
        <v>40</v>
      </c>
      <c r="B505" s="28" t="s">
        <v>193</v>
      </c>
      <c r="C505" s="28">
        <v>2030</v>
      </c>
      <c r="D505" s="196">
        <f>Population!O41</f>
        <v>197779.53814631575</v>
      </c>
      <c r="E505" s="303" t="str">
        <f t="shared" si="90"/>
        <v>Medium</v>
      </c>
      <c r="F505" s="340">
        <f>VLOOKUP(A505,'Household Information'!$H$2:$M$49,6,FALSE)</f>
        <v>4.2245333333333335</v>
      </c>
      <c r="G505" s="196">
        <f t="shared" si="85"/>
        <v>46817</v>
      </c>
      <c r="H505" s="213">
        <f>Area!Q41</f>
        <v>41.572288606560441</v>
      </c>
      <c r="J505" s="32">
        <f>D505*Variables!$C$20</f>
        <v>178.00158433168417</v>
      </c>
      <c r="K505" s="202">
        <f t="shared" si="93"/>
        <v>173.88061378498011</v>
      </c>
      <c r="L505" s="32">
        <f t="shared" si="86"/>
        <v>4.1209705467040578</v>
      </c>
      <c r="S505" s="198">
        <f>$L505*Variables!$C$21/100</f>
        <v>0.2237631066083651</v>
      </c>
      <c r="T505" s="198">
        <f>$L505*Variables!$C$22/100</f>
        <v>0.39158543656463896</v>
      </c>
      <c r="U505" s="198">
        <f>$L505*Variables!$C$23/100</f>
        <v>0.41023236211533609</v>
      </c>
      <c r="V505" s="198">
        <f>$L505*Variables!$C$24/100</f>
        <v>2.983508088111535</v>
      </c>
      <c r="W505" s="22">
        <f>S505*Variables!$E$25*Variables!$C$15+'Cost Calculations'!T505*Variables!$E$26*Variables!$C$15+'Cost Calculations'!U505*Variables!$E$27*Variables!$C$15+V505*Variables!$E$28*Variables!$C$15</f>
        <v>2764106.9309304971</v>
      </c>
      <c r="X505" s="20">
        <f>J505*Variables!$E$29*Variables!$C$15</f>
        <v>30427.590825658091</v>
      </c>
      <c r="Z505" s="33">
        <f>D505*(IF(D505&lt;50000,0,IF(D505&gt;Variables!$C$7,Variables!$C$37,IF(D505&gt;Variables!$C$6,Variables!$C$36,IF(D505&gt;Variables!$C$5,Variables!$C$35)))))</f>
        <v>98.889769073157879</v>
      </c>
      <c r="AA505" s="34">
        <f t="shared" si="92"/>
        <v>97</v>
      </c>
      <c r="AB505" s="35">
        <f t="shared" si="87"/>
        <v>2</v>
      </c>
      <c r="AC505" s="22">
        <f>AB505*Variables!$E$41</f>
        <v>739200.00000000012</v>
      </c>
      <c r="AD505" s="115">
        <f>ROUND(IF(D505&lt;50000,0,(H505/(3.14*Variables!$C$34^2))),0)</f>
        <v>53</v>
      </c>
      <c r="AE505" s="116">
        <f t="shared" si="94"/>
        <v>52</v>
      </c>
      <c r="AF505" s="117">
        <f t="shared" si="88"/>
        <v>1</v>
      </c>
      <c r="AG505" s="107">
        <f>AF505*Variables!$E$42*Variables!$C$15</f>
        <v>677.54399999999998</v>
      </c>
      <c r="AH505" s="199">
        <f>ROUND((Z505)/Variables!$C$40,0)</f>
        <v>1</v>
      </c>
      <c r="AI505" s="33">
        <f t="shared" si="95"/>
        <v>1</v>
      </c>
      <c r="AJ505" s="199">
        <f t="shared" si="91"/>
        <v>0</v>
      </c>
      <c r="AK505" s="22">
        <f>AJ505*Variables!$E$43*Variables!$C$15</f>
        <v>0</v>
      </c>
      <c r="AL505" s="20">
        <f>Z505*Variables!$E$38*Variables!$C$15</f>
        <v>17531031.006921563</v>
      </c>
      <c r="AN505" s="200">
        <f t="shared" si="96"/>
        <v>0.28000000000000003</v>
      </c>
      <c r="AO505" s="201">
        <f t="shared" si="89"/>
        <v>70.972160000000002</v>
      </c>
      <c r="AP505" s="321">
        <f>VLOOKUP(A505,'Household Information'!H:Q,10,FALSE)</f>
        <v>73.754890824182766</v>
      </c>
      <c r="AQ505" s="122">
        <f>IF(12*(AO505-Variables!$C$3*AP505*F505)*(G505/5)&lt;0,0,12*(AO505-Variables!$C$3*AP505*F505)*(G505/5))</f>
        <v>2723082.0536539061</v>
      </c>
    </row>
    <row r="506" spans="1:43" ht="14.25" customHeight="1" x14ac:dyDescent="0.35">
      <c r="A506" s="30">
        <v>41</v>
      </c>
      <c r="B506" s="28" t="s">
        <v>194</v>
      </c>
      <c r="C506" s="28">
        <v>2030</v>
      </c>
      <c r="D506" s="196">
        <f>Population!O42</f>
        <v>95194.355407502691</v>
      </c>
      <c r="E506" s="303" t="str">
        <f t="shared" si="90"/>
        <v>Small</v>
      </c>
      <c r="F506" s="340">
        <f>VLOOKUP(A506,'Household Information'!$H$2:$M$49,6,FALSE)</f>
        <v>6.1423824388279122</v>
      </c>
      <c r="G506" s="196">
        <f t="shared" si="85"/>
        <v>15498</v>
      </c>
      <c r="H506" s="213">
        <f>Area!Q42</f>
        <v>16.582205005987593</v>
      </c>
      <c r="J506" s="32">
        <f>D506*Variables!$C$20</f>
        <v>85.674919866752418</v>
      </c>
      <c r="K506" s="202">
        <f t="shared" si="93"/>
        <v>83.691432906859831</v>
      </c>
      <c r="L506" s="32">
        <f t="shared" si="86"/>
        <v>1.9834869598925877</v>
      </c>
      <c r="S506" s="198">
        <f>$L506*Variables!$C$21/100</f>
        <v>0.10770064940593235</v>
      </c>
      <c r="T506" s="198">
        <f>$L506*Variables!$C$22/100</f>
        <v>0.18847613646038164</v>
      </c>
      <c r="U506" s="198">
        <f>$L506*Variables!$C$23/100</f>
        <v>0.19745119057754265</v>
      </c>
      <c r="V506" s="198">
        <f>$L506*Variables!$C$24/100</f>
        <v>1.4360086587457648</v>
      </c>
      <c r="W506" s="22">
        <f>S506*Variables!$E$25*Variables!$C$15+'Cost Calculations'!T506*Variables!$E$26*Variables!$C$15+'Cost Calculations'!U506*Variables!$E$27*Variables!$C$15+V506*Variables!$E$28*Variables!$C$15</f>
        <v>1330407.4831678448</v>
      </c>
      <c r="X506" s="20">
        <f>J506*Variables!$E$29*Variables!$C$15</f>
        <v>14645.270802022658</v>
      </c>
      <c r="Z506" s="33">
        <f>D506*(IF(D506&lt;50000,0,IF(D506&gt;Variables!$C$7,Variables!$C$37,IF(D506&gt;Variables!$C$6,Variables!$C$36,IF(D506&gt;Variables!$C$5,Variables!$C$35)))))</f>
        <v>47.597177703751349</v>
      </c>
      <c r="AA506" s="34">
        <f t="shared" si="92"/>
        <v>46</v>
      </c>
      <c r="AB506" s="35">
        <f t="shared" si="87"/>
        <v>2</v>
      </c>
      <c r="AC506" s="22">
        <f>AB506*Variables!$E$41</f>
        <v>739200.00000000012</v>
      </c>
      <c r="AD506" s="115">
        <f>ROUND(IF(D506&lt;50000,0,(H506/(3.14*Variables!$C$34^2))),0)</f>
        <v>21</v>
      </c>
      <c r="AE506" s="116">
        <f t="shared" si="94"/>
        <v>21</v>
      </c>
      <c r="AF506" s="117">
        <f t="shared" si="88"/>
        <v>0</v>
      </c>
      <c r="AG506" s="107">
        <f>AF506*Variables!$E$42*Variables!$C$15</f>
        <v>0</v>
      </c>
      <c r="AH506" s="199">
        <f>ROUND((Z506)/Variables!$C$40,0)</f>
        <v>0</v>
      </c>
      <c r="AI506" s="33">
        <f t="shared" si="95"/>
        <v>0</v>
      </c>
      <c r="AJ506" s="199">
        <f t="shared" si="91"/>
        <v>0</v>
      </c>
      <c r="AK506" s="22">
        <f>AJ506*Variables!$E$43*Variables!$C$15</f>
        <v>0</v>
      </c>
      <c r="AL506" s="20">
        <f>Z506*Variables!$E$38*Variables!$C$15</f>
        <v>8437956.7875127476</v>
      </c>
      <c r="AN506" s="200">
        <f t="shared" si="96"/>
        <v>0.25221875000000005</v>
      </c>
      <c r="AO506" s="201">
        <f t="shared" si="89"/>
        <v>92.953441244587665</v>
      </c>
      <c r="AP506" s="321">
        <f>VLOOKUP(A506,'Household Information'!H:Q,10,FALSE)</f>
        <v>110.04922377887165</v>
      </c>
      <c r="AQ506" s="122">
        <f>IF(12*(AO506-Variables!$C$3*AP506*F506)*(G506/5)&lt;0,0,12*(AO506-Variables!$C$3*AP506*F506)*(G506/5))</f>
        <v>0</v>
      </c>
    </row>
    <row r="507" spans="1:43" ht="14.25" customHeight="1" x14ac:dyDescent="0.35">
      <c r="A507" s="30">
        <v>42</v>
      </c>
      <c r="B507" s="28" t="s">
        <v>195</v>
      </c>
      <c r="C507" s="28">
        <v>2030</v>
      </c>
      <c r="D507" s="196">
        <f>Population!O43</f>
        <v>117884.94438496316</v>
      </c>
      <c r="E507" s="303" t="str">
        <f t="shared" si="90"/>
        <v>Medium</v>
      </c>
      <c r="F507" s="340">
        <f>VLOOKUP(A507,'Household Information'!$H$2:$M$49,6,FALSE)</f>
        <v>4.2419137466307282</v>
      </c>
      <c r="G507" s="196">
        <f t="shared" si="85"/>
        <v>27791</v>
      </c>
      <c r="H507" s="213">
        <f>Area!Q43</f>
        <v>17.51641373871929</v>
      </c>
      <c r="J507" s="32">
        <f>D507*Variables!$C$20</f>
        <v>106.09644994646685</v>
      </c>
      <c r="K507" s="202">
        <f t="shared" si="93"/>
        <v>110.2884</v>
      </c>
      <c r="L507" s="32">
        <f t="shared" si="86"/>
        <v>0</v>
      </c>
      <c r="S507" s="198">
        <f>$L507*Variables!$C$21/100</f>
        <v>0</v>
      </c>
      <c r="T507" s="198">
        <f>$L507*Variables!$C$22/100</f>
        <v>0</v>
      </c>
      <c r="U507" s="198">
        <f>$L507*Variables!$C$23/100</f>
        <v>0</v>
      </c>
      <c r="V507" s="198">
        <f>$L507*Variables!$C$24/100</f>
        <v>0</v>
      </c>
      <c r="W507" s="22">
        <f>S507*Variables!$E$25*Variables!$C$15+'Cost Calculations'!T507*Variables!$E$26*Variables!$C$15+'Cost Calculations'!U507*Variables!$E$27*Variables!$C$15+V507*Variables!$E$28*Variables!$C$15</f>
        <v>0</v>
      </c>
      <c r="X507" s="20">
        <f>J507*Variables!$E$29*Variables!$C$15</f>
        <v>18136.127153849044</v>
      </c>
      <c r="Z507" s="33">
        <f>D507*(IF(D507&lt;50000,0,IF(D507&gt;Variables!$C$7,Variables!$C$37,IF(D507&gt;Variables!$C$6,Variables!$C$36,IF(D507&gt;Variables!$C$5,Variables!$C$35)))))</f>
        <v>58.942472192481581</v>
      </c>
      <c r="AA507" s="34">
        <f t="shared" si="92"/>
        <v>58</v>
      </c>
      <c r="AB507" s="35">
        <f t="shared" si="87"/>
        <v>1</v>
      </c>
      <c r="AC507" s="22">
        <f>AB507*Variables!$E$41</f>
        <v>369600.00000000006</v>
      </c>
      <c r="AD507" s="115">
        <f>ROUND(IF(D507&lt;50000,0,(H507/(3.14*Variables!$C$34^2))),0)</f>
        <v>22</v>
      </c>
      <c r="AE507" s="116">
        <f t="shared" si="94"/>
        <v>22</v>
      </c>
      <c r="AF507" s="117">
        <f t="shared" si="88"/>
        <v>0</v>
      </c>
      <c r="AG507" s="107">
        <f>AF507*Variables!$E$42*Variables!$C$15</f>
        <v>0</v>
      </c>
      <c r="AH507" s="199">
        <f>ROUND((Z507)/Variables!$C$40,0)</f>
        <v>0</v>
      </c>
      <c r="AI507" s="33">
        <f t="shared" si="95"/>
        <v>0</v>
      </c>
      <c r="AJ507" s="199">
        <f t="shared" si="91"/>
        <v>0</v>
      </c>
      <c r="AK507" s="22">
        <f>AJ507*Variables!$E$43*Variables!$C$15</f>
        <v>0</v>
      </c>
      <c r="AL507" s="20">
        <f>Z507*Variables!$E$38*Variables!$C$15</f>
        <v>10449233.700470705</v>
      </c>
      <c r="AN507" s="200">
        <f t="shared" si="96"/>
        <v>0.25221875000000005</v>
      </c>
      <c r="AO507" s="201">
        <f t="shared" si="89"/>
        <v>64.193410966981148</v>
      </c>
      <c r="AP507" s="321">
        <f>VLOOKUP(A507,'Household Information'!H:Q,10,FALSE)</f>
        <v>81.833648870377388</v>
      </c>
      <c r="AQ507" s="122">
        <f>IF(12*(AO507-Variables!$C$3*AP507*F507)*(G507/5)&lt;0,0,12*(AO507-Variables!$C$3*AP507*F507)*(G507/5))</f>
        <v>808632.65634485369</v>
      </c>
    </row>
    <row r="508" spans="1:43" ht="14.25" customHeight="1" x14ac:dyDescent="0.5">
      <c r="E508" s="304"/>
      <c r="R508" s="113">
        <f>SUM(R4:R36)</f>
        <v>78649917.306252599</v>
      </c>
      <c r="S508" s="209"/>
      <c r="T508" s="209"/>
      <c r="U508" s="209"/>
      <c r="V508" s="209"/>
      <c r="W508" s="112">
        <f>SUM(W4:W507)</f>
        <v>25442167988.891644</v>
      </c>
      <c r="X508" s="111">
        <f>SUM(X4:X507)</f>
        <v>176627909.66156986</v>
      </c>
      <c r="Z508" s="210"/>
      <c r="AA508" s="176"/>
      <c r="AB508" s="207"/>
      <c r="AC508" s="112">
        <f>SUM(AC4:AC507)</f>
        <v>8212142400.000001</v>
      </c>
      <c r="AD508" s="207"/>
      <c r="AE508" s="207"/>
      <c r="AF508" s="207"/>
      <c r="AG508" s="118">
        <f>SUM(AG4:AG507)</f>
        <v>12587412.431999955</v>
      </c>
      <c r="AK508" s="119">
        <f>SUM(AK4:AK507)</f>
        <v>176869566.71999982</v>
      </c>
      <c r="AL508" s="119">
        <f>SUM(AL4:AL507)</f>
        <v>101740113721.87202</v>
      </c>
      <c r="AQ508" s="123">
        <f>SUM(AQ4:AQ507)</f>
        <v>6389086106.8222227</v>
      </c>
    </row>
    <row r="509" spans="1:43" ht="14.25" customHeight="1" x14ac:dyDescent="0.35">
      <c r="E509" s="304"/>
      <c r="Z509" s="212"/>
      <c r="AA509" s="176"/>
      <c r="AD509" s="207"/>
      <c r="AE509" s="207"/>
      <c r="AF509" s="207"/>
      <c r="AG509" s="207"/>
      <c r="AQ509" s="25"/>
    </row>
    <row r="510" spans="1:43" ht="14.25" customHeight="1" x14ac:dyDescent="0.35">
      <c r="E510" s="304"/>
      <c r="Z510" s="212"/>
      <c r="AA510" s="176"/>
      <c r="AD510" s="207"/>
      <c r="AE510" s="207"/>
      <c r="AF510" s="207"/>
      <c r="AG510" s="207"/>
      <c r="AQ510" s="25"/>
    </row>
    <row r="511" spans="1:43" ht="14.25" customHeight="1" x14ac:dyDescent="0.35">
      <c r="E511" s="304"/>
      <c r="Z511" s="212"/>
      <c r="AA511" s="176"/>
      <c r="AD511" s="207"/>
      <c r="AE511" s="207"/>
      <c r="AF511" s="207"/>
      <c r="AG511" s="207"/>
      <c r="AQ511" s="25"/>
    </row>
    <row r="512" spans="1:43" ht="14.25" customHeight="1" x14ac:dyDescent="0.35">
      <c r="E512" s="304"/>
      <c r="Z512" s="212"/>
      <c r="AA512" s="176"/>
      <c r="AD512" s="207"/>
      <c r="AE512" s="207"/>
      <c r="AF512" s="207"/>
      <c r="AG512" s="207"/>
      <c r="AQ512" s="25"/>
    </row>
    <row r="513" spans="5:43" ht="14.25" customHeight="1" x14ac:dyDescent="0.35">
      <c r="E513" s="304"/>
      <c r="Z513" s="212"/>
      <c r="AA513" s="176"/>
      <c r="AD513" s="207"/>
      <c r="AE513" s="207"/>
      <c r="AF513" s="207"/>
      <c r="AG513" s="207"/>
      <c r="AQ513" s="25"/>
    </row>
    <row r="514" spans="5:43" ht="14.25" customHeight="1" x14ac:dyDescent="0.35">
      <c r="E514" s="304"/>
      <c r="Z514" s="212"/>
      <c r="AD514" s="207"/>
      <c r="AE514" s="207"/>
      <c r="AF514" s="207"/>
      <c r="AG514" s="207"/>
      <c r="AQ514" s="25"/>
    </row>
    <row r="515" spans="5:43" ht="14.25" customHeight="1" x14ac:dyDescent="0.35">
      <c r="E515" s="304"/>
      <c r="Z515" s="212"/>
      <c r="AD515" s="207"/>
      <c r="AE515" s="207"/>
      <c r="AF515" s="207"/>
      <c r="AG515" s="207"/>
      <c r="AQ515" s="25"/>
    </row>
    <row r="516" spans="5:43" ht="14.25" customHeight="1" x14ac:dyDescent="0.35">
      <c r="E516" s="304"/>
      <c r="Z516" s="212"/>
      <c r="AD516" s="207"/>
      <c r="AE516" s="207"/>
      <c r="AF516" s="207"/>
      <c r="AG516" s="207"/>
      <c r="AQ516" s="25"/>
    </row>
    <row r="517" spans="5:43" ht="14.25" customHeight="1" x14ac:dyDescent="0.35">
      <c r="E517" s="304"/>
      <c r="Z517" s="212"/>
      <c r="AD517" s="207"/>
      <c r="AE517" s="207"/>
      <c r="AF517" s="207"/>
      <c r="AG517" s="207"/>
      <c r="AQ517" s="25"/>
    </row>
    <row r="518" spans="5:43" ht="14.25" customHeight="1" x14ac:dyDescent="0.35">
      <c r="E518" s="304"/>
      <c r="Z518" s="212"/>
      <c r="AD518" s="207"/>
      <c r="AE518" s="207"/>
      <c r="AF518" s="207"/>
      <c r="AG518" s="207"/>
      <c r="AQ518" s="25"/>
    </row>
    <row r="519" spans="5:43" ht="14.25" customHeight="1" x14ac:dyDescent="0.35">
      <c r="E519" s="304"/>
      <c r="Z519" s="212"/>
      <c r="AD519" s="207"/>
      <c r="AE519" s="207"/>
      <c r="AF519" s="207"/>
      <c r="AG519" s="207"/>
      <c r="AQ519" s="25"/>
    </row>
    <row r="520" spans="5:43" ht="14.25" customHeight="1" x14ac:dyDescent="0.35">
      <c r="E520" s="304"/>
      <c r="Z520" s="212"/>
      <c r="AQ520" s="25"/>
    </row>
    <row r="521" spans="5:43" ht="14.25" customHeight="1" x14ac:dyDescent="0.35">
      <c r="E521" s="304"/>
      <c r="Z521" s="212"/>
      <c r="AQ521" s="25"/>
    </row>
    <row r="522" spans="5:43" ht="14.25" customHeight="1" x14ac:dyDescent="0.35">
      <c r="E522" s="304"/>
      <c r="Z522" s="212"/>
      <c r="AQ522" s="25"/>
    </row>
    <row r="523" spans="5:43" ht="14.25" customHeight="1" x14ac:dyDescent="0.35">
      <c r="E523" s="304"/>
      <c r="Z523" s="212"/>
      <c r="AQ523" s="25"/>
    </row>
    <row r="524" spans="5:43" ht="14.25" customHeight="1" x14ac:dyDescent="0.35">
      <c r="E524" s="304"/>
      <c r="Z524" s="212"/>
      <c r="AQ524" s="25"/>
    </row>
    <row r="525" spans="5:43" ht="14.25" customHeight="1" x14ac:dyDescent="0.35">
      <c r="E525" s="304"/>
      <c r="Z525" s="212"/>
      <c r="AQ525" s="25"/>
    </row>
    <row r="526" spans="5:43" ht="14.25" customHeight="1" x14ac:dyDescent="0.35">
      <c r="E526" s="304"/>
      <c r="Z526" s="212"/>
      <c r="AQ526" s="25"/>
    </row>
    <row r="527" spans="5:43" ht="14.25" customHeight="1" x14ac:dyDescent="0.35">
      <c r="E527" s="304"/>
      <c r="Z527" s="212"/>
      <c r="AQ527" s="25"/>
    </row>
    <row r="528" spans="5:43" ht="14.25" customHeight="1" x14ac:dyDescent="0.35">
      <c r="E528" s="304"/>
      <c r="Z528" s="212"/>
      <c r="AQ528" s="25"/>
    </row>
    <row r="529" spans="5:43" ht="14.25" customHeight="1" x14ac:dyDescent="0.35">
      <c r="E529" s="304"/>
      <c r="Z529" s="212"/>
      <c r="AQ529" s="25"/>
    </row>
    <row r="530" spans="5:43" ht="14.25" customHeight="1" x14ac:dyDescent="0.35">
      <c r="E530" s="304"/>
      <c r="Z530" s="212"/>
      <c r="AQ530" s="25"/>
    </row>
    <row r="531" spans="5:43" ht="14.25" customHeight="1" x14ac:dyDescent="0.35">
      <c r="E531" s="304"/>
      <c r="Z531" s="212"/>
      <c r="AQ531" s="25"/>
    </row>
    <row r="532" spans="5:43" ht="14.25" customHeight="1" x14ac:dyDescent="0.35">
      <c r="E532" s="304"/>
      <c r="Z532" s="212"/>
      <c r="AQ532" s="25"/>
    </row>
    <row r="533" spans="5:43" ht="14.25" customHeight="1" x14ac:dyDescent="0.35">
      <c r="E533" s="304"/>
      <c r="Z533" s="212"/>
      <c r="AQ533" s="25"/>
    </row>
    <row r="534" spans="5:43" ht="14.25" customHeight="1" x14ac:dyDescent="0.35">
      <c r="E534" s="304"/>
      <c r="Z534" s="212"/>
      <c r="AQ534" s="25"/>
    </row>
    <row r="535" spans="5:43" ht="14.25" customHeight="1" x14ac:dyDescent="0.35">
      <c r="E535" s="304"/>
      <c r="Z535" s="212"/>
      <c r="AQ535" s="25"/>
    </row>
    <row r="536" spans="5:43" ht="14.25" customHeight="1" x14ac:dyDescent="0.35">
      <c r="E536" s="304"/>
      <c r="Z536" s="212"/>
      <c r="AQ536" s="25"/>
    </row>
    <row r="537" spans="5:43" ht="14.25" customHeight="1" x14ac:dyDescent="0.35">
      <c r="E537" s="304"/>
      <c r="Z537" s="212"/>
      <c r="AQ537" s="25"/>
    </row>
    <row r="538" spans="5:43" ht="14.25" customHeight="1" x14ac:dyDescent="0.35">
      <c r="E538" s="304"/>
      <c r="Z538" s="212"/>
      <c r="AQ538" s="25"/>
    </row>
    <row r="539" spans="5:43" ht="14.25" customHeight="1" x14ac:dyDescent="0.35">
      <c r="E539" s="304"/>
      <c r="Z539" s="212"/>
      <c r="AQ539" s="25"/>
    </row>
    <row r="540" spans="5:43" ht="14.25" customHeight="1" x14ac:dyDescent="0.35">
      <c r="E540" s="304"/>
      <c r="Z540" s="212"/>
      <c r="AQ540" s="25"/>
    </row>
    <row r="541" spans="5:43" ht="14.25" customHeight="1" x14ac:dyDescent="0.35">
      <c r="E541" s="304"/>
      <c r="Z541" s="212"/>
      <c r="AQ541" s="25"/>
    </row>
    <row r="542" spans="5:43" ht="14.25" customHeight="1" x14ac:dyDescent="0.35">
      <c r="E542" s="304"/>
      <c r="Z542" s="212"/>
      <c r="AQ542" s="25"/>
    </row>
    <row r="543" spans="5:43" ht="14.25" customHeight="1" x14ac:dyDescent="0.35">
      <c r="E543" s="304"/>
      <c r="Z543" s="212"/>
      <c r="AQ543" s="25"/>
    </row>
    <row r="544" spans="5:43" ht="14.25" customHeight="1" x14ac:dyDescent="0.35">
      <c r="E544" s="304"/>
      <c r="Z544" s="212"/>
      <c r="AQ544" s="25"/>
    </row>
    <row r="545" spans="5:43" ht="14.25" customHeight="1" x14ac:dyDescent="0.35">
      <c r="E545" s="304"/>
      <c r="Z545" s="212"/>
      <c r="AQ545" s="25"/>
    </row>
    <row r="546" spans="5:43" ht="14.25" customHeight="1" x14ac:dyDescent="0.35">
      <c r="E546" s="304"/>
      <c r="Z546" s="212"/>
      <c r="AQ546" s="25"/>
    </row>
    <row r="547" spans="5:43" ht="14.25" customHeight="1" x14ac:dyDescent="0.35">
      <c r="E547" s="304"/>
      <c r="Z547" s="212"/>
      <c r="AQ547" s="25"/>
    </row>
    <row r="548" spans="5:43" ht="14.25" customHeight="1" x14ac:dyDescent="0.35">
      <c r="E548" s="304"/>
      <c r="Z548" s="212"/>
      <c r="AQ548" s="25"/>
    </row>
    <row r="549" spans="5:43" ht="14.25" customHeight="1" x14ac:dyDescent="0.35">
      <c r="E549" s="304"/>
      <c r="Z549" s="212"/>
      <c r="AQ549" s="25"/>
    </row>
    <row r="550" spans="5:43" ht="14.25" customHeight="1" x14ac:dyDescent="0.35">
      <c r="E550" s="304"/>
      <c r="Z550" s="212"/>
      <c r="AQ550" s="25"/>
    </row>
    <row r="551" spans="5:43" ht="14.25" customHeight="1" x14ac:dyDescent="0.35">
      <c r="E551" s="304"/>
      <c r="Z551" s="212"/>
      <c r="AQ551" s="25"/>
    </row>
    <row r="552" spans="5:43" ht="14.25" customHeight="1" x14ac:dyDescent="0.35">
      <c r="E552" s="304"/>
      <c r="Z552" s="212"/>
      <c r="AQ552" s="25"/>
    </row>
    <row r="553" spans="5:43" ht="14.25" customHeight="1" x14ac:dyDescent="0.35">
      <c r="E553" s="304"/>
      <c r="Z553" s="212"/>
      <c r="AQ553" s="25"/>
    </row>
    <row r="554" spans="5:43" ht="14.25" customHeight="1" x14ac:dyDescent="0.35">
      <c r="E554" s="304"/>
      <c r="Z554" s="212"/>
      <c r="AQ554" s="25"/>
    </row>
    <row r="555" spans="5:43" ht="14.25" customHeight="1" x14ac:dyDescent="0.35">
      <c r="E555" s="304"/>
      <c r="Z555" s="212"/>
      <c r="AQ555" s="25"/>
    </row>
    <row r="556" spans="5:43" ht="14.25" customHeight="1" x14ac:dyDescent="0.35">
      <c r="E556" s="304"/>
      <c r="Z556" s="212"/>
      <c r="AQ556" s="25"/>
    </row>
    <row r="557" spans="5:43" ht="14.25" customHeight="1" x14ac:dyDescent="0.35">
      <c r="E557" s="304"/>
      <c r="Z557" s="212"/>
      <c r="AQ557" s="25"/>
    </row>
    <row r="558" spans="5:43" ht="14.25" customHeight="1" x14ac:dyDescent="0.35">
      <c r="E558" s="304"/>
      <c r="Z558" s="212"/>
      <c r="AQ558" s="25"/>
    </row>
    <row r="559" spans="5:43" ht="14.25" customHeight="1" x14ac:dyDescent="0.35">
      <c r="E559" s="304"/>
      <c r="Z559" s="212"/>
      <c r="AQ559" s="25"/>
    </row>
    <row r="560" spans="5:43" ht="14.25" customHeight="1" x14ac:dyDescent="0.35">
      <c r="E560" s="304"/>
      <c r="Z560" s="212"/>
      <c r="AQ560" s="25"/>
    </row>
    <row r="561" spans="5:43" ht="14.25" customHeight="1" x14ac:dyDescent="0.35">
      <c r="E561" s="304"/>
      <c r="Z561" s="212"/>
      <c r="AQ561" s="25"/>
    </row>
    <row r="562" spans="5:43" ht="14.25" customHeight="1" x14ac:dyDescent="0.35">
      <c r="E562" s="304"/>
      <c r="Z562" s="212"/>
      <c r="AQ562" s="25"/>
    </row>
    <row r="563" spans="5:43" ht="14.25" customHeight="1" x14ac:dyDescent="0.35">
      <c r="E563" s="304"/>
      <c r="Z563" s="212"/>
      <c r="AQ563" s="25"/>
    </row>
    <row r="564" spans="5:43" ht="14.25" customHeight="1" x14ac:dyDescent="0.35">
      <c r="E564" s="304"/>
      <c r="Z564" s="212"/>
      <c r="AQ564" s="25"/>
    </row>
    <row r="565" spans="5:43" ht="14.25" customHeight="1" x14ac:dyDescent="0.35">
      <c r="E565" s="304"/>
      <c r="Z565" s="212"/>
      <c r="AQ565" s="25"/>
    </row>
    <row r="566" spans="5:43" ht="14.25" customHeight="1" x14ac:dyDescent="0.35">
      <c r="E566" s="304"/>
      <c r="Z566" s="212"/>
      <c r="AQ566" s="25"/>
    </row>
    <row r="567" spans="5:43" ht="14.25" customHeight="1" x14ac:dyDescent="0.35">
      <c r="E567" s="304"/>
      <c r="Z567" s="212"/>
      <c r="AQ567" s="25"/>
    </row>
    <row r="568" spans="5:43" ht="14.25" customHeight="1" x14ac:dyDescent="0.35">
      <c r="Z568" s="212"/>
      <c r="AQ568" s="25"/>
    </row>
    <row r="569" spans="5:43" ht="14.25" customHeight="1" x14ac:dyDescent="0.35">
      <c r="Z569" s="212"/>
      <c r="AQ569" s="25"/>
    </row>
    <row r="570" spans="5:43" ht="14.25" customHeight="1" x14ac:dyDescent="0.35">
      <c r="Z570" s="212"/>
      <c r="AQ570" s="25"/>
    </row>
    <row r="571" spans="5:43" ht="14.25" customHeight="1" x14ac:dyDescent="0.35">
      <c r="Z571" s="212"/>
      <c r="AQ571" s="25"/>
    </row>
    <row r="572" spans="5:43" ht="14.25" customHeight="1" x14ac:dyDescent="0.35">
      <c r="Z572" s="212"/>
      <c r="AQ572" s="25"/>
    </row>
    <row r="573" spans="5:43" ht="14.25" customHeight="1" x14ac:dyDescent="0.35">
      <c r="Z573" s="212"/>
      <c r="AQ573" s="25"/>
    </row>
    <row r="574" spans="5:43" ht="14.25" customHeight="1" x14ac:dyDescent="0.35">
      <c r="Z574" s="212"/>
      <c r="AQ574" s="25"/>
    </row>
    <row r="575" spans="5:43" ht="14.25" customHeight="1" x14ac:dyDescent="0.35">
      <c r="Z575" s="212"/>
      <c r="AQ575" s="25"/>
    </row>
    <row r="576" spans="5:43" ht="14.25" customHeight="1" x14ac:dyDescent="0.35">
      <c r="Z576" s="212"/>
      <c r="AQ576" s="25"/>
    </row>
    <row r="577" spans="26:43" ht="14.25" customHeight="1" x14ac:dyDescent="0.35">
      <c r="Z577" s="212"/>
      <c r="AQ577" s="25"/>
    </row>
    <row r="578" spans="26:43" ht="14.25" customHeight="1" x14ac:dyDescent="0.35">
      <c r="Z578" s="212"/>
      <c r="AQ578" s="25"/>
    </row>
    <row r="579" spans="26:43" ht="14.25" customHeight="1" x14ac:dyDescent="0.35">
      <c r="Z579" s="212"/>
      <c r="AQ579" s="25"/>
    </row>
    <row r="580" spans="26:43" ht="14.25" customHeight="1" x14ac:dyDescent="0.35">
      <c r="Z580" s="212"/>
      <c r="AQ580" s="25"/>
    </row>
    <row r="581" spans="26:43" ht="14.25" customHeight="1" x14ac:dyDescent="0.35">
      <c r="Z581" s="212"/>
      <c r="AQ581" s="25"/>
    </row>
    <row r="582" spans="26:43" ht="14.25" customHeight="1" x14ac:dyDescent="0.35">
      <c r="Z582" s="212"/>
      <c r="AQ582" s="25"/>
    </row>
    <row r="583" spans="26:43" ht="14.25" customHeight="1" x14ac:dyDescent="0.35">
      <c r="Z583" s="212"/>
      <c r="AQ583" s="25"/>
    </row>
    <row r="584" spans="26:43" ht="14.25" customHeight="1" x14ac:dyDescent="0.35">
      <c r="Z584" s="212"/>
      <c r="AQ584" s="25"/>
    </row>
    <row r="585" spans="26:43" ht="14.25" customHeight="1" x14ac:dyDescent="0.35">
      <c r="Z585" s="212"/>
      <c r="AQ585" s="25"/>
    </row>
    <row r="586" spans="26:43" ht="14.25" customHeight="1" x14ac:dyDescent="0.35">
      <c r="Z586" s="212"/>
      <c r="AQ586" s="25"/>
    </row>
    <row r="587" spans="26:43" ht="14.25" customHeight="1" x14ac:dyDescent="0.35">
      <c r="Z587" s="212"/>
      <c r="AQ587" s="25"/>
    </row>
    <row r="588" spans="26:43" ht="14.25" customHeight="1" x14ac:dyDescent="0.35">
      <c r="Z588" s="212"/>
      <c r="AQ588" s="25"/>
    </row>
    <row r="589" spans="26:43" ht="14.25" customHeight="1" x14ac:dyDescent="0.35">
      <c r="Z589" s="212"/>
      <c r="AQ589" s="25"/>
    </row>
    <row r="590" spans="26:43" ht="14.25" customHeight="1" x14ac:dyDescent="0.35">
      <c r="Z590" s="212"/>
      <c r="AQ590" s="25"/>
    </row>
    <row r="591" spans="26:43" ht="14.25" customHeight="1" x14ac:dyDescent="0.35">
      <c r="Z591" s="212"/>
      <c r="AQ591" s="25"/>
    </row>
    <row r="592" spans="26:43" ht="14.25" customHeight="1" x14ac:dyDescent="0.35">
      <c r="Z592" s="212"/>
      <c r="AQ592" s="25"/>
    </row>
    <row r="593" spans="26:43" ht="14.25" customHeight="1" x14ac:dyDescent="0.35">
      <c r="Z593" s="212"/>
      <c r="AQ593" s="25"/>
    </row>
    <row r="594" spans="26:43" ht="14.25" customHeight="1" x14ac:dyDescent="0.35">
      <c r="Z594" s="212"/>
      <c r="AQ594" s="25"/>
    </row>
    <row r="595" spans="26:43" ht="14.25" customHeight="1" x14ac:dyDescent="0.35">
      <c r="Z595" s="212"/>
      <c r="AQ595" s="25"/>
    </row>
    <row r="596" spans="26:43" ht="14.25" customHeight="1" x14ac:dyDescent="0.35">
      <c r="Z596" s="212"/>
      <c r="AQ596" s="25"/>
    </row>
    <row r="597" spans="26:43" ht="14.25" customHeight="1" x14ac:dyDescent="0.35">
      <c r="Z597" s="212"/>
      <c r="AQ597" s="25"/>
    </row>
    <row r="598" spans="26:43" ht="14.25" customHeight="1" x14ac:dyDescent="0.35">
      <c r="Z598" s="212"/>
      <c r="AQ598" s="25"/>
    </row>
    <row r="599" spans="26:43" ht="14.25" customHeight="1" x14ac:dyDescent="0.35">
      <c r="Z599" s="212"/>
      <c r="AQ599" s="25"/>
    </row>
    <row r="600" spans="26:43" ht="14.25" customHeight="1" x14ac:dyDescent="0.35">
      <c r="Z600" s="212"/>
      <c r="AQ600" s="25"/>
    </row>
    <row r="601" spans="26:43" ht="14.25" customHeight="1" x14ac:dyDescent="0.35">
      <c r="Z601" s="212"/>
      <c r="AQ601" s="25"/>
    </row>
    <row r="602" spans="26:43" ht="14.25" customHeight="1" x14ac:dyDescent="0.35">
      <c r="Z602" s="212"/>
      <c r="AQ602" s="25"/>
    </row>
    <row r="603" spans="26:43" ht="14.25" customHeight="1" x14ac:dyDescent="0.35">
      <c r="Z603" s="212"/>
      <c r="AQ603" s="25"/>
    </row>
    <row r="604" spans="26:43" ht="14.25" customHeight="1" x14ac:dyDescent="0.35">
      <c r="Z604" s="212"/>
      <c r="AQ604" s="25"/>
    </row>
    <row r="605" spans="26:43" ht="14.25" customHeight="1" x14ac:dyDescent="0.35">
      <c r="Z605" s="212"/>
      <c r="AQ605" s="25"/>
    </row>
    <row r="606" spans="26:43" ht="14.25" customHeight="1" x14ac:dyDescent="0.35">
      <c r="Z606" s="212"/>
      <c r="AQ606" s="25"/>
    </row>
    <row r="607" spans="26:43" ht="14.25" customHeight="1" x14ac:dyDescent="0.35">
      <c r="Z607" s="212"/>
      <c r="AQ607" s="25"/>
    </row>
    <row r="608" spans="26:43" ht="14.25" customHeight="1" x14ac:dyDescent="0.35">
      <c r="Z608" s="212"/>
      <c r="AQ608" s="25"/>
    </row>
    <row r="609" spans="26:43" ht="14.25" customHeight="1" x14ac:dyDescent="0.35">
      <c r="Z609" s="212"/>
      <c r="AQ609" s="25"/>
    </row>
    <row r="610" spans="26:43" ht="14.25" customHeight="1" x14ac:dyDescent="0.35">
      <c r="Z610" s="212"/>
      <c r="AQ610" s="25"/>
    </row>
    <row r="611" spans="26:43" ht="14.25" customHeight="1" x14ac:dyDescent="0.35">
      <c r="Z611" s="212"/>
      <c r="AQ611" s="25"/>
    </row>
    <row r="612" spans="26:43" ht="14.25" customHeight="1" x14ac:dyDescent="0.35">
      <c r="Z612" s="212"/>
      <c r="AQ612" s="25"/>
    </row>
    <row r="613" spans="26:43" ht="14.25" customHeight="1" x14ac:dyDescent="0.35">
      <c r="Z613" s="212"/>
      <c r="AQ613" s="25"/>
    </row>
    <row r="614" spans="26:43" ht="14.25" customHeight="1" x14ac:dyDescent="0.35">
      <c r="Z614" s="212"/>
      <c r="AQ614" s="25"/>
    </row>
    <row r="615" spans="26:43" ht="14.25" customHeight="1" x14ac:dyDescent="0.35">
      <c r="Z615" s="212"/>
      <c r="AQ615" s="25"/>
    </row>
    <row r="616" spans="26:43" ht="14.25" customHeight="1" x14ac:dyDescent="0.35">
      <c r="Z616" s="212"/>
      <c r="AQ616" s="25"/>
    </row>
    <row r="617" spans="26:43" ht="14.25" customHeight="1" x14ac:dyDescent="0.35">
      <c r="Z617" s="212"/>
      <c r="AQ617" s="25"/>
    </row>
    <row r="618" spans="26:43" ht="14.25" customHeight="1" x14ac:dyDescent="0.35">
      <c r="Z618" s="212"/>
      <c r="AQ618" s="25"/>
    </row>
    <row r="619" spans="26:43" ht="14.25" customHeight="1" x14ac:dyDescent="0.35">
      <c r="Z619" s="212"/>
      <c r="AQ619" s="25"/>
    </row>
    <row r="620" spans="26:43" ht="14.25" customHeight="1" x14ac:dyDescent="0.35">
      <c r="Z620" s="212"/>
      <c r="AQ620" s="25"/>
    </row>
    <row r="621" spans="26:43" ht="14.25" customHeight="1" x14ac:dyDescent="0.35">
      <c r="Z621" s="212"/>
      <c r="AQ621" s="25"/>
    </row>
    <row r="622" spans="26:43" ht="14.25" customHeight="1" x14ac:dyDescent="0.35">
      <c r="Z622" s="212"/>
      <c r="AQ622" s="25"/>
    </row>
    <row r="623" spans="26:43" ht="14.25" customHeight="1" x14ac:dyDescent="0.35">
      <c r="Z623" s="212"/>
      <c r="AQ623" s="25"/>
    </row>
    <row r="624" spans="26:43" ht="14.25" customHeight="1" x14ac:dyDescent="0.35">
      <c r="Z624" s="212"/>
      <c r="AQ624" s="25"/>
    </row>
    <row r="625" spans="26:43" ht="14.25" customHeight="1" x14ac:dyDescent="0.35">
      <c r="Z625" s="212"/>
      <c r="AQ625" s="25"/>
    </row>
    <row r="626" spans="26:43" ht="14.25" customHeight="1" x14ac:dyDescent="0.35">
      <c r="Z626" s="212"/>
      <c r="AQ626" s="25"/>
    </row>
    <row r="627" spans="26:43" ht="14.25" customHeight="1" x14ac:dyDescent="0.35">
      <c r="Z627" s="212"/>
      <c r="AQ627" s="25"/>
    </row>
    <row r="628" spans="26:43" ht="14.25" customHeight="1" x14ac:dyDescent="0.35">
      <c r="Z628" s="212"/>
      <c r="AQ628" s="25"/>
    </row>
    <row r="629" spans="26:43" ht="14.25" customHeight="1" x14ac:dyDescent="0.35">
      <c r="Z629" s="212"/>
      <c r="AQ629" s="25"/>
    </row>
    <row r="630" spans="26:43" ht="14.25" customHeight="1" x14ac:dyDescent="0.35">
      <c r="Z630" s="212"/>
      <c r="AQ630" s="25"/>
    </row>
    <row r="631" spans="26:43" ht="14.25" customHeight="1" x14ac:dyDescent="0.35">
      <c r="Z631" s="212"/>
      <c r="AQ631" s="25"/>
    </row>
    <row r="632" spans="26:43" ht="14.25" customHeight="1" x14ac:dyDescent="0.35">
      <c r="Z632" s="212"/>
      <c r="AQ632" s="25"/>
    </row>
    <row r="633" spans="26:43" ht="14.25" customHeight="1" x14ac:dyDescent="0.35">
      <c r="Z633" s="212"/>
      <c r="AQ633" s="25"/>
    </row>
    <row r="634" spans="26:43" ht="14.25" customHeight="1" x14ac:dyDescent="0.35">
      <c r="Z634" s="212"/>
      <c r="AQ634" s="25"/>
    </row>
    <row r="635" spans="26:43" ht="14.25" customHeight="1" x14ac:dyDescent="0.35">
      <c r="Z635" s="212"/>
      <c r="AQ635" s="25"/>
    </row>
    <row r="636" spans="26:43" ht="14.25" customHeight="1" x14ac:dyDescent="0.35">
      <c r="Z636" s="212"/>
      <c r="AQ636" s="25"/>
    </row>
    <row r="637" spans="26:43" ht="14.25" customHeight="1" x14ac:dyDescent="0.35">
      <c r="Z637" s="212"/>
      <c r="AQ637" s="25"/>
    </row>
    <row r="638" spans="26:43" ht="14.25" customHeight="1" x14ac:dyDescent="0.35">
      <c r="Z638" s="212"/>
      <c r="AQ638" s="25"/>
    </row>
    <row r="639" spans="26:43" ht="14.25" customHeight="1" x14ac:dyDescent="0.35">
      <c r="Z639" s="212"/>
      <c r="AQ639" s="25"/>
    </row>
    <row r="640" spans="26:43" ht="14.25" customHeight="1" x14ac:dyDescent="0.35">
      <c r="Z640" s="212"/>
      <c r="AQ640" s="25"/>
    </row>
    <row r="641" spans="26:43" ht="14.25" customHeight="1" x14ac:dyDescent="0.35">
      <c r="Z641" s="212"/>
      <c r="AQ641" s="25"/>
    </row>
    <row r="642" spans="26:43" ht="14.25" customHeight="1" x14ac:dyDescent="0.35">
      <c r="Z642" s="212"/>
      <c r="AQ642" s="25"/>
    </row>
    <row r="643" spans="26:43" ht="14.25" customHeight="1" x14ac:dyDescent="0.35">
      <c r="Z643" s="212"/>
      <c r="AQ643" s="25"/>
    </row>
    <row r="644" spans="26:43" ht="14.25" customHeight="1" x14ac:dyDescent="0.35">
      <c r="Z644" s="212"/>
      <c r="AQ644" s="25"/>
    </row>
    <row r="645" spans="26:43" ht="14.25" customHeight="1" x14ac:dyDescent="0.35">
      <c r="Z645" s="212"/>
      <c r="AQ645" s="25"/>
    </row>
    <row r="646" spans="26:43" ht="14.25" customHeight="1" x14ac:dyDescent="0.35">
      <c r="Z646" s="212"/>
      <c r="AQ646" s="25"/>
    </row>
    <row r="647" spans="26:43" ht="14.25" customHeight="1" x14ac:dyDescent="0.35">
      <c r="Z647" s="212"/>
      <c r="AQ647" s="25"/>
    </row>
    <row r="648" spans="26:43" ht="14.25" customHeight="1" x14ac:dyDescent="0.35">
      <c r="Z648" s="212"/>
      <c r="AQ648" s="25"/>
    </row>
    <row r="649" spans="26:43" ht="14.25" customHeight="1" x14ac:dyDescent="0.35">
      <c r="Z649" s="212"/>
      <c r="AQ649" s="25"/>
    </row>
    <row r="650" spans="26:43" ht="14.25" customHeight="1" x14ac:dyDescent="0.35">
      <c r="Z650" s="212"/>
      <c r="AQ650" s="25"/>
    </row>
    <row r="651" spans="26:43" ht="14.25" customHeight="1" x14ac:dyDescent="0.35">
      <c r="Z651" s="212"/>
      <c r="AQ651" s="25"/>
    </row>
    <row r="652" spans="26:43" ht="14.25" customHeight="1" x14ac:dyDescent="0.35">
      <c r="Z652" s="212"/>
      <c r="AQ652" s="25"/>
    </row>
    <row r="653" spans="26:43" ht="14.25" customHeight="1" x14ac:dyDescent="0.35">
      <c r="Z653" s="212"/>
      <c r="AQ653" s="25"/>
    </row>
    <row r="654" spans="26:43" ht="14.25" customHeight="1" x14ac:dyDescent="0.35">
      <c r="Z654" s="212"/>
      <c r="AQ654" s="25"/>
    </row>
    <row r="655" spans="26:43" ht="14.25" customHeight="1" x14ac:dyDescent="0.35">
      <c r="Z655" s="212"/>
      <c r="AQ655" s="25"/>
    </row>
    <row r="656" spans="26:43" ht="14.25" customHeight="1" x14ac:dyDescent="0.35">
      <c r="Z656" s="212"/>
      <c r="AQ656" s="25"/>
    </row>
    <row r="657" spans="26:43" ht="14.25" customHeight="1" x14ac:dyDescent="0.35">
      <c r="Z657" s="212"/>
      <c r="AQ657" s="25"/>
    </row>
    <row r="658" spans="26:43" ht="14.25" customHeight="1" x14ac:dyDescent="0.35">
      <c r="Z658" s="212"/>
      <c r="AQ658" s="25"/>
    </row>
    <row r="659" spans="26:43" ht="14.25" customHeight="1" x14ac:dyDescent="0.35">
      <c r="Z659" s="212"/>
      <c r="AQ659" s="25"/>
    </row>
    <row r="660" spans="26:43" ht="14.25" customHeight="1" x14ac:dyDescent="0.35">
      <c r="Z660" s="212"/>
      <c r="AQ660" s="25"/>
    </row>
    <row r="661" spans="26:43" ht="14.25" customHeight="1" x14ac:dyDescent="0.35">
      <c r="Z661" s="212"/>
      <c r="AQ661" s="25"/>
    </row>
    <row r="662" spans="26:43" ht="14.25" customHeight="1" x14ac:dyDescent="0.35">
      <c r="Z662" s="212"/>
      <c r="AQ662" s="25"/>
    </row>
    <row r="663" spans="26:43" ht="14.25" customHeight="1" x14ac:dyDescent="0.35">
      <c r="Z663" s="212"/>
      <c r="AQ663" s="25"/>
    </row>
    <row r="664" spans="26:43" ht="14.25" customHeight="1" x14ac:dyDescent="0.35">
      <c r="Z664" s="212"/>
      <c r="AQ664" s="25"/>
    </row>
    <row r="665" spans="26:43" ht="14.25" customHeight="1" x14ac:dyDescent="0.35">
      <c r="Z665" s="212"/>
      <c r="AQ665" s="25"/>
    </row>
    <row r="666" spans="26:43" ht="14.25" customHeight="1" x14ac:dyDescent="0.35">
      <c r="Z666" s="212"/>
      <c r="AQ666" s="25"/>
    </row>
    <row r="667" spans="26:43" ht="14.25" customHeight="1" x14ac:dyDescent="0.35">
      <c r="Z667" s="212"/>
      <c r="AQ667" s="25"/>
    </row>
    <row r="668" spans="26:43" ht="14.25" customHeight="1" x14ac:dyDescent="0.35">
      <c r="Z668" s="212"/>
      <c r="AQ668" s="25"/>
    </row>
    <row r="669" spans="26:43" ht="14.25" customHeight="1" x14ac:dyDescent="0.35">
      <c r="Z669" s="212"/>
      <c r="AQ669" s="25"/>
    </row>
    <row r="670" spans="26:43" ht="14.25" customHeight="1" x14ac:dyDescent="0.35">
      <c r="Z670" s="212"/>
      <c r="AQ670" s="25"/>
    </row>
    <row r="671" spans="26:43" ht="14.25" customHeight="1" x14ac:dyDescent="0.35">
      <c r="Z671" s="212"/>
      <c r="AQ671" s="25"/>
    </row>
    <row r="672" spans="26:43" ht="14.25" customHeight="1" x14ac:dyDescent="0.35">
      <c r="Z672" s="212"/>
      <c r="AQ672" s="25"/>
    </row>
    <row r="673" spans="26:43" ht="14.25" customHeight="1" x14ac:dyDescent="0.35">
      <c r="Z673" s="212"/>
      <c r="AQ673" s="25"/>
    </row>
    <row r="674" spans="26:43" ht="14.25" customHeight="1" x14ac:dyDescent="0.35">
      <c r="Z674" s="212"/>
      <c r="AQ674" s="25"/>
    </row>
    <row r="675" spans="26:43" ht="14.25" customHeight="1" x14ac:dyDescent="0.35">
      <c r="Z675" s="212"/>
      <c r="AQ675" s="25"/>
    </row>
    <row r="676" spans="26:43" ht="14.25" customHeight="1" x14ac:dyDescent="0.35">
      <c r="Z676" s="212"/>
      <c r="AQ676" s="25"/>
    </row>
    <row r="677" spans="26:43" ht="14.25" customHeight="1" x14ac:dyDescent="0.35">
      <c r="Z677" s="212"/>
      <c r="AQ677" s="25"/>
    </row>
    <row r="678" spans="26:43" ht="14.25" customHeight="1" x14ac:dyDescent="0.35">
      <c r="Z678" s="212"/>
      <c r="AQ678" s="25"/>
    </row>
    <row r="679" spans="26:43" ht="14.25" customHeight="1" x14ac:dyDescent="0.35">
      <c r="Z679" s="212"/>
      <c r="AQ679" s="25"/>
    </row>
    <row r="680" spans="26:43" ht="14.25" customHeight="1" x14ac:dyDescent="0.35">
      <c r="Z680" s="212"/>
      <c r="AQ680" s="25"/>
    </row>
    <row r="681" spans="26:43" ht="14.25" customHeight="1" x14ac:dyDescent="0.35">
      <c r="Z681" s="212"/>
      <c r="AQ681" s="25"/>
    </row>
    <row r="682" spans="26:43" ht="14.25" customHeight="1" x14ac:dyDescent="0.35">
      <c r="Z682" s="212"/>
      <c r="AQ682" s="25"/>
    </row>
    <row r="683" spans="26:43" ht="14.25" customHeight="1" x14ac:dyDescent="0.35">
      <c r="Z683" s="212"/>
      <c r="AQ683" s="25"/>
    </row>
    <row r="684" spans="26:43" ht="14.25" customHeight="1" x14ac:dyDescent="0.35">
      <c r="Z684" s="212"/>
      <c r="AQ684" s="25"/>
    </row>
    <row r="685" spans="26:43" ht="14.25" customHeight="1" x14ac:dyDescent="0.35">
      <c r="Z685" s="212"/>
      <c r="AQ685" s="25"/>
    </row>
    <row r="686" spans="26:43" ht="14.25" customHeight="1" x14ac:dyDescent="0.35">
      <c r="Z686" s="212"/>
      <c r="AQ686" s="25"/>
    </row>
    <row r="687" spans="26:43" ht="14.25" customHeight="1" x14ac:dyDescent="0.35">
      <c r="Z687" s="212"/>
      <c r="AQ687" s="25"/>
    </row>
    <row r="688" spans="26:43" ht="14.25" customHeight="1" x14ac:dyDescent="0.35">
      <c r="Z688" s="212"/>
      <c r="AQ688" s="25"/>
    </row>
    <row r="689" spans="26:43" ht="14.25" customHeight="1" x14ac:dyDescent="0.35">
      <c r="Z689" s="212"/>
      <c r="AQ689" s="25"/>
    </row>
    <row r="690" spans="26:43" ht="14.25" customHeight="1" x14ac:dyDescent="0.35">
      <c r="Z690" s="212"/>
      <c r="AQ690" s="25"/>
    </row>
    <row r="691" spans="26:43" ht="14.25" customHeight="1" x14ac:dyDescent="0.35">
      <c r="Z691" s="212"/>
      <c r="AQ691" s="25"/>
    </row>
    <row r="692" spans="26:43" ht="14.25" customHeight="1" x14ac:dyDescent="0.35">
      <c r="Z692" s="212"/>
      <c r="AQ692" s="25"/>
    </row>
    <row r="693" spans="26:43" ht="14.25" customHeight="1" x14ac:dyDescent="0.35">
      <c r="Z693" s="212"/>
      <c r="AQ693" s="25"/>
    </row>
    <row r="694" spans="26:43" ht="14.25" customHeight="1" x14ac:dyDescent="0.35">
      <c r="Z694" s="212"/>
      <c r="AQ694" s="25"/>
    </row>
    <row r="695" spans="26:43" ht="14.25" customHeight="1" x14ac:dyDescent="0.35">
      <c r="Z695" s="212"/>
      <c r="AQ695" s="25"/>
    </row>
    <row r="696" spans="26:43" ht="14.25" customHeight="1" x14ac:dyDescent="0.35">
      <c r="Z696" s="212"/>
      <c r="AQ696" s="25"/>
    </row>
    <row r="697" spans="26:43" ht="14.25" customHeight="1" x14ac:dyDescent="0.35">
      <c r="Z697" s="212"/>
      <c r="AQ697" s="25"/>
    </row>
    <row r="698" spans="26:43" ht="14.25" customHeight="1" x14ac:dyDescent="0.35">
      <c r="Z698" s="212"/>
      <c r="AQ698" s="25"/>
    </row>
    <row r="699" spans="26:43" ht="14.25" customHeight="1" x14ac:dyDescent="0.35">
      <c r="Z699" s="212"/>
      <c r="AQ699" s="25"/>
    </row>
    <row r="700" spans="26:43" ht="14.25" customHeight="1" x14ac:dyDescent="0.35">
      <c r="Z700" s="212"/>
      <c r="AQ700" s="25"/>
    </row>
    <row r="701" spans="26:43" ht="14.25" customHeight="1" x14ac:dyDescent="0.35">
      <c r="Z701" s="212"/>
      <c r="AQ701" s="25"/>
    </row>
    <row r="702" spans="26:43" ht="14.25" customHeight="1" x14ac:dyDescent="0.35">
      <c r="Z702" s="212"/>
      <c r="AQ702" s="25"/>
    </row>
    <row r="703" spans="26:43" ht="14.25" customHeight="1" x14ac:dyDescent="0.35">
      <c r="Z703" s="212"/>
      <c r="AQ703" s="25"/>
    </row>
    <row r="704" spans="26:43" ht="14.25" customHeight="1" x14ac:dyDescent="0.35">
      <c r="Z704" s="212"/>
      <c r="AQ704" s="25"/>
    </row>
    <row r="705" spans="26:43" ht="14.25" customHeight="1" x14ac:dyDescent="0.35">
      <c r="Z705" s="212"/>
      <c r="AQ705" s="25"/>
    </row>
    <row r="706" spans="26:43" ht="14.25" customHeight="1" x14ac:dyDescent="0.35">
      <c r="Z706" s="212"/>
      <c r="AQ706" s="25"/>
    </row>
    <row r="707" spans="26:43" ht="14.25" customHeight="1" x14ac:dyDescent="0.35">
      <c r="Z707" s="212"/>
      <c r="AQ707" s="25"/>
    </row>
    <row r="708" spans="26:43" ht="14.25" customHeight="1" x14ac:dyDescent="0.35">
      <c r="Z708" s="212"/>
      <c r="AQ708" s="25"/>
    </row>
    <row r="709" spans="26:43" ht="14.25" customHeight="1" x14ac:dyDescent="0.35">
      <c r="Z709" s="212"/>
      <c r="AQ709" s="25"/>
    </row>
    <row r="710" spans="26:43" ht="14.25" customHeight="1" x14ac:dyDescent="0.35">
      <c r="Z710" s="212"/>
      <c r="AQ710" s="25"/>
    </row>
    <row r="711" spans="26:43" ht="14.25" customHeight="1" x14ac:dyDescent="0.35">
      <c r="Z711" s="212"/>
      <c r="AQ711" s="25"/>
    </row>
    <row r="712" spans="26:43" ht="14.25" customHeight="1" x14ac:dyDescent="0.35">
      <c r="Z712" s="212"/>
      <c r="AQ712" s="25"/>
    </row>
    <row r="713" spans="26:43" ht="14.25" customHeight="1" x14ac:dyDescent="0.35">
      <c r="Z713" s="212"/>
      <c r="AQ713" s="25"/>
    </row>
    <row r="714" spans="26:43" ht="14.25" customHeight="1" x14ac:dyDescent="0.35">
      <c r="Z714" s="212"/>
      <c r="AQ714" s="25"/>
    </row>
    <row r="715" spans="26:43" ht="14.25" customHeight="1" x14ac:dyDescent="0.35">
      <c r="Z715" s="212"/>
      <c r="AQ715" s="25"/>
    </row>
    <row r="716" spans="26:43" ht="14.25" customHeight="1" x14ac:dyDescent="0.35">
      <c r="Z716" s="212"/>
      <c r="AQ716" s="25"/>
    </row>
    <row r="717" spans="26:43" ht="14.25" customHeight="1" x14ac:dyDescent="0.35">
      <c r="Z717" s="212"/>
      <c r="AQ717" s="25"/>
    </row>
    <row r="718" spans="26:43" ht="14.25" customHeight="1" x14ac:dyDescent="0.35">
      <c r="Z718" s="212"/>
      <c r="AQ718" s="25"/>
    </row>
    <row r="719" spans="26:43" ht="14.25" customHeight="1" x14ac:dyDescent="0.35">
      <c r="Z719" s="212"/>
      <c r="AQ719" s="25"/>
    </row>
    <row r="720" spans="26:43" ht="14.25" customHeight="1" x14ac:dyDescent="0.35">
      <c r="Z720" s="212"/>
      <c r="AQ720" s="25"/>
    </row>
    <row r="721" spans="26:43" ht="14.25" customHeight="1" x14ac:dyDescent="0.35">
      <c r="Z721" s="212"/>
      <c r="AQ721" s="25"/>
    </row>
    <row r="722" spans="26:43" ht="14.25" customHeight="1" x14ac:dyDescent="0.35">
      <c r="Z722" s="212"/>
      <c r="AQ722" s="25"/>
    </row>
    <row r="723" spans="26:43" ht="14.25" customHeight="1" x14ac:dyDescent="0.35">
      <c r="Z723" s="212"/>
      <c r="AQ723" s="25"/>
    </row>
    <row r="724" spans="26:43" ht="14.25" customHeight="1" x14ac:dyDescent="0.35">
      <c r="Z724" s="212"/>
      <c r="AQ724" s="25"/>
    </row>
    <row r="725" spans="26:43" ht="14.25" customHeight="1" x14ac:dyDescent="0.35">
      <c r="Z725" s="212"/>
      <c r="AQ725" s="25"/>
    </row>
    <row r="726" spans="26:43" ht="14.25" customHeight="1" x14ac:dyDescent="0.35">
      <c r="Z726" s="212"/>
      <c r="AQ726" s="25"/>
    </row>
    <row r="727" spans="26:43" ht="14.25" customHeight="1" x14ac:dyDescent="0.35">
      <c r="Z727" s="212"/>
      <c r="AQ727" s="25"/>
    </row>
    <row r="728" spans="26:43" ht="14.25" customHeight="1" x14ac:dyDescent="0.35">
      <c r="Z728" s="212"/>
      <c r="AQ728" s="25"/>
    </row>
    <row r="729" spans="26:43" ht="14.25" customHeight="1" x14ac:dyDescent="0.35">
      <c r="Z729" s="212"/>
      <c r="AQ729" s="25"/>
    </row>
    <row r="730" spans="26:43" ht="14.25" customHeight="1" x14ac:dyDescent="0.35">
      <c r="Z730" s="212"/>
      <c r="AQ730" s="25"/>
    </row>
    <row r="731" spans="26:43" ht="14.25" customHeight="1" x14ac:dyDescent="0.35">
      <c r="Z731" s="212"/>
      <c r="AQ731" s="25"/>
    </row>
    <row r="732" spans="26:43" ht="14.25" customHeight="1" x14ac:dyDescent="0.35">
      <c r="Z732" s="212"/>
      <c r="AQ732" s="25"/>
    </row>
    <row r="733" spans="26:43" ht="14.25" customHeight="1" x14ac:dyDescent="0.35">
      <c r="Z733" s="212"/>
      <c r="AQ733" s="25"/>
    </row>
    <row r="734" spans="26:43" ht="14.25" customHeight="1" x14ac:dyDescent="0.35">
      <c r="Z734" s="212"/>
      <c r="AQ734" s="25"/>
    </row>
    <row r="735" spans="26:43" ht="14.25" customHeight="1" x14ac:dyDescent="0.35">
      <c r="Z735" s="212"/>
      <c r="AQ735" s="25"/>
    </row>
    <row r="736" spans="26:43" ht="14.25" customHeight="1" x14ac:dyDescent="0.35">
      <c r="Z736" s="212"/>
      <c r="AQ736" s="25"/>
    </row>
    <row r="737" spans="26:43" ht="14.25" customHeight="1" x14ac:dyDescent="0.35">
      <c r="Z737" s="212"/>
      <c r="AQ737" s="25"/>
    </row>
    <row r="738" spans="26:43" ht="14.25" customHeight="1" x14ac:dyDescent="0.35">
      <c r="Z738" s="212"/>
      <c r="AQ738" s="25"/>
    </row>
    <row r="739" spans="26:43" ht="14.25" customHeight="1" x14ac:dyDescent="0.35">
      <c r="Z739" s="212"/>
      <c r="AQ739" s="25"/>
    </row>
    <row r="740" spans="26:43" ht="14.25" customHeight="1" x14ac:dyDescent="0.35">
      <c r="Z740" s="212"/>
      <c r="AQ740" s="25"/>
    </row>
    <row r="741" spans="26:43" ht="14.25" customHeight="1" x14ac:dyDescent="0.35">
      <c r="Z741" s="212"/>
      <c r="AQ741" s="25"/>
    </row>
    <row r="742" spans="26:43" ht="14.25" customHeight="1" x14ac:dyDescent="0.35">
      <c r="Z742" s="212"/>
      <c r="AQ742" s="25"/>
    </row>
    <row r="743" spans="26:43" ht="14.25" customHeight="1" x14ac:dyDescent="0.35">
      <c r="Z743" s="212"/>
      <c r="AQ743" s="25"/>
    </row>
    <row r="744" spans="26:43" ht="14.25" customHeight="1" x14ac:dyDescent="0.35">
      <c r="Z744" s="212"/>
      <c r="AQ744" s="25"/>
    </row>
    <row r="745" spans="26:43" ht="14.25" customHeight="1" x14ac:dyDescent="0.35">
      <c r="Z745" s="212"/>
      <c r="AQ745" s="25"/>
    </row>
    <row r="746" spans="26:43" ht="14.25" customHeight="1" x14ac:dyDescent="0.35">
      <c r="Z746" s="212"/>
      <c r="AQ746" s="25"/>
    </row>
    <row r="747" spans="26:43" ht="14.25" customHeight="1" x14ac:dyDescent="0.35">
      <c r="Z747" s="212"/>
      <c r="AQ747" s="25"/>
    </row>
    <row r="748" spans="26:43" ht="14.25" customHeight="1" x14ac:dyDescent="0.35">
      <c r="Z748" s="212"/>
      <c r="AQ748" s="25"/>
    </row>
    <row r="749" spans="26:43" ht="14.25" customHeight="1" x14ac:dyDescent="0.35">
      <c r="Z749" s="212"/>
      <c r="AQ749" s="25"/>
    </row>
    <row r="750" spans="26:43" ht="14.25" customHeight="1" x14ac:dyDescent="0.35">
      <c r="Z750" s="212"/>
      <c r="AQ750" s="25"/>
    </row>
    <row r="751" spans="26:43" ht="14.25" customHeight="1" x14ac:dyDescent="0.35">
      <c r="Z751" s="212"/>
      <c r="AQ751" s="25"/>
    </row>
    <row r="752" spans="26:43" ht="14.25" customHeight="1" x14ac:dyDescent="0.35">
      <c r="Z752" s="212"/>
      <c r="AQ752" s="25"/>
    </row>
    <row r="753" spans="26:43" ht="14.25" customHeight="1" x14ac:dyDescent="0.35">
      <c r="Z753" s="212"/>
      <c r="AQ753" s="25"/>
    </row>
    <row r="754" spans="26:43" ht="14.25" customHeight="1" x14ac:dyDescent="0.35">
      <c r="Z754" s="212"/>
      <c r="AQ754" s="25"/>
    </row>
    <row r="755" spans="26:43" ht="14.25" customHeight="1" x14ac:dyDescent="0.35">
      <c r="Z755" s="212"/>
      <c r="AQ755" s="25"/>
    </row>
    <row r="756" spans="26:43" ht="14.25" customHeight="1" x14ac:dyDescent="0.35">
      <c r="Z756" s="212"/>
      <c r="AQ756" s="25"/>
    </row>
    <row r="757" spans="26:43" ht="14.25" customHeight="1" x14ac:dyDescent="0.35">
      <c r="Z757" s="212"/>
      <c r="AQ757" s="25"/>
    </row>
    <row r="758" spans="26:43" ht="14.25" customHeight="1" x14ac:dyDescent="0.35">
      <c r="Z758" s="212"/>
      <c r="AQ758" s="25"/>
    </row>
    <row r="759" spans="26:43" ht="14.25" customHeight="1" x14ac:dyDescent="0.35">
      <c r="Z759" s="212"/>
      <c r="AQ759" s="25"/>
    </row>
    <row r="760" spans="26:43" ht="14.25" customHeight="1" x14ac:dyDescent="0.35">
      <c r="Z760" s="212"/>
      <c r="AQ760" s="25"/>
    </row>
    <row r="761" spans="26:43" ht="14.25" customHeight="1" x14ac:dyDescent="0.35">
      <c r="Z761" s="212"/>
      <c r="AQ761" s="25"/>
    </row>
    <row r="762" spans="26:43" ht="14.25" customHeight="1" x14ac:dyDescent="0.35">
      <c r="Z762" s="212"/>
      <c r="AQ762" s="25"/>
    </row>
    <row r="763" spans="26:43" ht="14.25" customHeight="1" x14ac:dyDescent="0.35">
      <c r="Z763" s="212"/>
      <c r="AQ763" s="25"/>
    </row>
    <row r="764" spans="26:43" ht="14.25" customHeight="1" x14ac:dyDescent="0.35">
      <c r="Z764" s="212"/>
      <c r="AQ764" s="25"/>
    </row>
    <row r="765" spans="26:43" ht="14.25" customHeight="1" x14ac:dyDescent="0.35">
      <c r="Z765" s="212"/>
      <c r="AQ765" s="25"/>
    </row>
    <row r="766" spans="26:43" ht="14.25" customHeight="1" x14ac:dyDescent="0.35">
      <c r="Z766" s="212"/>
      <c r="AQ766" s="25"/>
    </row>
    <row r="767" spans="26:43" ht="14.25" customHeight="1" x14ac:dyDescent="0.35">
      <c r="Z767" s="212"/>
      <c r="AQ767" s="25"/>
    </row>
    <row r="768" spans="26:43" ht="14.25" customHeight="1" x14ac:dyDescent="0.35">
      <c r="Z768" s="212"/>
      <c r="AQ768" s="25"/>
    </row>
    <row r="769" spans="26:43" ht="14.25" customHeight="1" x14ac:dyDescent="0.35">
      <c r="Z769" s="212"/>
      <c r="AQ769" s="25"/>
    </row>
    <row r="770" spans="26:43" ht="14.25" customHeight="1" x14ac:dyDescent="0.35">
      <c r="Z770" s="212"/>
      <c r="AQ770" s="25"/>
    </row>
    <row r="771" spans="26:43" ht="14.25" customHeight="1" x14ac:dyDescent="0.35">
      <c r="Z771" s="212"/>
      <c r="AQ771" s="25"/>
    </row>
    <row r="772" spans="26:43" ht="14.25" customHeight="1" x14ac:dyDescent="0.35">
      <c r="Z772" s="212"/>
      <c r="AQ772" s="25"/>
    </row>
    <row r="773" spans="26:43" ht="14.25" customHeight="1" x14ac:dyDescent="0.35">
      <c r="Z773" s="212"/>
      <c r="AQ773" s="25"/>
    </row>
    <row r="774" spans="26:43" ht="14.25" customHeight="1" x14ac:dyDescent="0.35">
      <c r="Z774" s="212"/>
      <c r="AQ774" s="25"/>
    </row>
    <row r="775" spans="26:43" ht="14.25" customHeight="1" x14ac:dyDescent="0.35">
      <c r="Z775" s="212"/>
      <c r="AQ775" s="25"/>
    </row>
    <row r="776" spans="26:43" ht="14.25" customHeight="1" x14ac:dyDescent="0.35">
      <c r="Z776" s="212"/>
      <c r="AQ776" s="25"/>
    </row>
    <row r="777" spans="26:43" ht="14.25" customHeight="1" x14ac:dyDescent="0.35">
      <c r="Z777" s="212"/>
      <c r="AQ777" s="25"/>
    </row>
    <row r="778" spans="26:43" ht="14.25" customHeight="1" x14ac:dyDescent="0.35">
      <c r="Z778" s="212"/>
      <c r="AQ778" s="25"/>
    </row>
    <row r="779" spans="26:43" ht="14.25" customHeight="1" x14ac:dyDescent="0.35">
      <c r="Z779" s="212"/>
      <c r="AQ779" s="25"/>
    </row>
    <row r="780" spans="26:43" ht="14.25" customHeight="1" x14ac:dyDescent="0.35">
      <c r="Z780" s="212"/>
      <c r="AQ780" s="25"/>
    </row>
    <row r="781" spans="26:43" ht="14.25" customHeight="1" x14ac:dyDescent="0.35">
      <c r="Z781" s="212"/>
      <c r="AQ781" s="25"/>
    </row>
    <row r="782" spans="26:43" ht="14.25" customHeight="1" x14ac:dyDescent="0.35">
      <c r="Z782" s="212"/>
      <c r="AQ782" s="25"/>
    </row>
    <row r="783" spans="26:43" ht="14.25" customHeight="1" x14ac:dyDescent="0.35">
      <c r="Z783" s="212"/>
      <c r="AQ783" s="25"/>
    </row>
    <row r="784" spans="26:43" ht="14.25" customHeight="1" x14ac:dyDescent="0.35">
      <c r="Z784" s="212"/>
      <c r="AQ784" s="25"/>
    </row>
    <row r="785" spans="26:43" ht="14.25" customHeight="1" x14ac:dyDescent="0.35">
      <c r="Z785" s="212"/>
      <c r="AQ785" s="25"/>
    </row>
    <row r="786" spans="26:43" ht="14.25" customHeight="1" x14ac:dyDescent="0.35">
      <c r="Z786" s="212"/>
      <c r="AQ786" s="25"/>
    </row>
    <row r="787" spans="26:43" ht="14.25" customHeight="1" x14ac:dyDescent="0.35">
      <c r="Z787" s="212"/>
      <c r="AQ787" s="25"/>
    </row>
    <row r="788" spans="26:43" ht="14.25" customHeight="1" x14ac:dyDescent="0.35">
      <c r="Z788" s="212"/>
      <c r="AQ788" s="25"/>
    </row>
    <row r="789" spans="26:43" ht="14.25" customHeight="1" x14ac:dyDescent="0.35">
      <c r="Z789" s="212"/>
      <c r="AQ789" s="25"/>
    </row>
    <row r="790" spans="26:43" ht="14.25" customHeight="1" x14ac:dyDescent="0.35">
      <c r="Z790" s="212"/>
      <c r="AQ790" s="25"/>
    </row>
    <row r="791" spans="26:43" ht="14.25" customHeight="1" x14ac:dyDescent="0.35">
      <c r="Z791" s="212"/>
      <c r="AQ791" s="25"/>
    </row>
    <row r="792" spans="26:43" ht="14.25" customHeight="1" x14ac:dyDescent="0.35">
      <c r="Z792" s="212"/>
      <c r="AQ792" s="25"/>
    </row>
    <row r="793" spans="26:43" ht="14.25" customHeight="1" x14ac:dyDescent="0.35">
      <c r="Z793" s="212"/>
      <c r="AQ793" s="25"/>
    </row>
    <row r="794" spans="26:43" ht="14.25" customHeight="1" x14ac:dyDescent="0.35">
      <c r="Z794" s="212"/>
      <c r="AQ794" s="25"/>
    </row>
    <row r="795" spans="26:43" ht="14.25" customHeight="1" x14ac:dyDescent="0.35">
      <c r="Z795" s="212"/>
      <c r="AQ795" s="25"/>
    </row>
    <row r="796" spans="26:43" ht="14.25" customHeight="1" x14ac:dyDescent="0.35">
      <c r="Z796" s="212"/>
      <c r="AQ796" s="25"/>
    </row>
    <row r="797" spans="26:43" ht="14.25" customHeight="1" x14ac:dyDescent="0.35">
      <c r="Z797" s="212"/>
      <c r="AQ797" s="25"/>
    </row>
    <row r="798" spans="26:43" ht="14.25" customHeight="1" x14ac:dyDescent="0.35">
      <c r="Z798" s="212"/>
      <c r="AQ798" s="25"/>
    </row>
    <row r="799" spans="26:43" ht="14.25" customHeight="1" x14ac:dyDescent="0.35">
      <c r="Z799" s="212"/>
      <c r="AQ799" s="25"/>
    </row>
    <row r="800" spans="26:43" ht="14.25" customHeight="1" x14ac:dyDescent="0.35">
      <c r="Z800" s="212"/>
      <c r="AQ800" s="25"/>
    </row>
    <row r="801" spans="26:43" ht="14.25" customHeight="1" x14ac:dyDescent="0.35">
      <c r="Z801" s="212"/>
      <c r="AQ801" s="25"/>
    </row>
    <row r="802" spans="26:43" ht="14.25" customHeight="1" x14ac:dyDescent="0.35">
      <c r="Z802" s="212"/>
      <c r="AQ802" s="25"/>
    </row>
    <row r="803" spans="26:43" ht="14.25" customHeight="1" x14ac:dyDescent="0.35">
      <c r="Z803" s="212"/>
      <c r="AQ803" s="25"/>
    </row>
    <row r="804" spans="26:43" ht="14.25" customHeight="1" x14ac:dyDescent="0.35">
      <c r="Z804" s="212"/>
      <c r="AQ804" s="25"/>
    </row>
    <row r="805" spans="26:43" ht="14.25" customHeight="1" x14ac:dyDescent="0.35">
      <c r="Z805" s="212"/>
      <c r="AQ805" s="25"/>
    </row>
    <row r="806" spans="26:43" ht="14.25" customHeight="1" x14ac:dyDescent="0.35">
      <c r="Z806" s="212"/>
      <c r="AQ806" s="25"/>
    </row>
    <row r="807" spans="26:43" ht="14.25" customHeight="1" x14ac:dyDescent="0.35">
      <c r="Z807" s="212"/>
      <c r="AQ807" s="25"/>
    </row>
    <row r="808" spans="26:43" ht="14.25" customHeight="1" x14ac:dyDescent="0.35">
      <c r="Z808" s="212"/>
      <c r="AQ808" s="25"/>
    </row>
    <row r="809" spans="26:43" ht="14.25" customHeight="1" x14ac:dyDescent="0.35">
      <c r="Z809" s="212"/>
      <c r="AQ809" s="25"/>
    </row>
    <row r="810" spans="26:43" ht="14.25" customHeight="1" x14ac:dyDescent="0.35">
      <c r="Z810" s="212"/>
      <c r="AQ810" s="25"/>
    </row>
    <row r="811" spans="26:43" ht="14.25" customHeight="1" x14ac:dyDescent="0.35">
      <c r="Z811" s="212"/>
      <c r="AQ811" s="25"/>
    </row>
    <row r="812" spans="26:43" ht="14.25" customHeight="1" x14ac:dyDescent="0.35">
      <c r="Z812" s="212"/>
      <c r="AQ812" s="25"/>
    </row>
    <row r="813" spans="26:43" ht="14.25" customHeight="1" x14ac:dyDescent="0.35">
      <c r="Z813" s="212"/>
      <c r="AQ813" s="25"/>
    </row>
    <row r="814" spans="26:43" ht="14.25" customHeight="1" x14ac:dyDescent="0.35">
      <c r="Z814" s="212"/>
      <c r="AQ814" s="25"/>
    </row>
    <row r="815" spans="26:43" ht="14.25" customHeight="1" x14ac:dyDescent="0.35">
      <c r="Z815" s="212"/>
      <c r="AQ815" s="25"/>
    </row>
    <row r="816" spans="26:43" ht="14.25" customHeight="1" x14ac:dyDescent="0.35">
      <c r="Z816" s="212"/>
      <c r="AQ816" s="25"/>
    </row>
    <row r="817" spans="26:43" ht="14.25" customHeight="1" x14ac:dyDescent="0.35">
      <c r="Z817" s="212"/>
      <c r="AQ817" s="25"/>
    </row>
    <row r="818" spans="26:43" ht="14.25" customHeight="1" x14ac:dyDescent="0.35">
      <c r="Z818" s="212"/>
      <c r="AQ818" s="25"/>
    </row>
    <row r="819" spans="26:43" ht="14.25" customHeight="1" x14ac:dyDescent="0.35">
      <c r="Z819" s="212"/>
      <c r="AQ819" s="25"/>
    </row>
    <row r="820" spans="26:43" ht="14.25" customHeight="1" x14ac:dyDescent="0.35">
      <c r="Z820" s="212"/>
      <c r="AQ820" s="25"/>
    </row>
    <row r="821" spans="26:43" ht="14.25" customHeight="1" x14ac:dyDescent="0.35">
      <c r="Z821" s="212"/>
      <c r="AQ821" s="25"/>
    </row>
    <row r="822" spans="26:43" ht="14.25" customHeight="1" x14ac:dyDescent="0.35">
      <c r="Z822" s="212"/>
      <c r="AQ822" s="25"/>
    </row>
    <row r="823" spans="26:43" ht="14.25" customHeight="1" x14ac:dyDescent="0.35">
      <c r="Z823" s="212"/>
      <c r="AQ823" s="25"/>
    </row>
    <row r="824" spans="26:43" ht="14.25" customHeight="1" x14ac:dyDescent="0.35">
      <c r="Z824" s="212"/>
      <c r="AQ824" s="25"/>
    </row>
    <row r="825" spans="26:43" ht="14.25" customHeight="1" x14ac:dyDescent="0.35">
      <c r="Z825" s="212"/>
      <c r="AQ825" s="25"/>
    </row>
    <row r="826" spans="26:43" ht="14.25" customHeight="1" x14ac:dyDescent="0.35">
      <c r="Z826" s="212"/>
      <c r="AQ826" s="25"/>
    </row>
    <row r="827" spans="26:43" ht="14.25" customHeight="1" x14ac:dyDescent="0.35">
      <c r="Z827" s="212"/>
      <c r="AQ827" s="25"/>
    </row>
    <row r="828" spans="26:43" ht="14.25" customHeight="1" x14ac:dyDescent="0.35">
      <c r="Z828" s="212"/>
      <c r="AQ828" s="25"/>
    </row>
    <row r="829" spans="26:43" ht="14.25" customHeight="1" x14ac:dyDescent="0.35">
      <c r="Z829" s="212"/>
      <c r="AQ829" s="25"/>
    </row>
    <row r="830" spans="26:43" ht="14.25" customHeight="1" x14ac:dyDescent="0.35">
      <c r="Z830" s="212"/>
      <c r="AQ830" s="25"/>
    </row>
    <row r="831" spans="26:43" ht="14.25" customHeight="1" x14ac:dyDescent="0.35">
      <c r="Z831" s="212"/>
      <c r="AQ831" s="25"/>
    </row>
    <row r="832" spans="26:43" ht="14.25" customHeight="1" x14ac:dyDescent="0.35">
      <c r="Z832" s="212"/>
      <c r="AQ832" s="25"/>
    </row>
    <row r="833" spans="26:43" ht="14.25" customHeight="1" x14ac:dyDescent="0.35">
      <c r="Z833" s="212"/>
      <c r="AQ833" s="25"/>
    </row>
    <row r="834" spans="26:43" ht="14.25" customHeight="1" x14ac:dyDescent="0.35">
      <c r="Z834" s="212"/>
      <c r="AQ834" s="25"/>
    </row>
    <row r="835" spans="26:43" ht="14.25" customHeight="1" x14ac:dyDescent="0.35">
      <c r="Z835" s="212"/>
      <c r="AQ835" s="25"/>
    </row>
    <row r="836" spans="26:43" ht="14.25" customHeight="1" x14ac:dyDescent="0.35">
      <c r="Z836" s="212"/>
      <c r="AQ836" s="25"/>
    </row>
    <row r="837" spans="26:43" ht="14.25" customHeight="1" x14ac:dyDescent="0.35">
      <c r="Z837" s="212"/>
      <c r="AQ837" s="25"/>
    </row>
    <row r="838" spans="26:43" ht="14.25" customHeight="1" x14ac:dyDescent="0.35">
      <c r="Z838" s="212"/>
      <c r="AQ838" s="25"/>
    </row>
    <row r="839" spans="26:43" ht="14.25" customHeight="1" x14ac:dyDescent="0.35">
      <c r="Z839" s="212"/>
      <c r="AQ839" s="25"/>
    </row>
    <row r="840" spans="26:43" ht="14.25" customHeight="1" x14ac:dyDescent="0.35">
      <c r="Z840" s="212"/>
      <c r="AQ840" s="25"/>
    </row>
    <row r="841" spans="26:43" ht="14.25" customHeight="1" x14ac:dyDescent="0.35">
      <c r="Z841" s="212"/>
      <c r="AQ841" s="25"/>
    </row>
    <row r="842" spans="26:43" ht="14.25" customHeight="1" x14ac:dyDescent="0.35">
      <c r="Z842" s="212"/>
      <c r="AQ842" s="25"/>
    </row>
    <row r="843" spans="26:43" ht="14.25" customHeight="1" x14ac:dyDescent="0.35">
      <c r="Z843" s="212"/>
      <c r="AQ843" s="25"/>
    </row>
    <row r="844" spans="26:43" ht="14.25" customHeight="1" x14ac:dyDescent="0.35">
      <c r="Z844" s="212"/>
      <c r="AQ844" s="25"/>
    </row>
    <row r="845" spans="26:43" ht="14.25" customHeight="1" x14ac:dyDescent="0.35">
      <c r="Z845" s="212"/>
      <c r="AQ845" s="25"/>
    </row>
    <row r="846" spans="26:43" ht="14.25" customHeight="1" x14ac:dyDescent="0.35">
      <c r="Z846" s="212"/>
      <c r="AQ846" s="25"/>
    </row>
    <row r="847" spans="26:43" ht="14.25" customHeight="1" x14ac:dyDescent="0.35">
      <c r="Z847" s="212"/>
      <c r="AQ847" s="25"/>
    </row>
    <row r="848" spans="26:43" ht="14.25" customHeight="1" x14ac:dyDescent="0.35">
      <c r="Z848" s="212"/>
      <c r="AQ848" s="25"/>
    </row>
    <row r="849" spans="26:43" ht="14.25" customHeight="1" x14ac:dyDescent="0.35">
      <c r="Z849" s="212"/>
      <c r="AQ849" s="25"/>
    </row>
    <row r="850" spans="26:43" ht="14.25" customHeight="1" x14ac:dyDescent="0.35">
      <c r="Z850" s="212"/>
      <c r="AQ850" s="25"/>
    </row>
    <row r="851" spans="26:43" ht="14.25" customHeight="1" x14ac:dyDescent="0.35">
      <c r="Z851" s="212"/>
      <c r="AQ851" s="25"/>
    </row>
    <row r="852" spans="26:43" ht="14.25" customHeight="1" x14ac:dyDescent="0.35">
      <c r="Z852" s="212"/>
      <c r="AQ852" s="25"/>
    </row>
    <row r="853" spans="26:43" ht="14.25" customHeight="1" x14ac:dyDescent="0.35">
      <c r="Z853" s="212"/>
      <c r="AQ853" s="25"/>
    </row>
    <row r="854" spans="26:43" ht="14.25" customHeight="1" x14ac:dyDescent="0.35">
      <c r="Z854" s="212"/>
      <c r="AQ854" s="25"/>
    </row>
    <row r="855" spans="26:43" ht="14.25" customHeight="1" x14ac:dyDescent="0.35">
      <c r="Z855" s="212"/>
      <c r="AQ855" s="25"/>
    </row>
    <row r="856" spans="26:43" ht="14.25" customHeight="1" x14ac:dyDescent="0.35">
      <c r="Z856" s="212"/>
      <c r="AQ856" s="25"/>
    </row>
    <row r="857" spans="26:43" ht="14.25" customHeight="1" x14ac:dyDescent="0.35">
      <c r="Z857" s="212"/>
      <c r="AQ857" s="25"/>
    </row>
    <row r="858" spans="26:43" ht="14.25" customHeight="1" x14ac:dyDescent="0.35">
      <c r="Z858" s="212"/>
      <c r="AQ858" s="25"/>
    </row>
    <row r="859" spans="26:43" ht="14.25" customHeight="1" x14ac:dyDescent="0.35">
      <c r="Z859" s="212"/>
      <c r="AQ859" s="25"/>
    </row>
    <row r="860" spans="26:43" ht="14.25" customHeight="1" x14ac:dyDescent="0.35">
      <c r="Z860" s="212"/>
      <c r="AQ860" s="25"/>
    </row>
    <row r="861" spans="26:43" ht="14.25" customHeight="1" x14ac:dyDescent="0.35">
      <c r="Z861" s="212"/>
      <c r="AQ861" s="25"/>
    </row>
    <row r="862" spans="26:43" ht="14.25" customHeight="1" x14ac:dyDescent="0.35">
      <c r="Z862" s="212"/>
      <c r="AQ862" s="25"/>
    </row>
    <row r="863" spans="26:43" ht="14.25" customHeight="1" x14ac:dyDescent="0.35">
      <c r="Z863" s="212"/>
      <c r="AQ863" s="25"/>
    </row>
    <row r="864" spans="26:43" ht="14.25" customHeight="1" x14ac:dyDescent="0.35">
      <c r="Z864" s="212"/>
      <c r="AQ864" s="25"/>
    </row>
    <row r="865" spans="26:43" ht="14.25" customHeight="1" x14ac:dyDescent="0.35">
      <c r="Z865" s="212"/>
      <c r="AQ865" s="25"/>
    </row>
    <row r="866" spans="26:43" ht="14.25" customHeight="1" x14ac:dyDescent="0.35">
      <c r="Z866" s="212"/>
      <c r="AQ866" s="25"/>
    </row>
    <row r="867" spans="26:43" ht="14.25" customHeight="1" x14ac:dyDescent="0.35">
      <c r="Z867" s="212"/>
      <c r="AQ867" s="25"/>
    </row>
    <row r="868" spans="26:43" ht="14.25" customHeight="1" x14ac:dyDescent="0.35">
      <c r="Z868" s="212"/>
      <c r="AQ868" s="25"/>
    </row>
    <row r="869" spans="26:43" ht="14.25" customHeight="1" x14ac:dyDescent="0.35">
      <c r="Z869" s="212"/>
      <c r="AQ869" s="25"/>
    </row>
    <row r="870" spans="26:43" ht="14.25" customHeight="1" x14ac:dyDescent="0.35">
      <c r="Z870" s="212"/>
      <c r="AQ870" s="25"/>
    </row>
    <row r="871" spans="26:43" ht="14.25" customHeight="1" x14ac:dyDescent="0.35">
      <c r="Z871" s="212"/>
      <c r="AQ871" s="25"/>
    </row>
    <row r="872" spans="26:43" ht="14.25" customHeight="1" x14ac:dyDescent="0.35">
      <c r="Z872" s="212"/>
      <c r="AQ872" s="25"/>
    </row>
    <row r="873" spans="26:43" ht="14.25" customHeight="1" x14ac:dyDescent="0.35">
      <c r="Z873" s="212"/>
      <c r="AQ873" s="25"/>
    </row>
    <row r="874" spans="26:43" ht="14.25" customHeight="1" x14ac:dyDescent="0.35">
      <c r="Z874" s="212"/>
      <c r="AQ874" s="25"/>
    </row>
    <row r="875" spans="26:43" ht="14.25" customHeight="1" x14ac:dyDescent="0.35">
      <c r="Z875" s="212"/>
      <c r="AQ875" s="25"/>
    </row>
    <row r="876" spans="26:43" ht="14.25" customHeight="1" x14ac:dyDescent="0.35">
      <c r="Z876" s="212"/>
      <c r="AQ876" s="25"/>
    </row>
    <row r="877" spans="26:43" ht="14.25" customHeight="1" x14ac:dyDescent="0.35">
      <c r="Z877" s="212"/>
      <c r="AQ877" s="25"/>
    </row>
    <row r="878" spans="26:43" ht="14.25" customHeight="1" x14ac:dyDescent="0.35">
      <c r="Z878" s="212"/>
      <c r="AQ878" s="25"/>
    </row>
    <row r="879" spans="26:43" ht="14.25" customHeight="1" x14ac:dyDescent="0.35">
      <c r="Z879" s="212"/>
      <c r="AQ879" s="25"/>
    </row>
    <row r="880" spans="26:43" ht="14.25" customHeight="1" x14ac:dyDescent="0.35">
      <c r="Z880" s="212"/>
      <c r="AQ880" s="25"/>
    </row>
    <row r="881" spans="26:43" ht="14.25" customHeight="1" x14ac:dyDescent="0.35">
      <c r="Z881" s="212"/>
      <c r="AQ881" s="25"/>
    </row>
    <row r="882" spans="26:43" ht="14.25" customHeight="1" x14ac:dyDescent="0.35">
      <c r="Z882" s="212"/>
      <c r="AQ882" s="25"/>
    </row>
    <row r="883" spans="26:43" ht="14.25" customHeight="1" x14ac:dyDescent="0.35">
      <c r="Z883" s="212"/>
      <c r="AQ883" s="25"/>
    </row>
    <row r="884" spans="26:43" ht="14.25" customHeight="1" x14ac:dyDescent="0.35">
      <c r="Z884" s="212"/>
      <c r="AQ884" s="25"/>
    </row>
    <row r="885" spans="26:43" ht="14.25" customHeight="1" x14ac:dyDescent="0.35">
      <c r="Z885" s="212"/>
      <c r="AQ885" s="25"/>
    </row>
    <row r="886" spans="26:43" ht="14.25" customHeight="1" x14ac:dyDescent="0.35">
      <c r="Z886" s="212"/>
      <c r="AQ886" s="25"/>
    </row>
    <row r="887" spans="26:43" ht="14.25" customHeight="1" x14ac:dyDescent="0.35">
      <c r="Z887" s="212"/>
      <c r="AQ887" s="25"/>
    </row>
    <row r="888" spans="26:43" ht="14.25" customHeight="1" x14ac:dyDescent="0.35">
      <c r="Z888" s="212"/>
      <c r="AQ888" s="25"/>
    </row>
    <row r="889" spans="26:43" ht="14.25" customHeight="1" x14ac:dyDescent="0.35">
      <c r="Z889" s="212"/>
      <c r="AQ889" s="25"/>
    </row>
    <row r="890" spans="26:43" ht="14.25" customHeight="1" x14ac:dyDescent="0.35">
      <c r="Z890" s="212"/>
      <c r="AQ890" s="25"/>
    </row>
    <row r="891" spans="26:43" ht="14.25" customHeight="1" x14ac:dyDescent="0.35">
      <c r="Z891" s="212"/>
      <c r="AQ891" s="25"/>
    </row>
    <row r="892" spans="26:43" ht="14.25" customHeight="1" x14ac:dyDescent="0.35">
      <c r="Z892" s="212"/>
      <c r="AQ892" s="25"/>
    </row>
    <row r="893" spans="26:43" ht="14.25" customHeight="1" x14ac:dyDescent="0.35">
      <c r="Z893" s="212"/>
      <c r="AQ893" s="25"/>
    </row>
    <row r="894" spans="26:43" ht="14.25" customHeight="1" x14ac:dyDescent="0.35">
      <c r="Z894" s="212"/>
      <c r="AQ894" s="25"/>
    </row>
    <row r="895" spans="26:43" ht="14.25" customHeight="1" x14ac:dyDescent="0.35">
      <c r="Z895" s="212"/>
      <c r="AQ895" s="25"/>
    </row>
    <row r="896" spans="26:43" ht="14.25" customHeight="1" x14ac:dyDescent="0.35">
      <c r="Z896" s="212"/>
      <c r="AQ896" s="25"/>
    </row>
    <row r="897" spans="26:43" ht="14.25" customHeight="1" x14ac:dyDescent="0.35">
      <c r="Z897" s="212"/>
      <c r="AQ897" s="25"/>
    </row>
    <row r="898" spans="26:43" ht="14.25" customHeight="1" x14ac:dyDescent="0.35">
      <c r="Z898" s="212"/>
      <c r="AQ898" s="25"/>
    </row>
    <row r="899" spans="26:43" ht="14.25" customHeight="1" x14ac:dyDescent="0.35">
      <c r="Z899" s="212"/>
      <c r="AQ899" s="25"/>
    </row>
    <row r="900" spans="26:43" ht="14.25" customHeight="1" x14ac:dyDescent="0.35">
      <c r="Z900" s="212"/>
      <c r="AQ900" s="25"/>
    </row>
    <row r="901" spans="26:43" ht="14.25" customHeight="1" x14ac:dyDescent="0.35">
      <c r="Z901" s="212"/>
      <c r="AQ901" s="25"/>
    </row>
    <row r="902" spans="26:43" ht="14.25" customHeight="1" x14ac:dyDescent="0.35">
      <c r="Z902" s="212"/>
      <c r="AQ902" s="25"/>
    </row>
    <row r="903" spans="26:43" ht="14.25" customHeight="1" x14ac:dyDescent="0.35">
      <c r="Z903" s="212"/>
      <c r="AQ903" s="25"/>
    </row>
    <row r="904" spans="26:43" ht="14.25" customHeight="1" x14ac:dyDescent="0.35">
      <c r="Z904" s="212"/>
      <c r="AQ904" s="25"/>
    </row>
    <row r="905" spans="26:43" ht="14.25" customHeight="1" x14ac:dyDescent="0.35">
      <c r="Z905" s="212"/>
      <c r="AQ905" s="25"/>
    </row>
    <row r="906" spans="26:43" ht="14.25" customHeight="1" x14ac:dyDescent="0.35">
      <c r="Z906" s="212"/>
      <c r="AQ906" s="25"/>
    </row>
    <row r="907" spans="26:43" ht="14.25" customHeight="1" x14ac:dyDescent="0.35">
      <c r="Z907" s="212"/>
      <c r="AQ907" s="25"/>
    </row>
    <row r="908" spans="26:43" ht="14.25" customHeight="1" x14ac:dyDescent="0.35">
      <c r="Z908" s="212"/>
      <c r="AQ908" s="25"/>
    </row>
    <row r="909" spans="26:43" ht="14.25" customHeight="1" x14ac:dyDescent="0.35">
      <c r="Z909" s="212"/>
      <c r="AQ909" s="25"/>
    </row>
    <row r="910" spans="26:43" ht="14.25" customHeight="1" x14ac:dyDescent="0.35">
      <c r="Z910" s="212"/>
      <c r="AQ910" s="25"/>
    </row>
    <row r="911" spans="26:43" ht="14.25" customHeight="1" x14ac:dyDescent="0.35">
      <c r="Z911" s="212"/>
      <c r="AQ911" s="25"/>
    </row>
    <row r="912" spans="26:43" ht="14.25" customHeight="1" x14ac:dyDescent="0.35">
      <c r="Z912" s="212"/>
      <c r="AQ912" s="25"/>
    </row>
    <row r="913" spans="26:43" ht="14.25" customHeight="1" x14ac:dyDescent="0.35">
      <c r="Z913" s="212"/>
      <c r="AQ913" s="25"/>
    </row>
    <row r="914" spans="26:43" ht="14.25" customHeight="1" x14ac:dyDescent="0.35">
      <c r="Z914" s="212"/>
      <c r="AQ914" s="25"/>
    </row>
    <row r="915" spans="26:43" ht="14.25" customHeight="1" x14ac:dyDescent="0.35">
      <c r="Z915" s="212"/>
      <c r="AQ915" s="25"/>
    </row>
    <row r="916" spans="26:43" ht="14.25" customHeight="1" x14ac:dyDescent="0.35">
      <c r="Z916" s="212"/>
      <c r="AQ916" s="25"/>
    </row>
    <row r="917" spans="26:43" ht="14.25" customHeight="1" x14ac:dyDescent="0.35">
      <c r="Z917" s="212"/>
      <c r="AQ917" s="25"/>
    </row>
    <row r="918" spans="26:43" ht="14.25" customHeight="1" x14ac:dyDescent="0.35">
      <c r="Z918" s="212"/>
      <c r="AQ918" s="25"/>
    </row>
    <row r="919" spans="26:43" ht="14.25" customHeight="1" x14ac:dyDescent="0.35">
      <c r="Z919" s="212"/>
      <c r="AQ919" s="25"/>
    </row>
    <row r="920" spans="26:43" ht="14.25" customHeight="1" x14ac:dyDescent="0.35">
      <c r="Z920" s="212"/>
      <c r="AQ920" s="25"/>
    </row>
    <row r="921" spans="26:43" ht="14.25" customHeight="1" x14ac:dyDescent="0.35">
      <c r="Z921" s="212"/>
      <c r="AQ921" s="25"/>
    </row>
    <row r="922" spans="26:43" ht="14.25" customHeight="1" x14ac:dyDescent="0.35">
      <c r="Z922" s="212"/>
      <c r="AQ922" s="25"/>
    </row>
    <row r="923" spans="26:43" ht="14.25" customHeight="1" x14ac:dyDescent="0.35">
      <c r="Z923" s="212"/>
      <c r="AQ923" s="25"/>
    </row>
    <row r="924" spans="26:43" ht="14.25" customHeight="1" x14ac:dyDescent="0.35">
      <c r="Z924" s="212"/>
      <c r="AQ924" s="25"/>
    </row>
    <row r="925" spans="26:43" ht="14.25" customHeight="1" x14ac:dyDescent="0.35">
      <c r="Z925" s="212"/>
      <c r="AQ925" s="25"/>
    </row>
    <row r="926" spans="26:43" ht="14.25" customHeight="1" x14ac:dyDescent="0.35">
      <c r="Z926" s="212"/>
      <c r="AQ926" s="25"/>
    </row>
    <row r="927" spans="26:43" ht="14.25" customHeight="1" x14ac:dyDescent="0.35">
      <c r="Z927" s="212"/>
      <c r="AQ927" s="25"/>
    </row>
    <row r="928" spans="26:43" ht="14.25" customHeight="1" x14ac:dyDescent="0.35">
      <c r="Z928" s="212"/>
      <c r="AQ928" s="25"/>
    </row>
    <row r="929" spans="26:43" ht="14.25" customHeight="1" x14ac:dyDescent="0.35">
      <c r="Z929" s="212"/>
      <c r="AQ929" s="25"/>
    </row>
    <row r="930" spans="26:43" ht="14.25" customHeight="1" x14ac:dyDescent="0.35">
      <c r="Z930" s="212"/>
      <c r="AQ930" s="25"/>
    </row>
    <row r="931" spans="26:43" ht="14.25" customHeight="1" x14ac:dyDescent="0.35">
      <c r="Z931" s="212"/>
      <c r="AQ931" s="25"/>
    </row>
    <row r="932" spans="26:43" ht="14.25" customHeight="1" x14ac:dyDescent="0.35">
      <c r="Z932" s="212"/>
      <c r="AQ932" s="25"/>
    </row>
    <row r="933" spans="26:43" ht="14.25" customHeight="1" x14ac:dyDescent="0.35">
      <c r="Z933" s="212"/>
      <c r="AQ933" s="25"/>
    </row>
    <row r="934" spans="26:43" ht="14.25" customHeight="1" x14ac:dyDescent="0.35">
      <c r="Z934" s="212"/>
      <c r="AQ934" s="25"/>
    </row>
    <row r="935" spans="26:43" ht="14.25" customHeight="1" x14ac:dyDescent="0.35">
      <c r="Z935" s="212"/>
      <c r="AQ935" s="25"/>
    </row>
    <row r="936" spans="26:43" ht="14.25" customHeight="1" x14ac:dyDescent="0.35">
      <c r="Z936" s="212"/>
      <c r="AQ936" s="25"/>
    </row>
    <row r="937" spans="26:43" ht="14.25" customHeight="1" x14ac:dyDescent="0.35">
      <c r="Z937" s="212"/>
      <c r="AQ937" s="25"/>
    </row>
    <row r="938" spans="26:43" ht="14.25" customHeight="1" x14ac:dyDescent="0.35">
      <c r="Z938" s="212"/>
      <c r="AQ938" s="25"/>
    </row>
    <row r="939" spans="26:43" ht="14.25" customHeight="1" x14ac:dyDescent="0.35">
      <c r="Z939" s="212"/>
      <c r="AQ939" s="25"/>
    </row>
    <row r="940" spans="26:43" ht="14.25" customHeight="1" x14ac:dyDescent="0.35">
      <c r="Z940" s="212"/>
      <c r="AQ940" s="25"/>
    </row>
    <row r="941" spans="26:43" ht="14.25" customHeight="1" x14ac:dyDescent="0.35">
      <c r="Z941" s="212"/>
      <c r="AQ941" s="25"/>
    </row>
    <row r="942" spans="26:43" ht="14.25" customHeight="1" x14ac:dyDescent="0.35">
      <c r="Z942" s="212"/>
      <c r="AQ942" s="25"/>
    </row>
    <row r="943" spans="26:43" ht="14.25" customHeight="1" x14ac:dyDescent="0.35">
      <c r="Z943" s="212"/>
      <c r="AQ943" s="25"/>
    </row>
    <row r="944" spans="26:43" ht="14.25" customHeight="1" x14ac:dyDescent="0.35">
      <c r="Z944" s="212"/>
      <c r="AQ944" s="25"/>
    </row>
    <row r="945" spans="26:43" ht="14.25" customHeight="1" x14ac:dyDescent="0.35">
      <c r="Z945" s="212"/>
      <c r="AQ945" s="25"/>
    </row>
    <row r="946" spans="26:43" ht="14.25" customHeight="1" x14ac:dyDescent="0.35">
      <c r="Z946" s="212"/>
      <c r="AQ946" s="25"/>
    </row>
    <row r="947" spans="26:43" ht="14.25" customHeight="1" x14ac:dyDescent="0.35">
      <c r="Z947" s="212"/>
      <c r="AQ947" s="25"/>
    </row>
    <row r="948" spans="26:43" ht="14.25" customHeight="1" x14ac:dyDescent="0.35">
      <c r="Z948" s="212"/>
      <c r="AQ948" s="25"/>
    </row>
    <row r="949" spans="26:43" ht="14.25" customHeight="1" x14ac:dyDescent="0.35">
      <c r="Z949" s="212"/>
      <c r="AQ949" s="25"/>
    </row>
    <row r="950" spans="26:43" ht="14.25" customHeight="1" x14ac:dyDescent="0.35">
      <c r="Z950" s="212"/>
      <c r="AQ950" s="25"/>
    </row>
    <row r="951" spans="26:43" ht="14.25" customHeight="1" x14ac:dyDescent="0.35">
      <c r="Z951" s="212"/>
      <c r="AQ951" s="25"/>
    </row>
    <row r="952" spans="26:43" ht="14.25" customHeight="1" x14ac:dyDescent="0.35">
      <c r="Z952" s="212"/>
      <c r="AQ952" s="25"/>
    </row>
    <row r="953" spans="26:43" ht="14.25" customHeight="1" x14ac:dyDescent="0.35">
      <c r="Z953" s="212"/>
      <c r="AQ953" s="25"/>
    </row>
    <row r="954" spans="26:43" ht="14.25" customHeight="1" x14ac:dyDescent="0.35">
      <c r="Z954" s="212"/>
      <c r="AQ954" s="25"/>
    </row>
    <row r="955" spans="26:43" ht="14.25" customHeight="1" x14ac:dyDescent="0.35">
      <c r="Z955" s="212"/>
      <c r="AQ955" s="25"/>
    </row>
    <row r="956" spans="26:43" ht="14.25" customHeight="1" x14ac:dyDescent="0.35">
      <c r="Z956" s="212"/>
      <c r="AQ956" s="25"/>
    </row>
    <row r="957" spans="26:43" ht="14.25" customHeight="1" x14ac:dyDescent="0.35">
      <c r="Z957" s="212"/>
      <c r="AQ957" s="25"/>
    </row>
    <row r="958" spans="26:43" ht="14.25" customHeight="1" x14ac:dyDescent="0.35">
      <c r="Z958" s="212"/>
      <c r="AQ958" s="25"/>
    </row>
  </sheetData>
  <mergeCells count="10">
    <mergeCell ref="AN2:AQ2"/>
    <mergeCell ref="AN1:AQ1"/>
    <mergeCell ref="M2:R2"/>
    <mergeCell ref="J2:L2"/>
    <mergeCell ref="Z1:AL1"/>
    <mergeCell ref="J1:X1"/>
    <mergeCell ref="AD2:AG2"/>
    <mergeCell ref="AH2:AK2"/>
    <mergeCell ref="S2:W2"/>
    <mergeCell ref="Z2:AC2"/>
  </mergeCell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equal" id="{277061A1-492A-471E-8E09-3819FA711B21}">
            <xm:f>Variables!$E$45</xm:f>
            <x14:dxf>
              <font>
                <color rgb="FFFF0000"/>
              </font>
            </x14:dxf>
          </x14:cfRule>
          <xm:sqref>AN4:AO507 AQ4:AQ507 AN1:AQ3 AN508:AQ1048576</xm:sqref>
        </x14:conditionalFormatting>
        <x14:conditionalFormatting xmlns:xm="http://schemas.microsoft.com/office/excel/2006/main">
          <x14:cfRule type="cellIs" priority="12" operator="equal" id="{BE332AE2-328A-400E-8838-ECED95BB3AE7}">
            <xm:f>'[HOUSING INDIA.xlsx]Variables'!#REF!</xm:f>
            <x14:dxf>
              <font>
                <color rgb="FFFF0000"/>
              </font>
            </x14:dxf>
          </x14:cfRule>
          <xm:sqref>AP4:AP507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75"/>
  <sheetViews>
    <sheetView zoomScale="90" zoomScaleNormal="90" workbookViewId="0">
      <selection activeCell="C17" sqref="C17"/>
    </sheetView>
  </sheetViews>
  <sheetFormatPr defaultColWidth="14.453125" defaultRowHeight="15" customHeight="1" x14ac:dyDescent="0.35"/>
  <cols>
    <col min="1" max="1" width="70.1796875" customWidth="1"/>
    <col min="2" max="2" width="14.453125" bestFit="1" customWidth="1"/>
    <col min="3" max="3" width="20.81640625" style="71" bestFit="1" customWidth="1"/>
    <col min="4" max="4" width="9.54296875" bestFit="1" customWidth="1"/>
    <col min="5" max="5" width="13.81640625" bestFit="1" customWidth="1"/>
    <col min="6" max="6" width="29.7265625" customWidth="1"/>
    <col min="7" max="7" width="29.1796875" customWidth="1"/>
    <col min="8" max="26" width="8.7265625" customWidth="1"/>
  </cols>
  <sheetData>
    <row r="1" spans="1:26" ht="14.25" customHeight="1" x14ac:dyDescent="0.35">
      <c r="A1" s="1" t="s">
        <v>0</v>
      </c>
      <c r="B1" s="1" t="s">
        <v>1</v>
      </c>
      <c r="C1" s="291" t="s">
        <v>2</v>
      </c>
      <c r="D1" s="1" t="s">
        <v>5</v>
      </c>
      <c r="E1" s="2" t="s">
        <v>6</v>
      </c>
      <c r="F1" s="59" t="s">
        <v>134</v>
      </c>
      <c r="G1" s="1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t="s">
        <v>8</v>
      </c>
      <c r="B2" s="28" t="s">
        <v>146</v>
      </c>
      <c r="C2" s="292">
        <v>0.1</v>
      </c>
      <c r="E2" s="4"/>
      <c r="F2" t="s">
        <v>9</v>
      </c>
    </row>
    <row r="3" spans="1:26" ht="29" x14ac:dyDescent="0.35">
      <c r="A3" s="27" t="s">
        <v>145</v>
      </c>
      <c r="B3" t="s">
        <v>10</v>
      </c>
      <c r="C3" s="126">
        <v>0.15</v>
      </c>
      <c r="E3" s="4"/>
      <c r="F3" s="5" t="s">
        <v>11</v>
      </c>
    </row>
    <row r="4" spans="1:26" ht="14.25" customHeight="1" x14ac:dyDescent="0.35">
      <c r="C4" s="126"/>
      <c r="E4" s="4"/>
    </row>
    <row r="5" spans="1:26" ht="14.25" customHeight="1" x14ac:dyDescent="0.35">
      <c r="A5" t="s">
        <v>14</v>
      </c>
      <c r="B5" t="s">
        <v>12</v>
      </c>
      <c r="C5" s="126">
        <v>10000000</v>
      </c>
      <c r="E5" s="4"/>
      <c r="F5" t="s">
        <v>15</v>
      </c>
    </row>
    <row r="6" spans="1:26" ht="14.25" customHeight="1" x14ac:dyDescent="0.35">
      <c r="A6" t="s">
        <v>16</v>
      </c>
      <c r="B6" t="s">
        <v>12</v>
      </c>
      <c r="C6" s="126">
        <v>100000</v>
      </c>
      <c r="E6" s="4"/>
      <c r="F6" t="s">
        <v>15</v>
      </c>
    </row>
    <row r="7" spans="1:26" ht="14.25" customHeight="1" x14ac:dyDescent="0.35">
      <c r="A7" t="s">
        <v>17</v>
      </c>
      <c r="B7" t="s">
        <v>12</v>
      </c>
      <c r="C7" s="126">
        <v>50000</v>
      </c>
      <c r="E7" s="4"/>
      <c r="F7" t="s">
        <v>15</v>
      </c>
    </row>
    <row r="8" spans="1:26" ht="14.25" customHeight="1" x14ac:dyDescent="0.35">
      <c r="A8" s="28" t="s">
        <v>150</v>
      </c>
      <c r="B8" t="s">
        <v>12</v>
      </c>
      <c r="C8" s="125">
        <v>-1.4E-2</v>
      </c>
      <c r="D8" s="28" t="s">
        <v>294</v>
      </c>
      <c r="E8" s="4"/>
      <c r="F8" s="29" t="s">
        <v>293</v>
      </c>
    </row>
    <row r="9" spans="1:26" ht="14.25" customHeight="1" x14ac:dyDescent="0.35">
      <c r="A9" t="s">
        <v>18</v>
      </c>
      <c r="B9" t="s">
        <v>12</v>
      </c>
      <c r="C9" s="126">
        <v>1.07</v>
      </c>
      <c r="E9" s="4"/>
      <c r="F9" s="29" t="s">
        <v>292</v>
      </c>
    </row>
    <row r="10" spans="1:26" ht="14.25" customHeight="1" x14ac:dyDescent="0.35">
      <c r="A10" t="s">
        <v>19</v>
      </c>
      <c r="B10" t="s">
        <v>12</v>
      </c>
      <c r="C10" s="126">
        <v>1.0900000000000001</v>
      </c>
      <c r="E10" s="4"/>
      <c r="F10" s="29" t="s">
        <v>292</v>
      </c>
    </row>
    <row r="11" spans="1:26" ht="14.25" customHeight="1" x14ac:dyDescent="0.35">
      <c r="A11" s="6" t="s">
        <v>20</v>
      </c>
      <c r="B11" t="s">
        <v>12</v>
      </c>
      <c r="C11" s="127">
        <v>1.0900000000000001</v>
      </c>
      <c r="E11" s="4"/>
      <c r="F11" s="29" t="s">
        <v>292</v>
      </c>
    </row>
    <row r="12" spans="1:26" ht="14.25" customHeight="1" x14ac:dyDescent="0.35">
      <c r="A12" t="s">
        <v>21</v>
      </c>
      <c r="B12" t="s">
        <v>12</v>
      </c>
      <c r="C12" s="71">
        <v>1.1000000000000001</v>
      </c>
      <c r="E12" s="4"/>
      <c r="F12" s="29" t="s">
        <v>292</v>
      </c>
    </row>
    <row r="13" spans="1:26" s="26" customFormat="1" ht="14.25" customHeight="1" x14ac:dyDescent="0.35">
      <c r="A13" s="28" t="s">
        <v>22</v>
      </c>
      <c r="B13" s="26" t="s">
        <v>12</v>
      </c>
      <c r="C13" s="126">
        <v>1.32</v>
      </c>
      <c r="E13" s="4"/>
      <c r="F13" s="29" t="s">
        <v>147</v>
      </c>
    </row>
    <row r="14" spans="1:26" ht="14.25" customHeight="1" x14ac:dyDescent="0.35">
      <c r="A14" s="28" t="s">
        <v>23</v>
      </c>
      <c r="B14" t="s">
        <v>12</v>
      </c>
      <c r="C14" s="126">
        <v>1.6</v>
      </c>
      <c r="E14" s="4"/>
      <c r="F14" t="s">
        <v>13</v>
      </c>
    </row>
    <row r="15" spans="1:26" ht="14.25" customHeight="1" x14ac:dyDescent="0.35">
      <c r="A15" t="s">
        <v>152</v>
      </c>
      <c r="B15" t="s">
        <v>12</v>
      </c>
      <c r="C15" s="307">
        <v>0.25900000000000001</v>
      </c>
      <c r="E15" s="4"/>
      <c r="F15" s="29" t="s">
        <v>151</v>
      </c>
    </row>
    <row r="16" spans="1:26" s="64" customFormat="1" ht="14.25" customHeight="1" x14ac:dyDescent="0.35">
      <c r="C16" s="126"/>
      <c r="E16" s="4"/>
    </row>
    <row r="17" spans="1:7" ht="15" customHeight="1" x14ac:dyDescent="0.35">
      <c r="A17" s="28" t="s">
        <v>291</v>
      </c>
      <c r="B17" s="64" t="s">
        <v>12</v>
      </c>
      <c r="C17" s="127">
        <v>2.37</v>
      </c>
      <c r="F17" s="29" t="s">
        <v>151</v>
      </c>
    </row>
    <row r="18" spans="1:7" ht="14.25" customHeight="1" x14ac:dyDescent="0.35">
      <c r="A18" t="s">
        <v>153</v>
      </c>
      <c r="B18" t="s">
        <v>12</v>
      </c>
      <c r="C18" s="293">
        <v>1.4E-2</v>
      </c>
      <c r="D18" s="60"/>
      <c r="E18" s="61"/>
      <c r="F18" s="70" t="s">
        <v>27</v>
      </c>
    </row>
    <row r="19" spans="1:7" ht="14.25" customHeight="1" x14ac:dyDescent="0.35">
      <c r="C19" s="126"/>
      <c r="E19" s="4"/>
    </row>
    <row r="20" spans="1:7" ht="14.25" customHeight="1" x14ac:dyDescent="0.35">
      <c r="A20" t="s">
        <v>29</v>
      </c>
      <c r="B20" t="s">
        <v>28</v>
      </c>
      <c r="C20" s="294">
        <v>8.9999999999999998E-4</v>
      </c>
      <c r="D20">
        <v>2008</v>
      </c>
      <c r="E20" s="4"/>
      <c r="F20" s="29" t="s">
        <v>245</v>
      </c>
      <c r="G20" t="s">
        <v>246</v>
      </c>
    </row>
    <row r="21" spans="1:7" ht="14.25" customHeight="1" x14ac:dyDescent="0.35">
      <c r="A21" t="s">
        <v>30</v>
      </c>
      <c r="B21" t="s">
        <v>28</v>
      </c>
      <c r="C21" s="126">
        <f>'Road Proportions'!C7</f>
        <v>5.4298642533936645</v>
      </c>
      <c r="D21">
        <v>2013</v>
      </c>
      <c r="E21" s="4"/>
      <c r="F21" s="5" t="s">
        <v>31</v>
      </c>
    </row>
    <row r="22" spans="1:7" ht="14.25" customHeight="1" x14ac:dyDescent="0.35">
      <c r="A22" t="s">
        <v>32</v>
      </c>
      <c r="B22" t="s">
        <v>28</v>
      </c>
      <c r="C22" s="126">
        <f>'Road Proportions'!C8</f>
        <v>9.502262443438914</v>
      </c>
      <c r="D22" s="26">
        <v>2013</v>
      </c>
      <c r="E22" s="4"/>
      <c r="F22" t="s">
        <v>31</v>
      </c>
    </row>
    <row r="23" spans="1:7" ht="14.25" customHeight="1" x14ac:dyDescent="0.35">
      <c r="A23" t="s">
        <v>33</v>
      </c>
      <c r="B23" t="s">
        <v>28</v>
      </c>
      <c r="C23" s="126">
        <f>'Road Proportions'!C9</f>
        <v>9.9547511312217196</v>
      </c>
      <c r="D23" s="26">
        <v>2013</v>
      </c>
      <c r="E23" s="4"/>
      <c r="F23" t="s">
        <v>31</v>
      </c>
    </row>
    <row r="24" spans="1:7" ht="14.25" customHeight="1" x14ac:dyDescent="0.35">
      <c r="A24" t="s">
        <v>34</v>
      </c>
      <c r="B24" t="s">
        <v>28</v>
      </c>
      <c r="C24" s="126">
        <f>'Road Proportions'!C11</f>
        <v>72.398190045248867</v>
      </c>
      <c r="D24" s="26">
        <v>2013</v>
      </c>
      <c r="E24" s="4"/>
      <c r="F24" t="s">
        <v>31</v>
      </c>
    </row>
    <row r="25" spans="1:7" ht="14.25" customHeight="1" x14ac:dyDescent="0.35">
      <c r="A25" t="s">
        <v>35</v>
      </c>
      <c r="B25" t="s">
        <v>28</v>
      </c>
      <c r="C25" s="295">
        <f>C26*2</f>
        <v>6350000</v>
      </c>
      <c r="D25" s="6">
        <v>2014</v>
      </c>
      <c r="E25" s="3">
        <f>C25*$C$11</f>
        <v>6921500.0000000009</v>
      </c>
      <c r="F25" t="s">
        <v>36</v>
      </c>
      <c r="G25" t="s">
        <v>37</v>
      </c>
    </row>
    <row r="26" spans="1:7" ht="14.25" customHeight="1" x14ac:dyDescent="0.35">
      <c r="A26" t="s">
        <v>38</v>
      </c>
      <c r="B26" t="s">
        <v>28</v>
      </c>
      <c r="C26" s="295">
        <v>3175000</v>
      </c>
      <c r="D26" s="6">
        <v>2014</v>
      </c>
      <c r="E26" s="3">
        <f t="shared" ref="E26:E28" si="0">C26*$C$11</f>
        <v>3460750.0000000005</v>
      </c>
      <c r="F26" t="s">
        <v>36</v>
      </c>
      <c r="G26" t="s">
        <v>39</v>
      </c>
    </row>
    <row r="27" spans="1:7" ht="14.25" customHeight="1" x14ac:dyDescent="0.35">
      <c r="A27" t="s">
        <v>40</v>
      </c>
      <c r="B27" t="s">
        <v>28</v>
      </c>
      <c r="C27" s="295">
        <v>2100000</v>
      </c>
      <c r="D27" s="6">
        <v>2014</v>
      </c>
      <c r="E27" s="3">
        <f t="shared" si="0"/>
        <v>2289000</v>
      </c>
      <c r="F27" t="s">
        <v>36</v>
      </c>
      <c r="G27" t="s">
        <v>41</v>
      </c>
    </row>
    <row r="28" spans="1:7" ht="14.25" customHeight="1" x14ac:dyDescent="0.35">
      <c r="A28" t="s">
        <v>42</v>
      </c>
      <c r="B28" t="s">
        <v>28</v>
      </c>
      <c r="C28" s="295">
        <v>2100000</v>
      </c>
      <c r="D28" s="6">
        <v>2014</v>
      </c>
      <c r="E28" s="3">
        <f t="shared" si="0"/>
        <v>2289000</v>
      </c>
      <c r="G28" t="s">
        <v>43</v>
      </c>
    </row>
    <row r="29" spans="1:7" ht="14.25" customHeight="1" x14ac:dyDescent="0.35">
      <c r="A29" t="s">
        <v>44</v>
      </c>
      <c r="B29" t="s">
        <v>28</v>
      </c>
      <c r="C29" s="126">
        <v>500</v>
      </c>
      <c r="D29">
        <v>2005</v>
      </c>
      <c r="E29" s="3">
        <f>C29*C13</f>
        <v>660</v>
      </c>
      <c r="F29" s="5" t="s">
        <v>45</v>
      </c>
    </row>
    <row r="30" spans="1:7" ht="14.25" customHeight="1" x14ac:dyDescent="0.35">
      <c r="A30" t="s">
        <v>46</v>
      </c>
      <c r="B30" t="s">
        <v>28</v>
      </c>
      <c r="C30" s="295">
        <f>C31*2</f>
        <v>38696</v>
      </c>
      <c r="D30">
        <v>1997</v>
      </c>
      <c r="E30" s="3">
        <f t="shared" ref="E30:E32" si="1">C30*$C$14</f>
        <v>61913.600000000006</v>
      </c>
      <c r="F30" t="s">
        <v>47</v>
      </c>
      <c r="G30" t="s">
        <v>48</v>
      </c>
    </row>
    <row r="31" spans="1:7" ht="14.25" customHeight="1" x14ac:dyDescent="0.35">
      <c r="A31" t="s">
        <v>49</v>
      </c>
      <c r="B31" t="s">
        <v>28</v>
      </c>
      <c r="C31" s="295">
        <v>19348</v>
      </c>
      <c r="D31">
        <v>1997</v>
      </c>
      <c r="E31" s="3">
        <f t="shared" si="1"/>
        <v>30956.800000000003</v>
      </c>
      <c r="F31" t="s">
        <v>47</v>
      </c>
      <c r="G31" t="s">
        <v>50</v>
      </c>
    </row>
    <row r="32" spans="1:7" ht="14.25" customHeight="1" x14ac:dyDescent="0.35">
      <c r="A32" t="s">
        <v>51</v>
      </c>
      <c r="B32" t="s">
        <v>28</v>
      </c>
      <c r="C32" s="295">
        <v>7609</v>
      </c>
      <c r="D32">
        <v>1997</v>
      </c>
      <c r="E32" s="3">
        <f t="shared" si="1"/>
        <v>12174.400000000001</v>
      </c>
      <c r="F32" t="s">
        <v>47</v>
      </c>
    </row>
    <row r="33" spans="1:7" ht="14.25" customHeight="1" x14ac:dyDescent="0.35">
      <c r="C33" s="126"/>
      <c r="E33" s="4"/>
    </row>
    <row r="34" spans="1:7" ht="14.25" customHeight="1" x14ac:dyDescent="0.35">
      <c r="A34" t="s">
        <v>52</v>
      </c>
      <c r="B34" t="s">
        <v>53</v>
      </c>
      <c r="C34" s="126">
        <v>0.5</v>
      </c>
      <c r="E34" s="4"/>
      <c r="F34" t="s">
        <v>54</v>
      </c>
    </row>
    <row r="35" spans="1:7" ht="14.25" customHeight="1" x14ac:dyDescent="0.35">
      <c r="A35" t="s">
        <v>55</v>
      </c>
      <c r="B35" t="s">
        <v>53</v>
      </c>
      <c r="C35" s="296">
        <v>1.1999999999999999E-3</v>
      </c>
      <c r="E35" s="4"/>
      <c r="F35" t="s">
        <v>56</v>
      </c>
      <c r="G35" t="s">
        <v>57</v>
      </c>
    </row>
    <row r="36" spans="1:7" ht="14.25" customHeight="1" x14ac:dyDescent="0.35">
      <c r="A36" t="s">
        <v>58</v>
      </c>
      <c r="B36" t="s">
        <v>53</v>
      </c>
      <c r="C36" s="296">
        <v>8.0000000000000004E-4</v>
      </c>
      <c r="E36" s="4"/>
      <c r="F36" t="s">
        <v>56</v>
      </c>
      <c r="G36" t="s">
        <v>57</v>
      </c>
    </row>
    <row r="37" spans="1:7" ht="14.25" customHeight="1" x14ac:dyDescent="0.35">
      <c r="A37" t="s">
        <v>59</v>
      </c>
      <c r="B37" t="s">
        <v>53</v>
      </c>
      <c r="C37" s="296">
        <v>5.0000000000000001E-4</v>
      </c>
      <c r="E37" s="4"/>
      <c r="F37" t="s">
        <v>56</v>
      </c>
      <c r="G37" t="s">
        <v>57</v>
      </c>
    </row>
    <row r="38" spans="1:7" ht="27" customHeight="1" x14ac:dyDescent="0.35">
      <c r="A38" s="27" t="s">
        <v>140</v>
      </c>
      <c r="B38" t="s">
        <v>53</v>
      </c>
      <c r="C38" s="298">
        <f>'Standard bus O&amp;M'!B6</f>
        <v>36202616641</v>
      </c>
      <c r="D38" s="7">
        <v>2016</v>
      </c>
      <c r="E38" s="3">
        <f>'Standard bus O&amp;M'!F6</f>
        <v>684473.01515112224</v>
      </c>
      <c r="F38" t="s">
        <v>60</v>
      </c>
    </row>
    <row r="39" spans="1:7" s="65" customFormat="1" ht="14.25" customHeight="1" x14ac:dyDescent="0.35">
      <c r="A39" s="28"/>
      <c r="C39" s="126"/>
      <c r="D39" s="7"/>
      <c r="E39" s="288"/>
    </row>
    <row r="40" spans="1:7" ht="14.25" customHeight="1" x14ac:dyDescent="0.35">
      <c r="A40" t="s">
        <v>62</v>
      </c>
      <c r="B40" t="s">
        <v>61</v>
      </c>
      <c r="C40" s="126">
        <f>ROUND(3380/27,0)</f>
        <v>125</v>
      </c>
      <c r="D40">
        <v>2005</v>
      </c>
      <c r="E40" s="4"/>
      <c r="F40" t="s">
        <v>63</v>
      </c>
    </row>
    <row r="41" spans="1:7" s="60" customFormat="1" ht="14.5" x14ac:dyDescent="0.35">
      <c r="A41" s="60" t="s">
        <v>148</v>
      </c>
      <c r="B41" s="60" t="s">
        <v>61</v>
      </c>
      <c r="C41" s="299">
        <v>330000</v>
      </c>
      <c r="D41" s="60">
        <v>2012</v>
      </c>
      <c r="E41" s="61">
        <f>C41*1.12</f>
        <v>369600.00000000006</v>
      </c>
      <c r="F41" s="29" t="s">
        <v>149</v>
      </c>
    </row>
    <row r="42" spans="1:7" ht="14.25" customHeight="1" x14ac:dyDescent="0.35">
      <c r="A42" t="s">
        <v>64</v>
      </c>
      <c r="B42" t="s">
        <v>61</v>
      </c>
      <c r="C42" s="126">
        <f>1200+1200</f>
        <v>2400</v>
      </c>
      <c r="D42">
        <v>2015</v>
      </c>
      <c r="E42" s="3">
        <f>C42*C10</f>
        <v>2616</v>
      </c>
      <c r="F42" t="s">
        <v>65</v>
      </c>
      <c r="G42" t="s">
        <v>66</v>
      </c>
    </row>
    <row r="43" spans="1:7" ht="14.25" customHeight="1" x14ac:dyDescent="0.35">
      <c r="A43" s="297" t="s">
        <v>67</v>
      </c>
      <c r="B43" t="s">
        <v>61</v>
      </c>
      <c r="C43" s="126">
        <f>114.12*17000</f>
        <v>1940040</v>
      </c>
      <c r="D43">
        <v>2013</v>
      </c>
      <c r="E43" s="3">
        <f>C43*C12</f>
        <v>2134044</v>
      </c>
      <c r="F43" t="s">
        <v>68</v>
      </c>
      <c r="G43" t="s">
        <v>69</v>
      </c>
    </row>
    <row r="44" spans="1:7" s="65" customFormat="1" ht="14.25" customHeight="1" x14ac:dyDescent="0.35">
      <c r="C44" s="126"/>
      <c r="E44" s="288"/>
    </row>
    <row r="45" spans="1:7" ht="14.25" customHeight="1" x14ac:dyDescent="0.35">
      <c r="A45" s="28" t="s">
        <v>311</v>
      </c>
      <c r="B45" s="28" t="s">
        <v>312</v>
      </c>
      <c r="C45" s="126"/>
      <c r="D45">
        <v>2019</v>
      </c>
      <c r="E45" s="4">
        <f>AVERAGE('Cost Calculations'!AN43,'Cost Calculations'!AN39:AN41,'Cost Calculations'!AN34:AN37,'Cost Calculations'!AN30:AN32,'Cost Calculations'!AN22:AN28,'Cost Calculations'!AN14:AN19,'Cost Calculations'!AN12,'Cost Calculations'!AN4:AN10)</f>
        <v>0.25221875000000005</v>
      </c>
      <c r="F45" s="28" t="s">
        <v>313</v>
      </c>
    </row>
    <row r="46" spans="1:7" ht="14.25" customHeight="1" x14ac:dyDescent="0.35">
      <c r="C46" s="126"/>
      <c r="E46" s="4"/>
    </row>
    <row r="47" spans="1:7" ht="14.25" customHeight="1" x14ac:dyDescent="0.35">
      <c r="C47" s="126"/>
      <c r="E47" s="4"/>
    </row>
    <row r="48" spans="1:7" ht="14.25" customHeight="1" x14ac:dyDescent="0.35">
      <c r="C48" s="126"/>
      <c r="E48" s="4"/>
    </row>
    <row r="49" spans="3:5" ht="14.25" customHeight="1" x14ac:dyDescent="0.35">
      <c r="C49" s="126"/>
      <c r="E49" s="4"/>
    </row>
    <row r="50" spans="3:5" ht="14.25" customHeight="1" x14ac:dyDescent="0.35">
      <c r="C50" s="126"/>
      <c r="E50" s="4"/>
    </row>
    <row r="51" spans="3:5" ht="14.25" customHeight="1" x14ac:dyDescent="0.35">
      <c r="C51" s="126"/>
      <c r="E51" s="4"/>
    </row>
    <row r="52" spans="3:5" ht="14.25" customHeight="1" x14ac:dyDescent="0.35">
      <c r="C52" s="126"/>
      <c r="E52" s="4"/>
    </row>
    <row r="53" spans="3:5" ht="14.25" customHeight="1" x14ac:dyDescent="0.35">
      <c r="C53" s="126"/>
      <c r="E53" s="4"/>
    </row>
    <row r="54" spans="3:5" ht="14.25" customHeight="1" x14ac:dyDescent="0.35">
      <c r="C54" s="126"/>
      <c r="E54" s="4"/>
    </row>
    <row r="55" spans="3:5" ht="14.25" customHeight="1" x14ac:dyDescent="0.35">
      <c r="C55" s="126"/>
      <c r="E55" s="4"/>
    </row>
    <row r="56" spans="3:5" ht="14.25" customHeight="1" x14ac:dyDescent="0.35">
      <c r="C56" s="126"/>
      <c r="E56" s="4"/>
    </row>
    <row r="57" spans="3:5" ht="14.25" customHeight="1" x14ac:dyDescent="0.35">
      <c r="C57" s="126"/>
      <c r="E57" s="4"/>
    </row>
    <row r="58" spans="3:5" ht="14.25" customHeight="1" x14ac:dyDescent="0.35">
      <c r="C58" s="126"/>
      <c r="E58" s="4"/>
    </row>
    <row r="59" spans="3:5" ht="14.25" customHeight="1" x14ac:dyDescent="0.35">
      <c r="C59" s="126"/>
      <c r="E59" s="4"/>
    </row>
    <row r="60" spans="3:5" ht="14.25" customHeight="1" x14ac:dyDescent="0.35">
      <c r="C60" s="126"/>
      <c r="E60" s="4"/>
    </row>
    <row r="61" spans="3:5" ht="14.25" customHeight="1" x14ac:dyDescent="0.35">
      <c r="C61" s="126"/>
      <c r="E61" s="4"/>
    </row>
    <row r="62" spans="3:5" ht="14.25" customHeight="1" x14ac:dyDescent="0.35">
      <c r="C62" s="126"/>
      <c r="E62" s="4"/>
    </row>
    <row r="63" spans="3:5" ht="14.25" customHeight="1" x14ac:dyDescent="0.35">
      <c r="C63" s="126"/>
      <c r="E63" s="4"/>
    </row>
    <row r="64" spans="3:5" ht="14.25" customHeight="1" x14ac:dyDescent="0.35">
      <c r="C64" s="126"/>
      <c r="E64" s="4"/>
    </row>
    <row r="65" spans="3:5" ht="14.25" customHeight="1" x14ac:dyDescent="0.35">
      <c r="C65" s="126"/>
      <c r="E65" s="4"/>
    </row>
    <row r="66" spans="3:5" ht="14.25" customHeight="1" x14ac:dyDescent="0.35">
      <c r="C66" s="126"/>
      <c r="E66" s="4"/>
    </row>
    <row r="67" spans="3:5" ht="14.25" customHeight="1" x14ac:dyDescent="0.35">
      <c r="C67" s="126"/>
      <c r="E67" s="4"/>
    </row>
    <row r="68" spans="3:5" ht="14.25" customHeight="1" x14ac:dyDescent="0.35">
      <c r="C68" s="126"/>
      <c r="E68" s="4"/>
    </row>
    <row r="69" spans="3:5" ht="14.25" customHeight="1" x14ac:dyDescent="0.35">
      <c r="C69" s="126"/>
      <c r="E69" s="4"/>
    </row>
    <row r="70" spans="3:5" ht="14.25" customHeight="1" x14ac:dyDescent="0.35">
      <c r="C70" s="126"/>
      <c r="E70" s="4"/>
    </row>
    <row r="71" spans="3:5" ht="14.25" customHeight="1" x14ac:dyDescent="0.35">
      <c r="C71" s="126"/>
      <c r="E71" s="4"/>
    </row>
    <row r="72" spans="3:5" ht="14.25" customHeight="1" x14ac:dyDescent="0.35">
      <c r="C72" s="126"/>
      <c r="E72" s="4"/>
    </row>
    <row r="73" spans="3:5" ht="14.25" customHeight="1" x14ac:dyDescent="0.35">
      <c r="C73" s="126"/>
      <c r="E73" s="4"/>
    </row>
    <row r="74" spans="3:5" ht="14.25" customHeight="1" x14ac:dyDescent="0.35">
      <c r="C74" s="126"/>
      <c r="E74" s="4"/>
    </row>
    <row r="75" spans="3:5" ht="14.25" customHeight="1" x14ac:dyDescent="0.35">
      <c r="C75" s="126"/>
      <c r="E75" s="4"/>
    </row>
    <row r="76" spans="3:5" ht="14.25" customHeight="1" x14ac:dyDescent="0.35">
      <c r="C76" s="126"/>
      <c r="E76" s="4"/>
    </row>
    <row r="77" spans="3:5" ht="14.25" customHeight="1" x14ac:dyDescent="0.35">
      <c r="C77" s="126"/>
      <c r="E77" s="4"/>
    </row>
    <row r="78" spans="3:5" ht="14.25" customHeight="1" x14ac:dyDescent="0.35">
      <c r="C78" s="126"/>
      <c r="E78" s="4"/>
    </row>
    <row r="79" spans="3:5" ht="14.25" customHeight="1" x14ac:dyDescent="0.35">
      <c r="C79" s="126"/>
      <c r="E79" s="4"/>
    </row>
    <row r="80" spans="3:5" ht="14.25" customHeight="1" x14ac:dyDescent="0.35">
      <c r="C80" s="126"/>
      <c r="E80" s="4"/>
    </row>
    <row r="81" spans="3:5" ht="14.25" customHeight="1" x14ac:dyDescent="0.35">
      <c r="C81" s="126"/>
      <c r="E81" s="4"/>
    </row>
    <row r="82" spans="3:5" ht="14.25" customHeight="1" x14ac:dyDescent="0.35">
      <c r="C82" s="126"/>
      <c r="E82" s="4"/>
    </row>
    <row r="83" spans="3:5" ht="14.25" customHeight="1" x14ac:dyDescent="0.35">
      <c r="C83" s="126"/>
      <c r="E83" s="4"/>
    </row>
    <row r="84" spans="3:5" ht="14.25" customHeight="1" x14ac:dyDescent="0.35">
      <c r="C84" s="126"/>
      <c r="E84" s="4"/>
    </row>
    <row r="85" spans="3:5" ht="14.25" customHeight="1" x14ac:dyDescent="0.35">
      <c r="C85" s="126"/>
      <c r="E85" s="4"/>
    </row>
    <row r="86" spans="3:5" ht="14.25" customHeight="1" x14ac:dyDescent="0.35">
      <c r="C86" s="126"/>
      <c r="E86" s="4"/>
    </row>
    <row r="87" spans="3:5" ht="14.25" customHeight="1" x14ac:dyDescent="0.35">
      <c r="C87" s="126"/>
      <c r="E87" s="4"/>
    </row>
    <row r="88" spans="3:5" ht="14.25" customHeight="1" x14ac:dyDescent="0.35">
      <c r="C88" s="126"/>
      <c r="E88" s="4"/>
    </row>
    <row r="89" spans="3:5" ht="14.25" customHeight="1" x14ac:dyDescent="0.35">
      <c r="C89" s="126"/>
      <c r="E89" s="4"/>
    </row>
    <row r="90" spans="3:5" ht="14.25" customHeight="1" x14ac:dyDescent="0.35">
      <c r="C90" s="126"/>
      <c r="E90" s="4"/>
    </row>
    <row r="91" spans="3:5" ht="14.25" customHeight="1" x14ac:dyDescent="0.35">
      <c r="C91" s="126"/>
      <c r="E91" s="4"/>
    </row>
    <row r="92" spans="3:5" ht="14.25" customHeight="1" x14ac:dyDescent="0.35">
      <c r="C92" s="126"/>
      <c r="E92" s="4"/>
    </row>
    <row r="93" spans="3:5" ht="14.25" customHeight="1" x14ac:dyDescent="0.35">
      <c r="C93" s="126"/>
      <c r="E93" s="4"/>
    </row>
    <row r="94" spans="3:5" ht="14.25" customHeight="1" x14ac:dyDescent="0.35">
      <c r="C94" s="126"/>
      <c r="E94" s="4"/>
    </row>
    <row r="95" spans="3:5" ht="14.25" customHeight="1" x14ac:dyDescent="0.35">
      <c r="C95" s="126"/>
      <c r="E95" s="4"/>
    </row>
    <row r="96" spans="3:5" ht="14.25" customHeight="1" x14ac:dyDescent="0.35">
      <c r="C96" s="126"/>
      <c r="E96" s="4"/>
    </row>
    <row r="97" spans="3:5" ht="14.25" customHeight="1" x14ac:dyDescent="0.35">
      <c r="C97" s="126"/>
      <c r="E97" s="4"/>
    </row>
    <row r="98" spans="3:5" ht="14.25" customHeight="1" x14ac:dyDescent="0.35">
      <c r="C98" s="126"/>
      <c r="E98" s="4"/>
    </row>
    <row r="99" spans="3:5" ht="14.25" customHeight="1" x14ac:dyDescent="0.35">
      <c r="C99" s="126"/>
      <c r="E99" s="4"/>
    </row>
    <row r="100" spans="3:5" ht="14.25" customHeight="1" x14ac:dyDescent="0.35">
      <c r="C100" s="126"/>
      <c r="E100" s="4"/>
    </row>
    <row r="101" spans="3:5" ht="14.25" customHeight="1" x14ac:dyDescent="0.35">
      <c r="C101" s="126"/>
      <c r="E101" s="4"/>
    </row>
    <row r="102" spans="3:5" ht="14.25" customHeight="1" x14ac:dyDescent="0.35">
      <c r="C102" s="126"/>
      <c r="E102" s="4"/>
    </row>
    <row r="103" spans="3:5" ht="14.25" customHeight="1" x14ac:dyDescent="0.35">
      <c r="C103" s="126"/>
      <c r="E103" s="4"/>
    </row>
    <row r="104" spans="3:5" ht="14.25" customHeight="1" x14ac:dyDescent="0.35">
      <c r="C104" s="126"/>
      <c r="E104" s="4"/>
    </row>
    <row r="105" spans="3:5" ht="14.25" customHeight="1" x14ac:dyDescent="0.35">
      <c r="C105" s="126"/>
      <c r="E105" s="4"/>
    </row>
    <row r="106" spans="3:5" ht="14.25" customHeight="1" x14ac:dyDescent="0.35">
      <c r="C106" s="126"/>
      <c r="E106" s="4"/>
    </row>
    <row r="107" spans="3:5" ht="14.25" customHeight="1" x14ac:dyDescent="0.35">
      <c r="C107" s="126"/>
      <c r="E107" s="4"/>
    </row>
    <row r="108" spans="3:5" ht="14.25" customHeight="1" x14ac:dyDescent="0.35">
      <c r="C108" s="126"/>
      <c r="E108" s="4"/>
    </row>
    <row r="109" spans="3:5" ht="14.25" customHeight="1" x14ac:dyDescent="0.35">
      <c r="C109" s="126"/>
      <c r="E109" s="4"/>
    </row>
    <row r="110" spans="3:5" ht="14.25" customHeight="1" x14ac:dyDescent="0.35">
      <c r="C110" s="126"/>
      <c r="E110" s="4"/>
    </row>
    <row r="111" spans="3:5" ht="14.25" customHeight="1" x14ac:dyDescent="0.35">
      <c r="C111" s="126"/>
      <c r="E111" s="4"/>
    </row>
    <row r="112" spans="3:5" ht="14.25" customHeight="1" x14ac:dyDescent="0.35">
      <c r="C112" s="126"/>
      <c r="E112" s="4"/>
    </row>
    <row r="113" spans="3:5" ht="14.25" customHeight="1" x14ac:dyDescent="0.35">
      <c r="C113" s="126"/>
      <c r="E113" s="4"/>
    </row>
    <row r="114" spans="3:5" ht="14.25" customHeight="1" x14ac:dyDescent="0.35">
      <c r="C114" s="126"/>
      <c r="E114" s="4"/>
    </row>
    <row r="115" spans="3:5" ht="14.25" customHeight="1" x14ac:dyDescent="0.35">
      <c r="C115" s="126"/>
      <c r="E115" s="4"/>
    </row>
    <row r="116" spans="3:5" ht="14.25" customHeight="1" x14ac:dyDescent="0.35">
      <c r="C116" s="126"/>
      <c r="E116" s="4"/>
    </row>
    <row r="117" spans="3:5" ht="14.25" customHeight="1" x14ac:dyDescent="0.35">
      <c r="C117" s="126"/>
      <c r="E117" s="4"/>
    </row>
    <row r="118" spans="3:5" ht="14.25" customHeight="1" x14ac:dyDescent="0.35">
      <c r="C118" s="126"/>
      <c r="E118" s="4"/>
    </row>
    <row r="119" spans="3:5" ht="14.25" customHeight="1" x14ac:dyDescent="0.35">
      <c r="C119" s="126"/>
      <c r="E119" s="4"/>
    </row>
    <row r="120" spans="3:5" ht="14.25" customHeight="1" x14ac:dyDescent="0.35">
      <c r="C120" s="126"/>
      <c r="E120" s="4"/>
    </row>
    <row r="121" spans="3:5" ht="14.25" customHeight="1" x14ac:dyDescent="0.35">
      <c r="C121" s="126"/>
      <c r="E121" s="4"/>
    </row>
    <row r="122" spans="3:5" ht="14.25" customHeight="1" x14ac:dyDescent="0.35">
      <c r="C122" s="126"/>
      <c r="E122" s="4"/>
    </row>
    <row r="123" spans="3:5" ht="14.25" customHeight="1" x14ac:dyDescent="0.35">
      <c r="C123" s="126"/>
      <c r="E123" s="4"/>
    </row>
    <row r="124" spans="3:5" ht="14.25" customHeight="1" x14ac:dyDescent="0.35">
      <c r="C124" s="126"/>
      <c r="E124" s="4"/>
    </row>
    <row r="125" spans="3:5" ht="14.25" customHeight="1" x14ac:dyDescent="0.35">
      <c r="C125" s="126"/>
      <c r="E125" s="4"/>
    </row>
    <row r="126" spans="3:5" ht="14.25" customHeight="1" x14ac:dyDescent="0.35">
      <c r="C126" s="126"/>
      <c r="E126" s="4"/>
    </row>
    <row r="127" spans="3:5" ht="14.25" customHeight="1" x14ac:dyDescent="0.35">
      <c r="C127" s="126"/>
      <c r="E127" s="4"/>
    </row>
    <row r="128" spans="3:5" ht="14.25" customHeight="1" x14ac:dyDescent="0.35">
      <c r="C128" s="126"/>
      <c r="E128" s="4"/>
    </row>
    <row r="129" spans="3:5" ht="14.25" customHeight="1" x14ac:dyDescent="0.35">
      <c r="C129" s="126"/>
      <c r="E129" s="4"/>
    </row>
    <row r="130" spans="3:5" ht="14.25" customHeight="1" x14ac:dyDescent="0.35">
      <c r="C130" s="126"/>
      <c r="E130" s="4"/>
    </row>
    <row r="131" spans="3:5" ht="14.25" customHeight="1" x14ac:dyDescent="0.35">
      <c r="C131" s="126"/>
      <c r="E131" s="4"/>
    </row>
    <row r="132" spans="3:5" ht="14.25" customHeight="1" x14ac:dyDescent="0.35">
      <c r="C132" s="126"/>
      <c r="E132" s="4"/>
    </row>
    <row r="133" spans="3:5" ht="14.25" customHeight="1" x14ac:dyDescent="0.35">
      <c r="C133" s="126"/>
      <c r="E133" s="4"/>
    </row>
    <row r="134" spans="3:5" ht="14.25" customHeight="1" x14ac:dyDescent="0.35">
      <c r="C134" s="126"/>
      <c r="E134" s="4"/>
    </row>
    <row r="135" spans="3:5" ht="14.25" customHeight="1" x14ac:dyDescent="0.35">
      <c r="C135" s="126"/>
      <c r="E135" s="4"/>
    </row>
    <row r="136" spans="3:5" ht="14.25" customHeight="1" x14ac:dyDescent="0.35">
      <c r="C136" s="126"/>
      <c r="E136" s="4"/>
    </row>
    <row r="137" spans="3:5" ht="14.25" customHeight="1" x14ac:dyDescent="0.35">
      <c r="C137" s="126"/>
      <c r="E137" s="4"/>
    </row>
    <row r="138" spans="3:5" ht="14.25" customHeight="1" x14ac:dyDescent="0.35">
      <c r="C138" s="126"/>
      <c r="E138" s="4"/>
    </row>
    <row r="139" spans="3:5" ht="14.25" customHeight="1" x14ac:dyDescent="0.35">
      <c r="C139" s="126"/>
      <c r="E139" s="4"/>
    </row>
    <row r="140" spans="3:5" ht="14.25" customHeight="1" x14ac:dyDescent="0.35">
      <c r="C140" s="126"/>
      <c r="E140" s="4"/>
    </row>
    <row r="141" spans="3:5" ht="14.25" customHeight="1" x14ac:dyDescent="0.35">
      <c r="C141" s="126"/>
      <c r="E141" s="4"/>
    </row>
    <row r="142" spans="3:5" ht="14.25" customHeight="1" x14ac:dyDescent="0.35">
      <c r="C142" s="126"/>
      <c r="E142" s="4"/>
    </row>
    <row r="143" spans="3:5" ht="14.25" customHeight="1" x14ac:dyDescent="0.35">
      <c r="C143" s="126"/>
      <c r="E143" s="4"/>
    </row>
    <row r="144" spans="3:5" ht="14.25" customHeight="1" x14ac:dyDescent="0.35">
      <c r="C144" s="126"/>
      <c r="E144" s="4"/>
    </row>
    <row r="145" spans="3:5" ht="14.25" customHeight="1" x14ac:dyDescent="0.35">
      <c r="C145" s="126"/>
      <c r="E145" s="4"/>
    </row>
    <row r="146" spans="3:5" ht="14.25" customHeight="1" x14ac:dyDescent="0.35">
      <c r="C146" s="126"/>
      <c r="E146" s="4"/>
    </row>
    <row r="147" spans="3:5" ht="14.25" customHeight="1" x14ac:dyDescent="0.35">
      <c r="C147" s="126"/>
      <c r="E147" s="4"/>
    </row>
    <row r="148" spans="3:5" ht="14.25" customHeight="1" x14ac:dyDescent="0.35">
      <c r="C148" s="126"/>
      <c r="E148" s="4"/>
    </row>
    <row r="149" spans="3:5" ht="14.25" customHeight="1" x14ac:dyDescent="0.35">
      <c r="C149" s="126"/>
      <c r="E149" s="4"/>
    </row>
    <row r="150" spans="3:5" ht="14.25" customHeight="1" x14ac:dyDescent="0.35">
      <c r="C150" s="126"/>
      <c r="E150" s="4"/>
    </row>
    <row r="151" spans="3:5" ht="14.25" customHeight="1" x14ac:dyDescent="0.35">
      <c r="C151" s="126"/>
      <c r="E151" s="4"/>
    </row>
    <row r="152" spans="3:5" ht="14.25" customHeight="1" x14ac:dyDescent="0.35">
      <c r="C152" s="126"/>
      <c r="E152" s="4"/>
    </row>
    <row r="153" spans="3:5" ht="14.25" customHeight="1" x14ac:dyDescent="0.35">
      <c r="C153" s="126"/>
      <c r="E153" s="4"/>
    </row>
    <row r="154" spans="3:5" ht="14.25" customHeight="1" x14ac:dyDescent="0.35">
      <c r="C154" s="126"/>
      <c r="E154" s="4"/>
    </row>
    <row r="155" spans="3:5" ht="14.25" customHeight="1" x14ac:dyDescent="0.35">
      <c r="C155" s="126"/>
      <c r="E155" s="4"/>
    </row>
    <row r="156" spans="3:5" ht="14.25" customHeight="1" x14ac:dyDescent="0.35">
      <c r="C156" s="126"/>
      <c r="E156" s="4"/>
    </row>
    <row r="157" spans="3:5" ht="14.25" customHeight="1" x14ac:dyDescent="0.35">
      <c r="C157" s="126"/>
      <c r="E157" s="4"/>
    </row>
    <row r="158" spans="3:5" ht="14.25" customHeight="1" x14ac:dyDescent="0.35">
      <c r="C158" s="126"/>
      <c r="E158" s="4"/>
    </row>
    <row r="159" spans="3:5" ht="14.25" customHeight="1" x14ac:dyDescent="0.35">
      <c r="C159" s="126"/>
      <c r="E159" s="4"/>
    </row>
    <row r="160" spans="3:5" ht="14.25" customHeight="1" x14ac:dyDescent="0.35">
      <c r="C160" s="126"/>
      <c r="E160" s="4"/>
    </row>
    <row r="161" spans="3:5" ht="14.25" customHeight="1" x14ac:dyDescent="0.35">
      <c r="C161" s="126"/>
      <c r="E161" s="4"/>
    </row>
    <row r="162" spans="3:5" ht="14.25" customHeight="1" x14ac:dyDescent="0.35">
      <c r="C162" s="126"/>
      <c r="E162" s="4"/>
    </row>
    <row r="163" spans="3:5" ht="14.25" customHeight="1" x14ac:dyDescent="0.35">
      <c r="C163" s="126"/>
      <c r="E163" s="4"/>
    </row>
    <row r="164" spans="3:5" ht="14.25" customHeight="1" x14ac:dyDescent="0.35">
      <c r="C164" s="126"/>
      <c r="E164" s="4"/>
    </row>
    <row r="165" spans="3:5" ht="14.25" customHeight="1" x14ac:dyDescent="0.35">
      <c r="C165" s="126"/>
      <c r="E165" s="4"/>
    </row>
    <row r="166" spans="3:5" ht="14.25" customHeight="1" x14ac:dyDescent="0.35">
      <c r="C166" s="126"/>
      <c r="E166" s="4"/>
    </row>
    <row r="167" spans="3:5" ht="14.25" customHeight="1" x14ac:dyDescent="0.35">
      <c r="C167" s="126"/>
      <c r="E167" s="4"/>
    </row>
    <row r="168" spans="3:5" ht="14.25" customHeight="1" x14ac:dyDescent="0.35">
      <c r="C168" s="126"/>
      <c r="E168" s="4"/>
    </row>
    <row r="169" spans="3:5" ht="14.25" customHeight="1" x14ac:dyDescent="0.35">
      <c r="C169" s="126"/>
      <c r="E169" s="4"/>
    </row>
    <row r="170" spans="3:5" ht="14.25" customHeight="1" x14ac:dyDescent="0.35">
      <c r="C170" s="126"/>
      <c r="E170" s="4"/>
    </row>
    <row r="171" spans="3:5" ht="14.25" customHeight="1" x14ac:dyDescent="0.35">
      <c r="C171" s="126"/>
      <c r="E171" s="4"/>
    </row>
    <row r="172" spans="3:5" ht="14.25" customHeight="1" x14ac:dyDescent="0.35">
      <c r="C172" s="126"/>
      <c r="E172" s="4"/>
    </row>
    <row r="173" spans="3:5" ht="14.25" customHeight="1" x14ac:dyDescent="0.35">
      <c r="C173" s="126"/>
      <c r="E173" s="4"/>
    </row>
    <row r="174" spans="3:5" ht="14.25" customHeight="1" x14ac:dyDescent="0.35">
      <c r="C174" s="126"/>
      <c r="E174" s="4"/>
    </row>
    <row r="175" spans="3:5" ht="14.25" customHeight="1" x14ac:dyDescent="0.35">
      <c r="C175" s="126"/>
      <c r="E175" s="4"/>
    </row>
    <row r="176" spans="3:5" ht="14.25" customHeight="1" x14ac:dyDescent="0.35">
      <c r="C176" s="126"/>
      <c r="E176" s="4"/>
    </row>
    <row r="177" spans="3:5" ht="14.25" customHeight="1" x14ac:dyDescent="0.35">
      <c r="C177" s="126"/>
      <c r="E177" s="4"/>
    </row>
    <row r="178" spans="3:5" ht="14.25" customHeight="1" x14ac:dyDescent="0.35">
      <c r="C178" s="126"/>
      <c r="E178" s="4"/>
    </row>
    <row r="179" spans="3:5" ht="14.25" customHeight="1" x14ac:dyDescent="0.35">
      <c r="C179" s="126"/>
      <c r="E179" s="4"/>
    </row>
    <row r="180" spans="3:5" ht="14.25" customHeight="1" x14ac:dyDescent="0.35">
      <c r="C180" s="126"/>
      <c r="E180" s="4"/>
    </row>
    <row r="181" spans="3:5" ht="14.25" customHeight="1" x14ac:dyDescent="0.35">
      <c r="C181" s="126"/>
      <c r="E181" s="4"/>
    </row>
    <row r="182" spans="3:5" ht="14.25" customHeight="1" x14ac:dyDescent="0.35">
      <c r="C182" s="126"/>
      <c r="E182" s="4"/>
    </row>
    <row r="183" spans="3:5" ht="14.25" customHeight="1" x14ac:dyDescent="0.35">
      <c r="C183" s="126"/>
      <c r="E183" s="4"/>
    </row>
    <row r="184" spans="3:5" ht="14.25" customHeight="1" x14ac:dyDescent="0.35">
      <c r="C184" s="126"/>
      <c r="E184" s="4"/>
    </row>
    <row r="185" spans="3:5" ht="14.25" customHeight="1" x14ac:dyDescent="0.35">
      <c r="C185" s="126"/>
      <c r="E185" s="4"/>
    </row>
    <row r="186" spans="3:5" ht="14.25" customHeight="1" x14ac:dyDescent="0.35">
      <c r="C186" s="126"/>
      <c r="E186" s="4"/>
    </row>
    <row r="187" spans="3:5" ht="14.25" customHeight="1" x14ac:dyDescent="0.35">
      <c r="C187" s="126"/>
      <c r="E187" s="4"/>
    </row>
    <row r="188" spans="3:5" ht="14.25" customHeight="1" x14ac:dyDescent="0.35">
      <c r="C188" s="126"/>
      <c r="E188" s="4"/>
    </row>
    <row r="189" spans="3:5" ht="14.25" customHeight="1" x14ac:dyDescent="0.35">
      <c r="C189" s="126"/>
      <c r="E189" s="4"/>
    </row>
    <row r="190" spans="3:5" ht="14.25" customHeight="1" x14ac:dyDescent="0.35">
      <c r="C190" s="126"/>
      <c r="E190" s="4"/>
    </row>
    <row r="191" spans="3:5" ht="14.25" customHeight="1" x14ac:dyDescent="0.35">
      <c r="C191" s="126"/>
      <c r="E191" s="4"/>
    </row>
    <row r="192" spans="3:5" ht="14.25" customHeight="1" x14ac:dyDescent="0.35">
      <c r="C192" s="126"/>
      <c r="E192" s="4"/>
    </row>
    <row r="193" spans="3:5" ht="14.25" customHeight="1" x14ac:dyDescent="0.35">
      <c r="C193" s="126"/>
      <c r="E193" s="4"/>
    </row>
    <row r="194" spans="3:5" ht="14.25" customHeight="1" x14ac:dyDescent="0.35">
      <c r="C194" s="126"/>
      <c r="E194" s="4"/>
    </row>
    <row r="195" spans="3:5" ht="14.25" customHeight="1" x14ac:dyDescent="0.35">
      <c r="C195" s="126"/>
      <c r="E195" s="4"/>
    </row>
    <row r="196" spans="3:5" ht="14.25" customHeight="1" x14ac:dyDescent="0.35">
      <c r="C196" s="126"/>
      <c r="E196" s="4"/>
    </row>
    <row r="197" spans="3:5" ht="14.25" customHeight="1" x14ac:dyDescent="0.35">
      <c r="C197" s="126"/>
      <c r="E197" s="4"/>
    </row>
    <row r="198" spans="3:5" ht="14.25" customHeight="1" x14ac:dyDescent="0.35">
      <c r="C198" s="126"/>
      <c r="E198" s="4"/>
    </row>
    <row r="199" spans="3:5" ht="14.25" customHeight="1" x14ac:dyDescent="0.35">
      <c r="C199" s="126"/>
      <c r="E199" s="4"/>
    </row>
    <row r="200" spans="3:5" ht="14.25" customHeight="1" x14ac:dyDescent="0.35">
      <c r="C200" s="126"/>
      <c r="E200" s="4"/>
    </row>
    <row r="201" spans="3:5" ht="14.25" customHeight="1" x14ac:dyDescent="0.35">
      <c r="C201" s="126"/>
      <c r="E201" s="4"/>
    </row>
    <row r="202" spans="3:5" ht="14.25" customHeight="1" x14ac:dyDescent="0.35">
      <c r="C202" s="126"/>
      <c r="E202" s="4"/>
    </row>
    <row r="203" spans="3:5" ht="14.25" customHeight="1" x14ac:dyDescent="0.35">
      <c r="C203" s="126"/>
      <c r="E203" s="4"/>
    </row>
    <row r="204" spans="3:5" ht="14.25" customHeight="1" x14ac:dyDescent="0.35">
      <c r="C204" s="126"/>
      <c r="E204" s="4"/>
    </row>
    <row r="205" spans="3:5" ht="14.25" customHeight="1" x14ac:dyDescent="0.35">
      <c r="C205" s="126"/>
      <c r="E205" s="4"/>
    </row>
    <row r="206" spans="3:5" ht="14.25" customHeight="1" x14ac:dyDescent="0.35">
      <c r="C206" s="126"/>
      <c r="E206" s="4"/>
    </row>
    <row r="207" spans="3:5" ht="14.25" customHeight="1" x14ac:dyDescent="0.35">
      <c r="C207" s="126"/>
      <c r="E207" s="4"/>
    </row>
    <row r="208" spans="3:5" ht="14.25" customHeight="1" x14ac:dyDescent="0.35">
      <c r="C208" s="126"/>
      <c r="E208" s="4"/>
    </row>
    <row r="209" spans="3:5" ht="14.25" customHeight="1" x14ac:dyDescent="0.35">
      <c r="C209" s="126"/>
      <c r="E209" s="4"/>
    </row>
    <row r="210" spans="3:5" ht="14.25" customHeight="1" x14ac:dyDescent="0.35">
      <c r="C210" s="126"/>
      <c r="E210" s="4"/>
    </row>
    <row r="211" spans="3:5" ht="14.25" customHeight="1" x14ac:dyDescent="0.35">
      <c r="C211" s="126"/>
      <c r="E211" s="4"/>
    </row>
    <row r="212" spans="3:5" ht="14.25" customHeight="1" x14ac:dyDescent="0.35">
      <c r="C212" s="126"/>
      <c r="E212" s="4"/>
    </row>
    <row r="213" spans="3:5" ht="14.25" customHeight="1" x14ac:dyDescent="0.35">
      <c r="C213" s="126"/>
      <c r="E213" s="4"/>
    </row>
    <row r="214" spans="3:5" ht="14.25" customHeight="1" x14ac:dyDescent="0.35">
      <c r="C214" s="126"/>
      <c r="E214" s="4"/>
    </row>
    <row r="215" spans="3:5" ht="14.25" customHeight="1" x14ac:dyDescent="0.35">
      <c r="C215" s="126"/>
      <c r="E215" s="4"/>
    </row>
    <row r="216" spans="3:5" ht="14.25" customHeight="1" x14ac:dyDescent="0.35">
      <c r="C216" s="126"/>
      <c r="E216" s="4"/>
    </row>
    <row r="217" spans="3:5" ht="14.25" customHeight="1" x14ac:dyDescent="0.35">
      <c r="C217" s="126"/>
      <c r="E217" s="4"/>
    </row>
    <row r="218" spans="3:5" ht="14.25" customHeight="1" x14ac:dyDescent="0.35">
      <c r="C218" s="126"/>
      <c r="E218" s="4"/>
    </row>
    <row r="219" spans="3:5" ht="14.25" customHeight="1" x14ac:dyDescent="0.35">
      <c r="C219" s="126"/>
      <c r="E219" s="4"/>
    </row>
    <row r="220" spans="3:5" ht="14.25" customHeight="1" x14ac:dyDescent="0.35">
      <c r="C220" s="126"/>
      <c r="E220" s="4"/>
    </row>
    <row r="221" spans="3:5" ht="14.25" customHeight="1" x14ac:dyDescent="0.35">
      <c r="C221" s="126"/>
      <c r="E221" s="4"/>
    </row>
    <row r="222" spans="3:5" ht="14.25" customHeight="1" x14ac:dyDescent="0.35">
      <c r="C222" s="126"/>
      <c r="E222" s="4"/>
    </row>
    <row r="223" spans="3:5" ht="14.25" customHeight="1" x14ac:dyDescent="0.35">
      <c r="C223" s="126"/>
      <c r="E223" s="4"/>
    </row>
    <row r="224" spans="3:5" ht="14.25" customHeight="1" x14ac:dyDescent="0.35">
      <c r="C224" s="126"/>
      <c r="E224" s="4"/>
    </row>
    <row r="225" spans="3:5" ht="14.25" customHeight="1" x14ac:dyDescent="0.35">
      <c r="C225" s="126"/>
      <c r="E225" s="4"/>
    </row>
    <row r="226" spans="3:5" ht="14.25" customHeight="1" x14ac:dyDescent="0.35">
      <c r="C226" s="126"/>
      <c r="E226" s="4"/>
    </row>
    <row r="227" spans="3:5" ht="14.25" customHeight="1" x14ac:dyDescent="0.35">
      <c r="C227" s="126"/>
      <c r="E227" s="4"/>
    </row>
    <row r="228" spans="3:5" ht="14.25" customHeight="1" x14ac:dyDescent="0.35">
      <c r="C228" s="126"/>
      <c r="E228" s="4"/>
    </row>
    <row r="229" spans="3:5" ht="14.25" customHeight="1" x14ac:dyDescent="0.35">
      <c r="C229" s="126"/>
      <c r="E229" s="4"/>
    </row>
    <row r="230" spans="3:5" ht="14.25" customHeight="1" x14ac:dyDescent="0.35">
      <c r="C230" s="126"/>
      <c r="E230" s="4"/>
    </row>
    <row r="231" spans="3:5" ht="14.25" customHeight="1" x14ac:dyDescent="0.35">
      <c r="C231" s="126"/>
      <c r="E231" s="4"/>
    </row>
    <row r="232" spans="3:5" ht="14.25" customHeight="1" x14ac:dyDescent="0.35">
      <c r="C232" s="126"/>
      <c r="E232" s="4"/>
    </row>
    <row r="233" spans="3:5" ht="14.25" customHeight="1" x14ac:dyDescent="0.35">
      <c r="C233" s="126"/>
      <c r="E233" s="4"/>
    </row>
    <row r="234" spans="3:5" ht="14.25" customHeight="1" x14ac:dyDescent="0.35">
      <c r="C234" s="126"/>
      <c r="E234" s="4"/>
    </row>
    <row r="235" spans="3:5" ht="14.25" customHeight="1" x14ac:dyDescent="0.35">
      <c r="C235" s="126"/>
      <c r="E235" s="4"/>
    </row>
    <row r="236" spans="3:5" ht="14.25" customHeight="1" x14ac:dyDescent="0.35">
      <c r="C236" s="126"/>
      <c r="E236" s="4"/>
    </row>
    <row r="237" spans="3:5" ht="14.25" customHeight="1" x14ac:dyDescent="0.35">
      <c r="C237" s="126"/>
      <c r="E237" s="4"/>
    </row>
    <row r="238" spans="3:5" ht="14.25" customHeight="1" x14ac:dyDescent="0.35">
      <c r="C238" s="126"/>
      <c r="E238" s="4"/>
    </row>
    <row r="239" spans="3:5" ht="14.25" customHeight="1" x14ac:dyDescent="0.35">
      <c r="C239" s="126"/>
      <c r="E239" s="4"/>
    </row>
    <row r="240" spans="3:5" ht="14.25" customHeight="1" x14ac:dyDescent="0.35">
      <c r="C240" s="126"/>
      <c r="E240" s="4"/>
    </row>
    <row r="241" spans="3:5" ht="14.25" customHeight="1" x14ac:dyDescent="0.35">
      <c r="C241" s="126"/>
      <c r="E241" s="4"/>
    </row>
    <row r="242" spans="3:5" ht="14.25" customHeight="1" x14ac:dyDescent="0.35">
      <c r="C242" s="126"/>
      <c r="E242" s="4"/>
    </row>
    <row r="243" spans="3:5" ht="14.25" customHeight="1" x14ac:dyDescent="0.35">
      <c r="C243" s="126"/>
      <c r="E243" s="4"/>
    </row>
    <row r="244" spans="3:5" ht="14.25" customHeight="1" x14ac:dyDescent="0.35">
      <c r="C244" s="126"/>
      <c r="E244" s="4"/>
    </row>
    <row r="245" spans="3:5" ht="14.25" customHeight="1" x14ac:dyDescent="0.35">
      <c r="C245" s="126"/>
      <c r="E245" s="4"/>
    </row>
    <row r="246" spans="3:5" ht="14.25" customHeight="1" x14ac:dyDescent="0.35">
      <c r="C246" s="126"/>
      <c r="E246" s="4"/>
    </row>
    <row r="247" spans="3:5" ht="14.25" customHeight="1" x14ac:dyDescent="0.35">
      <c r="C247" s="126"/>
      <c r="E247" s="4"/>
    </row>
    <row r="248" spans="3:5" ht="14.25" customHeight="1" x14ac:dyDescent="0.35">
      <c r="C248" s="126"/>
      <c r="E248" s="4"/>
    </row>
    <row r="249" spans="3:5" ht="14.25" customHeight="1" x14ac:dyDescent="0.35">
      <c r="C249" s="126"/>
      <c r="E249" s="4"/>
    </row>
    <row r="250" spans="3:5" ht="14.25" customHeight="1" x14ac:dyDescent="0.35">
      <c r="C250" s="126"/>
      <c r="E250" s="4"/>
    </row>
    <row r="251" spans="3:5" ht="14.25" customHeight="1" x14ac:dyDescent="0.35">
      <c r="C251" s="126"/>
      <c r="E251" s="4"/>
    </row>
    <row r="252" spans="3:5" ht="14.25" customHeight="1" x14ac:dyDescent="0.35">
      <c r="C252" s="126"/>
      <c r="E252" s="4"/>
    </row>
    <row r="253" spans="3:5" ht="14.25" customHeight="1" x14ac:dyDescent="0.35">
      <c r="C253" s="126"/>
      <c r="E253" s="4"/>
    </row>
    <row r="254" spans="3:5" ht="14.25" customHeight="1" x14ac:dyDescent="0.35">
      <c r="C254" s="126"/>
      <c r="E254" s="4"/>
    </row>
    <row r="255" spans="3:5" ht="14.25" customHeight="1" x14ac:dyDescent="0.35">
      <c r="C255" s="126"/>
      <c r="E255" s="4"/>
    </row>
    <row r="256" spans="3:5" ht="14.25" customHeight="1" x14ac:dyDescent="0.35">
      <c r="C256" s="126"/>
      <c r="E256" s="4"/>
    </row>
    <row r="257" spans="3:5" ht="14.25" customHeight="1" x14ac:dyDescent="0.35">
      <c r="C257" s="126"/>
      <c r="E257" s="4"/>
    </row>
    <row r="258" spans="3:5" ht="14.25" customHeight="1" x14ac:dyDescent="0.35">
      <c r="C258" s="126"/>
      <c r="E258" s="4"/>
    </row>
    <row r="259" spans="3:5" ht="14.25" customHeight="1" x14ac:dyDescent="0.35">
      <c r="C259" s="126"/>
      <c r="E259" s="4"/>
    </row>
    <row r="260" spans="3:5" ht="14.25" customHeight="1" x14ac:dyDescent="0.35">
      <c r="C260" s="126"/>
      <c r="E260" s="4"/>
    </row>
    <row r="261" spans="3:5" ht="14.25" customHeight="1" x14ac:dyDescent="0.35">
      <c r="C261" s="126"/>
      <c r="E261" s="4"/>
    </row>
    <row r="262" spans="3:5" ht="14.25" customHeight="1" x14ac:dyDescent="0.35">
      <c r="C262" s="126"/>
      <c r="E262" s="4"/>
    </row>
    <row r="263" spans="3:5" ht="14.25" customHeight="1" x14ac:dyDescent="0.35">
      <c r="C263" s="126"/>
      <c r="E263" s="4"/>
    </row>
    <row r="264" spans="3:5" ht="14.25" customHeight="1" x14ac:dyDescent="0.35">
      <c r="C264" s="126"/>
      <c r="E264" s="4"/>
    </row>
    <row r="265" spans="3:5" ht="14.25" customHeight="1" x14ac:dyDescent="0.35">
      <c r="C265" s="126"/>
      <c r="E265" s="4"/>
    </row>
    <row r="266" spans="3:5" ht="14.25" customHeight="1" x14ac:dyDescent="0.35">
      <c r="C266" s="126"/>
      <c r="E266" s="4"/>
    </row>
    <row r="267" spans="3:5" ht="14.25" customHeight="1" x14ac:dyDescent="0.35">
      <c r="C267" s="126"/>
      <c r="E267" s="4"/>
    </row>
    <row r="268" spans="3:5" ht="14.25" customHeight="1" x14ac:dyDescent="0.35">
      <c r="C268" s="126"/>
      <c r="E268" s="4"/>
    </row>
    <row r="269" spans="3:5" ht="14.25" customHeight="1" x14ac:dyDescent="0.35">
      <c r="C269" s="126"/>
      <c r="E269" s="4"/>
    </row>
    <row r="270" spans="3:5" ht="14.25" customHeight="1" x14ac:dyDescent="0.35">
      <c r="C270" s="126"/>
      <c r="E270" s="4"/>
    </row>
    <row r="271" spans="3:5" ht="14.25" customHeight="1" x14ac:dyDescent="0.35">
      <c r="C271" s="126"/>
      <c r="E271" s="4"/>
    </row>
    <row r="272" spans="3:5" ht="14.25" customHeight="1" x14ac:dyDescent="0.35">
      <c r="C272" s="126"/>
      <c r="E272" s="4"/>
    </row>
    <row r="273" spans="3:5" ht="14.25" customHeight="1" x14ac:dyDescent="0.35">
      <c r="C273" s="126"/>
      <c r="E273" s="4"/>
    </row>
    <row r="274" spans="3:5" ht="14.25" customHeight="1" x14ac:dyDescent="0.35">
      <c r="C274" s="126"/>
      <c r="E274" s="4"/>
    </row>
    <row r="275" spans="3:5" ht="14.25" customHeight="1" x14ac:dyDescent="0.35">
      <c r="C275" s="126"/>
      <c r="E275" s="4"/>
    </row>
    <row r="276" spans="3:5" ht="14.25" customHeight="1" x14ac:dyDescent="0.35">
      <c r="C276" s="126"/>
      <c r="E276" s="4"/>
    </row>
    <row r="277" spans="3:5" ht="14.25" customHeight="1" x14ac:dyDescent="0.35">
      <c r="C277" s="126"/>
      <c r="E277" s="4"/>
    </row>
    <row r="278" spans="3:5" ht="14.25" customHeight="1" x14ac:dyDescent="0.35">
      <c r="C278" s="126"/>
      <c r="E278" s="4"/>
    </row>
    <row r="279" spans="3:5" ht="14.25" customHeight="1" x14ac:dyDescent="0.35">
      <c r="C279" s="126"/>
      <c r="E279" s="4"/>
    </row>
    <row r="280" spans="3:5" ht="14.25" customHeight="1" x14ac:dyDescent="0.35">
      <c r="C280" s="126"/>
      <c r="E280" s="4"/>
    </row>
    <row r="281" spans="3:5" ht="14.25" customHeight="1" x14ac:dyDescent="0.35">
      <c r="C281" s="126"/>
      <c r="E281" s="4"/>
    </row>
    <row r="282" spans="3:5" ht="14.25" customHeight="1" x14ac:dyDescent="0.35">
      <c r="C282" s="126"/>
      <c r="E282" s="4"/>
    </row>
    <row r="283" spans="3:5" ht="14.25" customHeight="1" x14ac:dyDescent="0.35">
      <c r="C283" s="126"/>
      <c r="E283" s="4"/>
    </row>
    <row r="284" spans="3:5" ht="14.25" customHeight="1" x14ac:dyDescent="0.35">
      <c r="C284" s="126"/>
      <c r="E284" s="4"/>
    </row>
    <row r="285" spans="3:5" ht="14.25" customHeight="1" x14ac:dyDescent="0.35">
      <c r="C285" s="126"/>
      <c r="E285" s="4"/>
    </row>
    <row r="286" spans="3:5" ht="14.25" customHeight="1" x14ac:dyDescent="0.35">
      <c r="C286" s="126"/>
      <c r="E286" s="4"/>
    </row>
    <row r="287" spans="3:5" ht="14.25" customHeight="1" x14ac:dyDescent="0.35">
      <c r="C287" s="126"/>
      <c r="E287" s="4"/>
    </row>
    <row r="288" spans="3:5" ht="14.25" customHeight="1" x14ac:dyDescent="0.35">
      <c r="C288" s="126"/>
      <c r="E288" s="4"/>
    </row>
    <row r="289" spans="3:5" ht="14.25" customHeight="1" x14ac:dyDescent="0.35">
      <c r="C289" s="126"/>
      <c r="E289" s="4"/>
    </row>
    <row r="290" spans="3:5" ht="14.25" customHeight="1" x14ac:dyDescent="0.35">
      <c r="C290" s="126"/>
      <c r="E290" s="4"/>
    </row>
    <row r="291" spans="3:5" ht="14.25" customHeight="1" x14ac:dyDescent="0.35">
      <c r="C291" s="126"/>
      <c r="E291" s="4"/>
    </row>
    <row r="292" spans="3:5" ht="14.25" customHeight="1" x14ac:dyDescent="0.35">
      <c r="C292" s="126"/>
      <c r="E292" s="4"/>
    </row>
    <row r="293" spans="3:5" ht="14.25" customHeight="1" x14ac:dyDescent="0.35">
      <c r="C293" s="126"/>
      <c r="E293" s="4"/>
    </row>
    <row r="294" spans="3:5" ht="14.25" customHeight="1" x14ac:dyDescent="0.35">
      <c r="C294" s="126"/>
      <c r="E294" s="4"/>
    </row>
    <row r="295" spans="3:5" ht="14.25" customHeight="1" x14ac:dyDescent="0.35">
      <c r="C295" s="126"/>
      <c r="E295" s="4"/>
    </row>
    <row r="296" spans="3:5" ht="14.25" customHeight="1" x14ac:dyDescent="0.35">
      <c r="C296" s="126"/>
      <c r="E296" s="4"/>
    </row>
    <row r="297" spans="3:5" ht="14.25" customHeight="1" x14ac:dyDescent="0.35">
      <c r="C297" s="126"/>
      <c r="E297" s="4"/>
    </row>
    <row r="298" spans="3:5" ht="14.25" customHeight="1" x14ac:dyDescent="0.35">
      <c r="C298" s="126"/>
      <c r="E298" s="4"/>
    </row>
    <row r="299" spans="3:5" ht="14.25" customHeight="1" x14ac:dyDescent="0.35">
      <c r="C299" s="126"/>
      <c r="E299" s="4"/>
    </row>
    <row r="300" spans="3:5" ht="14.25" customHeight="1" x14ac:dyDescent="0.35">
      <c r="C300" s="126"/>
      <c r="E300" s="4"/>
    </row>
    <row r="301" spans="3:5" ht="14.25" customHeight="1" x14ac:dyDescent="0.35">
      <c r="C301" s="126"/>
      <c r="E301" s="4"/>
    </row>
    <row r="302" spans="3:5" ht="14.25" customHeight="1" x14ac:dyDescent="0.35">
      <c r="C302" s="126"/>
      <c r="E302" s="4"/>
    </row>
    <row r="303" spans="3:5" ht="14.25" customHeight="1" x14ac:dyDescent="0.35">
      <c r="C303" s="126"/>
      <c r="E303" s="4"/>
    </row>
    <row r="304" spans="3:5" ht="14.25" customHeight="1" x14ac:dyDescent="0.35">
      <c r="C304" s="126"/>
      <c r="E304" s="4"/>
    </row>
    <row r="305" spans="3:5" ht="14.25" customHeight="1" x14ac:dyDescent="0.35">
      <c r="C305" s="126"/>
      <c r="E305" s="4"/>
    </row>
    <row r="306" spans="3:5" ht="14.25" customHeight="1" x14ac:dyDescent="0.35">
      <c r="C306" s="126"/>
      <c r="E306" s="4"/>
    </row>
    <row r="307" spans="3:5" ht="14.25" customHeight="1" x14ac:dyDescent="0.35">
      <c r="C307" s="126"/>
      <c r="E307" s="4"/>
    </row>
    <row r="308" spans="3:5" ht="14.25" customHeight="1" x14ac:dyDescent="0.35">
      <c r="C308" s="126"/>
      <c r="E308" s="4"/>
    </row>
    <row r="309" spans="3:5" ht="14.25" customHeight="1" x14ac:dyDescent="0.35">
      <c r="C309" s="126"/>
      <c r="E309" s="4"/>
    </row>
    <row r="310" spans="3:5" ht="14.25" customHeight="1" x14ac:dyDescent="0.35">
      <c r="C310" s="126"/>
      <c r="E310" s="4"/>
    </row>
    <row r="311" spans="3:5" ht="14.25" customHeight="1" x14ac:dyDescent="0.35">
      <c r="C311" s="126"/>
      <c r="E311" s="4"/>
    </row>
    <row r="312" spans="3:5" ht="14.25" customHeight="1" x14ac:dyDescent="0.35">
      <c r="C312" s="126"/>
      <c r="E312" s="4"/>
    </row>
    <row r="313" spans="3:5" ht="14.25" customHeight="1" x14ac:dyDescent="0.35">
      <c r="C313" s="126"/>
      <c r="E313" s="4"/>
    </row>
    <row r="314" spans="3:5" ht="14.25" customHeight="1" x14ac:dyDescent="0.35">
      <c r="C314" s="126"/>
      <c r="E314" s="4"/>
    </row>
    <row r="315" spans="3:5" ht="14.25" customHeight="1" x14ac:dyDescent="0.35">
      <c r="C315" s="126"/>
      <c r="E315" s="4"/>
    </row>
    <row r="316" spans="3:5" ht="14.25" customHeight="1" x14ac:dyDescent="0.35">
      <c r="C316" s="126"/>
      <c r="E316" s="4"/>
    </row>
    <row r="317" spans="3:5" ht="14.25" customHeight="1" x14ac:dyDescent="0.35">
      <c r="C317" s="126"/>
      <c r="E317" s="4"/>
    </row>
    <row r="318" spans="3:5" ht="14.25" customHeight="1" x14ac:dyDescent="0.35">
      <c r="C318" s="126"/>
      <c r="E318" s="4"/>
    </row>
    <row r="319" spans="3:5" ht="14.25" customHeight="1" x14ac:dyDescent="0.35">
      <c r="C319" s="126"/>
      <c r="E319" s="4"/>
    </row>
    <row r="320" spans="3:5" ht="14.25" customHeight="1" x14ac:dyDescent="0.35">
      <c r="C320" s="126"/>
      <c r="E320" s="4"/>
    </row>
    <row r="321" spans="3:5" ht="14.25" customHeight="1" x14ac:dyDescent="0.35">
      <c r="C321" s="126"/>
      <c r="E321" s="4"/>
    </row>
    <row r="322" spans="3:5" ht="14.25" customHeight="1" x14ac:dyDescent="0.35">
      <c r="C322" s="126"/>
      <c r="E322" s="4"/>
    </row>
    <row r="323" spans="3:5" ht="14.25" customHeight="1" x14ac:dyDescent="0.35">
      <c r="C323" s="126"/>
      <c r="E323" s="4"/>
    </row>
    <row r="324" spans="3:5" ht="14.25" customHeight="1" x14ac:dyDescent="0.35">
      <c r="C324" s="126"/>
      <c r="E324" s="4"/>
    </row>
    <row r="325" spans="3:5" ht="14.25" customHeight="1" x14ac:dyDescent="0.35">
      <c r="C325" s="126"/>
      <c r="E325" s="4"/>
    </row>
    <row r="326" spans="3:5" ht="14.25" customHeight="1" x14ac:dyDescent="0.35">
      <c r="C326" s="126"/>
      <c r="E326" s="4"/>
    </row>
    <row r="327" spans="3:5" ht="14.25" customHeight="1" x14ac:dyDescent="0.35">
      <c r="C327" s="126"/>
      <c r="E327" s="4"/>
    </row>
    <row r="328" spans="3:5" ht="14.25" customHeight="1" x14ac:dyDescent="0.35">
      <c r="C328" s="126"/>
      <c r="E328" s="4"/>
    </row>
    <row r="329" spans="3:5" ht="14.25" customHeight="1" x14ac:dyDescent="0.35">
      <c r="C329" s="126"/>
      <c r="E329" s="4"/>
    </row>
    <row r="330" spans="3:5" ht="14.25" customHeight="1" x14ac:dyDescent="0.35">
      <c r="C330" s="126"/>
      <c r="E330" s="4"/>
    </row>
    <row r="331" spans="3:5" ht="14.25" customHeight="1" x14ac:dyDescent="0.35">
      <c r="C331" s="126"/>
      <c r="E331" s="4"/>
    </row>
    <row r="332" spans="3:5" ht="14.25" customHeight="1" x14ac:dyDescent="0.35">
      <c r="C332" s="126"/>
      <c r="E332" s="4"/>
    </row>
    <row r="333" spans="3:5" ht="14.25" customHeight="1" x14ac:dyDescent="0.35">
      <c r="C333" s="126"/>
      <c r="E333" s="4"/>
    </row>
    <row r="334" spans="3:5" ht="14.25" customHeight="1" x14ac:dyDescent="0.35">
      <c r="C334" s="126"/>
      <c r="E334" s="4"/>
    </row>
    <row r="335" spans="3:5" ht="14.25" customHeight="1" x14ac:dyDescent="0.35">
      <c r="C335" s="126"/>
      <c r="E335" s="4"/>
    </row>
    <row r="336" spans="3:5" ht="14.25" customHeight="1" x14ac:dyDescent="0.35">
      <c r="C336" s="126"/>
      <c r="E336" s="4"/>
    </row>
    <row r="337" spans="3:5" ht="14.25" customHeight="1" x14ac:dyDescent="0.35">
      <c r="C337" s="126"/>
      <c r="E337" s="4"/>
    </row>
    <row r="338" spans="3:5" ht="14.25" customHeight="1" x14ac:dyDescent="0.35">
      <c r="C338" s="126"/>
      <c r="E338" s="4"/>
    </row>
    <row r="339" spans="3:5" ht="14.25" customHeight="1" x14ac:dyDescent="0.35">
      <c r="C339" s="126"/>
      <c r="E339" s="4"/>
    </row>
    <row r="340" spans="3:5" ht="14.25" customHeight="1" x14ac:dyDescent="0.35">
      <c r="C340" s="126"/>
      <c r="E340" s="4"/>
    </row>
    <row r="341" spans="3:5" ht="14.25" customHeight="1" x14ac:dyDescent="0.35">
      <c r="C341" s="126"/>
      <c r="E341" s="4"/>
    </row>
    <row r="342" spans="3:5" ht="14.25" customHeight="1" x14ac:dyDescent="0.35">
      <c r="C342" s="126"/>
      <c r="E342" s="4"/>
    </row>
    <row r="343" spans="3:5" ht="14.25" customHeight="1" x14ac:dyDescent="0.35">
      <c r="C343" s="126"/>
      <c r="E343" s="4"/>
    </row>
    <row r="344" spans="3:5" ht="14.25" customHeight="1" x14ac:dyDescent="0.35">
      <c r="C344" s="126"/>
      <c r="E344" s="4"/>
    </row>
    <row r="345" spans="3:5" ht="14.25" customHeight="1" x14ac:dyDescent="0.35">
      <c r="C345" s="126"/>
      <c r="E345" s="4"/>
    </row>
    <row r="346" spans="3:5" ht="14.25" customHeight="1" x14ac:dyDescent="0.35">
      <c r="C346" s="126"/>
      <c r="E346" s="4"/>
    </row>
    <row r="347" spans="3:5" ht="14.25" customHeight="1" x14ac:dyDescent="0.35">
      <c r="C347" s="126"/>
      <c r="E347" s="4"/>
    </row>
    <row r="348" spans="3:5" ht="14.25" customHeight="1" x14ac:dyDescent="0.35">
      <c r="C348" s="126"/>
      <c r="E348" s="4"/>
    </row>
    <row r="349" spans="3:5" ht="14.25" customHeight="1" x14ac:dyDescent="0.35">
      <c r="C349" s="126"/>
      <c r="E349" s="4"/>
    </row>
    <row r="350" spans="3:5" ht="14.25" customHeight="1" x14ac:dyDescent="0.35">
      <c r="C350" s="126"/>
      <c r="E350" s="4"/>
    </row>
    <row r="351" spans="3:5" ht="14.25" customHeight="1" x14ac:dyDescent="0.35">
      <c r="C351" s="126"/>
      <c r="E351" s="4"/>
    </row>
    <row r="352" spans="3:5" ht="14.25" customHeight="1" x14ac:dyDescent="0.35">
      <c r="C352" s="126"/>
      <c r="E352" s="4"/>
    </row>
    <row r="353" spans="3:5" ht="14.25" customHeight="1" x14ac:dyDescent="0.35">
      <c r="C353" s="126"/>
      <c r="E353" s="4"/>
    </row>
    <row r="354" spans="3:5" ht="14.25" customHeight="1" x14ac:dyDescent="0.35">
      <c r="C354" s="126"/>
      <c r="E354" s="4"/>
    </row>
    <row r="355" spans="3:5" ht="14.25" customHeight="1" x14ac:dyDescent="0.35">
      <c r="C355" s="126"/>
      <c r="E355" s="4"/>
    </row>
    <row r="356" spans="3:5" ht="14.25" customHeight="1" x14ac:dyDescent="0.35">
      <c r="C356" s="126"/>
      <c r="E356" s="4"/>
    </row>
    <row r="357" spans="3:5" ht="14.25" customHeight="1" x14ac:dyDescent="0.35">
      <c r="C357" s="126"/>
      <c r="E357" s="4"/>
    </row>
    <row r="358" spans="3:5" ht="14.25" customHeight="1" x14ac:dyDescent="0.35">
      <c r="C358" s="126"/>
      <c r="E358" s="4"/>
    </row>
    <row r="359" spans="3:5" ht="14.25" customHeight="1" x14ac:dyDescent="0.35">
      <c r="C359" s="126"/>
      <c r="E359" s="4"/>
    </row>
    <row r="360" spans="3:5" ht="14.25" customHeight="1" x14ac:dyDescent="0.35">
      <c r="C360" s="126"/>
      <c r="E360" s="4"/>
    </row>
    <row r="361" spans="3:5" ht="14.25" customHeight="1" x14ac:dyDescent="0.35">
      <c r="C361" s="126"/>
      <c r="E361" s="4"/>
    </row>
    <row r="362" spans="3:5" ht="14.25" customHeight="1" x14ac:dyDescent="0.35">
      <c r="C362" s="126"/>
      <c r="E362" s="4"/>
    </row>
    <row r="363" spans="3:5" ht="14.25" customHeight="1" x14ac:dyDescent="0.35">
      <c r="C363" s="126"/>
      <c r="E363" s="4"/>
    </row>
    <row r="364" spans="3:5" ht="14.25" customHeight="1" x14ac:dyDescent="0.35">
      <c r="C364" s="126"/>
      <c r="E364" s="4"/>
    </row>
    <row r="365" spans="3:5" ht="14.25" customHeight="1" x14ac:dyDescent="0.35">
      <c r="C365" s="126"/>
      <c r="E365" s="4"/>
    </row>
    <row r="366" spans="3:5" ht="14.25" customHeight="1" x14ac:dyDescent="0.35">
      <c r="C366" s="126"/>
      <c r="E366" s="4"/>
    </row>
    <row r="367" spans="3:5" ht="14.25" customHeight="1" x14ac:dyDescent="0.35">
      <c r="C367" s="126"/>
      <c r="E367" s="4"/>
    </row>
    <row r="368" spans="3:5" ht="14.25" customHeight="1" x14ac:dyDescent="0.35">
      <c r="C368" s="126"/>
      <c r="E368" s="4"/>
    </row>
    <row r="369" spans="3:5" ht="14.25" customHeight="1" x14ac:dyDescent="0.35">
      <c r="C369" s="126"/>
      <c r="E369" s="4"/>
    </row>
    <row r="370" spans="3:5" ht="14.25" customHeight="1" x14ac:dyDescent="0.35">
      <c r="C370" s="126"/>
      <c r="E370" s="4"/>
    </row>
    <row r="371" spans="3:5" ht="14.25" customHeight="1" x14ac:dyDescent="0.35">
      <c r="C371" s="126"/>
      <c r="E371" s="4"/>
    </row>
    <row r="372" spans="3:5" ht="14.25" customHeight="1" x14ac:dyDescent="0.35">
      <c r="C372" s="126"/>
      <c r="E372" s="4"/>
    </row>
    <row r="373" spans="3:5" ht="14.25" customHeight="1" x14ac:dyDescent="0.35">
      <c r="C373" s="126"/>
      <c r="E373" s="4"/>
    </row>
    <row r="374" spans="3:5" ht="14.25" customHeight="1" x14ac:dyDescent="0.35">
      <c r="C374" s="126"/>
      <c r="E374" s="4"/>
    </row>
    <row r="375" spans="3:5" ht="14.25" customHeight="1" x14ac:dyDescent="0.35">
      <c r="C375" s="126"/>
      <c r="E375" s="4"/>
    </row>
    <row r="376" spans="3:5" ht="14.25" customHeight="1" x14ac:dyDescent="0.35">
      <c r="C376" s="126"/>
      <c r="E376" s="4"/>
    </row>
    <row r="377" spans="3:5" ht="14.25" customHeight="1" x14ac:dyDescent="0.35">
      <c r="C377" s="126"/>
      <c r="E377" s="4"/>
    </row>
    <row r="378" spans="3:5" ht="14.25" customHeight="1" x14ac:dyDescent="0.35">
      <c r="C378" s="126"/>
      <c r="E378" s="4"/>
    </row>
    <row r="379" spans="3:5" ht="14.25" customHeight="1" x14ac:dyDescent="0.35">
      <c r="C379" s="126"/>
      <c r="E379" s="4"/>
    </row>
    <row r="380" spans="3:5" ht="14.25" customHeight="1" x14ac:dyDescent="0.35">
      <c r="C380" s="126"/>
      <c r="E380" s="4"/>
    </row>
    <row r="381" spans="3:5" ht="14.25" customHeight="1" x14ac:dyDescent="0.35">
      <c r="C381" s="126"/>
      <c r="E381" s="4"/>
    </row>
    <row r="382" spans="3:5" ht="14.25" customHeight="1" x14ac:dyDescent="0.35">
      <c r="C382" s="126"/>
      <c r="E382" s="4"/>
    </row>
    <row r="383" spans="3:5" ht="14.25" customHeight="1" x14ac:dyDescent="0.35">
      <c r="C383" s="126"/>
      <c r="E383" s="4"/>
    </row>
    <row r="384" spans="3:5" ht="14.25" customHeight="1" x14ac:dyDescent="0.35">
      <c r="C384" s="126"/>
      <c r="E384" s="4"/>
    </row>
    <row r="385" spans="3:5" ht="14.25" customHeight="1" x14ac:dyDescent="0.35">
      <c r="C385" s="126"/>
      <c r="E385" s="4"/>
    </row>
    <row r="386" spans="3:5" ht="14.25" customHeight="1" x14ac:dyDescent="0.35">
      <c r="C386" s="126"/>
      <c r="E386" s="4"/>
    </row>
    <row r="387" spans="3:5" ht="14.25" customHeight="1" x14ac:dyDescent="0.35">
      <c r="C387" s="126"/>
      <c r="E387" s="4"/>
    </row>
    <row r="388" spans="3:5" ht="14.25" customHeight="1" x14ac:dyDescent="0.35">
      <c r="C388" s="126"/>
      <c r="E388" s="4"/>
    </row>
    <row r="389" spans="3:5" ht="14.25" customHeight="1" x14ac:dyDescent="0.35">
      <c r="C389" s="126"/>
      <c r="E389" s="4"/>
    </row>
    <row r="390" spans="3:5" ht="14.25" customHeight="1" x14ac:dyDescent="0.35">
      <c r="C390" s="126"/>
      <c r="E390" s="4"/>
    </row>
    <row r="391" spans="3:5" ht="14.25" customHeight="1" x14ac:dyDescent="0.35">
      <c r="C391" s="126"/>
      <c r="E391" s="4"/>
    </row>
    <row r="392" spans="3:5" ht="14.25" customHeight="1" x14ac:dyDescent="0.35">
      <c r="C392" s="126"/>
      <c r="E392" s="4"/>
    </row>
    <row r="393" spans="3:5" ht="14.25" customHeight="1" x14ac:dyDescent="0.35">
      <c r="C393" s="126"/>
      <c r="E393" s="4"/>
    </row>
    <row r="394" spans="3:5" ht="14.25" customHeight="1" x14ac:dyDescent="0.35">
      <c r="C394" s="126"/>
      <c r="E394" s="4"/>
    </row>
    <row r="395" spans="3:5" ht="14.25" customHeight="1" x14ac:dyDescent="0.35">
      <c r="C395" s="126"/>
      <c r="E395" s="4"/>
    </row>
    <row r="396" spans="3:5" ht="14.25" customHeight="1" x14ac:dyDescent="0.35">
      <c r="C396" s="126"/>
      <c r="E396" s="4"/>
    </row>
    <row r="397" spans="3:5" ht="14.25" customHeight="1" x14ac:dyDescent="0.35">
      <c r="C397" s="126"/>
      <c r="E397" s="4"/>
    </row>
    <row r="398" spans="3:5" ht="14.25" customHeight="1" x14ac:dyDescent="0.35">
      <c r="C398" s="126"/>
      <c r="E398" s="4"/>
    </row>
    <row r="399" spans="3:5" ht="14.25" customHeight="1" x14ac:dyDescent="0.35">
      <c r="C399" s="126"/>
      <c r="E399" s="4"/>
    </row>
    <row r="400" spans="3:5" ht="14.25" customHeight="1" x14ac:dyDescent="0.35">
      <c r="C400" s="126"/>
      <c r="E400" s="4"/>
    </row>
    <row r="401" spans="3:5" ht="14.25" customHeight="1" x14ac:dyDescent="0.35">
      <c r="C401" s="126"/>
      <c r="E401" s="4"/>
    </row>
    <row r="402" spans="3:5" ht="14.25" customHeight="1" x14ac:dyDescent="0.35">
      <c r="C402" s="126"/>
      <c r="E402" s="4"/>
    </row>
    <row r="403" spans="3:5" ht="14.25" customHeight="1" x14ac:dyDescent="0.35">
      <c r="C403" s="126"/>
      <c r="E403" s="4"/>
    </row>
    <row r="404" spans="3:5" ht="14.25" customHeight="1" x14ac:dyDescent="0.35">
      <c r="C404" s="126"/>
      <c r="E404" s="4"/>
    </row>
    <row r="405" spans="3:5" ht="14.25" customHeight="1" x14ac:dyDescent="0.35">
      <c r="C405" s="126"/>
      <c r="E405" s="4"/>
    </row>
    <row r="406" spans="3:5" ht="14.25" customHeight="1" x14ac:dyDescent="0.35">
      <c r="C406" s="126"/>
      <c r="E406" s="4"/>
    </row>
    <row r="407" spans="3:5" ht="14.25" customHeight="1" x14ac:dyDescent="0.35">
      <c r="C407" s="126"/>
      <c r="E407" s="4"/>
    </row>
    <row r="408" spans="3:5" ht="14.25" customHeight="1" x14ac:dyDescent="0.35">
      <c r="C408" s="126"/>
      <c r="E408" s="4"/>
    </row>
    <row r="409" spans="3:5" ht="14.25" customHeight="1" x14ac:dyDescent="0.35">
      <c r="C409" s="126"/>
      <c r="E409" s="4"/>
    </row>
    <row r="410" spans="3:5" ht="14.25" customHeight="1" x14ac:dyDescent="0.35">
      <c r="C410" s="126"/>
      <c r="E410" s="4"/>
    </row>
    <row r="411" spans="3:5" ht="14.25" customHeight="1" x14ac:dyDescent="0.35">
      <c r="C411" s="126"/>
      <c r="E411" s="4"/>
    </row>
    <row r="412" spans="3:5" ht="14.25" customHeight="1" x14ac:dyDescent="0.35">
      <c r="C412" s="126"/>
      <c r="E412" s="4"/>
    </row>
    <row r="413" spans="3:5" ht="14.25" customHeight="1" x14ac:dyDescent="0.35">
      <c r="C413" s="126"/>
      <c r="E413" s="4"/>
    </row>
    <row r="414" spans="3:5" ht="14.25" customHeight="1" x14ac:dyDescent="0.35">
      <c r="C414" s="126"/>
      <c r="E414" s="4"/>
    </row>
    <row r="415" spans="3:5" ht="14.25" customHeight="1" x14ac:dyDescent="0.35">
      <c r="C415" s="126"/>
      <c r="E415" s="4"/>
    </row>
    <row r="416" spans="3:5" ht="14.25" customHeight="1" x14ac:dyDescent="0.35">
      <c r="C416" s="126"/>
      <c r="E416" s="4"/>
    </row>
    <row r="417" spans="3:5" ht="14.25" customHeight="1" x14ac:dyDescent="0.35">
      <c r="C417" s="126"/>
      <c r="E417" s="4"/>
    </row>
    <row r="418" spans="3:5" ht="14.25" customHeight="1" x14ac:dyDescent="0.35">
      <c r="C418" s="126"/>
      <c r="E418" s="4"/>
    </row>
    <row r="419" spans="3:5" ht="14.25" customHeight="1" x14ac:dyDescent="0.35">
      <c r="C419" s="126"/>
      <c r="E419" s="4"/>
    </row>
    <row r="420" spans="3:5" ht="14.25" customHeight="1" x14ac:dyDescent="0.35">
      <c r="C420" s="126"/>
      <c r="E420" s="4"/>
    </row>
    <row r="421" spans="3:5" ht="14.25" customHeight="1" x14ac:dyDescent="0.35">
      <c r="C421" s="126"/>
      <c r="E421" s="4"/>
    </row>
    <row r="422" spans="3:5" ht="14.25" customHeight="1" x14ac:dyDescent="0.35">
      <c r="C422" s="126"/>
      <c r="E422" s="4"/>
    </row>
    <row r="423" spans="3:5" ht="14.25" customHeight="1" x14ac:dyDescent="0.35">
      <c r="C423" s="126"/>
      <c r="E423" s="4"/>
    </row>
    <row r="424" spans="3:5" ht="14.25" customHeight="1" x14ac:dyDescent="0.35">
      <c r="C424" s="126"/>
      <c r="E424" s="4"/>
    </row>
    <row r="425" spans="3:5" ht="14.25" customHeight="1" x14ac:dyDescent="0.35">
      <c r="C425" s="126"/>
      <c r="E425" s="4"/>
    </row>
    <row r="426" spans="3:5" ht="14.25" customHeight="1" x14ac:dyDescent="0.35">
      <c r="C426" s="126"/>
      <c r="E426" s="4"/>
    </row>
    <row r="427" spans="3:5" ht="14.25" customHeight="1" x14ac:dyDescent="0.35">
      <c r="C427" s="126"/>
      <c r="E427" s="4"/>
    </row>
    <row r="428" spans="3:5" ht="14.25" customHeight="1" x14ac:dyDescent="0.35">
      <c r="C428" s="126"/>
      <c r="E428" s="4"/>
    </row>
    <row r="429" spans="3:5" ht="14.25" customHeight="1" x14ac:dyDescent="0.35">
      <c r="C429" s="126"/>
      <c r="E429" s="4"/>
    </row>
    <row r="430" spans="3:5" ht="14.25" customHeight="1" x14ac:dyDescent="0.35">
      <c r="C430" s="126"/>
      <c r="E430" s="4"/>
    </row>
    <row r="431" spans="3:5" ht="14.25" customHeight="1" x14ac:dyDescent="0.35">
      <c r="C431" s="126"/>
      <c r="E431" s="4"/>
    </row>
    <row r="432" spans="3:5" ht="14.25" customHeight="1" x14ac:dyDescent="0.35">
      <c r="C432" s="126"/>
      <c r="E432" s="4"/>
    </row>
    <row r="433" spans="3:5" ht="14.25" customHeight="1" x14ac:dyDescent="0.35">
      <c r="C433" s="126"/>
      <c r="E433" s="4"/>
    </row>
    <row r="434" spans="3:5" ht="14.25" customHeight="1" x14ac:dyDescent="0.35">
      <c r="C434" s="126"/>
      <c r="E434" s="4"/>
    </row>
    <row r="435" spans="3:5" ht="14.25" customHeight="1" x14ac:dyDescent="0.35">
      <c r="C435" s="126"/>
      <c r="E435" s="4"/>
    </row>
    <row r="436" spans="3:5" ht="14.25" customHeight="1" x14ac:dyDescent="0.35">
      <c r="C436" s="126"/>
      <c r="E436" s="4"/>
    </row>
    <row r="437" spans="3:5" ht="14.25" customHeight="1" x14ac:dyDescent="0.35">
      <c r="C437" s="126"/>
      <c r="E437" s="4"/>
    </row>
    <row r="438" spans="3:5" ht="14.25" customHeight="1" x14ac:dyDescent="0.35">
      <c r="C438" s="126"/>
      <c r="E438" s="4"/>
    </row>
    <row r="439" spans="3:5" ht="14.25" customHeight="1" x14ac:dyDescent="0.35">
      <c r="C439" s="126"/>
      <c r="E439" s="4"/>
    </row>
    <row r="440" spans="3:5" ht="14.25" customHeight="1" x14ac:dyDescent="0.35">
      <c r="C440" s="126"/>
      <c r="E440" s="4"/>
    </row>
    <row r="441" spans="3:5" ht="14.25" customHeight="1" x14ac:dyDescent="0.35">
      <c r="C441" s="126"/>
      <c r="E441" s="4"/>
    </row>
    <row r="442" spans="3:5" ht="14.25" customHeight="1" x14ac:dyDescent="0.35">
      <c r="C442" s="126"/>
      <c r="E442" s="4"/>
    </row>
    <row r="443" spans="3:5" ht="14.25" customHeight="1" x14ac:dyDescent="0.35">
      <c r="C443" s="126"/>
      <c r="E443" s="4"/>
    </row>
    <row r="444" spans="3:5" ht="14.25" customHeight="1" x14ac:dyDescent="0.35">
      <c r="C444" s="126"/>
      <c r="E444" s="4"/>
    </row>
    <row r="445" spans="3:5" ht="14.25" customHeight="1" x14ac:dyDescent="0.35">
      <c r="C445" s="126"/>
      <c r="E445" s="4"/>
    </row>
    <row r="446" spans="3:5" ht="14.25" customHeight="1" x14ac:dyDescent="0.35">
      <c r="C446" s="126"/>
      <c r="E446" s="4"/>
    </row>
    <row r="447" spans="3:5" ht="14.25" customHeight="1" x14ac:dyDescent="0.35">
      <c r="C447" s="126"/>
      <c r="E447" s="4"/>
    </row>
    <row r="448" spans="3:5" ht="14.25" customHeight="1" x14ac:dyDescent="0.35">
      <c r="C448" s="126"/>
      <c r="E448" s="4"/>
    </row>
    <row r="449" spans="3:5" ht="14.25" customHeight="1" x14ac:dyDescent="0.35">
      <c r="C449" s="126"/>
      <c r="E449" s="4"/>
    </row>
    <row r="450" spans="3:5" ht="14.25" customHeight="1" x14ac:dyDescent="0.35">
      <c r="C450" s="126"/>
      <c r="E450" s="4"/>
    </row>
    <row r="451" spans="3:5" ht="14.25" customHeight="1" x14ac:dyDescent="0.35">
      <c r="C451" s="126"/>
      <c r="E451" s="4"/>
    </row>
    <row r="452" spans="3:5" ht="14.25" customHeight="1" x14ac:dyDescent="0.35">
      <c r="C452" s="126"/>
      <c r="E452" s="4"/>
    </row>
    <row r="453" spans="3:5" ht="14.25" customHeight="1" x14ac:dyDescent="0.35">
      <c r="C453" s="126"/>
      <c r="E453" s="4"/>
    </row>
    <row r="454" spans="3:5" ht="14.25" customHeight="1" x14ac:dyDescent="0.35">
      <c r="C454" s="126"/>
      <c r="E454" s="4"/>
    </row>
    <row r="455" spans="3:5" ht="14.25" customHeight="1" x14ac:dyDescent="0.35">
      <c r="C455" s="126"/>
      <c r="E455" s="4"/>
    </row>
    <row r="456" spans="3:5" ht="14.25" customHeight="1" x14ac:dyDescent="0.35">
      <c r="C456" s="126"/>
      <c r="E456" s="4"/>
    </row>
    <row r="457" spans="3:5" ht="14.25" customHeight="1" x14ac:dyDescent="0.35">
      <c r="C457" s="126"/>
      <c r="E457" s="4"/>
    </row>
    <row r="458" spans="3:5" ht="14.25" customHeight="1" x14ac:dyDescent="0.35">
      <c r="C458" s="126"/>
      <c r="E458" s="4"/>
    </row>
    <row r="459" spans="3:5" ht="14.25" customHeight="1" x14ac:dyDescent="0.35">
      <c r="C459" s="126"/>
      <c r="E459" s="4"/>
    </row>
    <row r="460" spans="3:5" ht="14.25" customHeight="1" x14ac:dyDescent="0.35">
      <c r="C460" s="126"/>
      <c r="E460" s="4"/>
    </row>
    <row r="461" spans="3:5" ht="14.25" customHeight="1" x14ac:dyDescent="0.35">
      <c r="C461" s="126"/>
      <c r="E461" s="4"/>
    </row>
    <row r="462" spans="3:5" ht="14.25" customHeight="1" x14ac:dyDescent="0.35">
      <c r="C462" s="126"/>
      <c r="E462" s="4"/>
    </row>
    <row r="463" spans="3:5" ht="14.25" customHeight="1" x14ac:dyDescent="0.35">
      <c r="C463" s="126"/>
      <c r="E463" s="4"/>
    </row>
    <row r="464" spans="3:5" ht="14.25" customHeight="1" x14ac:dyDescent="0.35">
      <c r="C464" s="126"/>
      <c r="E464" s="4"/>
    </row>
    <row r="465" spans="3:5" ht="14.25" customHeight="1" x14ac:dyDescent="0.35">
      <c r="C465" s="126"/>
      <c r="E465" s="4"/>
    </row>
    <row r="466" spans="3:5" ht="14.25" customHeight="1" x14ac:dyDescent="0.35">
      <c r="C466" s="126"/>
      <c r="E466" s="4"/>
    </row>
    <row r="467" spans="3:5" ht="14.25" customHeight="1" x14ac:dyDescent="0.35">
      <c r="C467" s="126"/>
      <c r="E467" s="4"/>
    </row>
    <row r="468" spans="3:5" ht="14.25" customHeight="1" x14ac:dyDescent="0.35">
      <c r="C468" s="126"/>
      <c r="E468" s="4"/>
    </row>
    <row r="469" spans="3:5" ht="14.25" customHeight="1" x14ac:dyDescent="0.35">
      <c r="C469" s="126"/>
      <c r="E469" s="4"/>
    </row>
    <row r="470" spans="3:5" ht="14.25" customHeight="1" x14ac:dyDescent="0.35">
      <c r="C470" s="126"/>
      <c r="E470" s="4"/>
    </row>
    <row r="471" spans="3:5" ht="14.25" customHeight="1" x14ac:dyDescent="0.35">
      <c r="C471" s="126"/>
      <c r="E471" s="4"/>
    </row>
    <row r="472" spans="3:5" ht="14.25" customHeight="1" x14ac:dyDescent="0.35">
      <c r="C472" s="126"/>
      <c r="E472" s="4"/>
    </row>
    <row r="473" spans="3:5" ht="14.25" customHeight="1" x14ac:dyDescent="0.35">
      <c r="C473" s="126"/>
      <c r="E473" s="4"/>
    </row>
    <row r="474" spans="3:5" ht="14.25" customHeight="1" x14ac:dyDescent="0.35">
      <c r="C474" s="126"/>
      <c r="E474" s="4"/>
    </row>
    <row r="475" spans="3:5" ht="14.25" customHeight="1" x14ac:dyDescent="0.35">
      <c r="C475" s="126"/>
      <c r="E475" s="4"/>
    </row>
    <row r="476" spans="3:5" ht="14.25" customHeight="1" x14ac:dyDescent="0.35">
      <c r="C476" s="126"/>
      <c r="E476" s="4"/>
    </row>
    <row r="477" spans="3:5" ht="14.25" customHeight="1" x14ac:dyDescent="0.35">
      <c r="C477" s="126"/>
      <c r="E477" s="4"/>
    </row>
    <row r="478" spans="3:5" ht="14.25" customHeight="1" x14ac:dyDescent="0.35">
      <c r="C478" s="126"/>
      <c r="E478" s="4"/>
    </row>
    <row r="479" spans="3:5" ht="14.25" customHeight="1" x14ac:dyDescent="0.35">
      <c r="C479" s="126"/>
      <c r="E479" s="4"/>
    </row>
    <row r="480" spans="3:5" ht="14.25" customHeight="1" x14ac:dyDescent="0.35">
      <c r="C480" s="126"/>
      <c r="E480" s="4"/>
    </row>
    <row r="481" spans="3:5" ht="14.25" customHeight="1" x14ac:dyDescent="0.35">
      <c r="C481" s="126"/>
      <c r="E481" s="4"/>
    </row>
    <row r="482" spans="3:5" ht="14.25" customHeight="1" x14ac:dyDescent="0.35">
      <c r="C482" s="126"/>
      <c r="E482" s="4"/>
    </row>
    <row r="483" spans="3:5" ht="14.25" customHeight="1" x14ac:dyDescent="0.35">
      <c r="C483" s="126"/>
      <c r="E483" s="4"/>
    </row>
    <row r="484" spans="3:5" ht="14.25" customHeight="1" x14ac:dyDescent="0.35">
      <c r="C484" s="126"/>
      <c r="E484" s="4"/>
    </row>
    <row r="485" spans="3:5" ht="14.25" customHeight="1" x14ac:dyDescent="0.35">
      <c r="C485" s="126"/>
      <c r="E485" s="4"/>
    </row>
    <row r="486" spans="3:5" ht="14.25" customHeight="1" x14ac:dyDescent="0.35">
      <c r="C486" s="126"/>
      <c r="E486" s="4"/>
    </row>
    <row r="487" spans="3:5" ht="14.25" customHeight="1" x14ac:dyDescent="0.35">
      <c r="C487" s="126"/>
      <c r="E487" s="4"/>
    </row>
    <row r="488" spans="3:5" ht="14.25" customHeight="1" x14ac:dyDescent="0.35">
      <c r="C488" s="126"/>
      <c r="E488" s="4"/>
    </row>
    <row r="489" spans="3:5" ht="14.25" customHeight="1" x14ac:dyDescent="0.35">
      <c r="C489" s="126"/>
      <c r="E489" s="4"/>
    </row>
    <row r="490" spans="3:5" ht="14.25" customHeight="1" x14ac:dyDescent="0.35">
      <c r="C490" s="126"/>
      <c r="E490" s="4"/>
    </row>
    <row r="491" spans="3:5" ht="14.25" customHeight="1" x14ac:dyDescent="0.35">
      <c r="C491" s="126"/>
      <c r="E491" s="4"/>
    </row>
    <row r="492" spans="3:5" ht="14.25" customHeight="1" x14ac:dyDescent="0.35">
      <c r="C492" s="126"/>
      <c r="E492" s="4"/>
    </row>
    <row r="493" spans="3:5" ht="14.25" customHeight="1" x14ac:dyDescent="0.35">
      <c r="C493" s="126"/>
      <c r="E493" s="4"/>
    </row>
    <row r="494" spans="3:5" ht="14.25" customHeight="1" x14ac:dyDescent="0.35">
      <c r="C494" s="126"/>
      <c r="E494" s="4"/>
    </row>
    <row r="495" spans="3:5" ht="14.25" customHeight="1" x14ac:dyDescent="0.35">
      <c r="C495" s="126"/>
      <c r="E495" s="4"/>
    </row>
    <row r="496" spans="3:5" ht="14.25" customHeight="1" x14ac:dyDescent="0.35">
      <c r="C496" s="126"/>
      <c r="E496" s="4"/>
    </row>
    <row r="497" spans="3:5" ht="14.25" customHeight="1" x14ac:dyDescent="0.35">
      <c r="C497" s="126"/>
      <c r="E497" s="4"/>
    </row>
    <row r="498" spans="3:5" ht="14.25" customHeight="1" x14ac:dyDescent="0.35">
      <c r="C498" s="126"/>
      <c r="E498" s="4"/>
    </row>
    <row r="499" spans="3:5" ht="14.25" customHeight="1" x14ac:dyDescent="0.35">
      <c r="C499" s="126"/>
      <c r="E499" s="4"/>
    </row>
    <row r="500" spans="3:5" ht="14.25" customHeight="1" x14ac:dyDescent="0.35">
      <c r="C500" s="126"/>
      <c r="E500" s="4"/>
    </row>
    <row r="501" spans="3:5" ht="14.25" customHeight="1" x14ac:dyDescent="0.35">
      <c r="C501" s="126"/>
      <c r="E501" s="4"/>
    </row>
    <row r="502" spans="3:5" ht="14.25" customHeight="1" x14ac:dyDescent="0.35">
      <c r="C502" s="126"/>
      <c r="E502" s="4"/>
    </row>
    <row r="503" spans="3:5" ht="14.25" customHeight="1" x14ac:dyDescent="0.35">
      <c r="C503" s="126"/>
      <c r="E503" s="4"/>
    </row>
    <row r="504" spans="3:5" ht="14.25" customHeight="1" x14ac:dyDescent="0.35">
      <c r="C504" s="126"/>
      <c r="E504" s="4"/>
    </row>
    <row r="505" spans="3:5" ht="14.25" customHeight="1" x14ac:dyDescent="0.35">
      <c r="C505" s="126"/>
      <c r="E505" s="4"/>
    </row>
    <row r="506" spans="3:5" ht="14.25" customHeight="1" x14ac:dyDescent="0.35">
      <c r="C506" s="126"/>
      <c r="E506" s="4"/>
    </row>
    <row r="507" spans="3:5" ht="14.25" customHeight="1" x14ac:dyDescent="0.35">
      <c r="C507" s="126"/>
      <c r="E507" s="4"/>
    </row>
    <row r="508" spans="3:5" ht="14.25" customHeight="1" x14ac:dyDescent="0.35">
      <c r="C508" s="126"/>
      <c r="E508" s="4"/>
    </row>
    <row r="509" spans="3:5" ht="14.25" customHeight="1" x14ac:dyDescent="0.35">
      <c r="C509" s="126"/>
      <c r="E509" s="4"/>
    </row>
    <row r="510" spans="3:5" ht="14.25" customHeight="1" x14ac:dyDescent="0.35">
      <c r="C510" s="126"/>
      <c r="E510" s="4"/>
    </row>
    <row r="511" spans="3:5" ht="14.25" customHeight="1" x14ac:dyDescent="0.35">
      <c r="C511" s="126"/>
      <c r="E511" s="4"/>
    </row>
    <row r="512" spans="3:5" ht="14.25" customHeight="1" x14ac:dyDescent="0.35">
      <c r="C512" s="126"/>
      <c r="E512" s="4"/>
    </row>
    <row r="513" spans="3:5" ht="14.25" customHeight="1" x14ac:dyDescent="0.35">
      <c r="C513" s="126"/>
      <c r="E513" s="4"/>
    </row>
    <row r="514" spans="3:5" ht="14.25" customHeight="1" x14ac:dyDescent="0.35">
      <c r="C514" s="126"/>
      <c r="E514" s="4"/>
    </row>
    <row r="515" spans="3:5" ht="14.25" customHeight="1" x14ac:dyDescent="0.35">
      <c r="C515" s="126"/>
      <c r="E515" s="4"/>
    </row>
    <row r="516" spans="3:5" ht="14.25" customHeight="1" x14ac:dyDescent="0.35">
      <c r="C516" s="126"/>
      <c r="E516" s="4"/>
    </row>
    <row r="517" spans="3:5" ht="14.25" customHeight="1" x14ac:dyDescent="0.35">
      <c r="C517" s="126"/>
      <c r="E517" s="4"/>
    </row>
    <row r="518" spans="3:5" ht="14.25" customHeight="1" x14ac:dyDescent="0.35">
      <c r="C518" s="126"/>
      <c r="E518" s="4"/>
    </row>
    <row r="519" spans="3:5" ht="14.25" customHeight="1" x14ac:dyDescent="0.35">
      <c r="C519" s="126"/>
      <c r="E519" s="4"/>
    </row>
    <row r="520" spans="3:5" ht="14.25" customHeight="1" x14ac:dyDescent="0.35">
      <c r="C520" s="126"/>
      <c r="E520" s="4"/>
    </row>
    <row r="521" spans="3:5" ht="14.25" customHeight="1" x14ac:dyDescent="0.35">
      <c r="C521" s="126"/>
      <c r="E521" s="4"/>
    </row>
    <row r="522" spans="3:5" ht="14.25" customHeight="1" x14ac:dyDescent="0.35">
      <c r="C522" s="126"/>
      <c r="E522" s="4"/>
    </row>
    <row r="523" spans="3:5" ht="14.25" customHeight="1" x14ac:dyDescent="0.35">
      <c r="C523" s="126"/>
      <c r="E523" s="4"/>
    </row>
    <row r="524" spans="3:5" ht="14.25" customHeight="1" x14ac:dyDescent="0.35">
      <c r="C524" s="126"/>
      <c r="E524" s="4"/>
    </row>
    <row r="525" spans="3:5" ht="14.25" customHeight="1" x14ac:dyDescent="0.35">
      <c r="C525" s="126"/>
      <c r="E525" s="4"/>
    </row>
    <row r="526" spans="3:5" ht="14.25" customHeight="1" x14ac:dyDescent="0.35">
      <c r="C526" s="126"/>
      <c r="E526" s="4"/>
    </row>
    <row r="527" spans="3:5" ht="14.25" customHeight="1" x14ac:dyDescent="0.35">
      <c r="C527" s="126"/>
      <c r="E527" s="4"/>
    </row>
    <row r="528" spans="3:5" ht="14.25" customHeight="1" x14ac:dyDescent="0.35">
      <c r="C528" s="126"/>
      <c r="E528" s="4"/>
    </row>
    <row r="529" spans="3:5" ht="14.25" customHeight="1" x14ac:dyDescent="0.35">
      <c r="C529" s="126"/>
      <c r="E529" s="4"/>
    </row>
    <row r="530" spans="3:5" ht="14.25" customHeight="1" x14ac:dyDescent="0.35">
      <c r="C530" s="126"/>
      <c r="E530" s="4"/>
    </row>
    <row r="531" spans="3:5" ht="14.25" customHeight="1" x14ac:dyDescent="0.35">
      <c r="C531" s="126"/>
      <c r="E531" s="4"/>
    </row>
    <row r="532" spans="3:5" ht="14.25" customHeight="1" x14ac:dyDescent="0.35">
      <c r="C532" s="126"/>
      <c r="E532" s="4"/>
    </row>
    <row r="533" spans="3:5" ht="14.25" customHeight="1" x14ac:dyDescent="0.35">
      <c r="C533" s="126"/>
      <c r="E533" s="4"/>
    </row>
    <row r="534" spans="3:5" ht="14.25" customHeight="1" x14ac:dyDescent="0.35">
      <c r="C534" s="126"/>
      <c r="E534" s="4"/>
    </row>
    <row r="535" spans="3:5" ht="14.25" customHeight="1" x14ac:dyDescent="0.35">
      <c r="C535" s="126"/>
      <c r="E535" s="4"/>
    </row>
    <row r="536" spans="3:5" ht="14.25" customHeight="1" x14ac:dyDescent="0.35">
      <c r="C536" s="126"/>
      <c r="E536" s="4"/>
    </row>
    <row r="537" spans="3:5" ht="14.25" customHeight="1" x14ac:dyDescent="0.35">
      <c r="C537" s="126"/>
      <c r="E537" s="4"/>
    </row>
    <row r="538" spans="3:5" ht="14.25" customHeight="1" x14ac:dyDescent="0.35">
      <c r="C538" s="126"/>
      <c r="E538" s="4"/>
    </row>
    <row r="539" spans="3:5" ht="14.25" customHeight="1" x14ac:dyDescent="0.35">
      <c r="C539" s="126"/>
      <c r="E539" s="4"/>
    </row>
    <row r="540" spans="3:5" ht="14.25" customHeight="1" x14ac:dyDescent="0.35">
      <c r="C540" s="126"/>
      <c r="E540" s="4"/>
    </row>
    <row r="541" spans="3:5" ht="14.25" customHeight="1" x14ac:dyDescent="0.35">
      <c r="C541" s="126"/>
      <c r="E541" s="4"/>
    </row>
    <row r="542" spans="3:5" ht="14.25" customHeight="1" x14ac:dyDescent="0.35">
      <c r="C542" s="126"/>
      <c r="E542" s="4"/>
    </row>
    <row r="543" spans="3:5" ht="14.25" customHeight="1" x14ac:dyDescent="0.35">
      <c r="C543" s="126"/>
      <c r="E543" s="4"/>
    </row>
    <row r="544" spans="3:5" ht="14.25" customHeight="1" x14ac:dyDescent="0.35">
      <c r="C544" s="126"/>
      <c r="E544" s="4"/>
    </row>
    <row r="545" spans="3:5" ht="14.25" customHeight="1" x14ac:dyDescent="0.35">
      <c r="C545" s="126"/>
      <c r="E545" s="4"/>
    </row>
    <row r="546" spans="3:5" ht="14.25" customHeight="1" x14ac:dyDescent="0.35">
      <c r="C546" s="126"/>
      <c r="E546" s="4"/>
    </row>
    <row r="547" spans="3:5" ht="14.25" customHeight="1" x14ac:dyDescent="0.35">
      <c r="C547" s="126"/>
      <c r="E547" s="4"/>
    </row>
    <row r="548" spans="3:5" ht="14.25" customHeight="1" x14ac:dyDescent="0.35">
      <c r="C548" s="126"/>
      <c r="E548" s="4"/>
    </row>
    <row r="549" spans="3:5" ht="14.25" customHeight="1" x14ac:dyDescent="0.35">
      <c r="C549" s="126"/>
      <c r="E549" s="4"/>
    </row>
    <row r="550" spans="3:5" ht="14.25" customHeight="1" x14ac:dyDescent="0.35">
      <c r="C550" s="126"/>
      <c r="E550" s="4"/>
    </row>
    <row r="551" spans="3:5" ht="14.25" customHeight="1" x14ac:dyDescent="0.35">
      <c r="C551" s="126"/>
      <c r="E551" s="4"/>
    </row>
    <row r="552" spans="3:5" ht="14.25" customHeight="1" x14ac:dyDescent="0.35">
      <c r="C552" s="126"/>
      <c r="E552" s="4"/>
    </row>
    <row r="553" spans="3:5" ht="14.25" customHeight="1" x14ac:dyDescent="0.35">
      <c r="C553" s="126"/>
      <c r="E553" s="4"/>
    </row>
    <row r="554" spans="3:5" ht="14.25" customHeight="1" x14ac:dyDescent="0.35">
      <c r="C554" s="126"/>
      <c r="E554" s="4"/>
    </row>
    <row r="555" spans="3:5" ht="14.25" customHeight="1" x14ac:dyDescent="0.35">
      <c r="C555" s="126"/>
      <c r="E555" s="4"/>
    </row>
    <row r="556" spans="3:5" ht="14.25" customHeight="1" x14ac:dyDescent="0.35">
      <c r="C556" s="126"/>
      <c r="E556" s="4"/>
    </row>
    <row r="557" spans="3:5" ht="14.25" customHeight="1" x14ac:dyDescent="0.35">
      <c r="C557" s="126"/>
      <c r="E557" s="4"/>
    </row>
    <row r="558" spans="3:5" ht="14.25" customHeight="1" x14ac:dyDescent="0.35">
      <c r="C558" s="126"/>
      <c r="E558" s="4"/>
    </row>
    <row r="559" spans="3:5" ht="14.25" customHeight="1" x14ac:dyDescent="0.35">
      <c r="C559" s="126"/>
      <c r="E559" s="4"/>
    </row>
    <row r="560" spans="3:5" ht="14.25" customHeight="1" x14ac:dyDescent="0.35">
      <c r="C560" s="126"/>
      <c r="E560" s="4"/>
    </row>
    <row r="561" spans="3:5" ht="14.25" customHeight="1" x14ac:dyDescent="0.35">
      <c r="C561" s="126"/>
      <c r="E561" s="4"/>
    </row>
    <row r="562" spans="3:5" ht="14.25" customHeight="1" x14ac:dyDescent="0.35">
      <c r="C562" s="126"/>
      <c r="E562" s="4"/>
    </row>
    <row r="563" spans="3:5" ht="14.25" customHeight="1" x14ac:dyDescent="0.35">
      <c r="C563" s="126"/>
      <c r="E563" s="4"/>
    </row>
    <row r="564" spans="3:5" ht="14.25" customHeight="1" x14ac:dyDescent="0.35">
      <c r="C564" s="126"/>
      <c r="E564" s="4"/>
    </row>
    <row r="565" spans="3:5" ht="14.25" customHeight="1" x14ac:dyDescent="0.35">
      <c r="C565" s="126"/>
      <c r="E565" s="4"/>
    </row>
    <row r="566" spans="3:5" ht="14.25" customHeight="1" x14ac:dyDescent="0.35">
      <c r="C566" s="126"/>
      <c r="E566" s="4"/>
    </row>
    <row r="567" spans="3:5" ht="14.25" customHeight="1" x14ac:dyDescent="0.35">
      <c r="C567" s="126"/>
      <c r="E567" s="4"/>
    </row>
    <row r="568" spans="3:5" ht="14.25" customHeight="1" x14ac:dyDescent="0.35">
      <c r="C568" s="126"/>
      <c r="E568" s="4"/>
    </row>
    <row r="569" spans="3:5" ht="14.25" customHeight="1" x14ac:dyDescent="0.35">
      <c r="C569" s="126"/>
      <c r="E569" s="4"/>
    </row>
    <row r="570" spans="3:5" ht="14.25" customHeight="1" x14ac:dyDescent="0.35">
      <c r="C570" s="126"/>
      <c r="E570" s="4"/>
    </row>
    <row r="571" spans="3:5" ht="14.25" customHeight="1" x14ac:dyDescent="0.35">
      <c r="C571" s="126"/>
      <c r="E571" s="4"/>
    </row>
    <row r="572" spans="3:5" ht="14.25" customHeight="1" x14ac:dyDescent="0.35">
      <c r="C572" s="126"/>
      <c r="E572" s="4"/>
    </row>
    <row r="573" spans="3:5" ht="14.25" customHeight="1" x14ac:dyDescent="0.35">
      <c r="C573" s="126"/>
      <c r="E573" s="4"/>
    </row>
    <row r="574" spans="3:5" ht="14.25" customHeight="1" x14ac:dyDescent="0.35">
      <c r="C574" s="126"/>
      <c r="E574" s="4"/>
    </row>
    <row r="575" spans="3:5" ht="14.25" customHeight="1" x14ac:dyDescent="0.35">
      <c r="C575" s="126"/>
      <c r="E575" s="4"/>
    </row>
    <row r="576" spans="3:5" ht="14.25" customHeight="1" x14ac:dyDescent="0.35">
      <c r="C576" s="126"/>
      <c r="E576" s="4"/>
    </row>
    <row r="577" spans="3:5" ht="14.25" customHeight="1" x14ac:dyDescent="0.35">
      <c r="C577" s="126"/>
      <c r="E577" s="4"/>
    </row>
    <row r="578" spans="3:5" ht="14.25" customHeight="1" x14ac:dyDescent="0.35">
      <c r="C578" s="126"/>
      <c r="E578" s="4"/>
    </row>
    <row r="579" spans="3:5" ht="14.25" customHeight="1" x14ac:dyDescent="0.35">
      <c r="C579" s="126"/>
      <c r="E579" s="4"/>
    </row>
    <row r="580" spans="3:5" ht="14.25" customHeight="1" x14ac:dyDescent="0.35">
      <c r="C580" s="126"/>
      <c r="E580" s="4"/>
    </row>
    <row r="581" spans="3:5" ht="14.25" customHeight="1" x14ac:dyDescent="0.35">
      <c r="C581" s="126"/>
      <c r="E581" s="4"/>
    </row>
    <row r="582" spans="3:5" ht="14.25" customHeight="1" x14ac:dyDescent="0.35">
      <c r="C582" s="126"/>
      <c r="E582" s="4"/>
    </row>
    <row r="583" spans="3:5" ht="14.25" customHeight="1" x14ac:dyDescent="0.35">
      <c r="C583" s="126"/>
      <c r="E583" s="4"/>
    </row>
    <row r="584" spans="3:5" ht="14.25" customHeight="1" x14ac:dyDescent="0.35">
      <c r="C584" s="126"/>
      <c r="E584" s="4"/>
    </row>
    <row r="585" spans="3:5" ht="14.25" customHeight="1" x14ac:dyDescent="0.35">
      <c r="C585" s="126"/>
      <c r="E585" s="4"/>
    </row>
    <row r="586" spans="3:5" ht="14.25" customHeight="1" x14ac:dyDescent="0.35">
      <c r="C586" s="126"/>
      <c r="E586" s="4"/>
    </row>
    <row r="587" spans="3:5" ht="14.25" customHeight="1" x14ac:dyDescent="0.35">
      <c r="C587" s="126"/>
      <c r="E587" s="4"/>
    </row>
    <row r="588" spans="3:5" ht="14.25" customHeight="1" x14ac:dyDescent="0.35">
      <c r="C588" s="126"/>
      <c r="E588" s="4"/>
    </row>
    <row r="589" spans="3:5" ht="14.25" customHeight="1" x14ac:dyDescent="0.35">
      <c r="C589" s="126"/>
      <c r="E589" s="4"/>
    </row>
    <row r="590" spans="3:5" ht="14.25" customHeight="1" x14ac:dyDescent="0.35">
      <c r="C590" s="126"/>
      <c r="E590" s="4"/>
    </row>
    <row r="591" spans="3:5" ht="14.25" customHeight="1" x14ac:dyDescent="0.35">
      <c r="C591" s="126"/>
      <c r="E591" s="4"/>
    </row>
    <row r="592" spans="3:5" ht="14.25" customHeight="1" x14ac:dyDescent="0.35">
      <c r="C592" s="126"/>
      <c r="E592" s="4"/>
    </row>
    <row r="593" spans="3:5" ht="14.25" customHeight="1" x14ac:dyDescent="0.35">
      <c r="C593" s="126"/>
      <c r="E593" s="4"/>
    </row>
    <row r="594" spans="3:5" ht="14.25" customHeight="1" x14ac:dyDescent="0.35">
      <c r="C594" s="126"/>
      <c r="E594" s="4"/>
    </row>
    <row r="595" spans="3:5" ht="14.25" customHeight="1" x14ac:dyDescent="0.35">
      <c r="C595" s="126"/>
      <c r="E595" s="4"/>
    </row>
    <row r="596" spans="3:5" ht="14.25" customHeight="1" x14ac:dyDescent="0.35">
      <c r="C596" s="126"/>
      <c r="E596" s="4"/>
    </row>
    <row r="597" spans="3:5" ht="14.25" customHeight="1" x14ac:dyDescent="0.35">
      <c r="C597" s="126"/>
      <c r="E597" s="4"/>
    </row>
    <row r="598" spans="3:5" ht="14.25" customHeight="1" x14ac:dyDescent="0.35">
      <c r="C598" s="126"/>
      <c r="E598" s="4"/>
    </row>
    <row r="599" spans="3:5" ht="14.25" customHeight="1" x14ac:dyDescent="0.35">
      <c r="C599" s="126"/>
      <c r="E599" s="4"/>
    </row>
    <row r="600" spans="3:5" ht="14.25" customHeight="1" x14ac:dyDescent="0.35">
      <c r="C600" s="126"/>
      <c r="E600" s="4"/>
    </row>
    <row r="601" spans="3:5" ht="14.25" customHeight="1" x14ac:dyDescent="0.35">
      <c r="C601" s="126"/>
      <c r="E601" s="4"/>
    </row>
    <row r="602" spans="3:5" ht="14.25" customHeight="1" x14ac:dyDescent="0.35">
      <c r="C602" s="126"/>
      <c r="E602" s="4"/>
    </row>
    <row r="603" spans="3:5" ht="14.25" customHeight="1" x14ac:dyDescent="0.35">
      <c r="C603" s="126"/>
      <c r="E603" s="4"/>
    </row>
    <row r="604" spans="3:5" ht="14.25" customHeight="1" x14ac:dyDescent="0.35">
      <c r="C604" s="126"/>
      <c r="E604" s="4"/>
    </row>
    <row r="605" spans="3:5" ht="14.25" customHeight="1" x14ac:dyDescent="0.35">
      <c r="C605" s="126"/>
      <c r="E605" s="4"/>
    </row>
    <row r="606" spans="3:5" ht="14.25" customHeight="1" x14ac:dyDescent="0.35">
      <c r="C606" s="126"/>
      <c r="E606" s="4"/>
    </row>
    <row r="607" spans="3:5" ht="14.25" customHeight="1" x14ac:dyDescent="0.35">
      <c r="C607" s="126"/>
      <c r="E607" s="4"/>
    </row>
    <row r="608" spans="3:5" ht="14.25" customHeight="1" x14ac:dyDescent="0.35">
      <c r="C608" s="126"/>
      <c r="E608" s="4"/>
    </row>
    <row r="609" spans="3:5" ht="14.25" customHeight="1" x14ac:dyDescent="0.35">
      <c r="C609" s="126"/>
      <c r="E609" s="4"/>
    </row>
    <row r="610" spans="3:5" ht="14.25" customHeight="1" x14ac:dyDescent="0.35">
      <c r="C610" s="126"/>
      <c r="E610" s="4"/>
    </row>
    <row r="611" spans="3:5" ht="14.25" customHeight="1" x14ac:dyDescent="0.35">
      <c r="C611" s="126"/>
      <c r="E611" s="4"/>
    </row>
    <row r="612" spans="3:5" ht="14.25" customHeight="1" x14ac:dyDescent="0.35">
      <c r="C612" s="126"/>
      <c r="E612" s="4"/>
    </row>
    <row r="613" spans="3:5" ht="14.25" customHeight="1" x14ac:dyDescent="0.35">
      <c r="C613" s="126"/>
      <c r="E613" s="4"/>
    </row>
    <row r="614" spans="3:5" ht="14.25" customHeight="1" x14ac:dyDescent="0.35">
      <c r="C614" s="126"/>
      <c r="E614" s="4"/>
    </row>
    <row r="615" spans="3:5" ht="14.25" customHeight="1" x14ac:dyDescent="0.35">
      <c r="C615" s="126"/>
      <c r="E615" s="4"/>
    </row>
    <row r="616" spans="3:5" ht="14.25" customHeight="1" x14ac:dyDescent="0.35">
      <c r="C616" s="126"/>
      <c r="E616" s="4"/>
    </row>
    <row r="617" spans="3:5" ht="14.25" customHeight="1" x14ac:dyDescent="0.35">
      <c r="C617" s="126"/>
      <c r="E617" s="4"/>
    </row>
    <row r="618" spans="3:5" ht="14.25" customHeight="1" x14ac:dyDescent="0.35">
      <c r="C618" s="126"/>
      <c r="E618" s="4"/>
    </row>
    <row r="619" spans="3:5" ht="14.25" customHeight="1" x14ac:dyDescent="0.35">
      <c r="C619" s="126"/>
      <c r="E619" s="4"/>
    </row>
    <row r="620" spans="3:5" ht="14.25" customHeight="1" x14ac:dyDescent="0.35">
      <c r="C620" s="126"/>
      <c r="E620" s="4"/>
    </row>
    <row r="621" spans="3:5" ht="14.25" customHeight="1" x14ac:dyDescent="0.35">
      <c r="C621" s="126"/>
      <c r="E621" s="4"/>
    </row>
    <row r="622" spans="3:5" ht="14.25" customHeight="1" x14ac:dyDescent="0.35">
      <c r="C622" s="126"/>
      <c r="E622" s="4"/>
    </row>
    <row r="623" spans="3:5" ht="14.25" customHeight="1" x14ac:dyDescent="0.35">
      <c r="C623" s="126"/>
      <c r="E623" s="4"/>
    </row>
    <row r="624" spans="3:5" ht="14.25" customHeight="1" x14ac:dyDescent="0.35">
      <c r="C624" s="126"/>
      <c r="E624" s="4"/>
    </row>
    <row r="625" spans="3:5" ht="14.25" customHeight="1" x14ac:dyDescent="0.35">
      <c r="C625" s="126"/>
      <c r="E625" s="4"/>
    </row>
    <row r="626" spans="3:5" ht="14.25" customHeight="1" x14ac:dyDescent="0.35">
      <c r="C626" s="126"/>
      <c r="E626" s="4"/>
    </row>
    <row r="627" spans="3:5" ht="14.25" customHeight="1" x14ac:dyDescent="0.35">
      <c r="C627" s="126"/>
      <c r="E627" s="4"/>
    </row>
    <row r="628" spans="3:5" ht="14.25" customHeight="1" x14ac:dyDescent="0.35">
      <c r="C628" s="126"/>
      <c r="E628" s="4"/>
    </row>
    <row r="629" spans="3:5" ht="14.25" customHeight="1" x14ac:dyDescent="0.35">
      <c r="C629" s="126"/>
      <c r="E629" s="4"/>
    </row>
    <row r="630" spans="3:5" ht="14.25" customHeight="1" x14ac:dyDescent="0.35">
      <c r="C630" s="126"/>
      <c r="E630" s="4"/>
    </row>
    <row r="631" spans="3:5" ht="14.25" customHeight="1" x14ac:dyDescent="0.35">
      <c r="C631" s="126"/>
      <c r="E631" s="4"/>
    </row>
    <row r="632" spans="3:5" ht="14.25" customHeight="1" x14ac:dyDescent="0.35">
      <c r="C632" s="126"/>
      <c r="E632" s="4"/>
    </row>
    <row r="633" spans="3:5" ht="14.25" customHeight="1" x14ac:dyDescent="0.35">
      <c r="C633" s="126"/>
      <c r="E633" s="4"/>
    </row>
    <row r="634" spans="3:5" ht="14.25" customHeight="1" x14ac:dyDescent="0.35">
      <c r="C634" s="126"/>
      <c r="E634" s="4"/>
    </row>
    <row r="635" spans="3:5" ht="14.25" customHeight="1" x14ac:dyDescent="0.35">
      <c r="C635" s="126"/>
      <c r="E635" s="4"/>
    </row>
    <row r="636" spans="3:5" ht="14.25" customHeight="1" x14ac:dyDescent="0.35">
      <c r="C636" s="126"/>
      <c r="E636" s="4"/>
    </row>
    <row r="637" spans="3:5" ht="14.25" customHeight="1" x14ac:dyDescent="0.35">
      <c r="C637" s="126"/>
      <c r="E637" s="4"/>
    </row>
    <row r="638" spans="3:5" ht="14.25" customHeight="1" x14ac:dyDescent="0.35">
      <c r="C638" s="126"/>
      <c r="E638" s="4"/>
    </row>
    <row r="639" spans="3:5" ht="14.25" customHeight="1" x14ac:dyDescent="0.35">
      <c r="C639" s="126"/>
      <c r="E639" s="4"/>
    </row>
    <row r="640" spans="3:5" ht="14.25" customHeight="1" x14ac:dyDescent="0.35">
      <c r="C640" s="126"/>
      <c r="E640" s="4"/>
    </row>
    <row r="641" spans="3:5" ht="14.25" customHeight="1" x14ac:dyDescent="0.35">
      <c r="C641" s="126"/>
      <c r="E641" s="4"/>
    </row>
    <row r="642" spans="3:5" ht="14.25" customHeight="1" x14ac:dyDescent="0.35">
      <c r="C642" s="126"/>
      <c r="E642" s="4"/>
    </row>
    <row r="643" spans="3:5" ht="14.25" customHeight="1" x14ac:dyDescent="0.35">
      <c r="C643" s="126"/>
      <c r="E643" s="4"/>
    </row>
    <row r="644" spans="3:5" ht="14.25" customHeight="1" x14ac:dyDescent="0.35">
      <c r="C644" s="126"/>
      <c r="E644" s="4"/>
    </row>
    <row r="645" spans="3:5" ht="14.25" customHeight="1" x14ac:dyDescent="0.35">
      <c r="C645" s="126"/>
      <c r="E645" s="4"/>
    </row>
    <row r="646" spans="3:5" ht="14.25" customHeight="1" x14ac:dyDescent="0.35">
      <c r="C646" s="126"/>
      <c r="E646" s="4"/>
    </row>
    <row r="647" spans="3:5" ht="14.25" customHeight="1" x14ac:dyDescent="0.35">
      <c r="C647" s="126"/>
      <c r="E647" s="4"/>
    </row>
    <row r="648" spans="3:5" ht="14.25" customHeight="1" x14ac:dyDescent="0.35">
      <c r="C648" s="126"/>
      <c r="E648" s="4"/>
    </row>
    <row r="649" spans="3:5" ht="14.25" customHeight="1" x14ac:dyDescent="0.35">
      <c r="C649" s="126"/>
      <c r="E649" s="4"/>
    </row>
    <row r="650" spans="3:5" ht="14.25" customHeight="1" x14ac:dyDescent="0.35">
      <c r="C650" s="126"/>
      <c r="E650" s="4"/>
    </row>
    <row r="651" spans="3:5" ht="14.25" customHeight="1" x14ac:dyDescent="0.35">
      <c r="C651" s="126"/>
      <c r="E651" s="4"/>
    </row>
    <row r="652" spans="3:5" ht="14.25" customHeight="1" x14ac:dyDescent="0.35">
      <c r="C652" s="126"/>
      <c r="E652" s="4"/>
    </row>
    <row r="653" spans="3:5" ht="14.25" customHeight="1" x14ac:dyDescent="0.35">
      <c r="C653" s="126"/>
      <c r="E653" s="4"/>
    </row>
    <row r="654" spans="3:5" ht="14.25" customHeight="1" x14ac:dyDescent="0.35">
      <c r="C654" s="126"/>
      <c r="E654" s="4"/>
    </row>
    <row r="655" spans="3:5" ht="14.25" customHeight="1" x14ac:dyDescent="0.35">
      <c r="C655" s="126"/>
      <c r="E655" s="4"/>
    </row>
    <row r="656" spans="3:5" ht="14.25" customHeight="1" x14ac:dyDescent="0.35">
      <c r="C656" s="126"/>
      <c r="E656" s="4"/>
    </row>
    <row r="657" spans="3:5" ht="14.25" customHeight="1" x14ac:dyDescent="0.35">
      <c r="C657" s="126"/>
      <c r="E657" s="4"/>
    </row>
    <row r="658" spans="3:5" ht="14.25" customHeight="1" x14ac:dyDescent="0.35">
      <c r="C658" s="126"/>
      <c r="E658" s="4"/>
    </row>
    <row r="659" spans="3:5" ht="14.25" customHeight="1" x14ac:dyDescent="0.35">
      <c r="C659" s="126"/>
      <c r="E659" s="4"/>
    </row>
    <row r="660" spans="3:5" ht="14.25" customHeight="1" x14ac:dyDescent="0.35">
      <c r="C660" s="126"/>
      <c r="E660" s="4"/>
    </row>
    <row r="661" spans="3:5" ht="14.25" customHeight="1" x14ac:dyDescent="0.35">
      <c r="C661" s="126"/>
      <c r="E661" s="4"/>
    </row>
    <row r="662" spans="3:5" ht="14.25" customHeight="1" x14ac:dyDescent="0.35">
      <c r="C662" s="126"/>
      <c r="E662" s="4"/>
    </row>
    <row r="663" spans="3:5" ht="14.25" customHeight="1" x14ac:dyDescent="0.35">
      <c r="C663" s="126"/>
      <c r="E663" s="4"/>
    </row>
    <row r="664" spans="3:5" ht="14.25" customHeight="1" x14ac:dyDescent="0.35">
      <c r="C664" s="126"/>
      <c r="E664" s="4"/>
    </row>
    <row r="665" spans="3:5" ht="14.25" customHeight="1" x14ac:dyDescent="0.35">
      <c r="C665" s="126"/>
      <c r="E665" s="4"/>
    </row>
    <row r="666" spans="3:5" ht="14.25" customHeight="1" x14ac:dyDescent="0.35">
      <c r="C666" s="126"/>
      <c r="E666" s="4"/>
    </row>
    <row r="667" spans="3:5" ht="14.25" customHeight="1" x14ac:dyDescent="0.35">
      <c r="C667" s="126"/>
      <c r="E667" s="4"/>
    </row>
    <row r="668" spans="3:5" ht="14.25" customHeight="1" x14ac:dyDescent="0.35">
      <c r="C668" s="126"/>
      <c r="E668" s="4"/>
    </row>
    <row r="669" spans="3:5" ht="14.25" customHeight="1" x14ac:dyDescent="0.35">
      <c r="C669" s="126"/>
      <c r="E669" s="4"/>
    </row>
    <row r="670" spans="3:5" ht="14.25" customHeight="1" x14ac:dyDescent="0.35">
      <c r="C670" s="126"/>
      <c r="E670" s="4"/>
    </row>
    <row r="671" spans="3:5" ht="14.25" customHeight="1" x14ac:dyDescent="0.35">
      <c r="C671" s="126"/>
      <c r="E671" s="4"/>
    </row>
    <row r="672" spans="3:5" ht="14.25" customHeight="1" x14ac:dyDescent="0.35">
      <c r="C672" s="126"/>
      <c r="E672" s="4"/>
    </row>
    <row r="673" spans="3:5" ht="14.25" customHeight="1" x14ac:dyDescent="0.35">
      <c r="C673" s="126"/>
      <c r="E673" s="4"/>
    </row>
    <row r="674" spans="3:5" ht="14.25" customHeight="1" x14ac:dyDescent="0.35">
      <c r="C674" s="126"/>
      <c r="E674" s="4"/>
    </row>
    <row r="675" spans="3:5" ht="14.25" customHeight="1" x14ac:dyDescent="0.35">
      <c r="C675" s="126"/>
      <c r="E675" s="4"/>
    </row>
    <row r="676" spans="3:5" ht="14.25" customHeight="1" x14ac:dyDescent="0.35">
      <c r="C676" s="126"/>
      <c r="E676" s="4"/>
    </row>
    <row r="677" spans="3:5" ht="14.25" customHeight="1" x14ac:dyDescent="0.35">
      <c r="C677" s="126"/>
      <c r="E677" s="4"/>
    </row>
    <row r="678" spans="3:5" ht="14.25" customHeight="1" x14ac:dyDescent="0.35">
      <c r="C678" s="126"/>
      <c r="E678" s="4"/>
    </row>
    <row r="679" spans="3:5" ht="14.25" customHeight="1" x14ac:dyDescent="0.35">
      <c r="C679" s="126"/>
      <c r="E679" s="4"/>
    </row>
    <row r="680" spans="3:5" ht="14.25" customHeight="1" x14ac:dyDescent="0.35">
      <c r="C680" s="126"/>
      <c r="E680" s="4"/>
    </row>
    <row r="681" spans="3:5" ht="14.25" customHeight="1" x14ac:dyDescent="0.35">
      <c r="C681" s="126"/>
      <c r="E681" s="4"/>
    </row>
    <row r="682" spans="3:5" ht="14.25" customHeight="1" x14ac:dyDescent="0.35">
      <c r="C682" s="126"/>
      <c r="E682" s="4"/>
    </row>
    <row r="683" spans="3:5" ht="14.25" customHeight="1" x14ac:dyDescent="0.35">
      <c r="C683" s="126"/>
      <c r="E683" s="4"/>
    </row>
    <row r="684" spans="3:5" ht="14.25" customHeight="1" x14ac:dyDescent="0.35">
      <c r="C684" s="126"/>
      <c r="E684" s="4"/>
    </row>
    <row r="685" spans="3:5" ht="14.25" customHeight="1" x14ac:dyDescent="0.35">
      <c r="C685" s="126"/>
      <c r="E685" s="4"/>
    </row>
    <row r="686" spans="3:5" ht="14.25" customHeight="1" x14ac:dyDescent="0.35">
      <c r="C686" s="126"/>
      <c r="E686" s="4"/>
    </row>
    <row r="687" spans="3:5" ht="14.25" customHeight="1" x14ac:dyDescent="0.35">
      <c r="C687" s="126"/>
      <c r="E687" s="4"/>
    </row>
    <row r="688" spans="3:5" ht="14.25" customHeight="1" x14ac:dyDescent="0.35">
      <c r="C688" s="126"/>
      <c r="E688" s="4"/>
    </row>
    <row r="689" spans="3:5" ht="14.25" customHeight="1" x14ac:dyDescent="0.35">
      <c r="C689" s="126"/>
      <c r="E689" s="4"/>
    </row>
    <row r="690" spans="3:5" ht="14.25" customHeight="1" x14ac:dyDescent="0.35">
      <c r="C690" s="126"/>
      <c r="E690" s="4"/>
    </row>
    <row r="691" spans="3:5" ht="14.25" customHeight="1" x14ac:dyDescent="0.35">
      <c r="C691" s="126"/>
      <c r="E691" s="4"/>
    </row>
    <row r="692" spans="3:5" ht="14.25" customHeight="1" x14ac:dyDescent="0.35">
      <c r="C692" s="126"/>
      <c r="E692" s="4"/>
    </row>
    <row r="693" spans="3:5" ht="14.25" customHeight="1" x14ac:dyDescent="0.35">
      <c r="C693" s="126"/>
      <c r="E693" s="4"/>
    </row>
    <row r="694" spans="3:5" ht="14.25" customHeight="1" x14ac:dyDescent="0.35">
      <c r="C694" s="126"/>
      <c r="E694" s="4"/>
    </row>
    <row r="695" spans="3:5" ht="14.25" customHeight="1" x14ac:dyDescent="0.35">
      <c r="C695" s="126"/>
      <c r="E695" s="4"/>
    </row>
    <row r="696" spans="3:5" ht="14.25" customHeight="1" x14ac:dyDescent="0.35">
      <c r="C696" s="126"/>
      <c r="E696" s="4"/>
    </row>
    <row r="697" spans="3:5" ht="14.25" customHeight="1" x14ac:dyDescent="0.35">
      <c r="C697" s="126"/>
      <c r="E697" s="4"/>
    </row>
    <row r="698" spans="3:5" ht="14.25" customHeight="1" x14ac:dyDescent="0.35">
      <c r="C698" s="126"/>
      <c r="E698" s="4"/>
    </row>
    <row r="699" spans="3:5" ht="14.25" customHeight="1" x14ac:dyDescent="0.35">
      <c r="C699" s="126"/>
      <c r="E699" s="4"/>
    </row>
    <row r="700" spans="3:5" ht="14.25" customHeight="1" x14ac:dyDescent="0.35">
      <c r="C700" s="126"/>
      <c r="E700" s="4"/>
    </row>
    <row r="701" spans="3:5" ht="14.25" customHeight="1" x14ac:dyDescent="0.35">
      <c r="C701" s="126"/>
      <c r="E701" s="4"/>
    </row>
    <row r="702" spans="3:5" ht="14.25" customHeight="1" x14ac:dyDescent="0.35">
      <c r="C702" s="126"/>
      <c r="E702" s="4"/>
    </row>
    <row r="703" spans="3:5" ht="14.25" customHeight="1" x14ac:dyDescent="0.35">
      <c r="C703" s="126"/>
      <c r="E703" s="4"/>
    </row>
    <row r="704" spans="3:5" ht="14.25" customHeight="1" x14ac:dyDescent="0.35">
      <c r="C704" s="126"/>
      <c r="E704" s="4"/>
    </row>
    <row r="705" spans="3:5" ht="14.25" customHeight="1" x14ac:dyDescent="0.35">
      <c r="C705" s="126"/>
      <c r="E705" s="4"/>
    </row>
    <row r="706" spans="3:5" ht="14.25" customHeight="1" x14ac:dyDescent="0.35">
      <c r="C706" s="126"/>
      <c r="E706" s="4"/>
    </row>
    <row r="707" spans="3:5" ht="14.25" customHeight="1" x14ac:dyDescent="0.35">
      <c r="C707" s="126"/>
      <c r="E707" s="4"/>
    </row>
    <row r="708" spans="3:5" ht="14.25" customHeight="1" x14ac:dyDescent="0.35">
      <c r="C708" s="126"/>
      <c r="E708" s="4"/>
    </row>
    <row r="709" spans="3:5" ht="14.25" customHeight="1" x14ac:dyDescent="0.35">
      <c r="C709" s="126"/>
      <c r="E709" s="4"/>
    </row>
    <row r="710" spans="3:5" ht="14.25" customHeight="1" x14ac:dyDescent="0.35">
      <c r="C710" s="126"/>
      <c r="E710" s="4"/>
    </row>
    <row r="711" spans="3:5" ht="14.25" customHeight="1" x14ac:dyDescent="0.35">
      <c r="C711" s="126"/>
      <c r="E711" s="4"/>
    </row>
    <row r="712" spans="3:5" ht="14.25" customHeight="1" x14ac:dyDescent="0.35">
      <c r="C712" s="126"/>
      <c r="E712" s="4"/>
    </row>
    <row r="713" spans="3:5" ht="14.25" customHeight="1" x14ac:dyDescent="0.35">
      <c r="C713" s="126"/>
      <c r="E713" s="4"/>
    </row>
    <row r="714" spans="3:5" ht="14.25" customHeight="1" x14ac:dyDescent="0.35">
      <c r="C714" s="126"/>
      <c r="E714" s="4"/>
    </row>
    <row r="715" spans="3:5" ht="14.25" customHeight="1" x14ac:dyDescent="0.35">
      <c r="C715" s="126"/>
      <c r="E715" s="4"/>
    </row>
    <row r="716" spans="3:5" ht="14.25" customHeight="1" x14ac:dyDescent="0.35">
      <c r="C716" s="126"/>
      <c r="E716" s="4"/>
    </row>
    <row r="717" spans="3:5" ht="14.25" customHeight="1" x14ac:dyDescent="0.35">
      <c r="C717" s="126"/>
      <c r="E717" s="4"/>
    </row>
    <row r="718" spans="3:5" ht="14.25" customHeight="1" x14ac:dyDescent="0.35">
      <c r="C718" s="126"/>
      <c r="E718" s="4"/>
    </row>
    <row r="719" spans="3:5" ht="14.25" customHeight="1" x14ac:dyDescent="0.35">
      <c r="C719" s="126"/>
      <c r="E719" s="4"/>
    </row>
    <row r="720" spans="3:5" ht="14.25" customHeight="1" x14ac:dyDescent="0.35">
      <c r="C720" s="126"/>
      <c r="E720" s="4"/>
    </row>
    <row r="721" spans="3:5" ht="14.25" customHeight="1" x14ac:dyDescent="0.35">
      <c r="C721" s="126"/>
      <c r="E721" s="4"/>
    </row>
    <row r="722" spans="3:5" ht="14.25" customHeight="1" x14ac:dyDescent="0.35">
      <c r="C722" s="126"/>
      <c r="E722" s="4"/>
    </row>
    <row r="723" spans="3:5" ht="14.25" customHeight="1" x14ac:dyDescent="0.35">
      <c r="C723" s="126"/>
      <c r="E723" s="4"/>
    </row>
    <row r="724" spans="3:5" ht="14.25" customHeight="1" x14ac:dyDescent="0.35">
      <c r="C724" s="126"/>
      <c r="E724" s="4"/>
    </row>
    <row r="725" spans="3:5" ht="14.25" customHeight="1" x14ac:dyDescent="0.35">
      <c r="C725" s="126"/>
      <c r="E725" s="4"/>
    </row>
    <row r="726" spans="3:5" ht="14.25" customHeight="1" x14ac:dyDescent="0.35">
      <c r="C726" s="126"/>
      <c r="E726" s="4"/>
    </row>
    <row r="727" spans="3:5" ht="14.25" customHeight="1" x14ac:dyDescent="0.35">
      <c r="C727" s="126"/>
      <c r="E727" s="4"/>
    </row>
    <row r="728" spans="3:5" ht="14.25" customHeight="1" x14ac:dyDescent="0.35">
      <c r="C728" s="126"/>
      <c r="E728" s="4"/>
    </row>
    <row r="729" spans="3:5" ht="14.25" customHeight="1" x14ac:dyDescent="0.35">
      <c r="C729" s="126"/>
      <c r="E729" s="4"/>
    </row>
    <row r="730" spans="3:5" ht="14.25" customHeight="1" x14ac:dyDescent="0.35">
      <c r="C730" s="126"/>
      <c r="E730" s="4"/>
    </row>
    <row r="731" spans="3:5" ht="14.25" customHeight="1" x14ac:dyDescent="0.35">
      <c r="C731" s="126"/>
      <c r="E731" s="4"/>
    </row>
    <row r="732" spans="3:5" ht="14.25" customHeight="1" x14ac:dyDescent="0.35">
      <c r="C732" s="126"/>
      <c r="E732" s="4"/>
    </row>
    <row r="733" spans="3:5" ht="14.25" customHeight="1" x14ac:dyDescent="0.35">
      <c r="C733" s="126"/>
      <c r="E733" s="4"/>
    </row>
    <row r="734" spans="3:5" ht="14.25" customHeight="1" x14ac:dyDescent="0.35">
      <c r="C734" s="126"/>
      <c r="E734" s="4"/>
    </row>
    <row r="735" spans="3:5" ht="14.25" customHeight="1" x14ac:dyDescent="0.35">
      <c r="C735" s="126"/>
      <c r="E735" s="4"/>
    </row>
    <row r="736" spans="3:5" ht="14.25" customHeight="1" x14ac:dyDescent="0.35">
      <c r="C736" s="126"/>
      <c r="E736" s="4"/>
    </row>
    <row r="737" spans="3:5" ht="14.25" customHeight="1" x14ac:dyDescent="0.35">
      <c r="C737" s="126"/>
      <c r="E737" s="4"/>
    </row>
    <row r="738" spans="3:5" ht="14.25" customHeight="1" x14ac:dyDescent="0.35">
      <c r="C738" s="126"/>
      <c r="E738" s="4"/>
    </row>
    <row r="739" spans="3:5" ht="14.25" customHeight="1" x14ac:dyDescent="0.35">
      <c r="C739" s="126"/>
      <c r="E739" s="4"/>
    </row>
    <row r="740" spans="3:5" ht="14.25" customHeight="1" x14ac:dyDescent="0.35">
      <c r="C740" s="126"/>
      <c r="E740" s="4"/>
    </row>
    <row r="741" spans="3:5" ht="14.25" customHeight="1" x14ac:dyDescent="0.35">
      <c r="C741" s="126"/>
      <c r="E741" s="4"/>
    </row>
    <row r="742" spans="3:5" ht="14.25" customHeight="1" x14ac:dyDescent="0.35">
      <c r="C742" s="126"/>
      <c r="E742" s="4"/>
    </row>
    <row r="743" spans="3:5" ht="14.25" customHeight="1" x14ac:dyDescent="0.35">
      <c r="C743" s="126"/>
      <c r="E743" s="4"/>
    </row>
    <row r="744" spans="3:5" ht="14.25" customHeight="1" x14ac:dyDescent="0.35">
      <c r="C744" s="126"/>
      <c r="E744" s="4"/>
    </row>
    <row r="745" spans="3:5" ht="14.25" customHeight="1" x14ac:dyDescent="0.35">
      <c r="C745" s="126"/>
      <c r="E745" s="4"/>
    </row>
    <row r="746" spans="3:5" ht="14.25" customHeight="1" x14ac:dyDescent="0.35">
      <c r="C746" s="126"/>
      <c r="E746" s="4"/>
    </row>
    <row r="747" spans="3:5" ht="14.25" customHeight="1" x14ac:dyDescent="0.35">
      <c r="C747" s="126"/>
      <c r="E747" s="4"/>
    </row>
    <row r="748" spans="3:5" ht="14.25" customHeight="1" x14ac:dyDescent="0.35">
      <c r="C748" s="126"/>
      <c r="E748" s="4"/>
    </row>
    <row r="749" spans="3:5" ht="14.25" customHeight="1" x14ac:dyDescent="0.35">
      <c r="C749" s="126"/>
      <c r="E749" s="4"/>
    </row>
    <row r="750" spans="3:5" ht="14.25" customHeight="1" x14ac:dyDescent="0.35">
      <c r="C750" s="126"/>
      <c r="E750" s="4"/>
    </row>
    <row r="751" spans="3:5" ht="14.25" customHeight="1" x14ac:dyDescent="0.35">
      <c r="C751" s="126"/>
      <c r="E751" s="4"/>
    </row>
    <row r="752" spans="3:5" ht="14.25" customHeight="1" x14ac:dyDescent="0.35">
      <c r="C752" s="126"/>
      <c r="E752" s="4"/>
    </row>
    <row r="753" spans="3:5" ht="14.25" customHeight="1" x14ac:dyDescent="0.35">
      <c r="C753" s="126"/>
      <c r="E753" s="4"/>
    </row>
    <row r="754" spans="3:5" ht="14.25" customHeight="1" x14ac:dyDescent="0.35">
      <c r="C754" s="126"/>
      <c r="E754" s="4"/>
    </row>
    <row r="755" spans="3:5" ht="14.25" customHeight="1" x14ac:dyDescent="0.35">
      <c r="C755" s="126"/>
      <c r="E755" s="4"/>
    </row>
    <row r="756" spans="3:5" ht="14.25" customHeight="1" x14ac:dyDescent="0.35">
      <c r="C756" s="126"/>
      <c r="E756" s="4"/>
    </row>
    <row r="757" spans="3:5" ht="14.25" customHeight="1" x14ac:dyDescent="0.35">
      <c r="C757" s="126"/>
      <c r="E757" s="4"/>
    </row>
    <row r="758" spans="3:5" ht="14.25" customHeight="1" x14ac:dyDescent="0.35">
      <c r="C758" s="126"/>
      <c r="E758" s="4"/>
    </row>
    <row r="759" spans="3:5" ht="14.25" customHeight="1" x14ac:dyDescent="0.35">
      <c r="C759" s="126"/>
      <c r="E759" s="4"/>
    </row>
    <row r="760" spans="3:5" ht="14.25" customHeight="1" x14ac:dyDescent="0.35">
      <c r="C760" s="126"/>
      <c r="E760" s="4"/>
    </row>
    <row r="761" spans="3:5" ht="14.25" customHeight="1" x14ac:dyDescent="0.35">
      <c r="C761" s="126"/>
      <c r="E761" s="4"/>
    </row>
    <row r="762" spans="3:5" ht="14.25" customHeight="1" x14ac:dyDescent="0.35">
      <c r="C762" s="126"/>
      <c r="E762" s="4"/>
    </row>
    <row r="763" spans="3:5" ht="14.25" customHeight="1" x14ac:dyDescent="0.35">
      <c r="C763" s="126"/>
      <c r="E763" s="4"/>
    </row>
    <row r="764" spans="3:5" ht="14.25" customHeight="1" x14ac:dyDescent="0.35">
      <c r="C764" s="126"/>
      <c r="E764" s="4"/>
    </row>
    <row r="765" spans="3:5" ht="14.25" customHeight="1" x14ac:dyDescent="0.35">
      <c r="C765" s="126"/>
      <c r="E765" s="4"/>
    </row>
    <row r="766" spans="3:5" ht="14.25" customHeight="1" x14ac:dyDescent="0.35">
      <c r="C766" s="126"/>
      <c r="E766" s="4"/>
    </row>
    <row r="767" spans="3:5" ht="14.25" customHeight="1" x14ac:dyDescent="0.35">
      <c r="C767" s="126"/>
      <c r="E767" s="4"/>
    </row>
    <row r="768" spans="3:5" ht="14.25" customHeight="1" x14ac:dyDescent="0.35">
      <c r="C768" s="126"/>
      <c r="E768" s="4"/>
    </row>
    <row r="769" spans="3:5" ht="14.25" customHeight="1" x14ac:dyDescent="0.35">
      <c r="C769" s="126"/>
      <c r="E769" s="4"/>
    </row>
    <row r="770" spans="3:5" ht="14.25" customHeight="1" x14ac:dyDescent="0.35">
      <c r="C770" s="126"/>
      <c r="E770" s="4"/>
    </row>
    <row r="771" spans="3:5" ht="14.25" customHeight="1" x14ac:dyDescent="0.35">
      <c r="C771" s="126"/>
      <c r="E771" s="4"/>
    </row>
    <row r="772" spans="3:5" ht="14.25" customHeight="1" x14ac:dyDescent="0.35">
      <c r="C772" s="126"/>
      <c r="E772" s="4"/>
    </row>
    <row r="773" spans="3:5" ht="14.25" customHeight="1" x14ac:dyDescent="0.35">
      <c r="C773" s="126"/>
      <c r="E773" s="4"/>
    </row>
    <row r="774" spans="3:5" ht="14.25" customHeight="1" x14ac:dyDescent="0.35">
      <c r="C774" s="126"/>
      <c r="E774" s="4"/>
    </row>
    <row r="775" spans="3:5" ht="14.25" customHeight="1" x14ac:dyDescent="0.35">
      <c r="C775" s="126"/>
      <c r="E775" s="4"/>
    </row>
    <row r="776" spans="3:5" ht="14.25" customHeight="1" x14ac:dyDescent="0.35">
      <c r="C776" s="126"/>
      <c r="E776" s="4"/>
    </row>
    <row r="777" spans="3:5" ht="14.25" customHeight="1" x14ac:dyDescent="0.35">
      <c r="C777" s="126"/>
      <c r="E777" s="4"/>
    </row>
    <row r="778" spans="3:5" ht="14.25" customHeight="1" x14ac:dyDescent="0.35">
      <c r="C778" s="126"/>
      <c r="E778" s="4"/>
    </row>
    <row r="779" spans="3:5" ht="14.25" customHeight="1" x14ac:dyDescent="0.35">
      <c r="C779" s="126"/>
      <c r="E779" s="4"/>
    </row>
    <row r="780" spans="3:5" ht="14.25" customHeight="1" x14ac:dyDescent="0.35">
      <c r="C780" s="126"/>
      <c r="E780" s="4"/>
    </row>
    <row r="781" spans="3:5" ht="14.25" customHeight="1" x14ac:dyDescent="0.35">
      <c r="C781" s="126"/>
      <c r="E781" s="4"/>
    </row>
    <row r="782" spans="3:5" ht="14.25" customHeight="1" x14ac:dyDescent="0.35">
      <c r="C782" s="126"/>
      <c r="E782" s="4"/>
    </row>
    <row r="783" spans="3:5" ht="14.25" customHeight="1" x14ac:dyDescent="0.35">
      <c r="C783" s="126"/>
      <c r="E783" s="4"/>
    </row>
    <row r="784" spans="3:5" ht="14.25" customHeight="1" x14ac:dyDescent="0.35">
      <c r="C784" s="126"/>
      <c r="E784" s="4"/>
    </row>
    <row r="785" spans="3:5" ht="14.25" customHeight="1" x14ac:dyDescent="0.35">
      <c r="C785" s="126"/>
      <c r="E785" s="4"/>
    </row>
    <row r="786" spans="3:5" ht="14.25" customHeight="1" x14ac:dyDescent="0.35">
      <c r="C786" s="126"/>
      <c r="E786" s="4"/>
    </row>
    <row r="787" spans="3:5" ht="14.25" customHeight="1" x14ac:dyDescent="0.35">
      <c r="C787" s="126"/>
      <c r="E787" s="4"/>
    </row>
    <row r="788" spans="3:5" ht="14.25" customHeight="1" x14ac:dyDescent="0.35">
      <c r="C788" s="126"/>
      <c r="E788" s="4"/>
    </row>
    <row r="789" spans="3:5" ht="14.25" customHeight="1" x14ac:dyDescent="0.35">
      <c r="C789" s="126"/>
      <c r="E789" s="4"/>
    </row>
    <row r="790" spans="3:5" ht="14.25" customHeight="1" x14ac:dyDescent="0.35">
      <c r="C790" s="126"/>
      <c r="E790" s="4"/>
    </row>
    <row r="791" spans="3:5" ht="14.25" customHeight="1" x14ac:dyDescent="0.35">
      <c r="C791" s="126"/>
      <c r="E791" s="4"/>
    </row>
    <row r="792" spans="3:5" ht="14.25" customHeight="1" x14ac:dyDescent="0.35">
      <c r="C792" s="126"/>
      <c r="E792" s="4"/>
    </row>
    <row r="793" spans="3:5" ht="14.25" customHeight="1" x14ac:dyDescent="0.35">
      <c r="C793" s="126"/>
      <c r="E793" s="4"/>
    </row>
    <row r="794" spans="3:5" ht="14.25" customHeight="1" x14ac:dyDescent="0.35">
      <c r="C794" s="126"/>
      <c r="E794" s="4"/>
    </row>
    <row r="795" spans="3:5" ht="14.25" customHeight="1" x14ac:dyDescent="0.35">
      <c r="C795" s="126"/>
      <c r="E795" s="4"/>
    </row>
    <row r="796" spans="3:5" ht="14.25" customHeight="1" x14ac:dyDescent="0.35">
      <c r="C796" s="126"/>
      <c r="E796" s="4"/>
    </row>
    <row r="797" spans="3:5" ht="14.25" customHeight="1" x14ac:dyDescent="0.35">
      <c r="C797" s="126"/>
      <c r="E797" s="4"/>
    </row>
    <row r="798" spans="3:5" ht="14.25" customHeight="1" x14ac:dyDescent="0.35">
      <c r="C798" s="126"/>
      <c r="E798" s="4"/>
    </row>
    <row r="799" spans="3:5" ht="14.25" customHeight="1" x14ac:dyDescent="0.35">
      <c r="C799" s="126"/>
      <c r="E799" s="4"/>
    </row>
    <row r="800" spans="3:5" ht="14.25" customHeight="1" x14ac:dyDescent="0.35">
      <c r="C800" s="126"/>
      <c r="E800" s="4"/>
    </row>
    <row r="801" spans="3:5" ht="14.25" customHeight="1" x14ac:dyDescent="0.35">
      <c r="C801" s="126"/>
      <c r="E801" s="4"/>
    </row>
    <row r="802" spans="3:5" ht="14.25" customHeight="1" x14ac:dyDescent="0.35">
      <c r="C802" s="126"/>
      <c r="E802" s="4"/>
    </row>
    <row r="803" spans="3:5" ht="14.25" customHeight="1" x14ac:dyDescent="0.35">
      <c r="C803" s="126"/>
      <c r="E803" s="4"/>
    </row>
    <row r="804" spans="3:5" ht="14.25" customHeight="1" x14ac:dyDescent="0.35">
      <c r="C804" s="126"/>
      <c r="E804" s="4"/>
    </row>
    <row r="805" spans="3:5" ht="14.25" customHeight="1" x14ac:dyDescent="0.35">
      <c r="C805" s="126"/>
      <c r="E805" s="4"/>
    </row>
    <row r="806" spans="3:5" ht="14.25" customHeight="1" x14ac:dyDescent="0.35">
      <c r="C806" s="126"/>
      <c r="E806" s="4"/>
    </row>
    <row r="807" spans="3:5" ht="14.25" customHeight="1" x14ac:dyDescent="0.35">
      <c r="C807" s="126"/>
      <c r="E807" s="4"/>
    </row>
    <row r="808" spans="3:5" ht="14.25" customHeight="1" x14ac:dyDescent="0.35">
      <c r="C808" s="126"/>
      <c r="E808" s="4"/>
    </row>
    <row r="809" spans="3:5" ht="14.25" customHeight="1" x14ac:dyDescent="0.35">
      <c r="C809" s="126"/>
      <c r="E809" s="4"/>
    </row>
    <row r="810" spans="3:5" ht="14.25" customHeight="1" x14ac:dyDescent="0.35">
      <c r="C810" s="126"/>
      <c r="E810" s="4"/>
    </row>
    <row r="811" spans="3:5" ht="14.25" customHeight="1" x14ac:dyDescent="0.35">
      <c r="C811" s="126"/>
      <c r="E811" s="4"/>
    </row>
    <row r="812" spans="3:5" ht="14.25" customHeight="1" x14ac:dyDescent="0.35">
      <c r="C812" s="126"/>
      <c r="E812" s="4"/>
    </row>
    <row r="813" spans="3:5" ht="14.25" customHeight="1" x14ac:dyDescent="0.35">
      <c r="C813" s="126"/>
      <c r="E813" s="4"/>
    </row>
    <row r="814" spans="3:5" ht="14.25" customHeight="1" x14ac:dyDescent="0.35">
      <c r="C814" s="126"/>
      <c r="E814" s="4"/>
    </row>
    <row r="815" spans="3:5" ht="14.25" customHeight="1" x14ac:dyDescent="0.35">
      <c r="C815" s="126"/>
      <c r="E815" s="4"/>
    </row>
    <row r="816" spans="3:5" ht="14.25" customHeight="1" x14ac:dyDescent="0.35">
      <c r="C816" s="126"/>
      <c r="E816" s="4"/>
    </row>
    <row r="817" spans="3:5" ht="14.25" customHeight="1" x14ac:dyDescent="0.35">
      <c r="C817" s="126"/>
      <c r="E817" s="4"/>
    </row>
    <row r="818" spans="3:5" ht="14.25" customHeight="1" x14ac:dyDescent="0.35">
      <c r="C818" s="126"/>
      <c r="E818" s="4"/>
    </row>
    <row r="819" spans="3:5" ht="14.25" customHeight="1" x14ac:dyDescent="0.35">
      <c r="C819" s="126"/>
      <c r="E819" s="4"/>
    </row>
    <row r="820" spans="3:5" ht="14.25" customHeight="1" x14ac:dyDescent="0.35">
      <c r="C820" s="126"/>
      <c r="E820" s="4"/>
    </row>
    <row r="821" spans="3:5" ht="14.25" customHeight="1" x14ac:dyDescent="0.35">
      <c r="C821" s="126"/>
      <c r="E821" s="4"/>
    </row>
    <row r="822" spans="3:5" ht="14.25" customHeight="1" x14ac:dyDescent="0.35">
      <c r="C822" s="126"/>
      <c r="E822" s="4"/>
    </row>
    <row r="823" spans="3:5" ht="14.25" customHeight="1" x14ac:dyDescent="0.35">
      <c r="C823" s="126"/>
      <c r="E823" s="4"/>
    </row>
    <row r="824" spans="3:5" ht="14.25" customHeight="1" x14ac:dyDescent="0.35">
      <c r="C824" s="126"/>
      <c r="E824" s="4"/>
    </row>
    <row r="825" spans="3:5" ht="14.25" customHeight="1" x14ac:dyDescent="0.35">
      <c r="C825" s="126"/>
      <c r="E825" s="4"/>
    </row>
    <row r="826" spans="3:5" ht="14.25" customHeight="1" x14ac:dyDescent="0.35">
      <c r="C826" s="126"/>
      <c r="E826" s="4"/>
    </row>
    <row r="827" spans="3:5" ht="14.25" customHeight="1" x14ac:dyDescent="0.35">
      <c r="C827" s="126"/>
      <c r="E827" s="4"/>
    </row>
    <row r="828" spans="3:5" ht="14.25" customHeight="1" x14ac:dyDescent="0.35">
      <c r="C828" s="126"/>
      <c r="E828" s="4"/>
    </row>
    <row r="829" spans="3:5" ht="14.25" customHeight="1" x14ac:dyDescent="0.35">
      <c r="C829" s="126"/>
      <c r="E829" s="4"/>
    </row>
    <row r="830" spans="3:5" ht="14.25" customHeight="1" x14ac:dyDescent="0.35">
      <c r="C830" s="126"/>
      <c r="E830" s="4"/>
    </row>
    <row r="831" spans="3:5" ht="14.25" customHeight="1" x14ac:dyDescent="0.35">
      <c r="C831" s="126"/>
      <c r="E831" s="4"/>
    </row>
    <row r="832" spans="3:5" ht="14.25" customHeight="1" x14ac:dyDescent="0.35">
      <c r="C832" s="126"/>
      <c r="E832" s="4"/>
    </row>
    <row r="833" spans="3:5" ht="14.25" customHeight="1" x14ac:dyDescent="0.35">
      <c r="C833" s="126"/>
      <c r="E833" s="4"/>
    </row>
    <row r="834" spans="3:5" ht="14.25" customHeight="1" x14ac:dyDescent="0.35">
      <c r="C834" s="126"/>
      <c r="E834" s="4"/>
    </row>
    <row r="835" spans="3:5" ht="14.25" customHeight="1" x14ac:dyDescent="0.35">
      <c r="C835" s="126"/>
      <c r="E835" s="4"/>
    </row>
    <row r="836" spans="3:5" ht="14.25" customHeight="1" x14ac:dyDescent="0.35">
      <c r="C836" s="126"/>
      <c r="E836" s="4"/>
    </row>
    <row r="837" spans="3:5" ht="14.25" customHeight="1" x14ac:dyDescent="0.35">
      <c r="C837" s="126"/>
      <c r="E837" s="4"/>
    </row>
    <row r="838" spans="3:5" ht="14.25" customHeight="1" x14ac:dyDescent="0.35">
      <c r="C838" s="126"/>
      <c r="E838" s="4"/>
    </row>
    <row r="839" spans="3:5" ht="14.25" customHeight="1" x14ac:dyDescent="0.35">
      <c r="C839" s="126"/>
      <c r="E839" s="4"/>
    </row>
    <row r="840" spans="3:5" ht="14.25" customHeight="1" x14ac:dyDescent="0.35">
      <c r="C840" s="126"/>
      <c r="E840" s="4"/>
    </row>
    <row r="841" spans="3:5" ht="14.25" customHeight="1" x14ac:dyDescent="0.35">
      <c r="C841" s="126"/>
      <c r="E841" s="4"/>
    </row>
    <row r="842" spans="3:5" ht="14.25" customHeight="1" x14ac:dyDescent="0.35">
      <c r="C842" s="126"/>
      <c r="E842" s="4"/>
    </row>
    <row r="843" spans="3:5" ht="14.25" customHeight="1" x14ac:dyDescent="0.35">
      <c r="C843" s="126"/>
      <c r="E843" s="4"/>
    </row>
    <row r="844" spans="3:5" ht="14.25" customHeight="1" x14ac:dyDescent="0.35">
      <c r="C844" s="126"/>
      <c r="E844" s="4"/>
    </row>
    <row r="845" spans="3:5" ht="14.25" customHeight="1" x14ac:dyDescent="0.35">
      <c r="C845" s="126"/>
      <c r="E845" s="4"/>
    </row>
    <row r="846" spans="3:5" ht="14.25" customHeight="1" x14ac:dyDescent="0.35">
      <c r="C846" s="126"/>
      <c r="E846" s="4"/>
    </row>
    <row r="847" spans="3:5" ht="14.25" customHeight="1" x14ac:dyDescent="0.35">
      <c r="C847" s="126"/>
      <c r="E847" s="4"/>
    </row>
    <row r="848" spans="3:5" ht="14.25" customHeight="1" x14ac:dyDescent="0.35">
      <c r="C848" s="126"/>
      <c r="E848" s="4"/>
    </row>
    <row r="849" spans="3:5" ht="14.25" customHeight="1" x14ac:dyDescent="0.35">
      <c r="C849" s="126"/>
      <c r="E849" s="4"/>
    </row>
    <row r="850" spans="3:5" ht="14.25" customHeight="1" x14ac:dyDescent="0.35">
      <c r="C850" s="126"/>
      <c r="E850" s="4"/>
    </row>
    <row r="851" spans="3:5" ht="14.25" customHeight="1" x14ac:dyDescent="0.35">
      <c r="C851" s="126"/>
      <c r="E851" s="4"/>
    </row>
    <row r="852" spans="3:5" ht="14.25" customHeight="1" x14ac:dyDescent="0.35">
      <c r="C852" s="126"/>
      <c r="E852" s="4"/>
    </row>
    <row r="853" spans="3:5" ht="14.25" customHeight="1" x14ac:dyDescent="0.35">
      <c r="C853" s="126"/>
      <c r="E853" s="4"/>
    </row>
    <row r="854" spans="3:5" ht="14.25" customHeight="1" x14ac:dyDescent="0.35">
      <c r="C854" s="126"/>
      <c r="E854" s="4"/>
    </row>
    <row r="855" spans="3:5" ht="14.25" customHeight="1" x14ac:dyDescent="0.35">
      <c r="C855" s="126"/>
      <c r="E855" s="4"/>
    </row>
    <row r="856" spans="3:5" ht="14.25" customHeight="1" x14ac:dyDescent="0.35">
      <c r="C856" s="126"/>
      <c r="E856" s="4"/>
    </row>
    <row r="857" spans="3:5" ht="14.25" customHeight="1" x14ac:dyDescent="0.35">
      <c r="C857" s="126"/>
      <c r="E857" s="4"/>
    </row>
    <row r="858" spans="3:5" ht="14.25" customHeight="1" x14ac:dyDescent="0.35">
      <c r="C858" s="126"/>
      <c r="E858" s="4"/>
    </row>
    <row r="859" spans="3:5" ht="14.25" customHeight="1" x14ac:dyDescent="0.35">
      <c r="C859" s="126"/>
      <c r="E859" s="4"/>
    </row>
    <row r="860" spans="3:5" ht="14.25" customHeight="1" x14ac:dyDescent="0.35">
      <c r="C860" s="126"/>
      <c r="E860" s="4"/>
    </row>
    <row r="861" spans="3:5" ht="14.25" customHeight="1" x14ac:dyDescent="0.35">
      <c r="C861" s="126"/>
      <c r="E861" s="4"/>
    </row>
    <row r="862" spans="3:5" ht="14.25" customHeight="1" x14ac:dyDescent="0.35">
      <c r="C862" s="126"/>
      <c r="E862" s="4"/>
    </row>
    <row r="863" spans="3:5" ht="14.25" customHeight="1" x14ac:dyDescent="0.35">
      <c r="C863" s="126"/>
      <c r="E863" s="4"/>
    </row>
    <row r="864" spans="3:5" ht="14.25" customHeight="1" x14ac:dyDescent="0.35">
      <c r="C864" s="126"/>
      <c r="E864" s="4"/>
    </row>
    <row r="865" spans="3:5" ht="14.25" customHeight="1" x14ac:dyDescent="0.35">
      <c r="C865" s="126"/>
      <c r="E865" s="4"/>
    </row>
    <row r="866" spans="3:5" ht="14.25" customHeight="1" x14ac:dyDescent="0.35">
      <c r="C866" s="126"/>
      <c r="E866" s="4"/>
    </row>
    <row r="867" spans="3:5" ht="14.25" customHeight="1" x14ac:dyDescent="0.35">
      <c r="C867" s="126"/>
      <c r="E867" s="4"/>
    </row>
    <row r="868" spans="3:5" ht="14.25" customHeight="1" x14ac:dyDescent="0.35">
      <c r="C868" s="126"/>
      <c r="E868" s="4"/>
    </row>
    <row r="869" spans="3:5" ht="14.25" customHeight="1" x14ac:dyDescent="0.35">
      <c r="C869" s="126"/>
      <c r="E869" s="4"/>
    </row>
    <row r="870" spans="3:5" ht="14.25" customHeight="1" x14ac:dyDescent="0.35">
      <c r="C870" s="126"/>
      <c r="E870" s="4"/>
    </row>
    <row r="871" spans="3:5" ht="14.25" customHeight="1" x14ac:dyDescent="0.35">
      <c r="C871" s="126"/>
      <c r="E871" s="4"/>
    </row>
    <row r="872" spans="3:5" ht="14.25" customHeight="1" x14ac:dyDescent="0.35">
      <c r="C872" s="126"/>
      <c r="E872" s="4"/>
    </row>
    <row r="873" spans="3:5" ht="14.25" customHeight="1" x14ac:dyDescent="0.35">
      <c r="C873" s="126"/>
      <c r="E873" s="4"/>
    </row>
    <row r="874" spans="3:5" ht="14.25" customHeight="1" x14ac:dyDescent="0.35">
      <c r="C874" s="126"/>
      <c r="E874" s="4"/>
    </row>
    <row r="875" spans="3:5" ht="14.25" customHeight="1" x14ac:dyDescent="0.35">
      <c r="C875" s="126"/>
      <c r="E875" s="4"/>
    </row>
    <row r="876" spans="3:5" ht="14.25" customHeight="1" x14ac:dyDescent="0.35">
      <c r="C876" s="126"/>
      <c r="E876" s="4"/>
    </row>
    <row r="877" spans="3:5" ht="14.25" customHeight="1" x14ac:dyDescent="0.35">
      <c r="C877" s="126"/>
      <c r="E877" s="4"/>
    </row>
    <row r="878" spans="3:5" ht="14.25" customHeight="1" x14ac:dyDescent="0.35">
      <c r="C878" s="126"/>
      <c r="E878" s="4"/>
    </row>
    <row r="879" spans="3:5" ht="14.25" customHeight="1" x14ac:dyDescent="0.35">
      <c r="C879" s="126"/>
      <c r="E879" s="4"/>
    </row>
    <row r="880" spans="3:5" ht="14.25" customHeight="1" x14ac:dyDescent="0.35">
      <c r="C880" s="126"/>
      <c r="E880" s="4"/>
    </row>
    <row r="881" spans="3:5" ht="14.25" customHeight="1" x14ac:dyDescent="0.35">
      <c r="C881" s="126"/>
      <c r="E881" s="4"/>
    </row>
    <row r="882" spans="3:5" ht="14.25" customHeight="1" x14ac:dyDescent="0.35">
      <c r="C882" s="126"/>
      <c r="E882" s="4"/>
    </row>
    <row r="883" spans="3:5" ht="14.25" customHeight="1" x14ac:dyDescent="0.35">
      <c r="C883" s="126"/>
      <c r="E883" s="4"/>
    </row>
    <row r="884" spans="3:5" ht="14.25" customHeight="1" x14ac:dyDescent="0.35">
      <c r="C884" s="126"/>
      <c r="E884" s="4"/>
    </row>
    <row r="885" spans="3:5" ht="14.25" customHeight="1" x14ac:dyDescent="0.35">
      <c r="C885" s="126"/>
      <c r="E885" s="4"/>
    </row>
    <row r="886" spans="3:5" ht="14.25" customHeight="1" x14ac:dyDescent="0.35">
      <c r="C886" s="126"/>
      <c r="E886" s="4"/>
    </row>
    <row r="887" spans="3:5" ht="14.25" customHeight="1" x14ac:dyDescent="0.35">
      <c r="C887" s="126"/>
      <c r="E887" s="4"/>
    </row>
    <row r="888" spans="3:5" ht="14.25" customHeight="1" x14ac:dyDescent="0.35">
      <c r="C888" s="126"/>
      <c r="E888" s="4"/>
    </row>
    <row r="889" spans="3:5" ht="14.25" customHeight="1" x14ac:dyDescent="0.35">
      <c r="C889" s="126"/>
      <c r="E889" s="4"/>
    </row>
    <row r="890" spans="3:5" ht="14.25" customHeight="1" x14ac:dyDescent="0.35">
      <c r="C890" s="126"/>
      <c r="E890" s="4"/>
    </row>
    <row r="891" spans="3:5" ht="14.25" customHeight="1" x14ac:dyDescent="0.35">
      <c r="C891" s="126"/>
      <c r="E891" s="4"/>
    </row>
    <row r="892" spans="3:5" ht="14.25" customHeight="1" x14ac:dyDescent="0.35">
      <c r="C892" s="126"/>
      <c r="E892" s="4"/>
    </row>
    <row r="893" spans="3:5" ht="14.25" customHeight="1" x14ac:dyDescent="0.35">
      <c r="C893" s="126"/>
      <c r="E893" s="4"/>
    </row>
    <row r="894" spans="3:5" ht="14.25" customHeight="1" x14ac:dyDescent="0.35">
      <c r="C894" s="126"/>
      <c r="E894" s="4"/>
    </row>
    <row r="895" spans="3:5" ht="14.25" customHeight="1" x14ac:dyDescent="0.35">
      <c r="C895" s="126"/>
      <c r="E895" s="4"/>
    </row>
    <row r="896" spans="3:5" ht="14.25" customHeight="1" x14ac:dyDescent="0.35">
      <c r="C896" s="126"/>
      <c r="E896" s="4"/>
    </row>
    <row r="897" spans="3:5" ht="14.25" customHeight="1" x14ac:dyDescent="0.35">
      <c r="C897" s="126"/>
      <c r="E897" s="4"/>
    </row>
    <row r="898" spans="3:5" ht="14.25" customHeight="1" x14ac:dyDescent="0.35">
      <c r="C898" s="126"/>
      <c r="E898" s="4"/>
    </row>
    <row r="899" spans="3:5" ht="14.25" customHeight="1" x14ac:dyDescent="0.35">
      <c r="C899" s="126"/>
      <c r="E899" s="4"/>
    </row>
    <row r="900" spans="3:5" ht="14.25" customHeight="1" x14ac:dyDescent="0.35">
      <c r="C900" s="126"/>
      <c r="E900" s="4"/>
    </row>
    <row r="901" spans="3:5" ht="14.25" customHeight="1" x14ac:dyDescent="0.35">
      <c r="C901" s="126"/>
      <c r="E901" s="4"/>
    </row>
    <row r="902" spans="3:5" ht="14.25" customHeight="1" x14ac:dyDescent="0.35">
      <c r="C902" s="126"/>
      <c r="E902" s="4"/>
    </row>
    <row r="903" spans="3:5" ht="14.25" customHeight="1" x14ac:dyDescent="0.35">
      <c r="C903" s="126"/>
      <c r="E903" s="4"/>
    </row>
    <row r="904" spans="3:5" ht="14.25" customHeight="1" x14ac:dyDescent="0.35">
      <c r="C904" s="126"/>
      <c r="E904" s="4"/>
    </row>
    <row r="905" spans="3:5" ht="14.25" customHeight="1" x14ac:dyDescent="0.35">
      <c r="C905" s="126"/>
      <c r="E905" s="4"/>
    </row>
    <row r="906" spans="3:5" ht="14.25" customHeight="1" x14ac:dyDescent="0.35">
      <c r="C906" s="126"/>
      <c r="E906" s="4"/>
    </row>
    <row r="907" spans="3:5" ht="14.25" customHeight="1" x14ac:dyDescent="0.35">
      <c r="C907" s="126"/>
      <c r="E907" s="4"/>
    </row>
    <row r="908" spans="3:5" ht="14.25" customHeight="1" x14ac:dyDescent="0.35">
      <c r="C908" s="126"/>
      <c r="E908" s="4"/>
    </row>
    <row r="909" spans="3:5" ht="14.25" customHeight="1" x14ac:dyDescent="0.35">
      <c r="C909" s="126"/>
      <c r="E909" s="4"/>
    </row>
    <row r="910" spans="3:5" ht="14.25" customHeight="1" x14ac:dyDescent="0.35">
      <c r="C910" s="126"/>
      <c r="E910" s="4"/>
    </row>
    <row r="911" spans="3:5" ht="14.25" customHeight="1" x14ac:dyDescent="0.35">
      <c r="C911" s="126"/>
      <c r="E911" s="4"/>
    </row>
    <row r="912" spans="3:5" ht="14.25" customHeight="1" x14ac:dyDescent="0.35">
      <c r="C912" s="126"/>
      <c r="E912" s="4"/>
    </row>
    <row r="913" spans="3:5" ht="14.25" customHeight="1" x14ac:dyDescent="0.35">
      <c r="C913" s="126"/>
      <c r="E913" s="4"/>
    </row>
    <row r="914" spans="3:5" ht="14.25" customHeight="1" x14ac:dyDescent="0.35">
      <c r="C914" s="126"/>
      <c r="E914" s="4"/>
    </row>
    <row r="915" spans="3:5" ht="14.25" customHeight="1" x14ac:dyDescent="0.35">
      <c r="C915" s="126"/>
      <c r="E915" s="4"/>
    </row>
    <row r="916" spans="3:5" ht="14.25" customHeight="1" x14ac:dyDescent="0.35">
      <c r="C916" s="126"/>
      <c r="E916" s="4"/>
    </row>
    <row r="917" spans="3:5" ht="14.25" customHeight="1" x14ac:dyDescent="0.35">
      <c r="C917" s="126"/>
      <c r="E917" s="4"/>
    </row>
    <row r="918" spans="3:5" ht="14.25" customHeight="1" x14ac:dyDescent="0.35">
      <c r="C918" s="126"/>
      <c r="E918" s="4"/>
    </row>
    <row r="919" spans="3:5" ht="14.25" customHeight="1" x14ac:dyDescent="0.35">
      <c r="C919" s="126"/>
      <c r="E919" s="4"/>
    </row>
    <row r="920" spans="3:5" ht="14.25" customHeight="1" x14ac:dyDescent="0.35">
      <c r="C920" s="126"/>
      <c r="E920" s="4"/>
    </row>
    <row r="921" spans="3:5" ht="14.25" customHeight="1" x14ac:dyDescent="0.35">
      <c r="C921" s="126"/>
      <c r="E921" s="4"/>
    </row>
    <row r="922" spans="3:5" ht="14.25" customHeight="1" x14ac:dyDescent="0.35">
      <c r="C922" s="126"/>
      <c r="E922" s="4"/>
    </row>
    <row r="923" spans="3:5" ht="14.25" customHeight="1" x14ac:dyDescent="0.35">
      <c r="C923" s="126"/>
      <c r="E923" s="4"/>
    </row>
    <row r="924" spans="3:5" ht="14.25" customHeight="1" x14ac:dyDescent="0.35">
      <c r="C924" s="126"/>
      <c r="E924" s="4"/>
    </row>
    <row r="925" spans="3:5" ht="14.25" customHeight="1" x14ac:dyDescent="0.35">
      <c r="C925" s="126"/>
      <c r="E925" s="4"/>
    </row>
    <row r="926" spans="3:5" ht="14.25" customHeight="1" x14ac:dyDescent="0.35">
      <c r="C926" s="126"/>
      <c r="E926" s="4"/>
    </row>
    <row r="927" spans="3:5" ht="14.25" customHeight="1" x14ac:dyDescent="0.35">
      <c r="C927" s="126"/>
      <c r="E927" s="4"/>
    </row>
    <row r="928" spans="3:5" ht="14.25" customHeight="1" x14ac:dyDescent="0.35">
      <c r="C928" s="126"/>
      <c r="E928" s="4"/>
    </row>
    <row r="929" spans="3:5" ht="14.25" customHeight="1" x14ac:dyDescent="0.35">
      <c r="C929" s="126"/>
      <c r="E929" s="4"/>
    </row>
    <row r="930" spans="3:5" ht="14.25" customHeight="1" x14ac:dyDescent="0.35">
      <c r="C930" s="126"/>
      <c r="E930" s="4"/>
    </row>
    <row r="931" spans="3:5" ht="14.25" customHeight="1" x14ac:dyDescent="0.35">
      <c r="C931" s="126"/>
      <c r="E931" s="4"/>
    </row>
    <row r="932" spans="3:5" ht="14.25" customHeight="1" x14ac:dyDescent="0.35">
      <c r="C932" s="126"/>
      <c r="E932" s="4"/>
    </row>
    <row r="933" spans="3:5" ht="14.25" customHeight="1" x14ac:dyDescent="0.35">
      <c r="C933" s="126"/>
      <c r="E933" s="4"/>
    </row>
    <row r="934" spans="3:5" ht="14.25" customHeight="1" x14ac:dyDescent="0.35">
      <c r="C934" s="126"/>
      <c r="E934" s="4"/>
    </row>
    <row r="935" spans="3:5" ht="14.25" customHeight="1" x14ac:dyDescent="0.35">
      <c r="C935" s="126"/>
      <c r="E935" s="4"/>
    </row>
    <row r="936" spans="3:5" ht="14.25" customHeight="1" x14ac:dyDescent="0.35">
      <c r="C936" s="126"/>
      <c r="E936" s="4"/>
    </row>
    <row r="937" spans="3:5" ht="14.25" customHeight="1" x14ac:dyDescent="0.35">
      <c r="C937" s="126"/>
      <c r="E937" s="4"/>
    </row>
    <row r="938" spans="3:5" ht="14.25" customHeight="1" x14ac:dyDescent="0.35">
      <c r="C938" s="126"/>
      <c r="E938" s="4"/>
    </row>
    <row r="939" spans="3:5" ht="14.25" customHeight="1" x14ac:dyDescent="0.35">
      <c r="C939" s="126"/>
      <c r="E939" s="4"/>
    </row>
    <row r="940" spans="3:5" ht="14.25" customHeight="1" x14ac:dyDescent="0.35">
      <c r="C940" s="126"/>
      <c r="E940" s="4"/>
    </row>
    <row r="941" spans="3:5" ht="14.25" customHeight="1" x14ac:dyDescent="0.35">
      <c r="C941" s="126"/>
      <c r="E941" s="4"/>
    </row>
    <row r="942" spans="3:5" ht="14.25" customHeight="1" x14ac:dyDescent="0.35">
      <c r="C942" s="126"/>
      <c r="E942" s="4"/>
    </row>
    <row r="943" spans="3:5" ht="14.25" customHeight="1" x14ac:dyDescent="0.35">
      <c r="C943" s="126"/>
      <c r="E943" s="4"/>
    </row>
    <row r="944" spans="3:5" ht="14.25" customHeight="1" x14ac:dyDescent="0.35">
      <c r="C944" s="126"/>
      <c r="E944" s="4"/>
    </row>
    <row r="945" spans="3:5" ht="14.25" customHeight="1" x14ac:dyDescent="0.35">
      <c r="C945" s="126"/>
      <c r="E945" s="4"/>
    </row>
    <row r="946" spans="3:5" ht="14.25" customHeight="1" x14ac:dyDescent="0.35">
      <c r="C946" s="126"/>
      <c r="E946" s="4"/>
    </row>
    <row r="947" spans="3:5" ht="14.25" customHeight="1" x14ac:dyDescent="0.35">
      <c r="C947" s="126"/>
      <c r="E947" s="4"/>
    </row>
    <row r="948" spans="3:5" ht="14.25" customHeight="1" x14ac:dyDescent="0.35">
      <c r="C948" s="126"/>
      <c r="E948" s="4"/>
    </row>
    <row r="949" spans="3:5" ht="14.25" customHeight="1" x14ac:dyDescent="0.35">
      <c r="C949" s="126"/>
      <c r="E949" s="4"/>
    </row>
    <row r="950" spans="3:5" ht="14.25" customHeight="1" x14ac:dyDescent="0.35">
      <c r="C950" s="126"/>
      <c r="E950" s="4"/>
    </row>
    <row r="951" spans="3:5" ht="14.25" customHeight="1" x14ac:dyDescent="0.35">
      <c r="C951" s="126"/>
      <c r="E951" s="4"/>
    </row>
    <row r="952" spans="3:5" ht="14.25" customHeight="1" x14ac:dyDescent="0.35">
      <c r="C952" s="126"/>
      <c r="E952" s="4"/>
    </row>
    <row r="953" spans="3:5" ht="14.25" customHeight="1" x14ac:dyDescent="0.35">
      <c r="C953" s="126"/>
      <c r="E953" s="4"/>
    </row>
    <row r="954" spans="3:5" ht="14.25" customHeight="1" x14ac:dyDescent="0.35">
      <c r="C954" s="126"/>
      <c r="E954" s="4"/>
    </row>
    <row r="955" spans="3:5" ht="14.25" customHeight="1" x14ac:dyDescent="0.35">
      <c r="C955" s="126"/>
      <c r="E955" s="4"/>
    </row>
    <row r="956" spans="3:5" ht="14.25" customHeight="1" x14ac:dyDescent="0.35">
      <c r="C956" s="126"/>
      <c r="E956" s="4"/>
    </row>
    <row r="957" spans="3:5" ht="14.25" customHeight="1" x14ac:dyDescent="0.35">
      <c r="C957" s="126"/>
      <c r="E957" s="4"/>
    </row>
    <row r="958" spans="3:5" ht="14.25" customHeight="1" x14ac:dyDescent="0.35">
      <c r="C958" s="126"/>
      <c r="E958" s="4"/>
    </row>
    <row r="959" spans="3:5" ht="14.25" customHeight="1" x14ac:dyDescent="0.35">
      <c r="C959" s="126"/>
      <c r="E959" s="4"/>
    </row>
    <row r="960" spans="3:5" ht="14.25" customHeight="1" x14ac:dyDescent="0.35">
      <c r="C960" s="126"/>
      <c r="E960" s="4"/>
    </row>
    <row r="961" spans="3:5" ht="14.25" customHeight="1" x14ac:dyDescent="0.35">
      <c r="C961" s="126"/>
      <c r="E961" s="4"/>
    </row>
    <row r="962" spans="3:5" ht="14.25" customHeight="1" x14ac:dyDescent="0.35">
      <c r="C962" s="126"/>
      <c r="E962" s="4"/>
    </row>
    <row r="963" spans="3:5" ht="14.25" customHeight="1" x14ac:dyDescent="0.35">
      <c r="C963" s="126"/>
      <c r="E963" s="4"/>
    </row>
    <row r="964" spans="3:5" ht="14.25" customHeight="1" x14ac:dyDescent="0.35">
      <c r="C964" s="126"/>
      <c r="E964" s="4"/>
    </row>
    <row r="965" spans="3:5" ht="14.25" customHeight="1" x14ac:dyDescent="0.35">
      <c r="C965" s="126"/>
      <c r="E965" s="4"/>
    </row>
    <row r="966" spans="3:5" ht="14.25" customHeight="1" x14ac:dyDescent="0.35">
      <c r="C966" s="126"/>
      <c r="E966" s="4"/>
    </row>
    <row r="967" spans="3:5" ht="14.25" customHeight="1" x14ac:dyDescent="0.35">
      <c r="C967" s="126"/>
      <c r="E967" s="4"/>
    </row>
    <row r="968" spans="3:5" ht="14.25" customHeight="1" x14ac:dyDescent="0.35">
      <c r="C968" s="126"/>
      <c r="E968" s="4"/>
    </row>
    <row r="969" spans="3:5" ht="14.25" customHeight="1" x14ac:dyDescent="0.35">
      <c r="C969" s="126"/>
      <c r="E969" s="4"/>
    </row>
    <row r="970" spans="3:5" ht="14.25" customHeight="1" x14ac:dyDescent="0.35">
      <c r="C970" s="126"/>
      <c r="E970" s="4"/>
    </row>
    <row r="971" spans="3:5" ht="14.25" customHeight="1" x14ac:dyDescent="0.35">
      <c r="C971" s="126"/>
      <c r="E971" s="4"/>
    </row>
    <row r="972" spans="3:5" ht="14.25" customHeight="1" x14ac:dyDescent="0.35">
      <c r="C972" s="126"/>
      <c r="E972" s="4"/>
    </row>
    <row r="973" spans="3:5" ht="14.25" customHeight="1" x14ac:dyDescent="0.35">
      <c r="C973" s="126"/>
      <c r="E973" s="4"/>
    </row>
    <row r="974" spans="3:5" ht="14.25" customHeight="1" x14ac:dyDescent="0.35">
      <c r="C974" s="126"/>
      <c r="E974" s="4"/>
    </row>
    <row r="975" spans="3:5" ht="14.25" customHeight="1" x14ac:dyDescent="0.35">
      <c r="C975" s="126"/>
      <c r="E975" s="4"/>
    </row>
  </sheetData>
  <hyperlinks>
    <hyperlink ref="F3" r:id="rId1" xr:uid="{00000000-0004-0000-0200-000000000000}"/>
    <hyperlink ref="F21" r:id="rId2" location="2" xr:uid="{00000000-0004-0000-0200-000001000000}"/>
    <hyperlink ref="F29" r:id="rId3" xr:uid="{00000000-0004-0000-0200-000002000000}"/>
    <hyperlink ref="F13" r:id="rId4" xr:uid="{00000000-0004-0000-0200-000003000000}"/>
    <hyperlink ref="F41" r:id="rId5" xr:uid="{00000000-0004-0000-0200-000004000000}"/>
    <hyperlink ref="F15" r:id="rId6" xr:uid="{00000000-0004-0000-0200-000005000000}"/>
    <hyperlink ref="F17" r:id="rId7" xr:uid="{00000000-0004-0000-0200-000006000000}"/>
    <hyperlink ref="F18" r:id="rId8" xr:uid="{00000000-0004-0000-0200-000007000000}"/>
    <hyperlink ref="F20" r:id="rId9" xr:uid="{00000000-0004-0000-0200-000008000000}"/>
    <hyperlink ref="F9" r:id="rId10" xr:uid="{00000000-0004-0000-0200-000009000000}"/>
    <hyperlink ref="F10" r:id="rId11" xr:uid="{00000000-0004-0000-0200-00000A000000}"/>
    <hyperlink ref="F11" r:id="rId12" xr:uid="{00000000-0004-0000-0200-00000B000000}"/>
    <hyperlink ref="F12" r:id="rId13" xr:uid="{00000000-0004-0000-0200-00000C000000}"/>
    <hyperlink ref="F8" r:id="rId14" xr:uid="{00000000-0004-0000-0200-00000D000000}"/>
  </hyperlinks>
  <pageMargins left="0.7" right="0.7" top="0.75" bottom="0.75" header="0" footer="0"/>
  <pageSetup orientation="landscape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48575"/>
  <sheetViews>
    <sheetView topLeftCell="A4" workbookViewId="0">
      <selection activeCell="H2" sqref="H2"/>
    </sheetView>
  </sheetViews>
  <sheetFormatPr defaultColWidth="14.453125" defaultRowHeight="15" customHeight="1" x14ac:dyDescent="0.35"/>
  <cols>
    <col min="1" max="1" width="3.7265625" style="177" bestFit="1" customWidth="1"/>
    <col min="2" max="2" width="18.7265625" style="178" bestFit="1" customWidth="1"/>
    <col min="3" max="3" width="20.81640625" style="179" bestFit="1" customWidth="1"/>
    <col min="4" max="4" width="18.1796875" style="179" bestFit="1" customWidth="1"/>
    <col min="5" max="5" width="15.453125" style="180" bestFit="1" customWidth="1"/>
    <col min="6" max="6" width="25.1796875" style="175" customWidth="1"/>
    <col min="7" max="7" width="9.1796875" style="101" bestFit="1" customWidth="1"/>
    <col min="8" max="17" width="14.54296875" style="101" bestFit="1" customWidth="1"/>
    <col min="18" max="16384" width="14.453125" style="101"/>
  </cols>
  <sheetData>
    <row r="1" spans="1:17" s="167" customFormat="1" ht="44" thickBot="1" x14ac:dyDescent="0.4">
      <c r="A1" s="151" t="s">
        <v>144</v>
      </c>
      <c r="B1" s="152" t="s">
        <v>97</v>
      </c>
      <c r="C1" s="153" t="s">
        <v>295</v>
      </c>
      <c r="D1" s="153" t="s">
        <v>338</v>
      </c>
      <c r="E1" s="170" t="s">
        <v>339</v>
      </c>
      <c r="F1" s="173" t="s">
        <v>298</v>
      </c>
      <c r="G1" s="167">
        <v>2020</v>
      </c>
      <c r="H1" s="167">
        <v>2021</v>
      </c>
      <c r="I1" s="167">
        <v>2022</v>
      </c>
      <c r="J1" s="167">
        <v>2023</v>
      </c>
      <c r="K1" s="167">
        <v>2024</v>
      </c>
      <c r="L1" s="167">
        <v>2025</v>
      </c>
      <c r="M1" s="167">
        <v>2026</v>
      </c>
      <c r="N1" s="167">
        <v>2027</v>
      </c>
      <c r="O1" s="167">
        <v>2028</v>
      </c>
      <c r="P1" s="167">
        <v>2029</v>
      </c>
      <c r="Q1" s="167">
        <v>2030</v>
      </c>
    </row>
    <row r="2" spans="1:17" ht="14.5" x14ac:dyDescent="0.35">
      <c r="A2" s="177">
        <v>1</v>
      </c>
      <c r="B2" s="178" t="s">
        <v>154</v>
      </c>
      <c r="C2" s="82">
        <f>Variables!$C$8</f>
        <v>-1.4E-2</v>
      </c>
      <c r="D2" s="182">
        <v>76</v>
      </c>
      <c r="E2" s="182">
        <f>Population!D2/(Population!C2/D2*(1+Area!C2)^(2019-2011))</f>
        <v>102.60768729895828</v>
      </c>
      <c r="F2" s="183" t="s">
        <v>299</v>
      </c>
      <c r="G2" s="101">
        <f>Population!D2/((Population!D2/E2)*(1+C2))</f>
        <v>104.06459158109358</v>
      </c>
      <c r="H2" s="101">
        <f>Population!E2/((Population!E2/G2)*(1+C2))</f>
        <v>105.54218213092655</v>
      </c>
      <c r="I2" s="101">
        <f>Population!F2/((Population!F2/H2)*(1+C2))</f>
        <v>107.04075266828251</v>
      </c>
      <c r="J2" s="101">
        <f>Population!G2/((Population!G2/I2)*(1+C2))</f>
        <v>108.56060108345082</v>
      </c>
      <c r="K2" s="101">
        <f>Population!H2/((Population!H2/J2)*(1+C2))</f>
        <v>110.10202949640043</v>
      </c>
      <c r="L2" s="101">
        <f>Population!I2/((Population!I2/K2)*(1+C2))</f>
        <v>111.66534431683614</v>
      </c>
      <c r="M2" s="101">
        <f>Population!J2/((Population!J2/L2)*(1+C2))</f>
        <v>113.25085630510765</v>
      </c>
      <c r="N2" s="101">
        <f>Population!K2/((Population!K2/M2)*(1+C2))</f>
        <v>114.85888063398342</v>
      </c>
      <c r="O2" s="101">
        <f>Population!L2/((Population!L2/N2)*(1+C2))</f>
        <v>116.48973695130164</v>
      </c>
      <c r="P2" s="101">
        <f>Population!M2/((Population!M2/O2)*(1+C2))</f>
        <v>118.1437494435108</v>
      </c>
      <c r="Q2" s="101">
        <f>Population!N2/((Population!N2/P2)*(1+C2))</f>
        <v>119.82124690011237</v>
      </c>
    </row>
    <row r="3" spans="1:17" ht="14.5" x14ac:dyDescent="0.35">
      <c r="A3" s="177">
        <v>2</v>
      </c>
      <c r="B3" s="178" t="s">
        <v>155</v>
      </c>
      <c r="C3" s="82">
        <f>Variables!$C$8</f>
        <v>-1.4E-2</v>
      </c>
      <c r="D3" s="182">
        <v>457</v>
      </c>
      <c r="E3" s="182">
        <f>Population!D3/(Population!C3/D3*(1+Area!C3)^(2019-2011))</f>
        <v>616.99622494242021</v>
      </c>
      <c r="F3" s="183" t="s">
        <v>299</v>
      </c>
      <c r="G3" s="101">
        <f>Population!D3/((Population!D3/E3)*(1+C3))</f>
        <v>625.756820428418</v>
      </c>
      <c r="H3" s="101">
        <f>Population!E3/((Population!E3/G3)*(1+C3))</f>
        <v>634.64180570833469</v>
      </c>
      <c r="I3" s="101">
        <f>Population!F3/((Population!F3/H3)*(1+C3))</f>
        <v>643.6529469658567</v>
      </c>
      <c r="J3" s="101">
        <f>Population!G3/((Population!G3/I3)*(1+C3))</f>
        <v>652.79203546232918</v>
      </c>
      <c r="K3" s="101">
        <f>Population!H3/((Population!H3/J3)*(1+C3))</f>
        <v>662.06088789282887</v>
      </c>
      <c r="L3" s="101">
        <f>Population!I3/((Population!I3/K3)*(1+C3))</f>
        <v>671.46134674729103</v>
      </c>
      <c r="M3" s="101">
        <f>Population!J3/((Population!J3/L3)*(1+C3))</f>
        <v>680.99528067676579</v>
      </c>
      <c r="N3" s="101">
        <f>Population!K3/((Population!K3/M3)*(1+C3))</f>
        <v>690.66458486487409</v>
      </c>
      <c r="O3" s="101">
        <f>Population!L3/((Population!L3/N3)*(1+C3))</f>
        <v>700.47118140453767</v>
      </c>
      <c r="P3" s="101">
        <f>Population!M3/((Population!M3/O3)*(1+C3))</f>
        <v>710.4170196800585</v>
      </c>
      <c r="Q3" s="101">
        <f>Population!N3/((Population!N3/P3)*(1+C3))</f>
        <v>720.50407675462316</v>
      </c>
    </row>
    <row r="4" spans="1:17" ht="14.5" x14ac:dyDescent="0.35">
      <c r="A4" s="177">
        <v>3</v>
      </c>
      <c r="B4" s="178" t="s">
        <v>156</v>
      </c>
      <c r="C4" s="82">
        <f>Variables!$C$8</f>
        <v>-1.4E-2</v>
      </c>
      <c r="D4" s="182">
        <v>539</v>
      </c>
      <c r="E4" s="182">
        <f>Population!D4/(Population!C4/D4*(1+Area!C4)^(2019-2011))</f>
        <v>727.7045191334015</v>
      </c>
      <c r="F4" s="183" t="s">
        <v>299</v>
      </c>
      <c r="G4" s="101">
        <f>Population!D4/((Population!D4/E4)*(1+C4))</f>
        <v>738.03703766065064</v>
      </c>
      <c r="H4" s="101">
        <f>Population!E4/((Population!E4/G4)*(1+C4))</f>
        <v>748.51626537591346</v>
      </c>
      <c r="I4" s="101">
        <f>Population!F4/((Population!F4/H4)*(1+C4))</f>
        <v>759.14428537110905</v>
      </c>
      <c r="J4" s="101">
        <f>Population!G4/((Population!G4/I4)*(1+C4))</f>
        <v>769.92321031552638</v>
      </c>
      <c r="K4" s="101">
        <f>Population!H4/((Population!H4/J4)*(1+C4))</f>
        <v>780.85518287578748</v>
      </c>
      <c r="L4" s="101">
        <f>Population!I4/((Population!I4/K4)*(1+C4))</f>
        <v>791.94237614177223</v>
      </c>
      <c r="M4" s="101">
        <f>Population!J4/((Population!J4/L4)*(1+C4))</f>
        <v>803.18699405859252</v>
      </c>
      <c r="N4" s="101">
        <f>Population!K4/((Population!K4/M4)*(1+C4))</f>
        <v>814.59127186469834</v>
      </c>
      <c r="O4" s="101">
        <f>Population!L4/((Population!L4/N4)*(1+C4))</f>
        <v>826.15747653620519</v>
      </c>
      <c r="P4" s="101">
        <f>Population!M4/((Population!M4/O4)*(1+C4))</f>
        <v>837.88790723753061</v>
      </c>
      <c r="Q4" s="101">
        <f>Population!N4/((Population!N4/P4)*(1+C4))</f>
        <v>849.78489577842856</v>
      </c>
    </row>
    <row r="5" spans="1:17" ht="14.5" x14ac:dyDescent="0.35">
      <c r="A5" s="177">
        <v>4</v>
      </c>
      <c r="B5" s="178" t="s">
        <v>157</v>
      </c>
      <c r="C5" s="82">
        <f>Variables!$C$8</f>
        <v>-1.4E-2</v>
      </c>
      <c r="D5" s="182">
        <v>298</v>
      </c>
      <c r="E5" s="182">
        <f>Population!D5/(Population!C5/D5*(1+Area!C5)^(2019-2011))</f>
        <v>402.33014230381013</v>
      </c>
      <c r="F5" s="183" t="s">
        <v>299</v>
      </c>
      <c r="G5" s="101">
        <f>Population!D5/((Population!D5/E5)*(1+C5))</f>
        <v>408.04274067323541</v>
      </c>
      <c r="H5" s="101">
        <f>Population!E5/((Population!E5/G5)*(1+C5))</f>
        <v>413.83645098705415</v>
      </c>
      <c r="I5" s="101">
        <f>Population!F5/((Population!F5/H5)*(1+C5))</f>
        <v>419.71242493616046</v>
      </c>
      <c r="J5" s="101">
        <f>Population!G5/((Population!G5/I5)*(1+C5))</f>
        <v>425.6718305640573</v>
      </c>
      <c r="K5" s="101">
        <f>Population!H5/((Population!H5/J5)*(1+C5))</f>
        <v>431.71585249904393</v>
      </c>
      <c r="L5" s="101">
        <f>Population!I5/((Population!I5/K5)*(1+C5))</f>
        <v>437.84569218969966</v>
      </c>
      <c r="M5" s="101">
        <f>Population!J5/((Population!J5/L5)*(1+C5))</f>
        <v>444.06256814371164</v>
      </c>
      <c r="N5" s="101">
        <f>Population!K5/((Population!K5/M5)*(1+C5))</f>
        <v>450.36771617009293</v>
      </c>
      <c r="O5" s="101">
        <f>Population!L5/((Population!L5/N5)*(1+C5))</f>
        <v>456.76238962484069</v>
      </c>
      <c r="P5" s="101">
        <f>Population!M5/((Population!M5/O5)*(1+C5))</f>
        <v>463.24785966008182</v>
      </c>
      <c r="Q5" s="101">
        <f>Population!N5/((Population!N5/P5)*(1+C5))</f>
        <v>469.8254154767564</v>
      </c>
    </row>
    <row r="6" spans="1:17" ht="14.5" x14ac:dyDescent="0.35">
      <c r="A6" s="177">
        <v>5</v>
      </c>
      <c r="B6" s="178" t="s">
        <v>158</v>
      </c>
      <c r="C6" s="82">
        <f>Variables!$C$8</f>
        <v>-1.4E-2</v>
      </c>
      <c r="D6" s="182">
        <v>135</v>
      </c>
      <c r="E6" s="182">
        <f>Population!D6/(Population!C6/D6*(1+Area!C6)^(2019-2011))</f>
        <v>182.26365507051798</v>
      </c>
      <c r="F6" s="183" t="s">
        <v>299</v>
      </c>
      <c r="G6" s="101">
        <f>Population!D6/((Population!D6/E6)*(1+C6))</f>
        <v>184.85157715062675</v>
      </c>
      <c r="H6" s="101">
        <f>Population!E6/((Population!E6/G6)*(1+C6))</f>
        <v>187.47624457467219</v>
      </c>
      <c r="I6" s="101">
        <f>Population!F6/((Population!F6/H6)*(1+C6))</f>
        <v>190.13817908181767</v>
      </c>
      <c r="J6" s="101">
        <f>Population!G6/((Population!G6/I6)*(1+C6))</f>
        <v>192.83790981928769</v>
      </c>
      <c r="K6" s="101">
        <f>Population!H6/((Population!H6/J6)*(1+C6))</f>
        <v>195.57597344755345</v>
      </c>
      <c r="L6" s="101">
        <f>Population!I6/((Population!I6/K6)*(1+C6))</f>
        <v>198.35291424701163</v>
      </c>
      <c r="M6" s="101">
        <f>Population!J6/((Population!J6/L6)*(1+C6))</f>
        <v>201.16928422617812</v>
      </c>
      <c r="N6" s="101">
        <f>Population!K6/((Population!K6/M6)*(1+C6))</f>
        <v>204.02564323141797</v>
      </c>
      <c r="O6" s="101">
        <f>Population!L6/((Population!L6/N6)*(1+C6))</f>
        <v>206.92255905823325</v>
      </c>
      <c r="P6" s="101">
        <f>Population!M6/((Population!M6/O6)*(1+C6))</f>
        <v>209.8606075641311</v>
      </c>
      <c r="Q6" s="101">
        <f>Population!N6/((Population!N6/P6)*(1+C6))</f>
        <v>212.84037278309444</v>
      </c>
    </row>
    <row r="7" spans="1:17" ht="14.5" x14ac:dyDescent="0.35">
      <c r="A7" s="177">
        <v>6</v>
      </c>
      <c r="B7" s="178" t="s">
        <v>159</v>
      </c>
      <c r="C7" s="82">
        <f>Variables!$C$8</f>
        <v>-1.4E-2</v>
      </c>
      <c r="D7" s="184">
        <v>157</v>
      </c>
      <c r="E7" s="184">
        <v>157</v>
      </c>
      <c r="F7" s="183" t="s">
        <v>335</v>
      </c>
      <c r="G7" s="101">
        <f>Population!D7/((Population!D7/E7)*(1+C7))</f>
        <v>159.22920892494929</v>
      </c>
      <c r="H7" s="101">
        <f>Population!E7/((Population!E7/G7)*(1+C7))</f>
        <v>161.4900699035997</v>
      </c>
      <c r="I7" s="101">
        <f>Population!F7/((Population!F7/H7)*(1+C7))</f>
        <v>163.78303235659197</v>
      </c>
      <c r="J7" s="101">
        <f>Population!G7/((Population!G7/I7)*(1+C7))</f>
        <v>166.10855208579306</v>
      </c>
      <c r="K7" s="101">
        <f>Population!H7/((Population!H7/J7)*(1+C7))</f>
        <v>168.46709136490171</v>
      </c>
      <c r="L7" s="101">
        <f>Population!I7/((Population!I7/K7)*(1+C7))</f>
        <v>170.85911903134047</v>
      </c>
      <c r="M7" s="101">
        <f>Population!J7/((Population!J7/L7)*(1+C7))</f>
        <v>173.28511057945281</v>
      </c>
      <c r="N7" s="101">
        <f>Population!K7/((Population!K7/M7)*(1+C7))</f>
        <v>175.74554825502315</v>
      </c>
      <c r="O7" s="101">
        <f>Population!L7/((Population!L7/N7)*(1+C7))</f>
        <v>178.24092115113908</v>
      </c>
      <c r="P7" s="101">
        <f>Population!M7/((Population!M7/O7)*(1+C7))</f>
        <v>180.77172530541489</v>
      </c>
      <c r="Q7" s="101">
        <f>Population!N7/((Population!N7/P7)*(1+C7))</f>
        <v>183.33846379859523</v>
      </c>
    </row>
    <row r="8" spans="1:17" ht="14.5" x14ac:dyDescent="0.35">
      <c r="A8" s="177">
        <v>7</v>
      </c>
      <c r="B8" s="178" t="s">
        <v>160</v>
      </c>
      <c r="C8" s="82">
        <f>Variables!$C$8</f>
        <v>-1.4E-2</v>
      </c>
      <c r="D8" s="182">
        <v>788</v>
      </c>
      <c r="E8" s="182">
        <f>Population!D8/(Population!C8/D8*(1+Area!C8)^(2019-2011))</f>
        <v>1063.879705152357</v>
      </c>
      <c r="F8" s="183" t="s">
        <v>299</v>
      </c>
      <c r="G8" s="101">
        <f>Population!D8/((Population!D8/E8)*(1+C8))</f>
        <v>1078.9855021829178</v>
      </c>
      <c r="H8" s="101">
        <f>Population!E8/((Population!E8/G8)*(1+C8))</f>
        <v>1094.3057831469755</v>
      </c>
      <c r="I8" s="101">
        <f>Population!F8/((Population!F8/H8)*(1+C8))</f>
        <v>1109.8435934553504</v>
      </c>
      <c r="J8" s="101">
        <f>Population!G8/((Population!G8/I8)*(1+C8))</f>
        <v>1125.6020217599903</v>
      </c>
      <c r="K8" s="101">
        <f>Population!H8/((Population!H8/J8)*(1+C8))</f>
        <v>1141.5842005679415</v>
      </c>
      <c r="L8" s="101">
        <f>Population!I8/((Population!I8/K8)*(1+C8))</f>
        <v>1157.793306864038</v>
      </c>
      <c r="M8" s="101">
        <f>Population!J8/((Population!J8/L8)*(1+C8))</f>
        <v>1174.232562742432</v>
      </c>
      <c r="N8" s="101">
        <f>Population!K8/((Population!K8/M8)*(1+C8))</f>
        <v>1190.9052360470914</v>
      </c>
      <c r="O8" s="101">
        <f>Population!L8/((Population!L8/N8)*(1+C8))</f>
        <v>1207.814641021391</v>
      </c>
      <c r="P8" s="101">
        <f>Population!M8/((Population!M8/O8)*(1+C8))</f>
        <v>1224.9641389669282</v>
      </c>
      <c r="Q8" s="101">
        <f>Population!N8/((Population!N8/P8)*(1+C8))</f>
        <v>1242.3571389116919</v>
      </c>
    </row>
    <row r="9" spans="1:17" ht="14.5" x14ac:dyDescent="0.35">
      <c r="A9" s="177">
        <v>8</v>
      </c>
      <c r="B9" s="178" t="s">
        <v>161</v>
      </c>
      <c r="C9" s="82">
        <f>Variables!$C$8</f>
        <v>-1.4E-2</v>
      </c>
      <c r="D9" s="182">
        <v>111</v>
      </c>
      <c r="E9" s="182">
        <f>Population!D9/(Population!C9/D9*(1+Area!C9)^(2019-2011))</f>
        <v>149.86122750242589</v>
      </c>
      <c r="F9" s="183" t="s">
        <v>299</v>
      </c>
      <c r="G9" s="101">
        <f>Population!D9/((Population!D9/E9)*(1+C9))</f>
        <v>151.9890745460709</v>
      </c>
      <c r="H9" s="101">
        <f>Population!E9/((Population!E9/G9)*(1+C9))</f>
        <v>154.14713442806377</v>
      </c>
      <c r="I9" s="101">
        <f>Population!F9/((Population!F9/H9)*(1+C9))</f>
        <v>156.3358361339389</v>
      </c>
      <c r="J9" s="101">
        <f>Population!G9/((Population!G9/I9)*(1+C9))</f>
        <v>158.55561474030316</v>
      </c>
      <c r="K9" s="101">
        <f>Population!H9/((Population!H9/J9)*(1+C9))</f>
        <v>160.80691150132165</v>
      </c>
      <c r="L9" s="101">
        <f>Population!I9/((Population!I9/K9)*(1+C9))</f>
        <v>163.09017393643171</v>
      </c>
      <c r="M9" s="101">
        <f>Population!J9/((Population!J9/L9)*(1+C9))</f>
        <v>165.40585591930196</v>
      </c>
      <c r="N9" s="101">
        <f>Population!K9/((Population!K9/M9)*(1+C9))</f>
        <v>167.75441776805471</v>
      </c>
      <c r="O9" s="101">
        <f>Population!L9/((Population!L9/N9)*(1+C9))</f>
        <v>170.13632633676949</v>
      </c>
      <c r="P9" s="101">
        <f>Population!M9/((Population!M9/O9)*(1+C9))</f>
        <v>172.55205510828549</v>
      </c>
      <c r="Q9" s="101">
        <f>Population!N9/((Population!N9/P9)*(1+C9))</f>
        <v>175.00208428832201</v>
      </c>
    </row>
    <row r="10" spans="1:17" ht="14.5" x14ac:dyDescent="0.35">
      <c r="A10" s="177">
        <v>9</v>
      </c>
      <c r="B10" s="178" t="s">
        <v>162</v>
      </c>
      <c r="C10" s="82">
        <f>Variables!$C$8</f>
        <v>-1.4E-2</v>
      </c>
      <c r="D10" s="182">
        <v>300</v>
      </c>
      <c r="E10" s="182">
        <f>Population!D10/(Population!C10/D10*(1+Area!C10)^(2019-2011))</f>
        <v>405.03034460115111</v>
      </c>
      <c r="F10" s="183" t="s">
        <v>299</v>
      </c>
      <c r="G10" s="101">
        <f>Population!D10/((Population!D10/E10)*(1+C10))</f>
        <v>410.78128255694838</v>
      </c>
      <c r="H10" s="101">
        <f>Population!E10/((Population!E10/G10)*(1+C10))</f>
        <v>416.61387683260489</v>
      </c>
      <c r="I10" s="101">
        <f>Population!F10/((Population!F10/H10)*(1+C10))</f>
        <v>422.52928684848365</v>
      </c>
      <c r="J10" s="101">
        <f>Population!G10/((Population!G10/I10)*(1+C10))</f>
        <v>428.52868848730594</v>
      </c>
      <c r="K10" s="101">
        <f>Population!H10/((Population!H10/J10)*(1+C10))</f>
        <v>434.61327432789653</v>
      </c>
      <c r="L10" s="101">
        <f>Population!I10/((Population!I10/K10)*(1+C10))</f>
        <v>440.78425388224798</v>
      </c>
      <c r="M10" s="101">
        <f>Population!J10/((Population!J10/L10)*(1+C10))</f>
        <v>447.04285383595129</v>
      </c>
      <c r="N10" s="101">
        <f>Population!K10/((Population!K10/M10)*(1+C10))</f>
        <v>453.39031829203986</v>
      </c>
      <c r="O10" s="101">
        <f>Population!L10/((Population!L10/N10)*(1+C10))</f>
        <v>459.82790901829605</v>
      </c>
      <c r="P10" s="101">
        <f>Population!M10/((Population!M10/O10)*(1+C10))</f>
        <v>466.35690569806906</v>
      </c>
      <c r="Q10" s="101">
        <f>Population!N10/((Population!N10/P10)*(1+C10))</f>
        <v>472.97860618465421</v>
      </c>
    </row>
    <row r="11" spans="1:17" ht="14.5" x14ac:dyDescent="0.35">
      <c r="A11" s="177">
        <v>10</v>
      </c>
      <c r="B11" s="178" t="s">
        <v>163</v>
      </c>
      <c r="C11" s="82">
        <f>Variables!$C$8</f>
        <v>-1.4E-2</v>
      </c>
      <c r="D11" s="184">
        <v>120</v>
      </c>
      <c r="E11" s="184">
        <v>120</v>
      </c>
      <c r="F11" s="183" t="s">
        <v>335</v>
      </c>
      <c r="G11" s="101">
        <f>Population!D11/((Population!D11/E11)*(1+C11))</f>
        <v>121.70385395537525</v>
      </c>
      <c r="H11" s="101">
        <f>Population!E11/((Population!E11/G11)*(1+C11))</f>
        <v>123.4319005632609</v>
      </c>
      <c r="I11" s="101">
        <f>Population!F11/((Population!F11/H11)*(1+C11))</f>
        <v>125.1844833298792</v>
      </c>
      <c r="J11" s="101">
        <f>Population!G11/((Population!G11/I11)*(1+C11))</f>
        <v>126.9619506388227</v>
      </c>
      <c r="K11" s="101">
        <f>Population!H11/((Population!H11/J11)*(1+C11))</f>
        <v>128.76465582030701</v>
      </c>
      <c r="L11" s="101">
        <f>Population!I11/((Population!I11/K11)*(1+C11))</f>
        <v>130.59295722140669</v>
      </c>
      <c r="M11" s="101">
        <f>Population!J11/((Population!J11/L11)*(1+C11))</f>
        <v>132.44721827728875</v>
      </c>
      <c r="N11" s="101">
        <f>Population!K11/((Population!K11/M11)*(1+C11))</f>
        <v>134.32780758345717</v>
      </c>
      <c r="O11" s="101">
        <f>Population!L11/((Population!L11/N11)*(1+C11))</f>
        <v>136.23509896902351</v>
      </c>
      <c r="P11" s="101">
        <f>Population!M11/((Population!M11/O11)*(1+C11))</f>
        <v>138.16947157101774</v>
      </c>
      <c r="Q11" s="101">
        <f>Population!N11/((Population!N11/P11)*(1+C11))</f>
        <v>140.13130990975429</v>
      </c>
    </row>
    <row r="12" spans="1:17" ht="14.5" x14ac:dyDescent="0.35">
      <c r="A12" s="177">
        <v>11</v>
      </c>
      <c r="B12" s="178" t="s">
        <v>164</v>
      </c>
      <c r="C12" s="82">
        <f>Variables!$C$8</f>
        <v>-1.4E-2</v>
      </c>
      <c r="D12" s="182">
        <v>114</v>
      </c>
      <c r="E12" s="182">
        <f>Population!D12/(Population!C12/D12*(1+Area!C12)^(2019-2011))</f>
        <v>153.91153094843742</v>
      </c>
      <c r="F12" s="183" t="s">
        <v>299</v>
      </c>
      <c r="G12" s="101">
        <f>Population!D12/((Population!D12/E12)*(1+C12))</f>
        <v>156.09688737164038</v>
      </c>
      <c r="H12" s="101">
        <f>Population!E12/((Population!E12/G12)*(1+C12))</f>
        <v>158.31327319638984</v>
      </c>
      <c r="I12" s="101">
        <f>Population!F12/((Population!F12/H12)*(1+C12))</f>
        <v>160.56112900242377</v>
      </c>
      <c r="J12" s="101">
        <f>Population!G12/((Population!G12/I12)*(1+C12))</f>
        <v>162.84090162517623</v>
      </c>
      <c r="K12" s="101">
        <f>Population!H12/((Population!H12/J12)*(1+C12))</f>
        <v>165.15304424460064</v>
      </c>
      <c r="L12" s="101">
        <f>Population!I12/((Population!I12/K12)*(1+C12))</f>
        <v>167.49801647525422</v>
      </c>
      <c r="M12" s="101">
        <f>Population!J12/((Population!J12/L12)*(1+C12))</f>
        <v>169.87628445766148</v>
      </c>
      <c r="N12" s="101">
        <f>Population!K12/((Population!K12/M12)*(1+C12))</f>
        <v>172.28832095097513</v>
      </c>
      <c r="O12" s="101">
        <f>Population!L12/((Population!L12/N12)*(1+C12))</f>
        <v>174.73460542695247</v>
      </c>
      <c r="P12" s="101">
        <f>Population!M12/((Population!M12/O12)*(1+C12))</f>
        <v>177.21562416526621</v>
      </c>
      <c r="Q12" s="101">
        <f>Population!N12/((Population!N12/P12)*(1+C12))</f>
        <v>179.73187035016855</v>
      </c>
    </row>
    <row r="13" spans="1:17" ht="14.5" x14ac:dyDescent="0.35">
      <c r="A13" s="177">
        <v>12</v>
      </c>
      <c r="B13" s="178" t="s">
        <v>165</v>
      </c>
      <c r="C13" s="82">
        <f>Variables!$C$8</f>
        <v>-1.4E-2</v>
      </c>
      <c r="D13" s="182">
        <v>19</v>
      </c>
      <c r="E13" s="182">
        <f>Population!D13/(Population!C13/D13*(1+Area!C13)^(2019-2011))</f>
        <v>25.651921824739571</v>
      </c>
      <c r="F13" s="183" t="s">
        <v>299</v>
      </c>
      <c r="G13" s="101">
        <f>Population!D13/((Population!D13/E13)*(1+C13))</f>
        <v>26.016147895273399</v>
      </c>
      <c r="H13" s="101">
        <f>Population!E13/((Population!E13/G13)*(1+C13))</f>
        <v>26.385545532731644</v>
      </c>
      <c r="I13" s="101">
        <f>Population!F13/((Population!F13/H13)*(1+C13))</f>
        <v>26.760188167070634</v>
      </c>
      <c r="J13" s="101">
        <f>Population!G13/((Population!G13/I13)*(1+C13))</f>
        <v>27.140150270862708</v>
      </c>
      <c r="K13" s="101">
        <f>Population!H13/((Population!H13/J13)*(1+C13))</f>
        <v>27.525507374100108</v>
      </c>
      <c r="L13" s="101">
        <f>Population!I13/((Population!I13/K13)*(1+C13))</f>
        <v>27.916336079209039</v>
      </c>
      <c r="M13" s="101">
        <f>Population!J13/((Population!J13/L13)*(1+C13))</f>
        <v>28.312714076276915</v>
      </c>
      <c r="N13" s="101">
        <f>Population!K13/((Population!K13/M13)*(1+C13))</f>
        <v>28.714720158495858</v>
      </c>
      <c r="O13" s="101">
        <f>Population!L13/((Population!L13/N13)*(1+C13))</f>
        <v>29.122434237825413</v>
      </c>
      <c r="P13" s="101">
        <f>Population!M13/((Population!M13/O13)*(1+C13))</f>
        <v>29.5359373608777</v>
      </c>
      <c r="Q13" s="101">
        <f>Population!N13/((Population!N13/P13)*(1+C13))</f>
        <v>29.955311725028096</v>
      </c>
    </row>
    <row r="14" spans="1:17" ht="14.5" x14ac:dyDescent="0.35">
      <c r="A14" s="177">
        <v>13</v>
      </c>
      <c r="B14" s="178" t="s">
        <v>166</v>
      </c>
      <c r="C14" s="179">
        <v>-0.01</v>
      </c>
      <c r="D14" s="182">
        <v>650</v>
      </c>
      <c r="E14" s="182">
        <f>Population!D14/(Population!C14/D14*(1+Area!C14)^(2019-2011))</f>
        <v>849.59789195702035</v>
      </c>
      <c r="F14" s="183" t="s">
        <v>299</v>
      </c>
      <c r="G14" s="101">
        <f>Population!D14/((Population!D14/E14)*(1+C14))</f>
        <v>858.17968884547497</v>
      </c>
      <c r="H14" s="101">
        <f>Population!E14/((Population!E14/G14)*(1+C14))</f>
        <v>866.84817055098495</v>
      </c>
      <c r="I14" s="101">
        <f>Population!F14/((Population!F14/H14)*(1+C14))</f>
        <v>875.60421267776258</v>
      </c>
      <c r="J14" s="101">
        <f>Population!G14/((Population!G14/I14)*(1+C14))</f>
        <v>884.44869967450757</v>
      </c>
      <c r="K14" s="101">
        <f>Population!H14/((Population!H14/J14)*(1+C14))</f>
        <v>893.382524923745</v>
      </c>
      <c r="L14" s="101">
        <f>Population!I14/((Population!I14/K14)*(1+C14))</f>
        <v>902.4065908320656</v>
      </c>
      <c r="M14" s="101">
        <f>Population!J14/((Population!J14/L14)*(1+C14))</f>
        <v>911.52180892127831</v>
      </c>
      <c r="N14" s="101">
        <f>Population!K14/((Population!K14/M14)*(1+C14))</f>
        <v>920.72909992048324</v>
      </c>
      <c r="O14" s="101">
        <f>Population!L14/((Population!L14/N14)*(1+C14))</f>
        <v>930.02939385907405</v>
      </c>
      <c r="P14" s="101">
        <f>Population!M14/((Population!M14/O14)*(1+C14))</f>
        <v>939.42363016068089</v>
      </c>
      <c r="Q14" s="101">
        <f>Population!N14/((Population!N14/P14)*(1+C14))</f>
        <v>948.9127577380616</v>
      </c>
    </row>
    <row r="15" spans="1:17" ht="14.5" x14ac:dyDescent="0.35">
      <c r="A15" s="177">
        <v>14</v>
      </c>
      <c r="B15" s="178" t="s">
        <v>167</v>
      </c>
      <c r="C15" s="82">
        <f>Variables!$C$8</f>
        <v>-1.4E-2</v>
      </c>
      <c r="D15" s="182">
        <v>30</v>
      </c>
      <c r="E15" s="182">
        <f>Population!D15/(Population!C15/D15*(1+Area!C15)^(2019-2011))</f>
        <v>40.50303446011511</v>
      </c>
      <c r="F15" s="183" t="s">
        <v>299</v>
      </c>
      <c r="G15" s="101">
        <f>Population!D15/((Population!D15/E15)*(1+C15))</f>
        <v>41.078128255694836</v>
      </c>
      <c r="H15" s="101">
        <f>Population!E15/((Population!E15/G15)*(1+C15))</f>
        <v>41.661387683260486</v>
      </c>
      <c r="I15" s="101">
        <f>Population!F15/((Population!F15/H15)*(1+C15))</f>
        <v>42.252928684848364</v>
      </c>
      <c r="J15" s="101">
        <f>Population!G15/((Population!G15/I15)*(1+C15))</f>
        <v>42.852868848730594</v>
      </c>
      <c r="K15" s="101">
        <f>Population!H15/((Population!H15/J15)*(1+C15))</f>
        <v>43.461327432789652</v>
      </c>
      <c r="L15" s="101">
        <f>Population!I15/((Population!I15/K15)*(1+C15))</f>
        <v>44.078425388224794</v>
      </c>
      <c r="M15" s="101">
        <f>Population!J15/((Population!J15/L15)*(1+C15))</f>
        <v>44.704285383595128</v>
      </c>
      <c r="N15" s="101">
        <f>Population!K15/((Population!K15/M15)*(1+C15))</f>
        <v>45.339031829203982</v>
      </c>
      <c r="O15" s="101">
        <f>Population!L15/((Population!L15/N15)*(1+C15))</f>
        <v>45.982790901829595</v>
      </c>
      <c r="P15" s="101">
        <f>Population!M15/((Population!M15/O15)*(1+C15))</f>
        <v>46.63569056980689</v>
      </c>
      <c r="Q15" s="101">
        <f>Population!N15/((Population!N15/P15)*(1+C15))</f>
        <v>47.297860618465407</v>
      </c>
    </row>
    <row r="16" spans="1:17" ht="14.5" x14ac:dyDescent="0.35">
      <c r="A16" s="177">
        <v>15</v>
      </c>
      <c r="B16" s="178" t="s">
        <v>168</v>
      </c>
      <c r="C16" s="82">
        <f>Variables!$C$8</f>
        <v>-1.4E-2</v>
      </c>
      <c r="D16" s="182">
        <v>167</v>
      </c>
      <c r="E16" s="182">
        <f>Population!D16/(Population!C16/D16*(1+Area!C16)^(2019-2011))</f>
        <v>225.46689182797411</v>
      </c>
      <c r="F16" s="183" t="s">
        <v>299</v>
      </c>
      <c r="G16" s="101">
        <f>Population!D16/((Population!D16/E16)*(1+C16))</f>
        <v>228.66824729003457</v>
      </c>
      <c r="H16" s="101">
        <f>Population!E16/((Population!E16/G16)*(1+C16))</f>
        <v>231.91505810348335</v>
      </c>
      <c r="I16" s="101">
        <f>Population!F16/((Population!F16/H16)*(1+C16))</f>
        <v>235.20796967898917</v>
      </c>
      <c r="J16" s="101">
        <f>Population!G16/((Population!G16/I16)*(1+C16))</f>
        <v>238.54763659126692</v>
      </c>
      <c r="K16" s="101">
        <f>Population!H16/((Population!H16/J16)*(1+C16))</f>
        <v>241.93472270919565</v>
      </c>
      <c r="L16" s="101">
        <f>Population!I16/((Population!I16/K16)*(1+C16))</f>
        <v>245.36990132778465</v>
      </c>
      <c r="M16" s="101">
        <f>Population!J16/((Population!J16/L16)*(1+C16))</f>
        <v>248.85385530201282</v>
      </c>
      <c r="N16" s="101">
        <f>Population!K16/((Population!K16/M16)*(1+C16))</f>
        <v>252.38727718256879</v>
      </c>
      <c r="O16" s="101">
        <f>Population!L16/((Population!L16/N16)*(1+C16))</f>
        <v>255.97086935351808</v>
      </c>
      <c r="P16" s="101">
        <f>Population!M16/((Population!M16/O16)*(1+C16))</f>
        <v>259.60534417192503</v>
      </c>
      <c r="Q16" s="101">
        <f>Population!N16/((Population!N16/P16)*(1+C16))</f>
        <v>263.29142410945741</v>
      </c>
    </row>
    <row r="17" spans="1:17" ht="14.5" x14ac:dyDescent="0.35">
      <c r="A17" s="177">
        <v>16</v>
      </c>
      <c r="B17" s="178" t="s">
        <v>169</v>
      </c>
      <c r="C17" s="179">
        <v>3.5000000000000003E-2</v>
      </c>
      <c r="D17" s="182">
        <v>485</v>
      </c>
      <c r="E17" s="182">
        <f>Population!D17/(Population!C17/D17*(1+Area!C17)^(2019-2011))</f>
        <v>444.2225149751597</v>
      </c>
      <c r="F17" s="183" t="s">
        <v>299</v>
      </c>
      <c r="G17" s="101">
        <f>Population!D17/((Population!D17/E17)*(1+C17))</f>
        <v>429.20049756054078</v>
      </c>
      <c r="H17" s="101">
        <f>Population!E17/((Population!E17/G17)*(1+C17))</f>
        <v>414.68647107298631</v>
      </c>
      <c r="I17" s="101">
        <f>Population!F17/((Population!F17/H17)*(1+C17))</f>
        <v>400.66325707534907</v>
      </c>
      <c r="J17" s="101">
        <f>Population!G17/((Population!G17/I17)*(1+C17))</f>
        <v>387.1142580438156</v>
      </c>
      <c r="K17" s="101">
        <f>Population!H17/((Population!H17/J17)*(1+C17))</f>
        <v>374.02343772349337</v>
      </c>
      <c r="L17" s="101">
        <f>Population!I17/((Population!I17/K17)*(1+C17))</f>
        <v>361.37530214830281</v>
      </c>
      <c r="M17" s="101">
        <f>Population!J17/((Population!J17/L17)*(1+C17))</f>
        <v>349.15488130270802</v>
      </c>
      <c r="N17" s="101">
        <f>Population!K17/((Population!K17/M17)*(1+C17))</f>
        <v>337.34771140358259</v>
      </c>
      <c r="O17" s="101">
        <f>Population!L17/((Population!L17/N17)*(1+C17))</f>
        <v>325.93981778123924</v>
      </c>
      <c r="P17" s="101">
        <f>Population!M17/((Population!M17/O17)*(1+C17))</f>
        <v>314.91769833936161</v>
      </c>
      <c r="Q17" s="101">
        <f>Population!N17/((Population!N17/P17)*(1+C17))</f>
        <v>304.26830757426245</v>
      </c>
    </row>
    <row r="18" spans="1:17" ht="14.5" x14ac:dyDescent="0.35">
      <c r="A18" s="177">
        <v>17</v>
      </c>
      <c r="B18" s="178" t="s">
        <v>170</v>
      </c>
      <c r="C18" s="82">
        <f>Variables!$C$8</f>
        <v>-1.4E-2</v>
      </c>
      <c r="D18" s="184">
        <v>2.61</v>
      </c>
      <c r="E18" s="184">
        <v>2.61</v>
      </c>
      <c r="F18" s="183" t="s">
        <v>335</v>
      </c>
      <c r="G18" s="101">
        <f>Population!D18/((Population!D18/E18)*(1+C18))</f>
        <v>2.6470588235294117</v>
      </c>
      <c r="H18" s="101">
        <f>Population!E18/((Population!E18/G18)*(1+C18))</f>
        <v>2.6846438372509249</v>
      </c>
      <c r="I18" s="101">
        <f>Population!F18/((Population!F18/H18)*(1+C18))</f>
        <v>2.7227625124248731</v>
      </c>
      <c r="J18" s="101">
        <f>Population!G18/((Population!G18/I18)*(1+C18))</f>
        <v>2.7614224263943949</v>
      </c>
      <c r="K18" s="101">
        <f>Population!H18/((Population!H18/J18)*(1+C18))</f>
        <v>2.8006312640916784</v>
      </c>
      <c r="L18" s="101">
        <f>Population!I18/((Population!I18/K18)*(1+C18))</f>
        <v>2.8403968195655969</v>
      </c>
      <c r="M18" s="101">
        <f>Population!J18/((Population!J18/L18)*(1+C18))</f>
        <v>2.8807269975310317</v>
      </c>
      <c r="N18" s="101">
        <f>Population!K18/((Population!K18/M18)*(1+C18))</f>
        <v>2.9216298149401947</v>
      </c>
      <c r="O18" s="101">
        <f>Population!L18/((Population!L18/N18)*(1+C18))</f>
        <v>2.9631134025762624</v>
      </c>
      <c r="P18" s="101">
        <f>Population!M18/((Population!M18/O18)*(1+C18))</f>
        <v>3.0051860066696374</v>
      </c>
      <c r="Q18" s="101">
        <f>Population!N18/((Population!N18/P18)*(1+C18))</f>
        <v>3.0478559905371578</v>
      </c>
    </row>
    <row r="19" spans="1:17" ht="14.5" x14ac:dyDescent="0.35">
      <c r="A19" s="177">
        <v>18</v>
      </c>
      <c r="B19" s="178" t="s">
        <v>171</v>
      </c>
      <c r="C19" s="82">
        <f>Variables!$C$8</f>
        <v>-1.4E-2</v>
      </c>
      <c r="D19" s="182">
        <v>20</v>
      </c>
      <c r="E19" s="182">
        <f>Population!D19/(Population!C19/D19*(1+Area!C19)^(2019-2011))</f>
        <v>27.002022973410075</v>
      </c>
      <c r="F19" s="183" t="s">
        <v>299</v>
      </c>
      <c r="G19" s="101">
        <f>Population!D19/((Population!D19/E19)*(1+C19))</f>
        <v>27.385418837129897</v>
      </c>
      <c r="H19" s="101">
        <f>Population!E19/((Population!E19/G19)*(1+C19))</f>
        <v>27.774258455506992</v>
      </c>
      <c r="I19" s="101">
        <f>Population!F19/((Population!F19/H19)*(1+C19))</f>
        <v>28.168619123232247</v>
      </c>
      <c r="J19" s="101">
        <f>Population!G19/((Population!G19/I19)*(1+C19))</f>
        <v>28.568579232487064</v>
      </c>
      <c r="K19" s="101">
        <f>Population!H19/((Population!H19/J19)*(1+C19))</f>
        <v>28.974218288526433</v>
      </c>
      <c r="L19" s="101">
        <f>Population!I19/((Population!I19/K19)*(1+C19))</f>
        <v>29.385616925483198</v>
      </c>
      <c r="M19" s="101">
        <f>Population!J19/((Population!J19/L19)*(1+C19))</f>
        <v>29.802856922396757</v>
      </c>
      <c r="N19" s="101">
        <f>Population!K19/((Population!K19/M19)*(1+C19))</f>
        <v>30.226021219469327</v>
      </c>
      <c r="O19" s="101">
        <f>Population!L19/((Population!L19/N19)*(1+C19))</f>
        <v>30.655193934553072</v>
      </c>
      <c r="P19" s="101">
        <f>Population!M19/((Population!M19/O19)*(1+C19))</f>
        <v>31.090460379871267</v>
      </c>
      <c r="Q19" s="101">
        <f>Population!N19/((Population!N19/P19)*(1+C19))</f>
        <v>31.531907078976943</v>
      </c>
    </row>
    <row r="20" spans="1:17" ht="14.5" x14ac:dyDescent="0.35">
      <c r="A20" s="177">
        <v>19</v>
      </c>
      <c r="B20" s="178" t="s">
        <v>172</v>
      </c>
      <c r="C20" s="179">
        <v>8.9999999999999993E-3</v>
      </c>
      <c r="D20" s="182">
        <v>1027</v>
      </c>
      <c r="E20" s="182">
        <f>Population!D20/(Population!C20/D20*(1+Area!C20)^(2019-2011))</f>
        <v>1152.98256473843</v>
      </c>
      <c r="F20" s="183" t="s">
        <v>299</v>
      </c>
      <c r="G20" s="101">
        <f>Population!D20/((Population!D20/E20)*(1+C20))</f>
        <v>1142.6982802164819</v>
      </c>
      <c r="H20" s="101">
        <f>Population!E20/((Population!E20/G20)*(1+C20))</f>
        <v>1132.5057286585547</v>
      </c>
      <c r="I20" s="101">
        <f>Population!F20/((Population!F20/H20)*(1+C20))</f>
        <v>1122.4040918320663</v>
      </c>
      <c r="J20" s="101">
        <f>Population!G20/((Population!G20/I20)*(1+C20))</f>
        <v>1112.3925588028408</v>
      </c>
      <c r="K20" s="101">
        <f>Population!H20/((Population!H20/J20)*(1+C20))</f>
        <v>1102.4703258700108</v>
      </c>
      <c r="L20" s="101">
        <f>Population!I20/((Population!I20/K20)*(1+C20))</f>
        <v>1092.6365965014975</v>
      </c>
      <c r="M20" s="101">
        <f>Population!J20/((Population!J20/L20)*(1+C20))</f>
        <v>1082.8905812700671</v>
      </c>
      <c r="N20" s="101">
        <f>Population!K20/((Population!K20/M20)*(1+C20))</f>
        <v>1073.2314977899575</v>
      </c>
      <c r="O20" s="101">
        <f>Population!L20/((Population!L20/N20)*(1+C20))</f>
        <v>1063.6585706540709</v>
      </c>
      <c r="P20" s="101">
        <f>Population!M20/((Population!M20/O20)*(1+C20))</f>
        <v>1054.1710313717253</v>
      </c>
      <c r="Q20" s="101">
        <f>Population!N20/((Population!N20/P20)*(1+C20))</f>
        <v>1044.7681183069628</v>
      </c>
    </row>
    <row r="21" spans="1:17" ht="14.5" x14ac:dyDescent="0.35">
      <c r="A21" s="177">
        <v>20</v>
      </c>
      <c r="B21" s="178" t="s">
        <v>173</v>
      </c>
      <c r="C21" s="82">
        <f>Variables!$C$8</f>
        <v>-1.4E-2</v>
      </c>
      <c r="D21" s="182">
        <v>337</v>
      </c>
      <c r="E21" s="182">
        <f>Population!D21/(Population!C21/D21*(1+Area!C21)^(2019-2011))</f>
        <v>454.98408710195969</v>
      </c>
      <c r="F21" s="183" t="s">
        <v>299</v>
      </c>
      <c r="G21" s="101">
        <f>Population!D21/((Population!D21/E21)*(1+C21))</f>
        <v>461.4443074056386</v>
      </c>
      <c r="H21" s="101">
        <f>Population!E21/((Population!E21/G21)*(1+C21))</f>
        <v>467.99625497529269</v>
      </c>
      <c r="I21" s="101">
        <f>Population!F21/((Population!F21/H21)*(1+C21))</f>
        <v>474.64123222646322</v>
      </c>
      <c r="J21" s="101">
        <f>Population!G21/((Population!G21/I21)*(1+C21))</f>
        <v>481.38056006740692</v>
      </c>
      <c r="K21" s="101">
        <f>Population!H21/((Population!H21/J21)*(1+C21))</f>
        <v>488.21557816167029</v>
      </c>
      <c r="L21" s="101">
        <f>Population!I21/((Population!I21/K21)*(1+C21))</f>
        <v>495.14764519439183</v>
      </c>
      <c r="M21" s="101">
        <f>Population!J21/((Population!J21/L21)*(1+C21))</f>
        <v>502.17813914238519</v>
      </c>
      <c r="N21" s="101">
        <f>Population!K21/((Population!K21/M21)*(1+C21))</f>
        <v>509.30845754805802</v>
      </c>
      <c r="O21" s="101">
        <f>Population!L21/((Population!L21/N21)*(1+C21))</f>
        <v>516.54001779721909</v>
      </c>
      <c r="P21" s="101">
        <f>Population!M21/((Population!M21/O21)*(1+C21))</f>
        <v>523.87425740083074</v>
      </c>
      <c r="Q21" s="101">
        <f>Population!N21/((Population!N21/P21)*(1+C21))</f>
        <v>531.31263428076147</v>
      </c>
    </row>
    <row r="22" spans="1:17" ht="15" customHeight="1" x14ac:dyDescent="0.35">
      <c r="A22" s="177">
        <v>21</v>
      </c>
      <c r="B22" s="178" t="s">
        <v>174</v>
      </c>
      <c r="C22" s="179">
        <v>3.9E-2</v>
      </c>
      <c r="D22" s="180">
        <f>705*(1+C22)^5</f>
        <v>853.62446743758471</v>
      </c>
      <c r="E22" s="180">
        <f>705*(1+C22)^5</f>
        <v>853.62446743758471</v>
      </c>
      <c r="F22" s="183" t="s">
        <v>300</v>
      </c>
      <c r="G22" s="101">
        <f>Population!D22/((Population!D22/E22)*(1+C22))</f>
        <v>821.58274055590448</v>
      </c>
      <c r="H22" s="101">
        <f>Population!E22/((Population!E22/G22)*(1+C22))</f>
        <v>790.74373489499953</v>
      </c>
      <c r="I22" s="101">
        <f>Population!F22/((Population!F22/H22)*(1+C22))</f>
        <v>761.06230499999947</v>
      </c>
      <c r="J22" s="101">
        <f>Population!G22/((Population!G22/I22)*(1+C22))</f>
        <v>732.49499999999955</v>
      </c>
      <c r="K22" s="101">
        <f>Population!H22/((Population!H22/J22)*(1+C22))</f>
        <v>704.99999999999966</v>
      </c>
      <c r="L22" s="101">
        <f>Population!I22/((Population!I22/K22)*(1+C22))</f>
        <v>678.53705486044248</v>
      </c>
      <c r="M22" s="101">
        <f>Population!J22/((Population!J22/L22)*(1+C22))</f>
        <v>653.06742527472818</v>
      </c>
      <c r="N22" s="101">
        <f>Population!K22/((Population!K22/M22)*(1+C22))</f>
        <v>628.55382605844875</v>
      </c>
      <c r="O22" s="101">
        <f>Population!L22/((Population!L22/N22)*(1+C22))</f>
        <v>604.96037156732325</v>
      </c>
      <c r="P22" s="101">
        <f>Population!M22/((Population!M22/O22)*(1+C22))</f>
        <v>582.25252316393005</v>
      </c>
      <c r="Q22" s="101">
        <f>Population!N22/((Population!N22/P22)*(1+C22))</f>
        <v>560.39703865633305</v>
      </c>
    </row>
    <row r="23" spans="1:17" ht="15" customHeight="1" x14ac:dyDescent="0.35">
      <c r="A23" s="177">
        <v>22</v>
      </c>
      <c r="B23" s="178" t="s">
        <v>175</v>
      </c>
      <c r="C23" s="82">
        <f>Variables!$C$8</f>
        <v>-1.4E-2</v>
      </c>
      <c r="D23" s="180">
        <v>782</v>
      </c>
      <c r="E23" s="182">
        <f>Population!D23/(Population!C23/D23*(1+Area!C23)^(2019-2011))</f>
        <v>1055.7790982603337</v>
      </c>
      <c r="F23" s="183" t="s">
        <v>299</v>
      </c>
      <c r="G23" s="101">
        <f>Population!D23/((Population!D23/E23)*(1+C23))</f>
        <v>1070.7698765317787</v>
      </c>
      <c r="H23" s="101">
        <f>Population!E23/((Population!E23/G23)*(1+C23))</f>
        <v>1085.9735056103232</v>
      </c>
      <c r="I23" s="101">
        <f>Population!F23/((Population!F23/H23)*(1+C23))</f>
        <v>1101.3930077183807</v>
      </c>
      <c r="J23" s="101">
        <f>Population!G23/((Population!G23/I23)*(1+C23))</f>
        <v>1117.031447990244</v>
      </c>
      <c r="K23" s="101">
        <f>Population!H23/((Population!H23/J23)*(1+C23))</f>
        <v>1132.8919350813833</v>
      </c>
      <c r="L23" s="101">
        <f>Population!I23/((Population!I23/K23)*(1+C23))</f>
        <v>1148.9776217863928</v>
      </c>
      <c r="M23" s="101">
        <f>Population!J23/((Population!J23/L23)*(1+C23))</f>
        <v>1165.2917056657127</v>
      </c>
      <c r="N23" s="101">
        <f>Population!K23/((Population!K23/M23)*(1+C23))</f>
        <v>1181.8374296812503</v>
      </c>
      <c r="O23" s="101">
        <f>Population!L23/((Population!L23/N23)*(1+C23))</f>
        <v>1198.6180828410247</v>
      </c>
      <c r="P23" s="101">
        <f>Population!M23/((Population!M23/O23)*(1+C23))</f>
        <v>1215.6370008529664</v>
      </c>
      <c r="Q23" s="101">
        <f>Population!N23/((Population!N23/P23)*(1+C23))</f>
        <v>1232.8975667879984</v>
      </c>
    </row>
    <row r="24" spans="1:17" ht="15" customHeight="1" x14ac:dyDescent="0.35">
      <c r="A24" s="177">
        <v>23</v>
      </c>
      <c r="B24" s="178" t="s">
        <v>176</v>
      </c>
      <c r="C24" s="82">
        <f>Variables!$C$8</f>
        <v>-1.4E-2</v>
      </c>
      <c r="D24" s="171">
        <v>78.5</v>
      </c>
      <c r="E24" s="182">
        <f>Population!D24/(Population!C24/D24*(1+Area!C24)^(2019-2015))</f>
        <v>100.17137226140898</v>
      </c>
      <c r="F24" s="183" t="s">
        <v>336</v>
      </c>
      <c r="G24" s="101">
        <f>Population!D24/((Population!D24/E24)*(1+C24))</f>
        <v>101.59368383510039</v>
      </c>
      <c r="H24" s="101">
        <f>Population!E24/((Population!E24/G24)*(1+C24))</f>
        <v>103.03619050213022</v>
      </c>
      <c r="I24" s="101">
        <f>Population!F24/((Population!F24/H24)*(1+C24))</f>
        <v>104.49917900824568</v>
      </c>
      <c r="J24" s="101">
        <f>Population!G24/((Population!G24/I24)*(1+C24))</f>
        <v>105.98294017063456</v>
      </c>
      <c r="K24" s="101">
        <f>Population!H24/((Population!H24/J24)*(1+C24))</f>
        <v>107.48776893573485</v>
      </c>
      <c r="L24" s="101">
        <f>Population!I24/((Population!I24/K24)*(1+C24))</f>
        <v>109.01396443786496</v>
      </c>
      <c r="M24" s="101">
        <f>Population!J24/((Population!J24/L24)*(1+C24))</f>
        <v>110.56183005868657</v>
      </c>
      <c r="N24" s="101">
        <f>Population!K24/((Population!K24/M24)*(1+C24))</f>
        <v>112.13167348751172</v>
      </c>
      <c r="O24" s="101">
        <f>Population!L24/((Population!L24/N24)*(1+C24))</f>
        <v>113.72380678246626</v>
      </c>
      <c r="P24" s="101">
        <f>Population!M24/((Population!M24/O24)*(1+C24))</f>
        <v>115.33854643252155</v>
      </c>
      <c r="Q24" s="101">
        <f>Population!N24/((Population!N24/P24)*(1+C24))</f>
        <v>116.97621342040725</v>
      </c>
    </row>
    <row r="25" spans="1:17" ht="15" customHeight="1" x14ac:dyDescent="0.35">
      <c r="A25" s="177">
        <v>24</v>
      </c>
      <c r="B25" s="178" t="s">
        <v>177</v>
      </c>
      <c r="C25" s="82">
        <f>Variables!$C$8</f>
        <v>-1.4E-2</v>
      </c>
      <c r="D25" s="180">
        <v>76</v>
      </c>
      <c r="E25" s="182">
        <f>Population!D25/(Population!C25/D25*(1+Area!C25)^(2019-2011))</f>
        <v>102.60768729895828</v>
      </c>
      <c r="F25" s="183" t="s">
        <v>299</v>
      </c>
      <c r="G25" s="101">
        <f>Population!D25/((Population!D25/E25)*(1+C25))</f>
        <v>104.06459158109359</v>
      </c>
      <c r="H25" s="101">
        <f>Population!E25/((Population!E25/G25)*(1+C25))</f>
        <v>105.54218213092658</v>
      </c>
      <c r="I25" s="101">
        <f>Population!F25/((Population!F25/H25)*(1+C25))</f>
        <v>107.04075266828254</v>
      </c>
      <c r="J25" s="101">
        <f>Population!G25/((Population!G25/I25)*(1+C25))</f>
        <v>108.56060108345085</v>
      </c>
      <c r="K25" s="101">
        <f>Population!H25/((Population!H25/J25)*(1+C25))</f>
        <v>110.10202949640046</v>
      </c>
      <c r="L25" s="101">
        <f>Population!I25/((Population!I25/K25)*(1+C25))</f>
        <v>111.66534431683617</v>
      </c>
      <c r="M25" s="101">
        <f>Population!J25/((Population!J25/L25)*(1+C25))</f>
        <v>113.25085630510767</v>
      </c>
      <c r="N25" s="101">
        <f>Population!K25/((Population!K25/M25)*(1+C25))</f>
        <v>114.85888063398343</v>
      </c>
      <c r="O25" s="101">
        <f>Population!L25/((Population!L25/N25)*(1+C25))</f>
        <v>116.48973695130168</v>
      </c>
      <c r="P25" s="101">
        <f>Population!M25/((Population!M25/O25)*(1+C25))</f>
        <v>118.14374944351083</v>
      </c>
      <c r="Q25" s="101">
        <f>Population!N25/((Population!N25/P25)*(1+C25))</f>
        <v>119.8212469001124</v>
      </c>
    </row>
    <row r="26" spans="1:17" ht="15" customHeight="1" x14ac:dyDescent="0.35">
      <c r="A26" s="177">
        <v>25</v>
      </c>
      <c r="B26" s="178" t="s">
        <v>178</v>
      </c>
      <c r="C26" s="82">
        <f>Variables!$C$8</f>
        <v>-1.4E-2</v>
      </c>
      <c r="D26" s="180">
        <v>135</v>
      </c>
      <c r="E26" s="182">
        <f>Population!D26/(Population!C26/D26*(1+Area!C26)^(2019-2011))</f>
        <v>182.26365507051801</v>
      </c>
      <c r="F26" s="183" t="s">
        <v>299</v>
      </c>
      <c r="G26" s="101">
        <f>Population!D26/((Population!D26/E26)*(1+C26))</f>
        <v>184.85157715062678</v>
      </c>
      <c r="H26" s="101">
        <f>Population!E26/((Population!E26/G26)*(1+C26))</f>
        <v>187.47624457467219</v>
      </c>
      <c r="I26" s="101">
        <f>Population!F26/((Population!F26/H26)*(1+C26))</f>
        <v>190.13817908181764</v>
      </c>
      <c r="J26" s="101">
        <f>Population!G26/((Population!G26/I26)*(1+C26))</f>
        <v>192.83790981928766</v>
      </c>
      <c r="K26" s="101">
        <f>Population!H26/((Population!H26/J26)*(1+C26))</f>
        <v>195.57597344755342</v>
      </c>
      <c r="L26" s="101">
        <f>Population!I26/((Population!I26/K26)*(1+C26))</f>
        <v>198.3529142470116</v>
      </c>
      <c r="M26" s="101">
        <f>Population!J26/((Population!J26/L26)*(1+C26))</f>
        <v>201.16928422617809</v>
      </c>
      <c r="N26" s="101">
        <f>Population!K26/((Population!K26/M26)*(1+C26))</f>
        <v>204.02564323141792</v>
      </c>
      <c r="O26" s="101">
        <f>Population!L26/((Population!L26/N26)*(1+C26))</f>
        <v>206.92255905823316</v>
      </c>
      <c r="P26" s="101">
        <f>Population!M26/((Population!M26/O26)*(1+C26))</f>
        <v>209.86060756413102</v>
      </c>
      <c r="Q26" s="101">
        <f>Population!N26/((Population!N26/P26)*(1+C26))</f>
        <v>212.84037278309432</v>
      </c>
    </row>
    <row r="27" spans="1:17" ht="15" customHeight="1" x14ac:dyDescent="0.35">
      <c r="A27" s="177">
        <v>26</v>
      </c>
      <c r="B27" s="178" t="s">
        <v>179</v>
      </c>
      <c r="C27" s="82">
        <f>Variables!$C$8</f>
        <v>-1.4E-2</v>
      </c>
      <c r="D27" s="180">
        <v>482</v>
      </c>
      <c r="E27" s="182">
        <f>Population!D27/(Population!C27/D27*(1+Area!C27)^(2019-2011))</f>
        <v>650.74875365918274</v>
      </c>
      <c r="F27" s="183" t="s">
        <v>299</v>
      </c>
      <c r="G27" s="101">
        <f>Population!D27/((Population!D27/E27)*(1+C27))</f>
        <v>659.98859397483045</v>
      </c>
      <c r="H27" s="101">
        <f>Population!E27/((Population!E27/G27)*(1+C27))</f>
        <v>669.35962877771863</v>
      </c>
      <c r="I27" s="101">
        <f>Population!F27/((Population!F27/H27)*(1+C27))</f>
        <v>678.86372086989718</v>
      </c>
      <c r="J27" s="101">
        <f>Population!G27/((Population!G27/I27)*(1+C27))</f>
        <v>688.50275950293826</v>
      </c>
      <c r="K27" s="101">
        <f>Population!H27/((Population!H27/J27)*(1+C27))</f>
        <v>698.27866075348709</v>
      </c>
      <c r="L27" s="101">
        <f>Population!I27/((Population!I27/K27)*(1+C27))</f>
        <v>708.19336790414502</v>
      </c>
      <c r="M27" s="101">
        <f>Population!J27/((Population!J27/L27)*(1+C27))</f>
        <v>718.24885182976175</v>
      </c>
      <c r="N27" s="101">
        <f>Population!K27/((Population!K27/M27)*(1+C27))</f>
        <v>728.44711138921059</v>
      </c>
      <c r="O27" s="101">
        <f>Population!L27/((Population!L27/N27)*(1+C27))</f>
        <v>738.79017382272878</v>
      </c>
      <c r="P27" s="101">
        <f>Population!M27/((Population!M27/O27)*(1+C27))</f>
        <v>749.28009515489737</v>
      </c>
      <c r="Q27" s="101">
        <f>Population!N27/((Population!N27/P27)*(1+C27))</f>
        <v>759.91896060334409</v>
      </c>
    </row>
    <row r="28" spans="1:17" ht="15" customHeight="1" x14ac:dyDescent="0.35">
      <c r="A28" s="177">
        <v>27</v>
      </c>
      <c r="B28" s="178" t="s">
        <v>180</v>
      </c>
      <c r="C28" s="82">
        <f>Variables!$C$8</f>
        <v>-1.4E-2</v>
      </c>
      <c r="D28" s="171">
        <v>95.22</v>
      </c>
      <c r="E28" s="182">
        <f>Population!D28/(Population!C28/D28*(1+Area!C28)^(2019-2015))</f>
        <v>121.50723651887085</v>
      </c>
      <c r="F28" s="183" t="s">
        <v>337</v>
      </c>
      <c r="G28" s="101">
        <f>Population!D28/((Population!D28/E28)*(1+C28))</f>
        <v>123.23249139844914</v>
      </c>
      <c r="H28" s="101">
        <f>Population!E28/((Population!E28/G28)*(1+C28))</f>
        <v>124.98224279761575</v>
      </c>
      <c r="I28" s="101">
        <f>Population!F28/((Population!F28/H28)*(1+C28))</f>
        <v>126.75683853713566</v>
      </c>
      <c r="J28" s="101">
        <f>Population!G28/((Population!G28/I28)*(1+C28))</f>
        <v>128.55663137640533</v>
      </c>
      <c r="K28" s="101">
        <f>Population!H28/((Population!H28/J28)*(1+C28))</f>
        <v>130.3819790835754</v>
      </c>
      <c r="L28" s="101">
        <f>Population!I28/((Population!I28/K28)*(1+C28))</f>
        <v>132.23324450666877</v>
      </c>
      <c r="M28" s="101">
        <f>Population!J28/((Population!J28/L28)*(1+C28))</f>
        <v>134.11079564570872</v>
      </c>
      <c r="N28" s="101">
        <f>Population!K28/((Population!K28/M28)*(1+C28))</f>
        <v>136.01500572587091</v>
      </c>
      <c r="O28" s="101">
        <f>Population!L28/((Population!L28/N28)*(1+C28))</f>
        <v>137.94625327167438</v>
      </c>
      <c r="P28" s="101">
        <f>Population!M28/((Population!M28/O28)*(1+C28))</f>
        <v>139.90492218222553</v>
      </c>
      <c r="Q28" s="101">
        <f>Population!N28/((Population!N28/P28)*(1+C28))</f>
        <v>141.89140180753097</v>
      </c>
    </row>
    <row r="29" spans="1:17" ht="15" customHeight="1" x14ac:dyDescent="0.35">
      <c r="A29" s="177">
        <v>28</v>
      </c>
      <c r="B29" s="178" t="s">
        <v>181</v>
      </c>
      <c r="C29" s="82">
        <f>Variables!$C$8</f>
        <v>-1.4E-2</v>
      </c>
      <c r="D29" s="180">
        <v>116</v>
      </c>
      <c r="E29" s="182">
        <f>Population!D29/(Population!C29/D29*(1+Area!C29)^(2019-2011))</f>
        <v>156.6117332457784</v>
      </c>
      <c r="F29" s="183" t="s">
        <v>299</v>
      </c>
      <c r="G29" s="101">
        <f>Population!D29/((Population!D29/E29)*(1+C29))</f>
        <v>158.83542925535335</v>
      </c>
      <c r="H29" s="101">
        <f>Population!E29/((Population!E29/G29)*(1+C29))</f>
        <v>161.0906990419405</v>
      </c>
      <c r="I29" s="101">
        <f>Population!F29/((Population!F29/H29)*(1+C29))</f>
        <v>163.37799091474696</v>
      </c>
      <c r="J29" s="101">
        <f>Population!G29/((Population!G29/I29)*(1+C29))</f>
        <v>165.6977595484249</v>
      </c>
      <c r="K29" s="101">
        <f>Population!H29/((Population!H29/J29)*(1+C29))</f>
        <v>168.05046607345324</v>
      </c>
      <c r="L29" s="101">
        <f>Population!I29/((Population!I29/K29)*(1+C29))</f>
        <v>170.43657816780245</v>
      </c>
      <c r="M29" s="101">
        <f>Population!J29/((Population!J29/L29)*(1+C29))</f>
        <v>172.85657014990107</v>
      </c>
      <c r="N29" s="101">
        <f>Population!K29/((Population!K29/M29)*(1+C29))</f>
        <v>175.31092307292198</v>
      </c>
      <c r="O29" s="101">
        <f>Population!L29/((Population!L29/N29)*(1+C29))</f>
        <v>177.80012482040769</v>
      </c>
      <c r="P29" s="101">
        <f>Population!M29/((Population!M29/O29)*(1+C29))</f>
        <v>180.32467020325325</v>
      </c>
      <c r="Q29" s="101">
        <f>Population!N29/((Population!N29/P29)*(1+C29))</f>
        <v>182.88506105806621</v>
      </c>
    </row>
    <row r="30" spans="1:17" ht="15" customHeight="1" x14ac:dyDescent="0.35">
      <c r="A30" s="177">
        <v>29</v>
      </c>
      <c r="B30" s="178" t="s">
        <v>182</v>
      </c>
      <c r="C30" s="82">
        <f>Variables!$C$8</f>
        <v>-1.4E-2</v>
      </c>
      <c r="D30" s="180">
        <v>652</v>
      </c>
      <c r="E30" s="182">
        <f>Population!D30/(Population!C30/D30*(1+Area!C30)^(2019-2011))</f>
        <v>880.26594893316826</v>
      </c>
      <c r="F30" s="183" t="s">
        <v>299</v>
      </c>
      <c r="G30" s="101">
        <f>Population!D30/((Population!D30/E30)*(1+C30))</f>
        <v>892.76465409043442</v>
      </c>
      <c r="H30" s="101">
        <f>Population!E30/((Population!E30/G30)*(1+C30))</f>
        <v>905.44082564952782</v>
      </c>
      <c r="I30" s="101">
        <f>Population!F30/((Population!F30/H30)*(1+C30))</f>
        <v>918.29698341737105</v>
      </c>
      <c r="J30" s="101">
        <f>Population!G30/((Population!G30/I30)*(1+C30))</f>
        <v>931.33568297907811</v>
      </c>
      <c r="K30" s="101">
        <f>Population!H30/((Population!H30/J30)*(1+C30))</f>
        <v>944.55951620596159</v>
      </c>
      <c r="L30" s="101">
        <f>Population!I30/((Population!I30/K30)*(1+C30))</f>
        <v>957.97111177075215</v>
      </c>
      <c r="M30" s="101">
        <f>Population!J30/((Population!J30/L30)*(1+C30))</f>
        <v>971.57313567013409</v>
      </c>
      <c r="N30" s="101">
        <f>Population!K30/((Population!K30/M30)*(1+C30))</f>
        <v>985.36829175469995</v>
      </c>
      <c r="O30" s="101">
        <f>Population!L30/((Population!L30/N30)*(1+C30))</f>
        <v>999.3593222664299</v>
      </c>
      <c r="P30" s="101">
        <f>Population!M30/((Population!M30/O30)*(1+C30))</f>
        <v>1013.5490083838031</v>
      </c>
      <c r="Q30" s="101">
        <f>Population!N30/((Population!N30/P30)*(1+C30))</f>
        <v>1027.9401707746481</v>
      </c>
    </row>
    <row r="31" spans="1:17" ht="15" customHeight="1" x14ac:dyDescent="0.35">
      <c r="A31" s="177">
        <v>30</v>
      </c>
      <c r="B31" s="178" t="s">
        <v>183</v>
      </c>
      <c r="C31" s="82">
        <f>Variables!$C$8</f>
        <v>-1.4E-2</v>
      </c>
      <c r="D31" s="180">
        <v>65</v>
      </c>
      <c r="E31" s="182">
        <f>Population!D31/(Population!C31/D31*(1+Area!C31)^(2019-2011))</f>
        <v>87.75657466358274</v>
      </c>
      <c r="F31" s="183" t="s">
        <v>299</v>
      </c>
      <c r="G31" s="101">
        <f>Population!D31/((Population!D31/E31)*(1+C31))</f>
        <v>89.002611220672151</v>
      </c>
      <c r="H31" s="101">
        <f>Population!E31/((Population!E31/G31)*(1+C31))</f>
        <v>90.266339980397717</v>
      </c>
      <c r="I31" s="101">
        <f>Population!F31/((Population!F31/H31)*(1+C31))</f>
        <v>91.548012150504789</v>
      </c>
      <c r="J31" s="101">
        <f>Population!G31/((Population!G31/I31)*(1+C31))</f>
        <v>92.847882505582959</v>
      </c>
      <c r="K31" s="101">
        <f>Population!H31/((Population!H31/J31)*(1+C31))</f>
        <v>94.166209437710918</v>
      </c>
      <c r="L31" s="101">
        <f>Population!I31/((Population!I31/K31)*(1+C31))</f>
        <v>95.5032550078204</v>
      </c>
      <c r="M31" s="101">
        <f>Population!J31/((Population!J31/L31)*(1+C31))</f>
        <v>96.859284997789459</v>
      </c>
      <c r="N31" s="101">
        <f>Population!K31/((Population!K31/M31)*(1+C31))</f>
        <v>98.234568963275322</v>
      </c>
      <c r="O31" s="101">
        <f>Population!L31/((Population!L31/N31)*(1+C31))</f>
        <v>99.629380287297494</v>
      </c>
      <c r="P31" s="101">
        <f>Population!M31/((Population!M31/O31)*(1+C31))</f>
        <v>101.04399623458164</v>
      </c>
      <c r="Q31" s="101">
        <f>Population!N31/((Population!N31/P31)*(1+C31))</f>
        <v>102.4786980066751</v>
      </c>
    </row>
    <row r="32" spans="1:17" ht="15" customHeight="1" x14ac:dyDescent="0.35">
      <c r="A32" s="177">
        <v>31</v>
      </c>
      <c r="B32" s="178" t="s">
        <v>184</v>
      </c>
      <c r="C32" s="82">
        <f>Variables!$C$8</f>
        <v>-1.4E-2</v>
      </c>
      <c r="D32" s="180">
        <v>491</v>
      </c>
      <c r="E32" s="182">
        <f>Population!D32/(Population!C32/D32*(1+Area!C32)^(2019-2011))</f>
        <v>662.8996639972172</v>
      </c>
      <c r="F32" s="183" t="s">
        <v>299</v>
      </c>
      <c r="G32" s="101">
        <f>Population!D32/((Population!D32/E32)*(1+C32))</f>
        <v>672.31203245153881</v>
      </c>
      <c r="H32" s="101">
        <f>Population!E32/((Population!E32/G32)*(1+C32))</f>
        <v>681.85804508269655</v>
      </c>
      <c r="I32" s="101">
        <f>Population!F32/((Population!F32/H32)*(1+C32))</f>
        <v>691.53959947535145</v>
      </c>
      <c r="J32" s="101">
        <f>Population!G32/((Population!G32/I32)*(1+C32))</f>
        <v>701.35862015755731</v>
      </c>
      <c r="K32" s="101">
        <f>Population!H32/((Population!H32/J32)*(1+C32))</f>
        <v>711.31705898332393</v>
      </c>
      <c r="L32" s="101">
        <f>Population!I32/((Population!I32/K32)*(1+C32))</f>
        <v>721.41689552061246</v>
      </c>
      <c r="M32" s="101">
        <f>Population!J32/((Population!J32/L32)*(1+C32))</f>
        <v>731.66013744484019</v>
      </c>
      <c r="N32" s="101">
        <f>Population!K32/((Population!K32/M32)*(1+C32))</f>
        <v>742.04882093797175</v>
      </c>
      <c r="O32" s="101">
        <f>Population!L32/((Population!L32/N32)*(1+C32))</f>
        <v>752.58501109327767</v>
      </c>
      <c r="P32" s="101">
        <f>Population!M32/((Population!M32/O32)*(1+C32))</f>
        <v>763.27080232583955</v>
      </c>
      <c r="Q32" s="101">
        <f>Population!N32/((Population!N32/P32)*(1+C32))</f>
        <v>774.10831878888393</v>
      </c>
    </row>
    <row r="33" spans="1:17" ht="15" customHeight="1" x14ac:dyDescent="0.35">
      <c r="A33" s="177">
        <v>32</v>
      </c>
      <c r="B33" s="178" t="s">
        <v>185</v>
      </c>
      <c r="C33" s="82">
        <f>Variables!$C$8</f>
        <v>-1.4E-2</v>
      </c>
      <c r="D33" s="180">
        <v>29</v>
      </c>
      <c r="E33" s="182">
        <f>Population!D33/(Population!C33/D33*(1+Area!C33)^(2019-2011))</f>
        <v>39.152933311444599</v>
      </c>
      <c r="F33" s="183" t="s">
        <v>299</v>
      </c>
      <c r="G33" s="101">
        <f>Population!D33/((Population!D33/E33)*(1+C33))</f>
        <v>39.708857313838344</v>
      </c>
      <c r="H33" s="101">
        <f>Population!E33/((Population!E33/G33)*(1+C33))</f>
        <v>40.272674760485138</v>
      </c>
      <c r="I33" s="101">
        <f>Population!F33/((Population!F33/H33)*(1+C33))</f>
        <v>40.844497728686754</v>
      </c>
      <c r="J33" s="101">
        <f>Population!G33/((Population!G33/I33)*(1+C33))</f>
        <v>41.424439887106239</v>
      </c>
      <c r="K33" s="101">
        <f>Population!H33/((Population!H33/J33)*(1+C33))</f>
        <v>42.012616518363323</v>
      </c>
      <c r="L33" s="101">
        <f>Population!I33/((Population!I33/K33)*(1+C33))</f>
        <v>42.609144541950634</v>
      </c>
      <c r="M33" s="101">
        <f>Population!J33/((Population!J33/L33)*(1+C33))</f>
        <v>43.21414253747529</v>
      </c>
      <c r="N33" s="101">
        <f>Population!K33/((Population!K33/M33)*(1+C33))</f>
        <v>43.827730768230516</v>
      </c>
      <c r="O33" s="101">
        <f>Population!L33/((Population!L33/N33)*(1+C33))</f>
        <v>44.450031205101943</v>
      </c>
      <c r="P33" s="101">
        <f>Population!M33/((Population!M33/O33)*(1+C33))</f>
        <v>45.081167550813326</v>
      </c>
      <c r="Q33" s="101">
        <f>Population!N33/((Population!N33/P33)*(1+C33))</f>
        <v>45.721265264516553</v>
      </c>
    </row>
    <row r="34" spans="1:17" ht="15" customHeight="1" x14ac:dyDescent="0.35">
      <c r="A34" s="177">
        <v>33</v>
      </c>
      <c r="B34" s="178" t="s">
        <v>186</v>
      </c>
      <c r="C34" s="82">
        <f>Variables!$C$8</f>
        <v>-1.4E-2</v>
      </c>
      <c r="D34" s="180">
        <v>242</v>
      </c>
      <c r="E34" s="182">
        <f>Population!D34/(Population!C34/D34*(1+Area!C34)^(2019-2011))</f>
        <v>326.7244779782618</v>
      </c>
      <c r="F34" s="183" t="s">
        <v>299</v>
      </c>
      <c r="G34" s="101">
        <f>Population!D34/((Population!D34/E34)*(1+C34))</f>
        <v>331.3635679292716</v>
      </c>
      <c r="H34" s="101">
        <f>Population!E34/((Population!E34/G34)*(1+C34))</f>
        <v>336.06852731163451</v>
      </c>
      <c r="I34" s="101">
        <f>Population!F34/((Population!F34/H34)*(1+C34))</f>
        <v>340.84029139111004</v>
      </c>
      <c r="J34" s="101">
        <f>Population!G34/((Population!G34/I34)*(1+C34))</f>
        <v>345.67980871309334</v>
      </c>
      <c r="K34" s="101">
        <f>Population!H34/((Population!H34/J34)*(1+C34))</f>
        <v>350.5880412911697</v>
      </c>
      <c r="L34" s="101">
        <f>Population!I34/((Population!I34/K34)*(1+C34))</f>
        <v>355.56596479834656</v>
      </c>
      <c r="M34" s="101">
        <f>Population!J34/((Population!J34/L34)*(1+C34))</f>
        <v>360.61456876100056</v>
      </c>
      <c r="N34" s="101">
        <f>Population!K34/((Population!K34/M34)*(1+C34))</f>
        <v>365.73485675557868</v>
      </c>
      <c r="O34" s="101">
        <f>Population!L34/((Population!L34/N34)*(1+C34))</f>
        <v>370.92784660809195</v>
      </c>
      <c r="P34" s="101">
        <f>Population!M34/((Population!M34/O34)*(1+C34))</f>
        <v>376.19457059644219</v>
      </c>
      <c r="Q34" s="101">
        <f>Population!N34/((Population!N34/P34)*(1+C34))</f>
        <v>381.53607565562089</v>
      </c>
    </row>
    <row r="35" spans="1:17" ht="15" customHeight="1" x14ac:dyDescent="0.35">
      <c r="A35" s="177">
        <v>34</v>
      </c>
      <c r="B35" s="178" t="s">
        <v>187</v>
      </c>
      <c r="C35" s="82">
        <f>Variables!$C$8</f>
        <v>-1.4E-2</v>
      </c>
      <c r="D35" s="181">
        <v>98</v>
      </c>
      <c r="E35" s="181">
        <f>Population!C35/((Population!C35/98)*(1+C35))</f>
        <v>99.391480730223122</v>
      </c>
      <c r="F35" s="174" t="s">
        <v>301</v>
      </c>
      <c r="G35" s="101">
        <f>Population!D35/((Population!D35/E35)*(1+C35))</f>
        <v>100.80271879332975</v>
      </c>
      <c r="H35" s="101">
        <f>Population!E35/((Population!E35/G35)*(1+C35))</f>
        <v>102.23399471940137</v>
      </c>
      <c r="I35" s="101">
        <f>Population!F35/((Population!F35/H35)*(1+C35))</f>
        <v>103.68559302170523</v>
      </c>
      <c r="J35" s="101">
        <f>Population!G35/((Population!G35/I35)*(1+C35))</f>
        <v>105.15780225325075</v>
      </c>
      <c r="K35" s="101">
        <f>Population!H35/((Population!H35/J35)*(1+C35))</f>
        <v>106.65091506414885</v>
      </c>
      <c r="L35" s="101">
        <f>Population!I35/((Population!I35/K35)*(1+C35))</f>
        <v>108.16522825978586</v>
      </c>
      <c r="M35" s="101">
        <f>Population!J35/((Population!J35/L35)*(1+C35))</f>
        <v>109.7010428598234</v>
      </c>
      <c r="N35" s="101">
        <f>Population!K35/((Population!K35/M35)*(1+C35))</f>
        <v>111.25866415803591</v>
      </c>
      <c r="O35" s="101">
        <f>Population!L35/((Population!L35/N35)*(1+C35))</f>
        <v>112.83840178299789</v>
      </c>
      <c r="P35" s="101">
        <f>Population!M35/((Population!M35/O35)*(1+C35))</f>
        <v>114.44056975963275</v>
      </c>
      <c r="Q35" s="101">
        <f>Population!N35/((Population!N35/P35)*(1+C35))</f>
        <v>116.06548657163565</v>
      </c>
    </row>
    <row r="36" spans="1:17" ht="15" customHeight="1" x14ac:dyDescent="0.35">
      <c r="A36" s="177">
        <v>35</v>
      </c>
      <c r="B36" s="178" t="s">
        <v>188</v>
      </c>
      <c r="C36" s="82">
        <f>Variables!$C$8</f>
        <v>-1.4E-2</v>
      </c>
      <c r="D36" s="172">
        <v>33.799999999999997</v>
      </c>
      <c r="E36" s="172">
        <v>33.799999999999997</v>
      </c>
      <c r="F36" s="183" t="s">
        <v>335</v>
      </c>
      <c r="G36" s="101">
        <f>Population!D36/((Population!D36/E36)*(1+C36))</f>
        <v>34.279918864097361</v>
      </c>
      <c r="H36" s="101">
        <f>Population!E36/((Population!E36/G36)*(1+C36))</f>
        <v>34.766651991985157</v>
      </c>
      <c r="I36" s="101">
        <f>Population!F36/((Population!F36/H36)*(1+C36))</f>
        <v>35.260296137915979</v>
      </c>
      <c r="J36" s="101">
        <f>Population!G36/((Population!G36/I36)*(1+C36))</f>
        <v>35.760949429935067</v>
      </c>
      <c r="K36" s="101">
        <f>Population!H36/((Population!H36/J36)*(1+C36))</f>
        <v>36.268711389386475</v>
      </c>
      <c r="L36" s="101">
        <f>Population!I36/((Population!I36/K36)*(1+C36))</f>
        <v>36.783682950696225</v>
      </c>
      <c r="M36" s="101">
        <f>Population!J36/((Population!J36/L36)*(1+C36))</f>
        <v>37.305966481436329</v>
      </c>
      <c r="N36" s="101">
        <f>Population!K36/((Population!K36/M36)*(1+C36))</f>
        <v>37.835665802673759</v>
      </c>
      <c r="O36" s="101">
        <f>Population!L36/((Population!L36/N36)*(1+C36))</f>
        <v>38.372886209608275</v>
      </c>
      <c r="P36" s="101">
        <f>Population!M36/((Population!M36/O36)*(1+C36))</f>
        <v>38.917734492503321</v>
      </c>
      <c r="Q36" s="101">
        <f>Population!N36/((Population!N36/P36)*(1+C36))</f>
        <v>39.470318957914117</v>
      </c>
    </row>
    <row r="37" spans="1:17" ht="15" customHeight="1" x14ac:dyDescent="0.35">
      <c r="A37" s="177">
        <v>36</v>
      </c>
      <c r="B37" s="178" t="s">
        <v>189</v>
      </c>
      <c r="C37" s="82">
        <f>Variables!$C$8</f>
        <v>-1.4E-2</v>
      </c>
      <c r="D37" s="172">
        <v>63.3</v>
      </c>
      <c r="E37" s="172">
        <v>63.3</v>
      </c>
      <c r="F37" s="183" t="s">
        <v>335</v>
      </c>
      <c r="G37" s="101">
        <f>Population!D37/((Population!D37/E37)*(1+C37))</f>
        <v>64.198782961460452</v>
      </c>
      <c r="H37" s="101">
        <f>Population!E37/((Population!E37/G37)*(1+C37))</f>
        <v>65.110327547120136</v>
      </c>
      <c r="I37" s="101">
        <f>Population!F37/((Population!F37/H37)*(1+C37))</f>
        <v>66.034814956511298</v>
      </c>
      <c r="J37" s="101">
        <f>Population!G37/((Population!G37/I37)*(1+C37))</f>
        <v>66.972428961979006</v>
      </c>
      <c r="K37" s="101">
        <f>Population!H37/((Population!H37/J37)*(1+C37))</f>
        <v>67.923355945211981</v>
      </c>
      <c r="L37" s="101">
        <f>Population!I37/((Population!I37/K37)*(1+C37))</f>
        <v>68.887784934292071</v>
      </c>
      <c r="M37" s="101">
        <f>Population!J37/((Population!J37/L37)*(1+C37))</f>
        <v>69.865907641269843</v>
      </c>
      <c r="N37" s="101">
        <f>Population!K37/((Population!K37/M37)*(1+C37))</f>
        <v>70.857918500273669</v>
      </c>
      <c r="O37" s="101">
        <f>Population!L37/((Population!L37/N37)*(1+C37))</f>
        <v>71.864014706159907</v>
      </c>
      <c r="P37" s="101">
        <f>Population!M37/((Population!M37/O37)*(1+C37))</f>
        <v>72.884396253711884</v>
      </c>
      <c r="Q37" s="101">
        <f>Population!N37/((Population!N37/P37)*(1+C37))</f>
        <v>73.919265977395426</v>
      </c>
    </row>
    <row r="38" spans="1:17" ht="15" customHeight="1" x14ac:dyDescent="0.35">
      <c r="A38" s="177">
        <v>37</v>
      </c>
      <c r="B38" s="178" t="s">
        <v>190</v>
      </c>
      <c r="C38" s="82">
        <f>Variables!$C$8</f>
        <v>-1.4E-2</v>
      </c>
      <c r="D38" s="172">
        <v>26.6</v>
      </c>
      <c r="E38" s="172">
        <v>26.6</v>
      </c>
      <c r="F38" s="183" t="s">
        <v>335</v>
      </c>
      <c r="G38" s="101">
        <f>Population!D38/((Population!D38/E38)*(1+C38))</f>
        <v>26.977687626774848</v>
      </c>
      <c r="H38" s="101">
        <f>Population!E38/((Population!E38/G38)*(1+C38))</f>
        <v>27.3607379581895</v>
      </c>
      <c r="I38" s="101">
        <f>Population!F38/((Population!F38/H38)*(1+C38))</f>
        <v>27.749227138123228</v>
      </c>
      <c r="J38" s="101">
        <f>Population!G38/((Population!G38/I38)*(1+C38))</f>
        <v>28.143232391605704</v>
      </c>
      <c r="K38" s="101">
        <f>Population!H38/((Population!H38/J38)*(1+C38))</f>
        <v>28.542832040168062</v>
      </c>
      <c r="L38" s="101">
        <f>Population!I38/((Population!I38/K38)*(1+C38))</f>
        <v>28.948105517411829</v>
      </c>
      <c r="M38" s="101">
        <f>Population!J38/((Population!J38/L38)*(1+C38))</f>
        <v>29.359133384799016</v>
      </c>
      <c r="N38" s="101">
        <f>Population!K38/((Population!K38/M38)*(1+C38))</f>
        <v>29.775997347666344</v>
      </c>
      <c r="O38" s="101">
        <f>Population!L38/((Population!L38/N38)*(1+C38))</f>
        <v>30.19878027146688</v>
      </c>
      <c r="P38" s="101">
        <f>Population!M38/((Population!M38/O38)*(1+C38))</f>
        <v>30.62756619824227</v>
      </c>
      <c r="Q38" s="101">
        <f>Population!N38/((Population!N38/P38)*(1+C38))</f>
        <v>31.062440363328871</v>
      </c>
    </row>
    <row r="39" spans="1:17" ht="15" customHeight="1" x14ac:dyDescent="0.35">
      <c r="A39" s="177">
        <v>38</v>
      </c>
      <c r="B39" s="178" t="s">
        <v>191</v>
      </c>
      <c r="C39" s="82">
        <f>Variables!$C$8</f>
        <v>-1.4E-2</v>
      </c>
      <c r="D39" s="172">
        <v>107</v>
      </c>
      <c r="E39" s="172">
        <v>107</v>
      </c>
      <c r="F39" s="183" t="s">
        <v>335</v>
      </c>
      <c r="G39" s="101">
        <f>Population!D39/((Population!D39/E39)*(1+C39))</f>
        <v>108.51926977687629</v>
      </c>
      <c r="H39" s="101">
        <f>Population!E39/((Population!E39/G39)*(1+C39))</f>
        <v>110.06011133557433</v>
      </c>
      <c r="I39" s="101">
        <f>Population!F39/((Population!F39/H39)*(1+C39))</f>
        <v>111.62283096914231</v>
      </c>
      <c r="J39" s="101">
        <f>Population!G39/((Population!G39/I39)*(1+C39))</f>
        <v>113.20773931961695</v>
      </c>
      <c r="K39" s="101">
        <f>Population!H39/((Population!H39/J39)*(1+C39))</f>
        <v>114.81515143977377</v>
      </c>
      <c r="L39" s="101">
        <f>Population!I39/((Population!I39/K39)*(1+C39))</f>
        <v>116.44538685575434</v>
      </c>
      <c r="M39" s="101">
        <f>Population!J39/((Population!J39/L39)*(1+C39))</f>
        <v>118.0987696305825</v>
      </c>
      <c r="N39" s="101">
        <f>Population!K39/((Population!K39/M39)*(1+C39))</f>
        <v>119.77562842858266</v>
      </c>
      <c r="O39" s="101">
        <f>Population!L39/((Population!L39/N39)*(1+C39))</f>
        <v>121.47629658071266</v>
      </c>
      <c r="P39" s="101">
        <f>Population!M39/((Population!M39/O39)*(1+C39))</f>
        <v>123.2011121508242</v>
      </c>
      <c r="Q39" s="101">
        <f>Population!N39/((Population!N39/P39)*(1+C39))</f>
        <v>124.95041800286431</v>
      </c>
    </row>
    <row r="40" spans="1:17" ht="15" customHeight="1" x14ac:dyDescent="0.35">
      <c r="A40" s="76">
        <v>39</v>
      </c>
      <c r="B40" s="80" t="s">
        <v>192</v>
      </c>
      <c r="C40" s="82">
        <f>Variables!$C$8</f>
        <v>-1.4E-2</v>
      </c>
      <c r="D40" s="172">
        <v>25.5</v>
      </c>
      <c r="E40" s="172">
        <v>25.5</v>
      </c>
      <c r="F40" s="183" t="s">
        <v>335</v>
      </c>
      <c r="G40" s="101">
        <f>Population!D40/((Population!D40/E40)*(1+C40))</f>
        <v>25.862068965517242</v>
      </c>
      <c r="H40" s="101">
        <f>Population!E40/((Population!E40/G40)*(1+C40))</f>
        <v>26.229278869692944</v>
      </c>
      <c r="I40" s="101">
        <f>Population!F40/((Population!F40/H40)*(1+C40))</f>
        <v>26.601702707599337</v>
      </c>
      <c r="J40" s="101">
        <f>Population!G40/((Population!G40/I40)*(1+C40))</f>
        <v>26.979414510749837</v>
      </c>
      <c r="K40" s="101">
        <f>Population!H40/((Population!H40/J40)*(1+C40))</f>
        <v>27.36248936181525</v>
      </c>
      <c r="L40" s="101">
        <f>Population!I40/((Population!I40/K40)*(1+C40))</f>
        <v>27.751003409548932</v>
      </c>
      <c r="M40" s="101">
        <f>Population!J40/((Population!J40/L40)*(1+C40))</f>
        <v>28.145033883923865</v>
      </c>
      <c r="N40" s="101">
        <f>Population!K40/((Population!K40/M40)*(1+C40))</f>
        <v>28.544659111484652</v>
      </c>
      <c r="O40" s="101">
        <f>Population!L40/((Population!L40/N40)*(1+C40))</f>
        <v>28.949958530917499</v>
      </c>
      <c r="P40" s="101">
        <f>Population!M40/((Population!M40/O40)*(1+C40))</f>
        <v>29.36101270884128</v>
      </c>
      <c r="Q40" s="101">
        <f>Population!N40/((Population!N40/P40)*(1+C40))</f>
        <v>29.777903355822797</v>
      </c>
    </row>
    <row r="41" spans="1:17" ht="15" customHeight="1" x14ac:dyDescent="0.35">
      <c r="A41" s="76">
        <v>40</v>
      </c>
      <c r="B41" s="80" t="s">
        <v>193</v>
      </c>
      <c r="C41" s="82">
        <f>Variables!$C$8</f>
        <v>-1.4E-2</v>
      </c>
      <c r="D41" s="172">
        <v>35.6</v>
      </c>
      <c r="E41" s="172">
        <v>35.6</v>
      </c>
      <c r="F41" s="183" t="s">
        <v>335</v>
      </c>
      <c r="G41" s="101">
        <f>Population!D41/((Population!D41/E41)*(1+C41))</f>
        <v>36.105476673427994</v>
      </c>
      <c r="H41" s="101">
        <f>Population!E41/((Population!E41/G41)*(1+C41))</f>
        <v>36.61813050043407</v>
      </c>
      <c r="I41" s="101">
        <f>Population!F41/((Population!F41/H41)*(1+C41))</f>
        <v>37.138063387864165</v>
      </c>
      <c r="J41" s="101">
        <f>Population!G41/((Population!G41/I41)*(1+C41))</f>
        <v>37.665378689517411</v>
      </c>
      <c r="K41" s="101">
        <f>Population!H41/((Population!H41/J41)*(1+C41))</f>
        <v>38.200181226691093</v>
      </c>
      <c r="L41" s="101">
        <f>Population!I41/((Population!I41/K41)*(1+C41))</f>
        <v>38.742577309017335</v>
      </c>
      <c r="M41" s="101">
        <f>Population!J41/((Population!J41/L41)*(1+C41))</f>
        <v>39.292674755595677</v>
      </c>
      <c r="N41" s="101">
        <f>Population!K41/((Population!K41/M41)*(1+C41))</f>
        <v>39.850582916425637</v>
      </c>
      <c r="O41" s="101">
        <f>Population!L41/((Population!L41/N41)*(1+C41))</f>
        <v>40.416412694143645</v>
      </c>
      <c r="P41" s="101">
        <f>Population!M41/((Population!M41/O41)*(1+C41))</f>
        <v>40.990276566068601</v>
      </c>
      <c r="Q41" s="101">
        <f>Population!N41/((Population!N41/P41)*(1+C41))</f>
        <v>41.572288606560441</v>
      </c>
    </row>
    <row r="42" spans="1:17" ht="15" customHeight="1" x14ac:dyDescent="0.35">
      <c r="A42" s="76">
        <v>41</v>
      </c>
      <c r="B42" s="80" t="s">
        <v>194</v>
      </c>
      <c r="C42" s="82">
        <f>Variables!$C$8</f>
        <v>-1.4E-2</v>
      </c>
      <c r="D42" s="172">
        <v>14.2</v>
      </c>
      <c r="E42" s="172">
        <v>14.2</v>
      </c>
      <c r="F42" s="183" t="s">
        <v>335</v>
      </c>
      <c r="G42" s="101">
        <f>Population!D42/((Population!D42/E42)*(1+C42))</f>
        <v>14.401622718052739</v>
      </c>
      <c r="H42" s="101">
        <f>Population!E42/((Population!E42/G42)*(1+C42))</f>
        <v>14.606108233319206</v>
      </c>
      <c r="I42" s="101">
        <f>Population!F42/((Population!F42/H42)*(1+C42))</f>
        <v>14.813497194035707</v>
      </c>
      <c r="J42" s="101">
        <f>Population!G42/((Population!G42/I42)*(1+C42))</f>
        <v>15.023830825594022</v>
      </c>
      <c r="K42" s="101">
        <f>Population!H42/((Population!H42/J42)*(1+C42))</f>
        <v>15.237150938736331</v>
      </c>
      <c r="L42" s="101">
        <f>Population!I42/((Population!I42/K42)*(1+C42))</f>
        <v>15.453499937866463</v>
      </c>
      <c r="M42" s="101">
        <f>Population!J42/((Population!J42/L42)*(1+C42))</f>
        <v>15.672920829479173</v>
      </c>
      <c r="N42" s="101">
        <f>Population!K42/((Population!K42/M42)*(1+C42))</f>
        <v>15.8954572307091</v>
      </c>
      <c r="O42" s="101">
        <f>Population!L42/((Population!L42/N42)*(1+C42))</f>
        <v>16.121153378001114</v>
      </c>
      <c r="P42" s="101">
        <f>Population!M42/((Population!M42/O42)*(1+C42))</f>
        <v>16.350054135903768</v>
      </c>
      <c r="Q42" s="101">
        <f>Population!N42/((Population!N42/P42)*(1+C42))</f>
        <v>16.582205005987593</v>
      </c>
    </row>
    <row r="43" spans="1:17" ht="15" customHeight="1" x14ac:dyDescent="0.35">
      <c r="A43" s="74">
        <v>42</v>
      </c>
      <c r="B43" s="80" t="s">
        <v>195</v>
      </c>
      <c r="C43" s="82">
        <f>Variables!$C$8</f>
        <v>-1.4E-2</v>
      </c>
      <c r="D43" s="172">
        <v>15</v>
      </c>
      <c r="E43" s="172">
        <v>15</v>
      </c>
      <c r="F43" s="183" t="s">
        <v>335</v>
      </c>
      <c r="G43" s="101">
        <f>Population!D43/((Population!D43/E43)*(1+C43))</f>
        <v>15.212981744421906</v>
      </c>
      <c r="H43" s="101">
        <f>Population!E43/((Population!E43/G43)*(1+C43))</f>
        <v>15.428987570407614</v>
      </c>
      <c r="I43" s="101">
        <f>Population!F43/((Population!F43/H43)*(1+C43))</f>
        <v>15.648060416234902</v>
      </c>
      <c r="J43" s="101">
        <f>Population!G43/((Population!G43/I43)*(1+C43))</f>
        <v>15.870243829852841</v>
      </c>
      <c r="K43" s="101">
        <f>Population!H43/((Population!H43/J43)*(1+C43))</f>
        <v>16.09558197753838</v>
      </c>
      <c r="L43" s="101">
        <f>Population!I43/((Population!I43/K43)*(1+C43))</f>
        <v>16.324119652675844</v>
      </c>
      <c r="M43" s="101">
        <f>Population!J43/((Population!J43/L43)*(1+C43))</f>
        <v>16.555902284661098</v>
      </c>
      <c r="N43" s="101">
        <f>Population!K43/((Population!K43/M43)*(1+C43))</f>
        <v>16.790975947932147</v>
      </c>
      <c r="O43" s="101">
        <f>Population!L43/((Population!L43/N43)*(1+C43))</f>
        <v>17.029387371127939</v>
      </c>
      <c r="P43" s="101">
        <f>Population!M43/((Population!M43/O43)*(1+C43))</f>
        <v>17.271183946377221</v>
      </c>
      <c r="Q43" s="101">
        <f>Population!N43/((Population!N43/P43)*(1+C43))</f>
        <v>17.51641373871929</v>
      </c>
    </row>
    <row r="44" spans="1:17" ht="15" customHeight="1" x14ac:dyDescent="0.35">
      <c r="C44" s="83" t="s">
        <v>296</v>
      </c>
      <c r="D44" s="82"/>
      <c r="F44" s="183"/>
    </row>
    <row r="45" spans="1:17" ht="15" customHeight="1" x14ac:dyDescent="0.35">
      <c r="C45" s="185" t="s">
        <v>297</v>
      </c>
      <c r="D45" s="82"/>
      <c r="F45" s="183"/>
    </row>
    <row r="1048575" spans="3:4" ht="15" customHeight="1" x14ac:dyDescent="0.35">
      <c r="C1048575" s="82"/>
      <c r="D1048575" s="82"/>
    </row>
  </sheetData>
  <hyperlinks>
    <hyperlink ref="F35" r:id="rId1" xr:uid="{00000000-0004-0000-0300-000000000000}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14.453125" defaultRowHeight="15" customHeight="1" x14ac:dyDescent="0.35"/>
  <cols>
    <col min="1" max="1" width="3.7265625" style="57" bestFit="1" customWidth="1"/>
    <col min="2" max="2" width="25" style="46" bestFit="1" customWidth="1"/>
    <col min="3" max="3" width="13.54296875" style="150" bestFit="1" customWidth="1"/>
    <col min="4" max="15" width="13.81640625" customWidth="1"/>
    <col min="16" max="20" width="8.7265625" customWidth="1"/>
  </cols>
  <sheetData>
    <row r="1" spans="1:15" s="56" customFormat="1" ht="14.25" customHeight="1" thickBot="1" x14ac:dyDescent="0.4">
      <c r="A1" s="72" t="s">
        <v>144</v>
      </c>
      <c r="B1" s="79" t="s">
        <v>97</v>
      </c>
      <c r="C1" s="167">
        <v>2011</v>
      </c>
      <c r="D1" s="73">
        <v>2019</v>
      </c>
      <c r="E1" s="73">
        <v>2020</v>
      </c>
      <c r="F1" s="73">
        <v>2021</v>
      </c>
      <c r="G1" s="73">
        <v>2022</v>
      </c>
      <c r="H1" s="73">
        <v>2023</v>
      </c>
      <c r="I1" s="73">
        <v>2024</v>
      </c>
      <c r="J1" s="73">
        <v>2025</v>
      </c>
      <c r="K1" s="73">
        <v>2026</v>
      </c>
      <c r="L1" s="73">
        <v>2027</v>
      </c>
      <c r="M1" s="73">
        <v>2028</v>
      </c>
      <c r="N1" s="73">
        <v>2029</v>
      </c>
      <c r="O1" s="73">
        <v>2030</v>
      </c>
    </row>
    <row r="2" spans="1:15" ht="14.25" customHeight="1" x14ac:dyDescent="0.35">
      <c r="A2" s="78">
        <v>1</v>
      </c>
      <c r="B2" s="80" t="s">
        <v>154</v>
      </c>
      <c r="C2" s="45">
        <v>400004</v>
      </c>
      <c r="D2" s="75">
        <f>$C2*POWER(1+Variables!$C$17/100,D$1-$C$1)</f>
        <v>482442.94573535857</v>
      </c>
      <c r="E2" s="75">
        <f>$C2*POWER(1+Variables!$C$17/100,E$1-$C$1)</f>
        <v>493876.84354928654</v>
      </c>
      <c r="F2" s="75">
        <f>$C2*POWER(1+Variables!$C$17/100,F$1-$C$1)</f>
        <v>505581.7247414047</v>
      </c>
      <c r="G2" s="75">
        <f>$C2*POWER(1+Variables!$C$17/100,G$1-$C$1)</f>
        <v>517564.01161777606</v>
      </c>
      <c r="H2" s="75">
        <f>$C2*POWER(1+Variables!$C$17/100,H$1-$C$1)</f>
        <v>529830.27869311743</v>
      </c>
      <c r="I2" s="75">
        <f>$C2*POWER(1+Variables!$C$17/100,I$1-$C$1)</f>
        <v>542387.25629814435</v>
      </c>
      <c r="J2" s="75">
        <f>$C2*POWER(1+Variables!$C$17/100,J$1-$C$1)</f>
        <v>555241.83427241049</v>
      </c>
      <c r="K2" s="75">
        <f>$C2*POWER(1+Variables!$C$17/100,K$1-$C$1)</f>
        <v>568401.06574466662</v>
      </c>
      <c r="L2" s="75">
        <f>$C2*POWER(1+Variables!$C$17/100,L$1-$C$1)</f>
        <v>581872.17100281536</v>
      </c>
      <c r="M2" s="75">
        <f>$C2*POWER(1+Variables!$C$17/100,M$1-$C$1)</f>
        <v>595662.54145558202</v>
      </c>
      <c r="N2" s="75">
        <f>$C2*POWER(1+Variables!$C$17/100,N$1-$C$1)</f>
        <v>609779.74368807941</v>
      </c>
      <c r="O2" s="75">
        <f>$C2*POWER(1+Variables!$C$17/100,O$1-$C$1)</f>
        <v>624231.52361348702</v>
      </c>
    </row>
    <row r="3" spans="1:15" ht="14.25" customHeight="1" x14ac:dyDescent="0.35">
      <c r="A3" s="78">
        <v>2</v>
      </c>
      <c r="B3" s="80" t="s">
        <v>155</v>
      </c>
      <c r="C3" s="45">
        <v>293416</v>
      </c>
      <c r="D3" s="75">
        <f>$C3*POWER(1+Variables!$C$17/100,D$1-$C$1)</f>
        <v>353887.65953811951</v>
      </c>
      <c r="E3" s="75">
        <f>$C3*POWER(1+Variables!$C$17/100,E$1-$C$1)</f>
        <v>362274.79706917296</v>
      </c>
      <c r="F3" s="75">
        <f>$C3*POWER(1+Variables!$C$17/100,F$1-$C$1)</f>
        <v>370860.70975971239</v>
      </c>
      <c r="G3" s="75">
        <f>$C3*POWER(1+Variables!$C$17/100,G$1-$C$1)</f>
        <v>379650.10858101764</v>
      </c>
      <c r="H3" s="75">
        <f>$C3*POWER(1+Variables!$C$17/100,H$1-$C$1)</f>
        <v>388647.81615438784</v>
      </c>
      <c r="I3" s="75">
        <f>$C3*POWER(1+Variables!$C$17/100,I$1-$C$1)</f>
        <v>397858.76939724683</v>
      </c>
      <c r="J3" s="75">
        <f>$C3*POWER(1+Variables!$C$17/100,J$1-$C$1)</f>
        <v>407288.0222319616</v>
      </c>
      <c r="K3" s="75">
        <f>$C3*POWER(1+Variables!$C$17/100,K$1-$C$1)</f>
        <v>416940.74835885921</v>
      </c>
      <c r="L3" s="75">
        <f>$C3*POWER(1+Variables!$C$17/100,L$1-$C$1)</f>
        <v>426822.24409496418</v>
      </c>
      <c r="M3" s="75">
        <f>$C3*POWER(1+Variables!$C$17/100,M$1-$C$1)</f>
        <v>436937.93128001486</v>
      </c>
      <c r="N3" s="75">
        <f>$C3*POWER(1+Variables!$C$17/100,N$1-$C$1)</f>
        <v>447293.36025135126</v>
      </c>
      <c r="O3" s="75">
        <f>$C3*POWER(1+Variables!$C$17/100,O$1-$C$1)</f>
        <v>457894.21288930834</v>
      </c>
    </row>
    <row r="4" spans="1:15" ht="14.25" customHeight="1" x14ac:dyDescent="0.35">
      <c r="A4" s="78">
        <v>3</v>
      </c>
      <c r="B4" s="80" t="s">
        <v>156</v>
      </c>
      <c r="C4" s="45">
        <v>8443675</v>
      </c>
      <c r="D4" s="75">
        <f>$C4*POWER(1+Variables!$C$17/100,D$1-$C$1)</f>
        <v>10183876.760812402</v>
      </c>
      <c r="E4" s="75">
        <f>$C4*POWER(1+Variables!$C$17/100,E$1-$C$1)</f>
        <v>10425234.640043655</v>
      </c>
      <c r="F4" s="75">
        <f>$C4*POWER(1+Variables!$C$17/100,F$1-$C$1)</f>
        <v>10672312.70101269</v>
      </c>
      <c r="G4" s="75">
        <f>$C4*POWER(1+Variables!$C$17/100,G$1-$C$1)</f>
        <v>10925246.512026692</v>
      </c>
      <c r="H4" s="75">
        <f>$C4*POWER(1+Variables!$C$17/100,H$1-$C$1)</f>
        <v>11184174.854361728</v>
      </c>
      <c r="I4" s="75">
        <f>$C4*POWER(1+Variables!$C$17/100,I$1-$C$1)</f>
        <v>11449239.798410101</v>
      </c>
      <c r="J4" s="75">
        <f>$C4*POWER(1+Variables!$C$17/100,J$1-$C$1)</f>
        <v>11720586.781632422</v>
      </c>
      <c r="K4" s="75">
        <f>$C4*POWER(1+Variables!$C$17/100,K$1-$C$1)</f>
        <v>11998364.688357111</v>
      </c>
      <c r="L4" s="75">
        <f>$C4*POWER(1+Variables!$C$17/100,L$1-$C$1)</f>
        <v>12282725.931471176</v>
      </c>
      <c r="M4" s="75">
        <f>$C4*POWER(1+Variables!$C$17/100,M$1-$C$1)</f>
        <v>12573826.536047043</v>
      </c>
      <c r="N4" s="75">
        <f>$C4*POWER(1+Variables!$C$17/100,N$1-$C$1)</f>
        <v>12871826.22495136</v>
      </c>
      <c r="O4" s="75">
        <f>$C4*POWER(1+Variables!$C$17/100,O$1-$C$1)</f>
        <v>13176888.506482709</v>
      </c>
    </row>
    <row r="5" spans="1:15" ht="14.25" customHeight="1" x14ac:dyDescent="0.35">
      <c r="A5" s="78">
        <v>4</v>
      </c>
      <c r="B5" s="80" t="s">
        <v>157</v>
      </c>
      <c r="C5" s="45">
        <v>1798218</v>
      </c>
      <c r="D5" s="75">
        <f>$C5*POWER(1+Variables!$C$17/100,D$1-$C$1)</f>
        <v>2168822.2842630199</v>
      </c>
      <c r="E5" s="75">
        <f>$C5*POWER(1+Variables!$C$17/100,E$1-$C$1)</f>
        <v>2220223.3724000533</v>
      </c>
      <c r="F5" s="75">
        <f>$C5*POWER(1+Variables!$C$17/100,F$1-$C$1)</f>
        <v>2272842.6663259347</v>
      </c>
      <c r="G5" s="75">
        <f>$C5*POWER(1+Variables!$C$17/100,G$1-$C$1)</f>
        <v>2326709.0375178596</v>
      </c>
      <c r="H5" s="75">
        <f>$C5*POWER(1+Variables!$C$17/100,H$1-$C$1)</f>
        <v>2381852.0417070338</v>
      </c>
      <c r="I5" s="75">
        <f>$C5*POWER(1+Variables!$C$17/100,I$1-$C$1)</f>
        <v>2438301.9350954904</v>
      </c>
      <c r="J5" s="75">
        <f>$C5*POWER(1+Variables!$C$17/100,J$1-$C$1)</f>
        <v>2496089.6909572538</v>
      </c>
      <c r="K5" s="75">
        <f>$C5*POWER(1+Variables!$C$17/100,K$1-$C$1)</f>
        <v>2555247.0166329411</v>
      </c>
      <c r="L5" s="75">
        <f>$C5*POWER(1+Variables!$C$17/100,L$1-$C$1)</f>
        <v>2615806.370927142</v>
      </c>
      <c r="M5" s="75">
        <f>$C5*POWER(1+Variables!$C$17/100,M$1-$C$1)</f>
        <v>2677800.9819181152</v>
      </c>
      <c r="N5" s="75">
        <f>$C5*POWER(1+Variables!$C$17/100,N$1-$C$1)</f>
        <v>2741264.8651895751</v>
      </c>
      <c r="O5" s="75">
        <f>$C5*POWER(1+Variables!$C$17/100,O$1-$C$1)</f>
        <v>2806232.8424945683</v>
      </c>
    </row>
    <row r="6" spans="1:15" ht="14.25" customHeight="1" x14ac:dyDescent="0.35">
      <c r="A6" s="78">
        <v>5</v>
      </c>
      <c r="B6" s="80" t="s">
        <v>158</v>
      </c>
      <c r="C6" s="45">
        <v>843402</v>
      </c>
      <c r="D6" s="75">
        <f>$C6*POWER(1+Variables!$C$17/100,D$1-$C$1)</f>
        <v>1017223.1910658216</v>
      </c>
      <c r="E6" s="75">
        <f>$C6*POWER(1+Variables!$C$17/100,E$1-$C$1)</f>
        <v>1041331.3806940814</v>
      </c>
      <c r="F6" s="75">
        <f>$C6*POWER(1+Variables!$C$17/100,F$1-$C$1)</f>
        <v>1066010.9344165314</v>
      </c>
      <c r="G6" s="75">
        <f>$C6*POWER(1+Variables!$C$17/100,G$1-$C$1)</f>
        <v>1091275.3935622033</v>
      </c>
      <c r="H6" s="75">
        <f>$C6*POWER(1+Variables!$C$17/100,H$1-$C$1)</f>
        <v>1117138.6203896278</v>
      </c>
      <c r="I6" s="75">
        <f>$C6*POWER(1+Variables!$C$17/100,I$1-$C$1)</f>
        <v>1143614.8056928618</v>
      </c>
      <c r="J6" s="75">
        <f>$C6*POWER(1+Variables!$C$17/100,J$1-$C$1)</f>
        <v>1170718.4765877828</v>
      </c>
      <c r="K6" s="75">
        <f>$C6*POWER(1+Variables!$C$17/100,K$1-$C$1)</f>
        <v>1198464.5044829135</v>
      </c>
      <c r="L6" s="75">
        <f>$C6*POWER(1+Variables!$C$17/100,L$1-$C$1)</f>
        <v>1226868.1132391586</v>
      </c>
      <c r="M6" s="75">
        <f>$C6*POWER(1+Variables!$C$17/100,M$1-$C$1)</f>
        <v>1255944.8875229268</v>
      </c>
      <c r="N6" s="75">
        <f>$C6*POWER(1+Variables!$C$17/100,N$1-$C$1)</f>
        <v>1285710.7813572201</v>
      </c>
      <c r="O6" s="75">
        <f>$C6*POWER(1+Variables!$C$17/100,O$1-$C$1)</f>
        <v>1316182.1268753866</v>
      </c>
    </row>
    <row r="7" spans="1:15" ht="14.25" customHeight="1" x14ac:dyDescent="0.35">
      <c r="A7" s="78">
        <v>6</v>
      </c>
      <c r="B7" s="80" t="s">
        <v>159</v>
      </c>
      <c r="C7" s="45">
        <v>961587</v>
      </c>
      <c r="D7" s="75">
        <f>$C7*POWER(1+Variables!$C$17/100,D$1-$C$1)</f>
        <v>1159765.5644964206</v>
      </c>
      <c r="E7" s="75">
        <f>$C7*POWER(1+Variables!$C$17/100,E$1-$C$1)</f>
        <v>1187252.0083749858</v>
      </c>
      <c r="F7" s="75">
        <f>$C7*POWER(1+Variables!$C$17/100,F$1-$C$1)</f>
        <v>1215389.880973473</v>
      </c>
      <c r="G7" s="75">
        <f>$C7*POWER(1+Variables!$C$17/100,G$1-$C$1)</f>
        <v>1244194.6211525444</v>
      </c>
      <c r="H7" s="75">
        <f>$C7*POWER(1+Variables!$C$17/100,H$1-$C$1)</f>
        <v>1273682.0336738601</v>
      </c>
      <c r="I7" s="75">
        <f>$C7*POWER(1+Variables!$C$17/100,I$1-$C$1)</f>
        <v>1303868.2978719305</v>
      </c>
      <c r="J7" s="75">
        <f>$C7*POWER(1+Variables!$C$17/100,J$1-$C$1)</f>
        <v>1334769.9765314956</v>
      </c>
      <c r="K7" s="75">
        <f>$C7*POWER(1+Variables!$C$17/100,K$1-$C$1)</f>
        <v>1366404.0249752922</v>
      </c>
      <c r="L7" s="75">
        <f>$C7*POWER(1+Variables!$C$17/100,L$1-$C$1)</f>
        <v>1398787.8003672068</v>
      </c>
      <c r="M7" s="75">
        <f>$C7*POWER(1+Variables!$C$17/100,M$1-$C$1)</f>
        <v>1431939.0712359096</v>
      </c>
      <c r="N7" s="75">
        <f>$C7*POWER(1+Variables!$C$17/100,N$1-$C$1)</f>
        <v>1465876.0272242008</v>
      </c>
      <c r="O7" s="75">
        <f>$C7*POWER(1+Variables!$C$17/100,O$1-$C$1)</f>
        <v>1500617.2890694146</v>
      </c>
    </row>
    <row r="8" spans="1:15" ht="14.25" customHeight="1" x14ac:dyDescent="0.35">
      <c r="A8" s="78">
        <v>7</v>
      </c>
      <c r="B8" s="80" t="s">
        <v>160</v>
      </c>
      <c r="C8" s="45">
        <v>4646732</v>
      </c>
      <c r="D8" s="75">
        <f>$C8*POWER(1+Variables!$C$17/100,D$1-$C$1)</f>
        <v>5604401.6412904728</v>
      </c>
      <c r="E8" s="75">
        <f>$C8*POWER(1+Variables!$C$17/100,E$1-$C$1)</f>
        <v>5737225.9601890566</v>
      </c>
      <c r="F8" s="75">
        <f>$C8*POWER(1+Variables!$C$17/100,F$1-$C$1)</f>
        <v>5873198.2154455381</v>
      </c>
      <c r="G8" s="75">
        <f>$C8*POWER(1+Variables!$C$17/100,G$1-$C$1)</f>
        <v>6012393.0131515982</v>
      </c>
      <c r="H8" s="75">
        <f>$C8*POWER(1+Variables!$C$17/100,H$1-$C$1)</f>
        <v>6154886.7275632918</v>
      </c>
      <c r="I8" s="75">
        <f>$C8*POWER(1+Variables!$C$17/100,I$1-$C$1)</f>
        <v>6300757.5430065421</v>
      </c>
      <c r="J8" s="75">
        <f>$C8*POWER(1+Variables!$C$17/100,J$1-$C$1)</f>
        <v>6450085.4967757976</v>
      </c>
      <c r="K8" s="75">
        <f>$C8*POWER(1+Variables!$C$17/100,K$1-$C$1)</f>
        <v>6602952.5230493853</v>
      </c>
      <c r="L8" s="75">
        <f>$C8*POWER(1+Variables!$C$17/100,L$1-$C$1)</f>
        <v>6759442.4978456562</v>
      </c>
      <c r="M8" s="75">
        <f>$C8*POWER(1+Variables!$C$17/100,M$1-$C$1)</f>
        <v>6919641.2850445984</v>
      </c>
      <c r="N8" s="75">
        <f>$C8*POWER(1+Variables!$C$17/100,N$1-$C$1)</f>
        <v>7083636.7835001564</v>
      </c>
      <c r="O8" s="75">
        <f>$C8*POWER(1+Variables!$C$17/100,O$1-$C$1)</f>
        <v>7251518.9752691109</v>
      </c>
    </row>
    <row r="9" spans="1:15" ht="14.25" customHeight="1" x14ac:dyDescent="0.35">
      <c r="A9" s="78">
        <v>8</v>
      </c>
      <c r="B9" s="80" t="s">
        <v>161</v>
      </c>
      <c r="C9" s="45">
        <v>44282</v>
      </c>
      <c r="D9" s="75">
        <f>$C9*POWER(1+Variables!$C$17/100,D$1-$C$1)</f>
        <v>53408.312224510621</v>
      </c>
      <c r="E9" s="75">
        <f>$C9*POWER(1+Variables!$C$17/100,E$1-$C$1)</f>
        <v>54674.089224231524</v>
      </c>
      <c r="F9" s="75">
        <f>$C9*POWER(1+Variables!$C$17/100,F$1-$C$1)</f>
        <v>55969.865138845817</v>
      </c>
      <c r="G9" s="75">
        <f>$C9*POWER(1+Variables!$C$17/100,G$1-$C$1)</f>
        <v>57296.350942636469</v>
      </c>
      <c r="H9" s="75">
        <f>$C9*POWER(1+Variables!$C$17/100,H$1-$C$1)</f>
        <v>58654.274459976965</v>
      </c>
      <c r="I9" s="75">
        <f>$C9*POWER(1+Variables!$C$17/100,I$1-$C$1)</f>
        <v>60044.380764678419</v>
      </c>
      <c r="J9" s="75">
        <f>$C9*POWER(1+Variables!$C$17/100,J$1-$C$1)</f>
        <v>61467.432588801312</v>
      </c>
      <c r="K9" s="75">
        <f>$C9*POWER(1+Variables!$C$17/100,K$1-$C$1)</f>
        <v>62924.210741155912</v>
      </c>
      <c r="L9" s="75">
        <f>$C9*POWER(1+Variables!$C$17/100,L$1-$C$1)</f>
        <v>64415.514535721311</v>
      </c>
      <c r="M9" s="75">
        <f>$C9*POWER(1+Variables!$C$17/100,M$1-$C$1)</f>
        <v>65942.162230217902</v>
      </c>
      <c r="N9" s="75">
        <f>$C9*POWER(1+Variables!$C$17/100,N$1-$C$1)</f>
        <v>67504.991475074072</v>
      </c>
      <c r="O9" s="75">
        <f>$C9*POWER(1+Variables!$C$17/100,O$1-$C$1)</f>
        <v>69104.859773033342</v>
      </c>
    </row>
    <row r="10" spans="1:15" ht="14.25" customHeight="1" x14ac:dyDescent="0.35">
      <c r="A10" s="78">
        <v>9</v>
      </c>
      <c r="B10" s="80" t="s">
        <v>162</v>
      </c>
      <c r="C10" s="45">
        <v>569578</v>
      </c>
      <c r="D10" s="75">
        <f>$C10*POWER(1+Variables!$C$17/100,D$1-$C$1)</f>
        <v>686965.35071162798</v>
      </c>
      <c r="E10" s="75">
        <f>$C10*POWER(1+Variables!$C$17/100,E$1-$C$1)</f>
        <v>703246.42952349363</v>
      </c>
      <c r="F10" s="75">
        <f>$C10*POWER(1+Variables!$C$17/100,F$1-$C$1)</f>
        <v>719913.36990320042</v>
      </c>
      <c r="G10" s="75">
        <f>$C10*POWER(1+Variables!$C$17/100,G$1-$C$1)</f>
        <v>736975.31676990644</v>
      </c>
      <c r="H10" s="75">
        <f>$C10*POWER(1+Variables!$C$17/100,H$1-$C$1)</f>
        <v>754441.63177735335</v>
      </c>
      <c r="I10" s="75">
        <f>$C10*POWER(1+Variables!$C$17/100,I$1-$C$1)</f>
        <v>772321.89845047658</v>
      </c>
      <c r="J10" s="75">
        <f>$C10*POWER(1+Variables!$C$17/100,J$1-$C$1)</f>
        <v>790625.927443753</v>
      </c>
      <c r="K10" s="75">
        <f>$C10*POWER(1+Variables!$C$17/100,K$1-$C$1)</f>
        <v>809363.76192417007</v>
      </c>
      <c r="L10" s="75">
        <f>$C10*POWER(1+Variables!$C$17/100,L$1-$C$1)</f>
        <v>828545.68308177299</v>
      </c>
      <c r="M10" s="75">
        <f>$C10*POWER(1+Variables!$C$17/100,M$1-$C$1)</f>
        <v>848182.21577081108</v>
      </c>
      <c r="N10" s="75">
        <f>$C10*POWER(1+Variables!$C$17/100,N$1-$C$1)</f>
        <v>868284.13428457931</v>
      </c>
      <c r="O10" s="75">
        <f>$C10*POWER(1+Variables!$C$17/100,O$1-$C$1)</f>
        <v>888862.46826712403</v>
      </c>
    </row>
    <row r="11" spans="1:15" ht="14.25" customHeight="1" x14ac:dyDescent="0.35">
      <c r="A11" s="78">
        <v>10</v>
      </c>
      <c r="B11" s="80" t="s">
        <v>163</v>
      </c>
      <c r="C11" s="45">
        <v>528563</v>
      </c>
      <c r="D11" s="75">
        <f>$C11*POWER(1+Variables!$C$17/100,D$1-$C$1)</f>
        <v>637497.35184327734</v>
      </c>
      <c r="E11" s="75">
        <f>$C11*POWER(1+Variables!$C$17/100,E$1-$C$1)</f>
        <v>652606.03908196301</v>
      </c>
      <c r="F11" s="75">
        <f>$C11*POWER(1+Variables!$C$17/100,F$1-$C$1)</f>
        <v>668072.80220820569</v>
      </c>
      <c r="G11" s="75">
        <f>$C11*POWER(1+Variables!$C$17/100,G$1-$C$1)</f>
        <v>683906.12762054021</v>
      </c>
      <c r="H11" s="75">
        <f>$C11*POWER(1+Variables!$C$17/100,H$1-$C$1)</f>
        <v>700114.70284514711</v>
      </c>
      <c r="I11" s="75">
        <f>$C11*POWER(1+Variables!$C$17/100,I$1-$C$1)</f>
        <v>716707.42130257713</v>
      </c>
      <c r="J11" s="75">
        <f>$C11*POWER(1+Variables!$C$17/100,J$1-$C$1)</f>
        <v>733693.38718744833</v>
      </c>
      <c r="K11" s="75">
        <f>$C11*POWER(1+Variables!$C$17/100,K$1-$C$1)</f>
        <v>751081.920463791</v>
      </c>
      <c r="L11" s="75">
        <f>$C11*POWER(1+Variables!$C$17/100,L$1-$C$1)</f>
        <v>768882.56197878288</v>
      </c>
      <c r="M11" s="75">
        <f>$C11*POWER(1+Variables!$C$17/100,M$1-$C$1)</f>
        <v>787105.07869768003</v>
      </c>
      <c r="N11" s="75">
        <f>$C11*POWER(1+Variables!$C$17/100,N$1-$C$1)</f>
        <v>805759.46906281519</v>
      </c>
      <c r="O11" s="75">
        <f>$C11*POWER(1+Variables!$C$17/100,O$1-$C$1)</f>
        <v>824855.96847960399</v>
      </c>
    </row>
    <row r="12" spans="1:15" ht="14.25" customHeight="1" x14ac:dyDescent="0.35">
      <c r="A12" s="78">
        <v>11</v>
      </c>
      <c r="B12" s="80" t="s">
        <v>164</v>
      </c>
      <c r="C12" s="45">
        <v>206167</v>
      </c>
      <c r="D12" s="75">
        <f>$C12*POWER(1+Variables!$C$17/100,D$1-$C$1)</f>
        <v>248657.05041305005</v>
      </c>
      <c r="E12" s="75">
        <f>$C12*POWER(1+Variables!$C$17/100,E$1-$C$1)</f>
        <v>254550.22250783932</v>
      </c>
      <c r="F12" s="75">
        <f>$C12*POWER(1+Variables!$C$17/100,F$1-$C$1)</f>
        <v>260583.06278127513</v>
      </c>
      <c r="G12" s="75">
        <f>$C12*POWER(1+Variables!$C$17/100,G$1-$C$1)</f>
        <v>266758.8813691914</v>
      </c>
      <c r="H12" s="75">
        <f>$C12*POWER(1+Variables!$C$17/100,H$1-$C$1)</f>
        <v>273081.06685764127</v>
      </c>
      <c r="I12" s="75">
        <f>$C12*POWER(1+Variables!$C$17/100,I$1-$C$1)</f>
        <v>279553.08814216737</v>
      </c>
      <c r="J12" s="75">
        <f>$C12*POWER(1+Variables!$C$17/100,J$1-$C$1)</f>
        <v>286178.49633113679</v>
      </c>
      <c r="K12" s="75">
        <f>$C12*POWER(1+Variables!$C$17/100,K$1-$C$1)</f>
        <v>292960.92669418477</v>
      </c>
      <c r="L12" s="75">
        <f>$C12*POWER(1+Variables!$C$17/100,L$1-$C$1)</f>
        <v>299904.10065683699</v>
      </c>
      <c r="M12" s="75">
        <f>$C12*POWER(1+Variables!$C$17/100,M$1-$C$1)</f>
        <v>307011.82784240402</v>
      </c>
      <c r="N12" s="75">
        <f>$C12*POWER(1+Variables!$C$17/100,N$1-$C$1)</f>
        <v>314288.00816226902</v>
      </c>
      <c r="O12" s="75">
        <f>$C12*POWER(1+Variables!$C$17/100,O$1-$C$1)</f>
        <v>321736.63395571487</v>
      </c>
    </row>
    <row r="13" spans="1:15" ht="14.25" customHeight="1" x14ac:dyDescent="0.35">
      <c r="A13" s="78">
        <v>12</v>
      </c>
      <c r="B13" s="80" t="s">
        <v>165</v>
      </c>
      <c r="C13" s="45">
        <v>100286</v>
      </c>
      <c r="D13" s="75">
        <f>$C13*POWER(1+Variables!$C$17/100,D$1-$C$1)</f>
        <v>120954.47359530447</v>
      </c>
      <c r="E13" s="75">
        <f>$C13*POWER(1+Variables!$C$17/100,E$1-$C$1)</f>
        <v>123821.09461951318</v>
      </c>
      <c r="F13" s="75">
        <f>$C13*POWER(1+Variables!$C$17/100,F$1-$C$1)</f>
        <v>126755.65456199566</v>
      </c>
      <c r="G13" s="75">
        <f>$C13*POWER(1+Variables!$C$17/100,G$1-$C$1)</f>
        <v>129759.76357511496</v>
      </c>
      <c r="H13" s="75">
        <f>$C13*POWER(1+Variables!$C$17/100,H$1-$C$1)</f>
        <v>132835.06997184522</v>
      </c>
      <c r="I13" s="75">
        <f>$C13*POWER(1+Variables!$C$17/100,I$1-$C$1)</f>
        <v>135983.26113017794</v>
      </c>
      <c r="J13" s="75">
        <f>$C13*POWER(1+Variables!$C$17/100,J$1-$C$1)</f>
        <v>139206.06441896319</v>
      </c>
      <c r="K13" s="75">
        <f>$C13*POWER(1+Variables!$C$17/100,K$1-$C$1)</f>
        <v>142505.24814569263</v>
      </c>
      <c r="L13" s="75">
        <f>$C13*POWER(1+Variables!$C$17/100,L$1-$C$1)</f>
        <v>145882.62252674557</v>
      </c>
      <c r="M13" s="75">
        <f>$C13*POWER(1+Variables!$C$17/100,M$1-$C$1)</f>
        <v>149340.04068062943</v>
      </c>
      <c r="N13" s="75">
        <f>$C13*POWER(1+Variables!$C$17/100,N$1-$C$1)</f>
        <v>152879.39964476039</v>
      </c>
      <c r="O13" s="75">
        <f>$C13*POWER(1+Variables!$C$17/100,O$1-$C$1)</f>
        <v>156502.64141634121</v>
      </c>
    </row>
    <row r="14" spans="1:15" ht="14.25" customHeight="1" x14ac:dyDescent="0.35">
      <c r="A14" s="78">
        <v>13</v>
      </c>
      <c r="B14" s="80" t="s">
        <v>166</v>
      </c>
      <c r="C14" s="45">
        <v>6731790</v>
      </c>
      <c r="D14" s="75">
        <f>$C14*POWER(1+Variables!$C$17/100,D$1-$C$1)</f>
        <v>8119180.3023765497</v>
      </c>
      <c r="E14" s="75">
        <f>$C14*POWER(1+Variables!$C$17/100,E$1-$C$1)</f>
        <v>8311604.8755428735</v>
      </c>
      <c r="F14" s="75">
        <f>$C14*POWER(1+Variables!$C$17/100,F$1-$C$1)</f>
        <v>8508589.9110932406</v>
      </c>
      <c r="G14" s="75">
        <f>$C14*POWER(1+Variables!$C$17/100,G$1-$C$1)</f>
        <v>8710243.4919861518</v>
      </c>
      <c r="H14" s="75">
        <f>$C14*POWER(1+Variables!$C$17/100,H$1-$C$1)</f>
        <v>8916676.262746226</v>
      </c>
      <c r="I14" s="75">
        <f>$C14*POWER(1+Variables!$C$17/100,I$1-$C$1)</f>
        <v>9128001.49017331</v>
      </c>
      <c r="J14" s="75">
        <f>$C14*POWER(1+Variables!$C$17/100,J$1-$C$1)</f>
        <v>9344335.1254904196</v>
      </c>
      <c r="K14" s="75">
        <f>$C14*POWER(1+Variables!$C$17/100,K$1-$C$1)</f>
        <v>9565795.8679645434</v>
      </c>
      <c r="L14" s="75">
        <f>$C14*POWER(1+Variables!$C$17/100,L$1-$C$1)</f>
        <v>9792505.230035305</v>
      </c>
      <c r="M14" s="75">
        <f>$C14*POWER(1+Variables!$C$17/100,M$1-$C$1)</f>
        <v>10024587.603987142</v>
      </c>
      <c r="N14" s="75">
        <f>$C14*POWER(1+Variables!$C$17/100,N$1-$C$1)</f>
        <v>10262170.330201637</v>
      </c>
      <c r="O14" s="75">
        <f>$C14*POWER(1+Variables!$C$17/100,O$1-$C$1)</f>
        <v>10505383.767027419</v>
      </c>
    </row>
    <row r="15" spans="1:15" ht="14.25" customHeight="1" x14ac:dyDescent="0.35">
      <c r="A15" s="78">
        <v>14</v>
      </c>
      <c r="B15" s="80" t="s">
        <v>167</v>
      </c>
      <c r="C15" s="45">
        <v>268243</v>
      </c>
      <c r="D15" s="75">
        <f>$C15*POWER(1+Variables!$C$17/100,D$1-$C$1)</f>
        <v>323526.6224659998</v>
      </c>
      <c r="E15" s="75">
        <f>$C15*POWER(1+Variables!$C$17/100,E$1-$C$1)</f>
        <v>331194.20341844397</v>
      </c>
      <c r="F15" s="75">
        <f>$C15*POWER(1+Variables!$C$17/100,F$1-$C$1)</f>
        <v>339043.50603946112</v>
      </c>
      <c r="G15" s="75">
        <f>$C15*POWER(1+Variables!$C$17/100,G$1-$C$1)</f>
        <v>347078.83713259641</v>
      </c>
      <c r="H15" s="75">
        <f>$C15*POWER(1+Variables!$C$17/100,H$1-$C$1)</f>
        <v>355304.60557263903</v>
      </c>
      <c r="I15" s="75">
        <f>$C15*POWER(1+Variables!$C$17/100,I$1-$C$1)</f>
        <v>363725.32472471055</v>
      </c>
      <c r="J15" s="75">
        <f>$C15*POWER(1+Variables!$C$17/100,J$1-$C$1)</f>
        <v>372345.61492068629</v>
      </c>
      <c r="K15" s="75">
        <f>$C15*POWER(1+Variables!$C$17/100,K$1-$C$1)</f>
        <v>381170.2059943066</v>
      </c>
      <c r="L15" s="75">
        <f>$C15*POWER(1+Variables!$C$17/100,L$1-$C$1)</f>
        <v>390203.9398763717</v>
      </c>
      <c r="M15" s="75">
        <f>$C15*POWER(1+Variables!$C$17/100,M$1-$C$1)</f>
        <v>399451.77325144171</v>
      </c>
      <c r="N15" s="75">
        <f>$C15*POWER(1+Variables!$C$17/100,N$1-$C$1)</f>
        <v>408918.78027750092</v>
      </c>
      <c r="O15" s="75">
        <f>$C15*POWER(1+Variables!$C$17/100,O$1-$C$1)</f>
        <v>418610.15537007776</v>
      </c>
    </row>
    <row r="16" spans="1:15" ht="14.25" customHeight="1" x14ac:dyDescent="0.35">
      <c r="A16" s="78">
        <v>15</v>
      </c>
      <c r="B16" s="80" t="s">
        <v>168</v>
      </c>
      <c r="C16" s="45">
        <v>59490</v>
      </c>
      <c r="D16" s="75">
        <f>$C16*POWER(1+Variables!$C$17/100,D$1-$C$1)</f>
        <v>71750.609598395211</v>
      </c>
      <c r="E16" s="75">
        <f>$C16*POWER(1+Variables!$C$17/100,E$1-$C$1)</f>
        <v>73451.099045877185</v>
      </c>
      <c r="F16" s="75">
        <f>$C16*POWER(1+Variables!$C$17/100,F$1-$C$1)</f>
        <v>75191.890093264476</v>
      </c>
      <c r="G16" s="75">
        <f>$C16*POWER(1+Variables!$C$17/100,G$1-$C$1)</f>
        <v>76973.937888474858</v>
      </c>
      <c r="H16" s="75">
        <f>$C16*POWER(1+Variables!$C$17/100,H$1-$C$1)</f>
        <v>78798.220216431728</v>
      </c>
      <c r="I16" s="75">
        <f>$C16*POWER(1+Variables!$C$17/100,I$1-$C$1)</f>
        <v>80665.738035561153</v>
      </c>
      <c r="J16" s="75">
        <f>$C16*POWER(1+Variables!$C$17/100,J$1-$C$1)</f>
        <v>82577.516027003978</v>
      </c>
      <c r="K16" s="75">
        <f>$C16*POWER(1+Variables!$C$17/100,K$1-$C$1)</f>
        <v>84534.603156843979</v>
      </c>
      <c r="L16" s="75">
        <f>$C16*POWER(1+Variables!$C$17/100,L$1-$C$1)</f>
        <v>86538.07325166119</v>
      </c>
      <c r="M16" s="75">
        <f>$C16*POWER(1+Variables!$C$17/100,M$1-$C$1)</f>
        <v>88589.025587725555</v>
      </c>
      <c r="N16" s="75">
        <f>$C16*POWER(1+Variables!$C$17/100,N$1-$C$1)</f>
        <v>90688.585494154671</v>
      </c>
      <c r="O16" s="75">
        <f>$C16*POWER(1+Variables!$C$17/100,O$1-$C$1)</f>
        <v>92837.904970366144</v>
      </c>
    </row>
    <row r="17" spans="1:15" ht="14.25" customHeight="1" x14ac:dyDescent="0.35">
      <c r="A17" s="78">
        <v>16</v>
      </c>
      <c r="B17" s="80" t="s">
        <v>169</v>
      </c>
      <c r="C17" s="45">
        <v>3046163</v>
      </c>
      <c r="D17" s="75">
        <f>$C17*POWER(1+Variables!$C$17/100,D$1-$C$1)</f>
        <v>3673962.8876462663</v>
      </c>
      <c r="E17" s="75">
        <f>$C17*POWER(1+Variables!$C$17/100,E$1-$C$1)</f>
        <v>3761035.8080834826</v>
      </c>
      <c r="F17" s="75">
        <f>$C17*POWER(1+Variables!$C$17/100,F$1-$C$1)</f>
        <v>3850172.3567350614</v>
      </c>
      <c r="G17" s="75">
        <f>$C17*POWER(1+Variables!$C$17/100,G$1-$C$1)</f>
        <v>3941421.4415896828</v>
      </c>
      <c r="H17" s="75">
        <f>$C17*POWER(1+Variables!$C$17/100,H$1-$C$1)</f>
        <v>4034833.1297553591</v>
      </c>
      <c r="I17" s="75">
        <f>$C17*POWER(1+Variables!$C$17/100,I$1-$C$1)</f>
        <v>4130458.6749305613</v>
      </c>
      <c r="J17" s="75">
        <f>$C17*POWER(1+Variables!$C$17/100,J$1-$C$1)</f>
        <v>4228350.545526416</v>
      </c>
      <c r="K17" s="75">
        <f>$C17*POWER(1+Variables!$C$17/100,K$1-$C$1)</f>
        <v>4328562.4534553932</v>
      </c>
      <c r="L17" s="75">
        <f>$C17*POWER(1+Variables!$C$17/100,L$1-$C$1)</f>
        <v>4431149.3836022858</v>
      </c>
      <c r="M17" s="75">
        <f>$C17*POWER(1+Variables!$C$17/100,M$1-$C$1)</f>
        <v>4536167.6239936603</v>
      </c>
      <c r="N17" s="75">
        <f>$C17*POWER(1+Variables!$C$17/100,N$1-$C$1)</f>
        <v>4643674.7966823103</v>
      </c>
      <c r="O17" s="75">
        <f>$C17*POWER(1+Variables!$C$17/100,O$1-$C$1)</f>
        <v>4753729.8893636819</v>
      </c>
    </row>
    <row r="18" spans="1:15" ht="14.25" customHeight="1" x14ac:dyDescent="0.35">
      <c r="A18" s="78">
        <v>17</v>
      </c>
      <c r="B18" s="80" t="s">
        <v>170</v>
      </c>
      <c r="C18" s="45">
        <v>11210</v>
      </c>
      <c r="D18" s="75">
        <f>$C18*POWER(1+Variables!$C$17/100,D$1-$C$1)</f>
        <v>13520.328350949914</v>
      </c>
      <c r="E18" s="75">
        <f>$C18*POWER(1+Variables!$C$17/100,E$1-$C$1)</f>
        <v>13840.760132867426</v>
      </c>
      <c r="F18" s="75">
        <f>$C18*POWER(1+Variables!$C$17/100,F$1-$C$1)</f>
        <v>14168.786148016387</v>
      </c>
      <c r="G18" s="75">
        <f>$C18*POWER(1+Variables!$C$17/100,G$1-$C$1)</f>
        <v>14504.586379724376</v>
      </c>
      <c r="H18" s="75">
        <f>$C18*POWER(1+Variables!$C$17/100,H$1-$C$1)</f>
        <v>14848.345076923848</v>
      </c>
      <c r="I18" s="75">
        <f>$C18*POWER(1+Variables!$C$17/100,I$1-$C$1)</f>
        <v>15200.250855246943</v>
      </c>
      <c r="J18" s="75">
        <f>$C18*POWER(1+Variables!$C$17/100,J$1-$C$1)</f>
        <v>15560.496800516297</v>
      </c>
      <c r="K18" s="75">
        <f>$C18*POWER(1+Variables!$C$17/100,K$1-$C$1)</f>
        <v>15929.280574688535</v>
      </c>
      <c r="L18" s="75">
        <f>$C18*POWER(1+Variables!$C$17/100,L$1-$C$1)</f>
        <v>16306.804524308656</v>
      </c>
      <c r="M18" s="75">
        <f>$C18*POWER(1+Variables!$C$17/100,M$1-$C$1)</f>
        <v>16693.275791534772</v>
      </c>
      <c r="N18" s="75">
        <f>$C18*POWER(1+Variables!$C$17/100,N$1-$C$1)</f>
        <v>17088.906427794147</v>
      </c>
      <c r="O18" s="75">
        <f>$C18*POWER(1+Variables!$C$17/100,O$1-$C$1)</f>
        <v>17493.913510132872</v>
      </c>
    </row>
    <row r="19" spans="1:15" ht="14.25" customHeight="1" x14ac:dyDescent="0.35">
      <c r="A19" s="78">
        <v>18</v>
      </c>
      <c r="B19" s="80" t="s">
        <v>171</v>
      </c>
      <c r="C19" s="45">
        <v>99039</v>
      </c>
      <c r="D19" s="75">
        <f>$C19*POWER(1+Variables!$C$17/100,D$1-$C$1)</f>
        <v>119450.47275198292</v>
      </c>
      <c r="E19" s="75">
        <f>$C19*POWER(1+Variables!$C$17/100,E$1-$C$1)</f>
        <v>122281.44895620491</v>
      </c>
      <c r="F19" s="75">
        <f>$C19*POWER(1+Variables!$C$17/100,F$1-$C$1)</f>
        <v>125179.51929646698</v>
      </c>
      <c r="G19" s="75">
        <f>$C19*POWER(1+Variables!$C$17/100,G$1-$C$1)</f>
        <v>128146.27390379326</v>
      </c>
      <c r="H19" s="75">
        <f>$C19*POWER(1+Variables!$C$17/100,H$1-$C$1)</f>
        <v>131183.3405953132</v>
      </c>
      <c r="I19" s="75">
        <f>$C19*POWER(1+Variables!$C$17/100,I$1-$C$1)</f>
        <v>134292.38576742212</v>
      </c>
      <c r="J19" s="75">
        <f>$C19*POWER(1+Variables!$C$17/100,J$1-$C$1)</f>
        <v>137475.11531011004</v>
      </c>
      <c r="K19" s="75">
        <f>$C19*POWER(1+Variables!$C$17/100,K$1-$C$1)</f>
        <v>140733.27554295966</v>
      </c>
      <c r="L19" s="75">
        <f>$C19*POWER(1+Variables!$C$17/100,L$1-$C$1)</f>
        <v>144068.65417332784</v>
      </c>
      <c r="M19" s="75">
        <f>$C19*POWER(1+Variables!$C$17/100,M$1-$C$1)</f>
        <v>147483.0812772357</v>
      </c>
      <c r="N19" s="75">
        <f>$C19*POWER(1+Variables!$C$17/100,N$1-$C$1)</f>
        <v>150978.4303035062</v>
      </c>
      <c r="O19" s="75">
        <f>$C19*POWER(1+Variables!$C$17/100,O$1-$C$1)</f>
        <v>154556.61910169933</v>
      </c>
    </row>
    <row r="20" spans="1:15" ht="14.25" customHeight="1" x14ac:dyDescent="0.35">
      <c r="A20" s="78">
        <v>19</v>
      </c>
      <c r="B20" s="80" t="s">
        <v>172</v>
      </c>
      <c r="C20" s="168">
        <v>4496694</v>
      </c>
      <c r="D20" s="169">
        <f>$C20*POWER(1+Variables!$C$17/100,D$1-$C$1)</f>
        <v>5423441.5141611397</v>
      </c>
      <c r="E20" s="169">
        <f>$C20*POWER(1+Variables!$C$17/100,E$1-$C$1)</f>
        <v>5551977.0780467587</v>
      </c>
      <c r="F20" s="169">
        <f>$C20*POWER(1+Variables!$C$17/100,F$1-$C$1)</f>
        <v>5683558.9347964674</v>
      </c>
      <c r="G20" s="169">
        <f>$C20*POWER(1+Variables!$C$17/100,G$1-$C$1)</f>
        <v>5818259.2815511441</v>
      </c>
      <c r="H20" s="169">
        <f>$C20*POWER(1+Variables!$C$17/100,H$1-$C$1)</f>
        <v>5956152.0265239077</v>
      </c>
      <c r="I20" s="169">
        <f>$C20*POWER(1+Variables!$C$17/100,I$1-$C$1)</f>
        <v>6097312.8295525238</v>
      </c>
      <c r="J20" s="169">
        <f>$C20*POWER(1+Variables!$C$17/100,J$1-$C$1)</f>
        <v>6241819.1436129194</v>
      </c>
      <c r="K20" s="169">
        <f>$C20*POWER(1+Variables!$C$17/100,K$1-$C$1)</f>
        <v>6389750.2573165465</v>
      </c>
      <c r="L20" s="169">
        <f>$C20*POWER(1+Variables!$C$17/100,L$1-$C$1)</f>
        <v>6541187.3384149494</v>
      </c>
      <c r="M20" s="169">
        <f>$C20*POWER(1+Variables!$C$17/100,M$1-$C$1)</f>
        <v>6696213.4783353843</v>
      </c>
      <c r="N20" s="169">
        <f>$C20*POWER(1+Variables!$C$17/100,N$1-$C$1)</f>
        <v>6854913.737771933</v>
      </c>
      <c r="O20" s="169">
        <f>$C20*POWER(1+Variables!$C$17/100,O$1-$C$1)</f>
        <v>7017375.1933571296</v>
      </c>
    </row>
    <row r="21" spans="1:15" ht="14.25" customHeight="1" x14ac:dyDescent="0.35">
      <c r="A21" s="78">
        <v>20</v>
      </c>
      <c r="B21" s="80" t="s">
        <v>173</v>
      </c>
      <c r="C21" s="168">
        <v>2817105</v>
      </c>
      <c r="D21" s="169">
        <f>$C21*POWER(1+Variables!$C$17/100,D$1-$C$1)</f>
        <v>3397697.1096434216</v>
      </c>
      <c r="E21" s="169">
        <f>$C21*POWER(1+Variables!$C$17/100,E$1-$C$1)</f>
        <v>3478222.5311419708</v>
      </c>
      <c r="F21" s="169">
        <f>$C21*POWER(1+Variables!$C$17/100,F$1-$C$1)</f>
        <v>3560656.4051300357</v>
      </c>
      <c r="G21" s="169">
        <f>$C21*POWER(1+Variables!$C$17/100,G$1-$C$1)</f>
        <v>3645043.9619316179</v>
      </c>
      <c r="H21" s="169">
        <f>$C21*POWER(1+Variables!$C$17/100,H$1-$C$1)</f>
        <v>3731431.5038293982</v>
      </c>
      <c r="I21" s="169">
        <f>$C21*POWER(1+Variables!$C$17/100,I$1-$C$1)</f>
        <v>3819866.4304701551</v>
      </c>
      <c r="J21" s="169">
        <f>$C21*POWER(1+Variables!$C$17/100,J$1-$C$1)</f>
        <v>3910397.2648722981</v>
      </c>
      <c r="K21" s="169">
        <f>$C21*POWER(1+Variables!$C$17/100,K$1-$C$1)</f>
        <v>4003073.6800497724</v>
      </c>
      <c r="L21" s="169">
        <f>$C21*POWER(1+Variables!$C$17/100,L$1-$C$1)</f>
        <v>4097946.5262669525</v>
      </c>
      <c r="M21" s="169">
        <f>$C21*POWER(1+Variables!$C$17/100,M$1-$C$1)</f>
        <v>4195067.8589394791</v>
      </c>
      <c r="N21" s="169">
        <f>$C21*POWER(1+Variables!$C$17/100,N$1-$C$1)</f>
        <v>4294490.9671963453</v>
      </c>
      <c r="O21" s="169">
        <f>$C21*POWER(1+Variables!$C$17/100,O$1-$C$1)</f>
        <v>4396270.4031188991</v>
      </c>
    </row>
    <row r="22" spans="1:15" ht="14.25" customHeight="1" x14ac:dyDescent="0.35">
      <c r="A22" s="78">
        <v>21</v>
      </c>
      <c r="B22" s="81" t="s">
        <v>174</v>
      </c>
      <c r="C22" s="168">
        <v>12442373</v>
      </c>
      <c r="D22" s="169">
        <f>$C22*POWER(1+Variables!$C$17/100,D$1-$C$1)</f>
        <v>15006687.638268843</v>
      </c>
      <c r="E22" s="169">
        <f>$C22*POWER(1+Variables!$C$17/100,E$1-$C$1)</f>
        <v>15362346.135295814</v>
      </c>
      <c r="F22" s="169">
        <f>$C22*POWER(1+Variables!$C$17/100,F$1-$C$1)</f>
        <v>15726433.738702327</v>
      </c>
      <c r="G22" s="169">
        <f>$C22*POWER(1+Variables!$C$17/100,G$1-$C$1)</f>
        <v>16099150.218309574</v>
      </c>
      <c r="H22" s="169">
        <f>$C22*POWER(1+Variables!$C$17/100,H$1-$C$1)</f>
        <v>16480700.078483514</v>
      </c>
      <c r="I22" s="169">
        <f>$C22*POWER(1+Variables!$C$17/100,I$1-$C$1)</f>
        <v>16871292.670343574</v>
      </c>
      <c r="J22" s="169">
        <f>$C22*POWER(1+Variables!$C$17/100,J$1-$C$1)</f>
        <v>17271142.306630719</v>
      </c>
      <c r="K22" s="169">
        <f>$C22*POWER(1+Variables!$C$17/100,K$1-$C$1)</f>
        <v>17680468.379297871</v>
      </c>
      <c r="L22" s="169">
        <f>$C22*POWER(1+Variables!$C$17/100,L$1-$C$1)</f>
        <v>18099495.479887232</v>
      </c>
      <c r="M22" s="169">
        <f>$C22*POWER(1+Variables!$C$17/100,M$1-$C$1)</f>
        <v>18528453.522760559</v>
      </c>
      <c r="N22" s="169">
        <f>$C22*POWER(1+Variables!$C$17/100,N$1-$C$1)</f>
        <v>18967577.871249985</v>
      </c>
      <c r="O22" s="169">
        <f>$C22*POWER(1+Variables!$C$17/100,O$1-$C$1)</f>
        <v>19417109.466798615</v>
      </c>
    </row>
    <row r="23" spans="1:15" ht="14.25" customHeight="1" x14ac:dyDescent="0.35">
      <c r="A23" s="78">
        <v>22</v>
      </c>
      <c r="B23" s="80" t="s">
        <v>175</v>
      </c>
      <c r="C23" s="168">
        <v>11034555</v>
      </c>
      <c r="D23" s="169">
        <f>$C23*POWER(1+Variables!$C$17/100,D$1-$C$1)</f>
        <v>13308724.96044747</v>
      </c>
      <c r="E23" s="169">
        <f>$C23*POWER(1+Variables!$C$17/100,E$1-$C$1)</f>
        <v>13624141.742010074</v>
      </c>
      <c r="F23" s="169">
        <f>$C23*POWER(1+Variables!$C$17/100,F$1-$C$1)</f>
        <v>13947033.901295714</v>
      </c>
      <c r="G23" s="169">
        <f>$C23*POWER(1+Variables!$C$17/100,G$1-$C$1)</f>
        <v>14277578.604756424</v>
      </c>
      <c r="H23" s="169">
        <f>$C23*POWER(1+Variables!$C$17/100,H$1-$C$1)</f>
        <v>14615957.217689155</v>
      </c>
      <c r="I23" s="169">
        <f>$C23*POWER(1+Variables!$C$17/100,I$1-$C$1)</f>
        <v>14962355.403748387</v>
      </c>
      <c r="J23" s="169">
        <f>$C23*POWER(1+Variables!$C$17/100,J$1-$C$1)</f>
        <v>15316963.226817226</v>
      </c>
      <c r="K23" s="169">
        <f>$C23*POWER(1+Variables!$C$17/100,K$1-$C$1)</f>
        <v>15679975.255292797</v>
      </c>
      <c r="L23" s="169">
        <f>$C23*POWER(1+Variables!$C$17/100,L$1-$C$1)</f>
        <v>16051590.668843238</v>
      </c>
      <c r="M23" s="169">
        <f>$C23*POWER(1+Variables!$C$17/100,M$1-$C$1)</f>
        <v>16432013.367694823</v>
      </c>
      <c r="N23" s="169">
        <f>$C23*POWER(1+Variables!$C$17/100,N$1-$C$1)</f>
        <v>16821452.08450919</v>
      </c>
      <c r="O23" s="169">
        <f>$C23*POWER(1+Variables!$C$17/100,O$1-$C$1)</f>
        <v>17220120.498912062</v>
      </c>
    </row>
    <row r="24" spans="1:15" ht="14.25" customHeight="1" x14ac:dyDescent="0.35">
      <c r="A24" s="78">
        <v>23</v>
      </c>
      <c r="B24" s="80" t="s">
        <v>176</v>
      </c>
      <c r="C24" s="168">
        <v>40017</v>
      </c>
      <c r="D24" s="169">
        <f>$C24*POWER(1+Variables!$C$17/100,D$1-$C$1)</f>
        <v>48264.315755572054</v>
      </c>
      <c r="E24" s="169">
        <f>$C24*POWER(1+Variables!$C$17/100,E$1-$C$1)</f>
        <v>49408.18003897911</v>
      </c>
      <c r="F24" s="169">
        <f>$C24*POWER(1+Variables!$C$17/100,F$1-$C$1)</f>
        <v>50579.153905902916</v>
      </c>
      <c r="G24" s="169">
        <f>$C24*POWER(1+Variables!$C$17/100,G$1-$C$1)</f>
        <v>51777.879853472827</v>
      </c>
      <c r="H24" s="169">
        <f>$C24*POWER(1+Variables!$C$17/100,H$1-$C$1)</f>
        <v>53005.015606000139</v>
      </c>
      <c r="I24" s="169">
        <f>$C24*POWER(1+Variables!$C$17/100,I$1-$C$1)</f>
        <v>54261.234475862344</v>
      </c>
      <c r="J24" s="169">
        <f>$C24*POWER(1+Variables!$C$17/100,J$1-$C$1)</f>
        <v>55547.225732940293</v>
      </c>
      <c r="K24" s="169">
        <f>$C24*POWER(1+Variables!$C$17/100,K$1-$C$1)</f>
        <v>56863.694982810986</v>
      </c>
      <c r="L24" s="169">
        <f>$C24*POWER(1+Variables!$C$17/100,L$1-$C$1)</f>
        <v>58211.364553903608</v>
      </c>
      <c r="M24" s="169">
        <f>$C24*POWER(1+Variables!$C$17/100,M$1-$C$1)</f>
        <v>59590.973893831127</v>
      </c>
      <c r="N24" s="169">
        <f>$C24*POWER(1+Variables!$C$17/100,N$1-$C$1)</f>
        <v>61003.279975114929</v>
      </c>
      <c r="O24" s="169">
        <f>$C24*POWER(1+Variables!$C$17/100,O$1-$C$1)</f>
        <v>62449.057710525165</v>
      </c>
    </row>
    <row r="25" spans="1:15" ht="14.25" customHeight="1" x14ac:dyDescent="0.35">
      <c r="A25" s="78">
        <v>24</v>
      </c>
      <c r="B25" s="80" t="s">
        <v>177</v>
      </c>
      <c r="C25" s="168">
        <v>1684222</v>
      </c>
      <c r="D25" s="169">
        <f>$C25*POWER(1+Variables!$C$17/100,D$1-$C$1)</f>
        <v>2031332.2440583021</v>
      </c>
      <c r="E25" s="169">
        <f>$C25*POWER(1+Variables!$C$17/100,E$1-$C$1)</f>
        <v>2079474.8182424838</v>
      </c>
      <c r="F25" s="169">
        <f>$C25*POWER(1+Variables!$C$17/100,F$1-$C$1)</f>
        <v>2128758.3714348311</v>
      </c>
      <c r="G25" s="169">
        <f>$C25*POWER(1+Variables!$C$17/100,G$1-$C$1)</f>
        <v>2179209.9448378365</v>
      </c>
      <c r="H25" s="169">
        <f>$C25*POWER(1+Variables!$C$17/100,H$1-$C$1)</f>
        <v>2230857.2205304937</v>
      </c>
      <c r="I25" s="169">
        <f>$C25*POWER(1+Variables!$C$17/100,I$1-$C$1)</f>
        <v>2283728.5366570666</v>
      </c>
      <c r="J25" s="169">
        <f>$C25*POWER(1+Variables!$C$17/100,J$1-$C$1)</f>
        <v>2337852.9029758396</v>
      </c>
      <c r="K25" s="169">
        <f>$C25*POWER(1+Variables!$C$17/100,K$1-$C$1)</f>
        <v>2393260.0167763671</v>
      </c>
      <c r="L25" s="169">
        <f>$C25*POWER(1+Variables!$C$17/100,L$1-$C$1)</f>
        <v>2449980.2791739674</v>
      </c>
      <c r="M25" s="169">
        <f>$C25*POWER(1+Variables!$C$17/100,M$1-$C$1)</f>
        <v>2508044.8117903904</v>
      </c>
      <c r="N25" s="169">
        <f>$C25*POWER(1+Variables!$C$17/100,N$1-$C$1)</f>
        <v>2567485.4738298226</v>
      </c>
      <c r="O25" s="169">
        <f>$C25*POWER(1+Variables!$C$17/100,O$1-$C$1)</f>
        <v>2628334.87955959</v>
      </c>
    </row>
    <row r="26" spans="1:15" ht="14.25" customHeight="1" x14ac:dyDescent="0.35">
      <c r="A26" s="78">
        <v>25</v>
      </c>
      <c r="B26" s="80" t="s">
        <v>178</v>
      </c>
      <c r="C26" s="168">
        <v>241773</v>
      </c>
      <c r="D26" s="169">
        <f>$C26*POWER(1+Variables!$C$17/100,D$1-$C$1)</f>
        <v>291601.27978538926</v>
      </c>
      <c r="E26" s="169">
        <f>$C26*POWER(1+Variables!$C$17/100,E$1-$C$1)</f>
        <v>298512.23011630296</v>
      </c>
      <c r="F26" s="169">
        <f>$C26*POWER(1+Variables!$C$17/100,F$1-$C$1)</f>
        <v>305586.96997005941</v>
      </c>
      <c r="G26" s="169">
        <f>$C26*POWER(1+Variables!$C$17/100,G$1-$C$1)</f>
        <v>312829.38115834986</v>
      </c>
      <c r="H26" s="169">
        <f>$C26*POWER(1+Variables!$C$17/100,H$1-$C$1)</f>
        <v>320243.43749180279</v>
      </c>
      <c r="I26" s="169">
        <f>$C26*POWER(1+Variables!$C$17/100,I$1-$C$1)</f>
        <v>327833.20696035854</v>
      </c>
      <c r="J26" s="169">
        <f>$C26*POWER(1+Variables!$C$17/100,J$1-$C$1)</f>
        <v>335602.85396531905</v>
      </c>
      <c r="K26" s="169">
        <f>$C26*POWER(1+Variables!$C$17/100,K$1-$C$1)</f>
        <v>343556.64160429715</v>
      </c>
      <c r="L26" s="169">
        <f>$C26*POWER(1+Variables!$C$17/100,L$1-$C$1)</f>
        <v>351698.93401031906</v>
      </c>
      <c r="M26" s="169">
        <f>$C26*POWER(1+Variables!$C$17/100,M$1-$C$1)</f>
        <v>360034.19874636363</v>
      </c>
      <c r="N26" s="169">
        <f>$C26*POWER(1+Variables!$C$17/100,N$1-$C$1)</f>
        <v>368567.0092566525</v>
      </c>
      <c r="O26" s="169">
        <f>$C26*POWER(1+Variables!$C$17/100,O$1-$C$1)</f>
        <v>377302.04737603519</v>
      </c>
    </row>
    <row r="27" spans="1:15" ht="14.25" customHeight="1" x14ac:dyDescent="0.35">
      <c r="A27" s="78">
        <v>26</v>
      </c>
      <c r="B27" s="80" t="s">
        <v>179</v>
      </c>
      <c r="C27" s="168">
        <v>100186</v>
      </c>
      <c r="D27" s="169">
        <f>$C27*POWER(1+Variables!$C$17/100,D$1-$C$1)</f>
        <v>120833.86406496594</v>
      </c>
      <c r="E27" s="169">
        <f>$C27*POWER(1+Variables!$C$17/100,E$1-$C$1)</f>
        <v>123697.62664330562</v>
      </c>
      <c r="F27" s="169">
        <f>$C27*POWER(1+Variables!$C$17/100,F$1-$C$1)</f>
        <v>126629.26039475198</v>
      </c>
      <c r="G27" s="169">
        <f>$C27*POWER(1+Variables!$C$17/100,G$1-$C$1)</f>
        <v>129630.37386610762</v>
      </c>
      <c r="H27" s="169">
        <f>$C27*POWER(1+Variables!$C$17/100,H$1-$C$1)</f>
        <v>132702.61372673439</v>
      </c>
      <c r="I27" s="169">
        <f>$C27*POWER(1+Variables!$C$17/100,I$1-$C$1)</f>
        <v>135847.66567205801</v>
      </c>
      <c r="J27" s="169">
        <f>$C27*POWER(1+Variables!$C$17/100,J$1-$C$1)</f>
        <v>139067.25534848581</v>
      </c>
      <c r="K27" s="169">
        <f>$C27*POWER(1+Variables!$C$17/100,K$1-$C$1)</f>
        <v>142363.14930024493</v>
      </c>
      <c r="L27" s="169">
        <f>$C27*POWER(1+Variables!$C$17/100,L$1-$C$1)</f>
        <v>145737.15593866076</v>
      </c>
      <c r="M27" s="169">
        <f>$C27*POWER(1+Variables!$C$17/100,M$1-$C$1)</f>
        <v>149191.126534407</v>
      </c>
      <c r="N27" s="169">
        <f>$C27*POWER(1+Variables!$C$17/100,N$1-$C$1)</f>
        <v>152726.95623327247</v>
      </c>
      <c r="O27" s="169">
        <f>$C27*POWER(1+Variables!$C$17/100,O$1-$C$1)</f>
        <v>156346.58509600104</v>
      </c>
    </row>
    <row r="28" spans="1:15" ht="14.25" customHeight="1" x14ac:dyDescent="0.35">
      <c r="A28" s="78">
        <v>27</v>
      </c>
      <c r="B28" s="80" t="s">
        <v>180</v>
      </c>
      <c r="C28" s="168">
        <v>1010433</v>
      </c>
      <c r="D28" s="169">
        <f>$C28*POWER(1+Variables!$C$17/100,D$1-$C$1)</f>
        <v>1218678.495685582</v>
      </c>
      <c r="E28" s="169">
        <f>$C28*POWER(1+Variables!$C$17/100,E$1-$C$1)</f>
        <v>1247561.1760333304</v>
      </c>
      <c r="F28" s="169">
        <f>$C28*POWER(1+Variables!$C$17/100,F$1-$C$1)</f>
        <v>1277128.3759053203</v>
      </c>
      <c r="G28" s="169">
        <f>$C28*POWER(1+Variables!$C$17/100,G$1-$C$1)</f>
        <v>1307396.3184142767</v>
      </c>
      <c r="H28" s="169">
        <f>$C28*POWER(1+Variables!$C$17/100,H$1-$C$1)</f>
        <v>1338381.6111606953</v>
      </c>
      <c r="I28" s="169">
        <f>$C28*POWER(1+Variables!$C$17/100,I$1-$C$1)</f>
        <v>1370101.2553452037</v>
      </c>
      <c r="J28" s="169">
        <f>$C28*POWER(1+Variables!$C$17/100,J$1-$C$1)</f>
        <v>1402572.6550968853</v>
      </c>
      <c r="K28" s="169">
        <f>$C28*POWER(1+Variables!$C$17/100,K$1-$C$1)</f>
        <v>1435813.6270226818</v>
      </c>
      <c r="L28" s="169">
        <f>$C28*POWER(1+Variables!$C$17/100,L$1-$C$1)</f>
        <v>1469842.4099831195</v>
      </c>
      <c r="M28" s="169">
        <f>$C28*POWER(1+Variables!$C$17/100,M$1-$C$1)</f>
        <v>1504677.6750997193</v>
      </c>
      <c r="N28" s="169">
        <f>$C28*POWER(1+Variables!$C$17/100,N$1-$C$1)</f>
        <v>1540338.5359995828</v>
      </c>
      <c r="O28" s="169">
        <f>$C28*POWER(1+Variables!$C$17/100,O$1-$C$1)</f>
        <v>1576844.5593027731</v>
      </c>
    </row>
    <row r="29" spans="1:15" ht="14.25" customHeight="1" x14ac:dyDescent="0.35">
      <c r="A29" s="78">
        <v>28</v>
      </c>
      <c r="B29" s="80" t="s">
        <v>181</v>
      </c>
      <c r="C29" s="168">
        <v>1073427</v>
      </c>
      <c r="D29" s="169">
        <f>$C29*POWER(1+Variables!$C$17/100,D$1-$C$1)</f>
        <v>1294655.2632270395</v>
      </c>
      <c r="E29" s="169">
        <f>$C29*POWER(1+Variables!$C$17/100,E$1-$C$1)</f>
        <v>1325338.5929655205</v>
      </c>
      <c r="F29" s="169">
        <f>$C29*POWER(1+Variables!$C$17/100,F$1-$C$1)</f>
        <v>1356749.1176188034</v>
      </c>
      <c r="G29" s="169">
        <f>$C29*POWER(1+Variables!$C$17/100,G$1-$C$1)</f>
        <v>1388904.0717063691</v>
      </c>
      <c r="H29" s="169">
        <f>$C29*POWER(1+Variables!$C$17/100,H$1-$C$1)</f>
        <v>1421821.0982058104</v>
      </c>
      <c r="I29" s="169">
        <f>$C29*POWER(1+Variables!$C$17/100,I$1-$C$1)</f>
        <v>1455518.2582332881</v>
      </c>
      <c r="J29" s="169">
        <f>$C29*POWER(1+Variables!$C$17/100,J$1-$C$1)</f>
        <v>1490014.0409534173</v>
      </c>
      <c r="K29" s="169">
        <f>$C29*POWER(1+Variables!$C$17/100,K$1-$C$1)</f>
        <v>1525327.3737240136</v>
      </c>
      <c r="L29" s="169">
        <f>$C29*POWER(1+Variables!$C$17/100,L$1-$C$1)</f>
        <v>1561477.6324812728</v>
      </c>
      <c r="M29" s="169">
        <f>$C29*POWER(1+Variables!$C$17/100,M$1-$C$1)</f>
        <v>1598484.652371079</v>
      </c>
      <c r="N29" s="169">
        <f>$C29*POWER(1+Variables!$C$17/100,N$1-$C$1)</f>
        <v>1636368.7386322736</v>
      </c>
      <c r="O29" s="169">
        <f>$C29*POWER(1+Variables!$C$17/100,O$1-$C$1)</f>
        <v>1675150.6777378588</v>
      </c>
    </row>
    <row r="30" spans="1:15" ht="14.25" customHeight="1" x14ac:dyDescent="0.35">
      <c r="A30" s="78">
        <v>29</v>
      </c>
      <c r="B30" s="80" t="s">
        <v>182</v>
      </c>
      <c r="C30" s="168">
        <v>143229</v>
      </c>
      <c r="D30" s="169">
        <f>$C30*POWER(1+Variables!$C$17/100,D$1-$C$1)</f>
        <v>172747.82420858208</v>
      </c>
      <c r="E30" s="169">
        <f>$C30*POWER(1+Variables!$C$17/100,E$1-$C$1)</f>
        <v>176841.94764232548</v>
      </c>
      <c r="F30" s="169">
        <f>$C30*POWER(1+Variables!$C$17/100,F$1-$C$1)</f>
        <v>181033.10180144862</v>
      </c>
      <c r="G30" s="169">
        <f>$C30*POWER(1+Variables!$C$17/100,G$1-$C$1)</f>
        <v>185323.58631414297</v>
      </c>
      <c r="H30" s="169">
        <f>$C30*POWER(1+Variables!$C$17/100,H$1-$C$1)</f>
        <v>189715.75530978819</v>
      </c>
      <c r="I30" s="169">
        <f>$C30*POWER(1+Variables!$C$17/100,I$1-$C$1)</f>
        <v>194212.01871063019</v>
      </c>
      <c r="J30" s="169">
        <f>$C30*POWER(1+Variables!$C$17/100,J$1-$C$1)</f>
        <v>198814.84355407214</v>
      </c>
      <c r="K30" s="169">
        <f>$C30*POWER(1+Variables!$C$17/100,K$1-$C$1)</f>
        <v>203526.75534630369</v>
      </c>
      <c r="L30" s="169">
        <f>$C30*POWER(1+Variables!$C$17/100,L$1-$C$1)</f>
        <v>208350.3394480111</v>
      </c>
      <c r="M30" s="169">
        <f>$C30*POWER(1+Variables!$C$17/100,M$1-$C$1)</f>
        <v>213288.24249292898</v>
      </c>
      <c r="N30" s="169">
        <f>$C30*POWER(1+Variables!$C$17/100,N$1-$C$1)</f>
        <v>218343.17384001141</v>
      </c>
      <c r="O30" s="169">
        <f>$C30*POWER(1+Variables!$C$17/100,O$1-$C$1)</f>
        <v>223517.9070600197</v>
      </c>
    </row>
    <row r="31" spans="1:15" ht="14.25" customHeight="1" x14ac:dyDescent="0.35">
      <c r="A31" s="78">
        <v>30</v>
      </c>
      <c r="B31" s="80" t="s">
        <v>183</v>
      </c>
      <c r="C31" s="168">
        <v>98265</v>
      </c>
      <c r="D31" s="169">
        <f>$C31*POWER(1+Variables!$C$17/100,D$1-$C$1)</f>
        <v>118516.95498716265</v>
      </c>
      <c r="E31" s="169">
        <f>$C31*POWER(1+Variables!$C$17/100,E$1-$C$1)</f>
        <v>121325.8068203584</v>
      </c>
      <c r="F31" s="169">
        <f>$C31*POWER(1+Variables!$C$17/100,F$1-$C$1)</f>
        <v>124201.22844200091</v>
      </c>
      <c r="G31" s="169">
        <f>$C31*POWER(1+Variables!$C$17/100,G$1-$C$1)</f>
        <v>127144.79755607634</v>
      </c>
      <c r="H31" s="169">
        <f>$C31*POWER(1+Variables!$C$17/100,H$1-$C$1)</f>
        <v>130158.12925815539</v>
      </c>
      <c r="I31" s="169">
        <f>$C31*POWER(1+Variables!$C$17/100,I$1-$C$1)</f>
        <v>133242.87692157365</v>
      </c>
      <c r="J31" s="169">
        <f>$C31*POWER(1+Variables!$C$17/100,J$1-$C$1)</f>
        <v>136400.73310461498</v>
      </c>
      <c r="K31" s="169">
        <f>$C31*POWER(1+Variables!$C$17/100,K$1-$C$1)</f>
        <v>139633.43047919439</v>
      </c>
      <c r="L31" s="169">
        <f>$C31*POWER(1+Variables!$C$17/100,L$1-$C$1)</f>
        <v>142942.74278155129</v>
      </c>
      <c r="M31" s="169">
        <f>$C31*POWER(1+Variables!$C$17/100,M$1-$C$1)</f>
        <v>146330.48578547407</v>
      </c>
      <c r="N31" s="169">
        <f>$C31*POWER(1+Variables!$C$17/100,N$1-$C$1)</f>
        <v>149798.51829858983</v>
      </c>
      <c r="O31" s="169">
        <f>$C31*POWER(1+Variables!$C$17/100,O$1-$C$1)</f>
        <v>153348.74318226642</v>
      </c>
    </row>
    <row r="32" spans="1:15" ht="14.25" customHeight="1" x14ac:dyDescent="0.35">
      <c r="A32" s="78">
        <v>31</v>
      </c>
      <c r="B32" s="80" t="s">
        <v>184</v>
      </c>
      <c r="C32" s="168">
        <v>169578</v>
      </c>
      <c r="D32" s="169">
        <f>$C32*POWER(1+Variables!$C$17/100,D$1-$C$1)</f>
        <v>204527.22935748301</v>
      </c>
      <c r="E32" s="169">
        <f>$C32*POWER(1+Variables!$C$17/100,E$1-$C$1)</f>
        <v>209374.52469325534</v>
      </c>
      <c r="F32" s="169">
        <f>$C32*POWER(1+Variables!$C$17/100,F$1-$C$1)</f>
        <v>214336.70092848552</v>
      </c>
      <c r="G32" s="169">
        <f>$C32*POWER(1+Variables!$C$17/100,G$1-$C$1)</f>
        <v>219416.48074049066</v>
      </c>
      <c r="H32" s="169">
        <f>$C32*POWER(1+Variables!$C$17/100,H$1-$C$1)</f>
        <v>224616.65133404033</v>
      </c>
      <c r="I32" s="169">
        <f>$C32*POWER(1+Variables!$C$17/100,I$1-$C$1)</f>
        <v>229940.0659706571</v>
      </c>
      <c r="J32" s="169">
        <f>$C32*POWER(1+Variables!$C$17/100,J$1-$C$1)</f>
        <v>235389.64553416171</v>
      </c>
      <c r="K32" s="169">
        <f>$C32*POWER(1+Variables!$C$17/100,K$1-$C$1)</f>
        <v>240968.38013332136</v>
      </c>
      <c r="L32" s="169">
        <f>$C32*POWER(1+Variables!$C$17/100,L$1-$C$1)</f>
        <v>246679.33074248111</v>
      </c>
      <c r="M32" s="169">
        <f>$C32*POWER(1+Variables!$C$17/100,M$1-$C$1)</f>
        <v>252525.63088107793</v>
      </c>
      <c r="N32" s="169">
        <f>$C32*POWER(1+Variables!$C$17/100,N$1-$C$1)</f>
        <v>258510.48833295947</v>
      </c>
      <c r="O32" s="169">
        <f>$C32*POWER(1+Variables!$C$17/100,O$1-$C$1)</f>
        <v>264637.18690645066</v>
      </c>
    </row>
    <row r="33" spans="1:15" ht="14.25" customHeight="1" x14ac:dyDescent="0.35">
      <c r="A33" s="78">
        <v>32</v>
      </c>
      <c r="B33" s="80" t="s">
        <v>185</v>
      </c>
      <c r="C33" s="168">
        <v>1180570</v>
      </c>
      <c r="D33" s="169">
        <f>$C33*POWER(1+Variables!$C$17/100,D$1-$C$1)</f>
        <v>1423879.9323176574</v>
      </c>
      <c r="E33" s="169">
        <f>$C33*POWER(1+Variables!$C$17/100,E$1-$C$1)</f>
        <v>1457625.8867135858</v>
      </c>
      <c r="F33" s="169">
        <f>$C33*POWER(1+Variables!$C$17/100,F$1-$C$1)</f>
        <v>1492171.620228698</v>
      </c>
      <c r="G33" s="169">
        <f>$C33*POWER(1+Variables!$C$17/100,G$1-$C$1)</f>
        <v>1527536.0876281185</v>
      </c>
      <c r="H33" s="169">
        <f>$C33*POWER(1+Variables!$C$17/100,H$1-$C$1)</f>
        <v>1563738.6929049052</v>
      </c>
      <c r="I33" s="169">
        <f>$C33*POWER(1+Variables!$C$17/100,I$1-$C$1)</f>
        <v>1600799.2999267513</v>
      </c>
      <c r="J33" s="169">
        <f>$C33*POWER(1+Variables!$C$17/100,J$1-$C$1)</f>
        <v>1638738.2433350156</v>
      </c>
      <c r="K33" s="169">
        <f>$C33*POWER(1+Variables!$C$17/100,K$1-$C$1)</f>
        <v>1677576.3397020558</v>
      </c>
      <c r="L33" s="169">
        <f>$C33*POWER(1+Variables!$C$17/100,L$1-$C$1)</f>
        <v>1717334.8989529947</v>
      </c>
      <c r="M33" s="169">
        <f>$C33*POWER(1+Variables!$C$17/100,M$1-$C$1)</f>
        <v>1758035.7360581807</v>
      </c>
      <c r="N33" s="169">
        <f>$C33*POWER(1+Variables!$C$17/100,N$1-$C$1)</f>
        <v>1799701.1830027597</v>
      </c>
      <c r="O33" s="169">
        <f>$C33*POWER(1+Variables!$C$17/100,O$1-$C$1)</f>
        <v>1842354.1010399254</v>
      </c>
    </row>
    <row r="34" spans="1:15" ht="14.25" customHeight="1" x14ac:dyDescent="0.35">
      <c r="A34" s="78">
        <v>33</v>
      </c>
      <c r="B34" s="80" t="s">
        <v>186</v>
      </c>
      <c r="C34" s="168">
        <v>743691</v>
      </c>
      <c r="D34" s="169">
        <f>$C34*POWER(1+Variables!$C$17/100,D$1-$C$1)</f>
        <v>896962.22226996359</v>
      </c>
      <c r="E34" s="169">
        <f>$C34*POWER(1+Variables!$C$17/100,E$1-$C$1)</f>
        <v>918220.22693776176</v>
      </c>
      <c r="F34" s="169">
        <f>$C34*POWER(1+Variables!$C$17/100,F$1-$C$1)</f>
        <v>939982.04631618678</v>
      </c>
      <c r="G34" s="169">
        <f>$C34*POWER(1+Variables!$C$17/100,G$1-$C$1)</f>
        <v>962259.62081388058</v>
      </c>
      <c r="H34" s="169">
        <f>$C34*POWER(1+Variables!$C$17/100,H$1-$C$1)</f>
        <v>985065.1738271697</v>
      </c>
      <c r="I34" s="169">
        <f>$C34*POWER(1+Variables!$C$17/100,I$1-$C$1)</f>
        <v>1008411.2184468737</v>
      </c>
      <c r="J34" s="169">
        <f>$C34*POWER(1+Variables!$C$17/100,J$1-$C$1)</f>
        <v>1032310.5643240648</v>
      </c>
      <c r="K34" s="169">
        <f>$C34*POWER(1+Variables!$C$17/100,K$1-$C$1)</f>
        <v>1056776.3246985453</v>
      </c>
      <c r="L34" s="169">
        <f>$C34*POWER(1+Variables!$C$17/100,L$1-$C$1)</f>
        <v>1081821.9235939009</v>
      </c>
      <c r="M34" s="169">
        <f>$C34*POWER(1+Variables!$C$17/100,M$1-$C$1)</f>
        <v>1107461.1031830763</v>
      </c>
      <c r="N34" s="169">
        <f>$C34*POWER(1+Variables!$C$17/100,N$1-$C$1)</f>
        <v>1133707.9313285153</v>
      </c>
      <c r="O34" s="169">
        <f>$C34*POWER(1+Variables!$C$17/100,O$1-$C$1)</f>
        <v>1160576.8093010013</v>
      </c>
    </row>
    <row r="35" spans="1:15" ht="14.25" customHeight="1" x14ac:dyDescent="0.35">
      <c r="A35" s="76">
        <v>34</v>
      </c>
      <c r="B35" s="80" t="s">
        <v>187</v>
      </c>
      <c r="C35" s="168">
        <v>430214</v>
      </c>
      <c r="D35" s="169">
        <f>$C35*POWER(1+Variables!$C$17/100,D$1-$C$1)</f>
        <v>518879.08485063037</v>
      </c>
      <c r="E35" s="169">
        <f>$C35*POWER(1+Variables!$C$17/100,E$1-$C$1)</f>
        <v>531176.51916159026</v>
      </c>
      <c r="F35" s="169">
        <f>$C35*POWER(1+Variables!$C$17/100,F$1-$C$1)</f>
        <v>543765.40266572009</v>
      </c>
      <c r="G35" s="169">
        <f>$C35*POWER(1+Variables!$C$17/100,G$1-$C$1)</f>
        <v>556652.64270889771</v>
      </c>
      <c r="H35" s="169">
        <f>$C35*POWER(1+Variables!$C$17/100,H$1-$C$1)</f>
        <v>569845.3103410987</v>
      </c>
      <c r="I35" s="169">
        <f>$C35*POWER(1+Variables!$C$17/100,I$1-$C$1)</f>
        <v>583350.64419618272</v>
      </c>
      <c r="J35" s="169">
        <f>$C35*POWER(1+Variables!$C$17/100,J$1-$C$1)</f>
        <v>597176.05446363229</v>
      </c>
      <c r="K35" s="169">
        <f>$C35*POWER(1+Variables!$C$17/100,K$1-$C$1)</f>
        <v>611329.12695442047</v>
      </c>
      <c r="L35" s="169">
        <f>$C35*POWER(1+Variables!$C$17/100,L$1-$C$1)</f>
        <v>625817.62726324028</v>
      </c>
      <c r="M35" s="169">
        <f>$C35*POWER(1+Variables!$C$17/100,M$1-$C$1)</f>
        <v>640649.50502937916</v>
      </c>
      <c r="N35" s="169">
        <f>$C35*POWER(1+Variables!$C$17/100,N$1-$C$1)</f>
        <v>655832.89829857543</v>
      </c>
      <c r="O35" s="169">
        <f>$C35*POWER(1+Variables!$C$17/100,O$1-$C$1)</f>
        <v>671376.13798825187</v>
      </c>
    </row>
    <row r="36" spans="1:15" ht="14.25" customHeight="1" x14ac:dyDescent="0.35">
      <c r="A36" s="76">
        <v>35</v>
      </c>
      <c r="B36" s="80" t="s">
        <v>188</v>
      </c>
      <c r="C36" s="168">
        <v>183282</v>
      </c>
      <c r="D36" s="169">
        <f>$C36*POWER(1+Variables!$C$17/100,D$1-$C$1)</f>
        <v>221055.55939507601</v>
      </c>
      <c r="E36" s="169">
        <f>$C36*POWER(1+Variables!$C$17/100,E$1-$C$1)</f>
        <v>226294.57615273932</v>
      </c>
      <c r="F36" s="169">
        <f>$C36*POWER(1+Variables!$C$17/100,F$1-$C$1)</f>
        <v>231657.75760755927</v>
      </c>
      <c r="G36" s="169">
        <f>$C36*POWER(1+Variables!$C$17/100,G$1-$C$1)</f>
        <v>237148.04646285845</v>
      </c>
      <c r="H36" s="169">
        <f>$C36*POWER(1+Variables!$C$17/100,H$1-$C$1)</f>
        <v>242768.45516402824</v>
      </c>
      <c r="I36" s="169">
        <f>$C36*POWER(1+Variables!$C$17/100,I$1-$C$1)</f>
        <v>248522.0675514157</v>
      </c>
      <c r="J36" s="169">
        <f>$C36*POWER(1+Variables!$C$17/100,J$1-$C$1)</f>
        <v>254412.04055238431</v>
      </c>
      <c r="K36" s="169">
        <f>$C36*POWER(1+Variables!$C$17/100,K$1-$C$1)</f>
        <v>260441.60591347585</v>
      </c>
      <c r="L36" s="169">
        <f>$C36*POWER(1+Variables!$C$17/100,L$1-$C$1)</f>
        <v>266614.07197362528</v>
      </c>
      <c r="M36" s="169">
        <f>$C36*POWER(1+Variables!$C$17/100,M$1-$C$1)</f>
        <v>272932.82547940017</v>
      </c>
      <c r="N36" s="169">
        <f>$C36*POWER(1+Variables!$C$17/100,N$1-$C$1)</f>
        <v>279401.33344326197</v>
      </c>
      <c r="O36" s="169">
        <f>$C36*POWER(1+Variables!$C$17/100,O$1-$C$1)</f>
        <v>286023.14504586736</v>
      </c>
    </row>
    <row r="37" spans="1:15" ht="14.25" customHeight="1" x14ac:dyDescent="0.35">
      <c r="A37" s="76">
        <v>36</v>
      </c>
      <c r="B37" s="80" t="s">
        <v>189</v>
      </c>
      <c r="C37" s="168">
        <v>1175116</v>
      </c>
      <c r="D37" s="169">
        <f>$C37*POWER(1+Variables!$C$17/100,D$1-$C$1)</f>
        <v>1417301.8885329936</v>
      </c>
      <c r="E37" s="169">
        <f>$C37*POWER(1+Variables!$C$17/100,E$1-$C$1)</f>
        <v>1450891.9432912257</v>
      </c>
      <c r="F37" s="169">
        <f>$C37*POWER(1+Variables!$C$17/100,F$1-$C$1)</f>
        <v>1485278.0823472277</v>
      </c>
      <c r="G37" s="169">
        <f>$C37*POWER(1+Variables!$C$17/100,G$1-$C$1)</f>
        <v>1520479.1728988574</v>
      </c>
      <c r="H37" s="169">
        <f>$C37*POWER(1+Variables!$C$17/100,H$1-$C$1)</f>
        <v>1556514.5292965604</v>
      </c>
      <c r="I37" s="169">
        <f>$C37*POWER(1+Variables!$C$17/100,I$1-$C$1)</f>
        <v>1593403.9236408891</v>
      </c>
      <c r="J37" s="169">
        <f>$C37*POWER(1+Variables!$C$17/100,J$1-$C$1)</f>
        <v>1631167.5966311784</v>
      </c>
      <c r="K37" s="169">
        <f>$C37*POWER(1+Variables!$C$17/100,K$1-$C$1)</f>
        <v>1669826.2686713375</v>
      </c>
      <c r="L37" s="169">
        <f>$C37*POWER(1+Variables!$C$17/100,L$1-$C$1)</f>
        <v>1709401.1512388485</v>
      </c>
      <c r="M37" s="169">
        <f>$C37*POWER(1+Variables!$C$17/100,M$1-$C$1)</f>
        <v>1749913.9585232092</v>
      </c>
      <c r="N37" s="169">
        <f>$C37*POWER(1+Variables!$C$17/100,N$1-$C$1)</f>
        <v>1791386.9193402093</v>
      </c>
      <c r="O37" s="169">
        <f>$C37*POWER(1+Variables!$C$17/100,O$1-$C$1)</f>
        <v>1833842.7893285726</v>
      </c>
    </row>
    <row r="38" spans="1:15" ht="14.25" customHeight="1" x14ac:dyDescent="0.35">
      <c r="A38" s="76">
        <v>37</v>
      </c>
      <c r="B38" s="80" t="s">
        <v>190</v>
      </c>
      <c r="C38" s="168">
        <v>196057</v>
      </c>
      <c r="D38" s="169">
        <f>$C38*POWER(1+Variables!$C$17/100,D$1-$C$1)</f>
        <v>236463.42689582403</v>
      </c>
      <c r="E38" s="169">
        <f>$C38*POWER(1+Variables!$C$17/100,E$1-$C$1)</f>
        <v>242067.61011325504</v>
      </c>
      <c r="F38" s="169">
        <f>$C38*POWER(1+Variables!$C$17/100,F$1-$C$1)</f>
        <v>247804.61247293922</v>
      </c>
      <c r="G38" s="169">
        <f>$C38*POWER(1+Variables!$C$17/100,G$1-$C$1)</f>
        <v>253677.58178854792</v>
      </c>
      <c r="H38" s="169">
        <f>$C38*POWER(1+Variables!$C$17/100,H$1-$C$1)</f>
        <v>259689.74047693654</v>
      </c>
      <c r="I38" s="169">
        <f>$C38*POWER(1+Variables!$C$17/100,I$1-$C$1)</f>
        <v>265844.38732623996</v>
      </c>
      <c r="J38" s="169">
        <f>$C38*POWER(1+Variables!$C$17/100,J$1-$C$1)</f>
        <v>272144.89930587186</v>
      </c>
      <c r="K38" s="169">
        <f>$C38*POWER(1+Variables!$C$17/100,K$1-$C$1)</f>
        <v>278594.73341942107</v>
      </c>
      <c r="L38" s="169">
        <f>$C38*POWER(1+Variables!$C$17/100,L$1-$C$1)</f>
        <v>285197.4286014614</v>
      </c>
      <c r="M38" s="169">
        <f>$C38*POWER(1+Variables!$C$17/100,M$1-$C$1)</f>
        <v>291956.60765931604</v>
      </c>
      <c r="N38" s="169">
        <f>$C38*POWER(1+Variables!$C$17/100,N$1-$C$1)</f>
        <v>298875.97926084185</v>
      </c>
      <c r="O38" s="169">
        <f>$C38*POWER(1+Variables!$C$17/100,O$1-$C$1)</f>
        <v>305959.33996932383</v>
      </c>
    </row>
    <row r="39" spans="1:15" ht="14.25" customHeight="1" x14ac:dyDescent="0.35">
      <c r="A39" s="76">
        <v>38</v>
      </c>
      <c r="B39" s="80" t="s">
        <v>191</v>
      </c>
      <c r="C39" s="168">
        <v>862196</v>
      </c>
      <c r="D39" s="169">
        <f>$C39*POWER(1+Variables!$C$17/100,D$1-$C$1)</f>
        <v>1039890.5461976461</v>
      </c>
      <c r="E39" s="169">
        <f>$C39*POWER(1+Variables!$C$17/100,E$1-$C$1)</f>
        <v>1064535.9521425301</v>
      </c>
      <c r="F39" s="169">
        <f>$C39*POWER(1+Variables!$C$17/100,F$1-$C$1)</f>
        <v>1089765.4542083084</v>
      </c>
      <c r="G39" s="169">
        <f>$C39*POWER(1+Variables!$C$17/100,G$1-$C$1)</f>
        <v>1115592.8954730453</v>
      </c>
      <c r="H39" s="169">
        <f>$C39*POWER(1+Variables!$C$17/100,H$1-$C$1)</f>
        <v>1142032.4470957567</v>
      </c>
      <c r="I39" s="169">
        <f>$C39*POWER(1+Variables!$C$17/100,I$1-$C$1)</f>
        <v>1169098.6160919261</v>
      </c>
      <c r="J39" s="169">
        <f>$C39*POWER(1+Variables!$C$17/100,J$1-$C$1)</f>
        <v>1196806.2532933049</v>
      </c>
      <c r="K39" s="169">
        <f>$C39*POWER(1+Variables!$C$17/100,K$1-$C$1)</f>
        <v>1225170.5614963565</v>
      </c>
      <c r="L39" s="169">
        <f>$C39*POWER(1+Variables!$C$17/100,L$1-$C$1)</f>
        <v>1254207.1038038204</v>
      </c>
      <c r="M39" s="169">
        <f>$C39*POWER(1+Variables!$C$17/100,M$1-$C$1)</f>
        <v>1283931.8121639709</v>
      </c>
      <c r="N39" s="169">
        <f>$C39*POWER(1+Variables!$C$17/100,N$1-$C$1)</f>
        <v>1314360.996112257</v>
      </c>
      <c r="O39" s="169">
        <f>$C39*POWER(1+Variables!$C$17/100,O$1-$C$1)</f>
        <v>1345511.3517201177</v>
      </c>
    </row>
    <row r="40" spans="1:15" ht="14.25" customHeight="1" x14ac:dyDescent="0.35">
      <c r="A40" s="76">
        <v>39</v>
      </c>
      <c r="B40" s="80" t="s">
        <v>192</v>
      </c>
      <c r="C40" s="168">
        <v>70980</v>
      </c>
      <c r="D40" s="169">
        <f>$C40*POWER(1+Variables!$C$17/100,D$1-$C$1)</f>
        <v>85608.644634293029</v>
      </c>
      <c r="E40" s="169">
        <f>$C40*POWER(1+Variables!$C$17/100,E$1-$C$1)</f>
        <v>87637.569512125774</v>
      </c>
      <c r="F40" s="169">
        <f>$C40*POWER(1+Variables!$C$17/100,F$1-$C$1)</f>
        <v>89714.579909563166</v>
      </c>
      <c r="G40" s="169">
        <f>$C40*POWER(1+Variables!$C$17/100,G$1-$C$1)</f>
        <v>91840.815453419826</v>
      </c>
      <c r="H40" s="169">
        <f>$C40*POWER(1+Variables!$C$17/100,H$1-$C$1)</f>
        <v>94017.4427796659</v>
      </c>
      <c r="I40" s="169">
        <f>$C40*POWER(1+Variables!$C$17/100,I$1-$C$1)</f>
        <v>96245.656173543975</v>
      </c>
      <c r="J40" s="169">
        <f>$C40*POWER(1+Variables!$C$17/100,J$1-$C$1)</f>
        <v>98526.67822485698</v>
      </c>
      <c r="K40" s="169">
        <f>$C40*POWER(1+Variables!$C$17/100,K$1-$C$1)</f>
        <v>100861.76049878611</v>
      </c>
      <c r="L40" s="169">
        <f>$C40*POWER(1+Variables!$C$17/100,L$1-$C$1)</f>
        <v>103252.18422260735</v>
      </c>
      <c r="M40" s="169">
        <f>$C40*POWER(1+Variables!$C$17/100,M$1-$C$1)</f>
        <v>105699.26098868315</v>
      </c>
      <c r="N40" s="169">
        <f>$C40*POWER(1+Variables!$C$17/100,N$1-$C$1)</f>
        <v>108204.33347411494</v>
      </c>
      <c r="O40" s="169">
        <f>$C40*POWER(1+Variables!$C$17/100,O$1-$C$1)</f>
        <v>110768.77617745149</v>
      </c>
    </row>
    <row r="41" spans="1:15" ht="14.25" customHeight="1" x14ac:dyDescent="0.35">
      <c r="A41" s="76">
        <v>40</v>
      </c>
      <c r="B41" s="80" t="s">
        <v>193</v>
      </c>
      <c r="C41" s="168">
        <v>126736</v>
      </c>
      <c r="D41" s="169">
        <f>$C41*POWER(1+Variables!$C$17/100,D$1-$C$1)</f>
        <v>152855.6943698473</v>
      </c>
      <c r="E41" s="169">
        <f>$C41*POWER(1+Variables!$C$17/100,E$1-$C$1)</f>
        <v>156478.37432641268</v>
      </c>
      <c r="F41" s="169">
        <f>$C41*POWER(1+Variables!$C$17/100,F$1-$C$1)</f>
        <v>160186.91179794868</v>
      </c>
      <c r="G41" s="169">
        <f>$C41*POWER(1+Variables!$C$17/100,G$1-$C$1)</f>
        <v>163983.34160756008</v>
      </c>
      <c r="H41" s="169">
        <f>$C41*POWER(1+Variables!$C$17/100,H$1-$C$1)</f>
        <v>167869.74680365931</v>
      </c>
      <c r="I41" s="169">
        <f>$C41*POWER(1+Variables!$C$17/100,I$1-$C$1)</f>
        <v>171848.25980290602</v>
      </c>
      <c r="J41" s="169">
        <f>$C41*POWER(1+Variables!$C$17/100,J$1-$C$1)</f>
        <v>175921.06356023491</v>
      </c>
      <c r="K41" s="169">
        <f>$C41*POWER(1+Variables!$C$17/100,K$1-$C$1)</f>
        <v>180090.39276661252</v>
      </c>
      <c r="L41" s="169">
        <f>$C41*POWER(1+Variables!$C$17/100,L$1-$C$1)</f>
        <v>184358.53507518125</v>
      </c>
      <c r="M41" s="169">
        <f>$C41*POWER(1+Variables!$C$17/100,M$1-$C$1)</f>
        <v>188727.83235646304</v>
      </c>
      <c r="N41" s="169">
        <f>$C41*POWER(1+Variables!$C$17/100,N$1-$C$1)</f>
        <v>193200.68198331125</v>
      </c>
      <c r="O41" s="169">
        <f>$C41*POWER(1+Variables!$C$17/100,O$1-$C$1)</f>
        <v>197779.53814631575</v>
      </c>
    </row>
    <row r="42" spans="1:15" ht="14.25" customHeight="1" x14ac:dyDescent="0.35">
      <c r="A42" s="76">
        <v>41</v>
      </c>
      <c r="B42" s="80" t="s">
        <v>194</v>
      </c>
      <c r="C42" s="168">
        <v>61000</v>
      </c>
      <c r="D42" s="169">
        <f>$C42*POWER(1+Variables!$C$17/100,D$1-$C$1)</f>
        <v>73571.813506507111</v>
      </c>
      <c r="E42" s="169">
        <f>$C42*POWER(1+Variables!$C$17/100,E$1-$C$1)</f>
        <v>75315.465486611327</v>
      </c>
      <c r="F42" s="169">
        <f>$C42*POWER(1+Variables!$C$17/100,F$1-$C$1)</f>
        <v>77100.442018644026</v>
      </c>
      <c r="G42" s="169">
        <f>$C42*POWER(1+Variables!$C$17/100,G$1-$C$1)</f>
        <v>78927.722494485904</v>
      </c>
      <c r="H42" s="169">
        <f>$C42*POWER(1+Variables!$C$17/100,H$1-$C$1)</f>
        <v>80798.30951760523</v>
      </c>
      <c r="I42" s="169">
        <f>$C42*POWER(1+Variables!$C$17/100,I$1-$C$1)</f>
        <v>82713.229453172476</v>
      </c>
      <c r="J42" s="169">
        <f>$C42*POWER(1+Variables!$C$17/100,J$1-$C$1)</f>
        <v>84673.532991212676</v>
      </c>
      <c r="K42" s="169">
        <f>$C42*POWER(1+Variables!$C$17/100,K$1-$C$1)</f>
        <v>86680.295723104427</v>
      </c>
      <c r="L42" s="169">
        <f>$C42*POWER(1+Variables!$C$17/100,L$1-$C$1)</f>
        <v>88734.618731742012</v>
      </c>
      <c r="M42" s="169">
        <f>$C42*POWER(1+Variables!$C$17/100,M$1-$C$1)</f>
        <v>90837.629195684305</v>
      </c>
      <c r="N42" s="169">
        <f>$C42*POWER(1+Variables!$C$17/100,N$1-$C$1)</f>
        <v>92990.481007622031</v>
      </c>
      <c r="O42" s="169">
        <f>$C42*POWER(1+Variables!$C$17/100,O$1-$C$1)</f>
        <v>95194.355407502691</v>
      </c>
    </row>
    <row r="43" spans="1:15" ht="14.25" customHeight="1" x14ac:dyDescent="0.35">
      <c r="A43" s="74">
        <v>42</v>
      </c>
      <c r="B43" s="80" t="s">
        <v>195</v>
      </c>
      <c r="C43" s="168">
        <v>75540</v>
      </c>
      <c r="D43" s="169">
        <f>$C43*POWER(1+Variables!$C$17/100,D$1-$C$1)</f>
        <v>91108.43921773028</v>
      </c>
      <c r="E43" s="169">
        <f>$C43*POWER(1+Variables!$C$17/100,E$1-$C$1)</f>
        <v>93267.709227190498</v>
      </c>
      <c r="F43" s="169">
        <f>$C43*POWER(1+Variables!$C$17/100,F$1-$C$1)</f>
        <v>95478.153935874914</v>
      </c>
      <c r="G43" s="169">
        <f>$C43*POWER(1+Variables!$C$17/100,G$1-$C$1)</f>
        <v>97740.986184155161</v>
      </c>
      <c r="H43" s="169">
        <f>$C43*POWER(1+Variables!$C$17/100,H$1-$C$1)</f>
        <v>100057.44755671966</v>
      </c>
      <c r="I43" s="169">
        <f>$C43*POWER(1+Variables!$C$17/100,I$1-$C$1)</f>
        <v>102428.80906381391</v>
      </c>
      <c r="J43" s="169">
        <f>$C43*POWER(1+Variables!$C$17/100,J$1-$C$1)</f>
        <v>104856.37183862632</v>
      </c>
      <c r="K43" s="169">
        <f>$C43*POWER(1+Variables!$C$17/100,K$1-$C$1)</f>
        <v>107341.46785120179</v>
      </c>
      <c r="L43" s="169">
        <f>$C43*POWER(1+Variables!$C$17/100,L$1-$C$1)</f>
        <v>109885.46063927528</v>
      </c>
      <c r="M43" s="169">
        <f>$C43*POWER(1+Variables!$C$17/100,M$1-$C$1)</f>
        <v>112489.7460564261</v>
      </c>
      <c r="N43" s="169">
        <f>$C43*POWER(1+Variables!$C$17/100,N$1-$C$1)</f>
        <v>115155.75303796341</v>
      </c>
      <c r="O43" s="169">
        <f>$C43*POWER(1+Variables!$C$17/100,O$1-$C$1)</f>
        <v>117884.94438496316</v>
      </c>
    </row>
    <row r="44" spans="1:15" ht="14.25" customHeight="1" x14ac:dyDescent="0.35">
      <c r="A44" s="46"/>
      <c r="B44" s="77" t="s">
        <v>306</v>
      </c>
      <c r="O44" s="65"/>
    </row>
    <row r="45" spans="1:15" ht="14.25" customHeight="1" x14ac:dyDescent="0.35"/>
    <row r="46" spans="1:15" ht="14.25" customHeight="1" x14ac:dyDescent="0.35"/>
    <row r="47" spans="1:15" ht="14.25" customHeight="1" x14ac:dyDescent="0.35"/>
    <row r="48" spans="1:1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9"/>
  <sheetViews>
    <sheetView topLeftCell="H1" zoomScale="108" workbookViewId="0">
      <pane xSplit="2" ySplit="1" topLeftCell="J2" activePane="bottomRight" state="frozen"/>
      <selection activeCell="H1" sqref="H1"/>
      <selection pane="topRight" activeCell="I1" sqref="I1"/>
      <selection pane="bottomLeft" activeCell="H2" sqref="H2"/>
      <selection pane="bottomRight" activeCell="M2" sqref="M2"/>
    </sheetView>
  </sheetViews>
  <sheetFormatPr defaultColWidth="11.453125" defaultRowHeight="14.5" x14ac:dyDescent="0.35"/>
  <cols>
    <col min="1" max="1" width="4.81640625" style="248" bestFit="1" customWidth="1"/>
    <col min="2" max="2" width="6.54296875" style="248" bestFit="1" customWidth="1"/>
    <col min="3" max="3" width="7.453125" style="248" bestFit="1" customWidth="1"/>
    <col min="4" max="4" width="11.1796875" style="248" bestFit="1" customWidth="1"/>
    <col min="5" max="5" width="5.26953125" style="248" bestFit="1" customWidth="1"/>
    <col min="6" max="6" width="6.453125" style="248" bestFit="1" customWidth="1"/>
    <col min="7" max="7" width="13.453125" style="248" bestFit="1" customWidth="1"/>
    <col min="8" max="8" width="3.7265625" style="248" bestFit="1" customWidth="1"/>
    <col min="9" max="9" width="23.453125" style="251" bestFit="1" customWidth="1"/>
    <col min="10" max="10" width="6.54296875" style="266" bestFit="1" customWidth="1"/>
    <col min="11" max="11" width="15.26953125" style="266" bestFit="1" customWidth="1"/>
    <col min="12" max="12" width="13.54296875" style="266" bestFit="1" customWidth="1"/>
    <col min="13" max="13" width="14.1796875" style="266" bestFit="1" customWidth="1"/>
    <col min="14" max="14" width="16.453125" style="267" hidden="1" customWidth="1"/>
    <col min="15" max="15" width="19.81640625" style="251" hidden="1" customWidth="1"/>
    <col min="16" max="16" width="28.81640625" style="251" hidden="1" customWidth="1"/>
    <col min="17" max="17" width="31.6328125" style="320" bestFit="1" customWidth="1"/>
    <col min="18" max="96" width="11.453125" style="248" customWidth="1"/>
    <col min="97" max="16384" width="11.453125" style="248"/>
  </cols>
  <sheetData>
    <row r="1" spans="1:17" s="244" customFormat="1" ht="43.5" x14ac:dyDescent="0.35">
      <c r="B1" s="245"/>
      <c r="C1" s="245"/>
      <c r="D1" s="245"/>
      <c r="E1" s="245"/>
      <c r="F1" s="245"/>
      <c r="G1" s="245"/>
      <c r="H1" s="128" t="s">
        <v>144</v>
      </c>
      <c r="I1" s="129" t="s">
        <v>196</v>
      </c>
      <c r="J1" s="130" t="s">
        <v>316</v>
      </c>
      <c r="K1" s="131" t="s">
        <v>317</v>
      </c>
      <c r="L1" s="131" t="s">
        <v>318</v>
      </c>
      <c r="M1" s="131" t="s">
        <v>319</v>
      </c>
      <c r="N1" s="131" t="s">
        <v>320</v>
      </c>
      <c r="O1" s="132" t="s">
        <v>321</v>
      </c>
      <c r="P1" s="133" t="s">
        <v>322</v>
      </c>
      <c r="Q1" s="289" t="s">
        <v>357</v>
      </c>
    </row>
    <row r="2" spans="1:17" x14ac:dyDescent="0.35">
      <c r="A2" s="246"/>
      <c r="B2" s="247"/>
      <c r="C2" s="247"/>
      <c r="D2" s="247"/>
      <c r="E2" s="247"/>
      <c r="F2" s="247"/>
      <c r="G2" s="247"/>
      <c r="H2" s="134">
        <v>1</v>
      </c>
      <c r="I2" s="148" t="s">
        <v>154</v>
      </c>
      <c r="J2" s="135" t="s">
        <v>323</v>
      </c>
      <c r="K2" s="136">
        <v>100650</v>
      </c>
      <c r="L2" s="136">
        <v>400004</v>
      </c>
      <c r="M2" s="136">
        <f>Table1[[#This Row],[Total Population (2011)]]/Table1[[#This Row],[No. HH (2011)]]</f>
        <v>3.974207650273224</v>
      </c>
      <c r="N2" s="136">
        <v>11140</v>
      </c>
      <c r="O2" s="137">
        <f t="shared" ref="O2:O45" si="0">N2/K2</f>
        <v>0.11068057625434674</v>
      </c>
      <c r="P2" s="136"/>
      <c r="Q2" s="314">
        <v>73.860911270983223</v>
      </c>
    </row>
    <row r="3" spans="1:17" x14ac:dyDescent="0.35">
      <c r="A3" s="246"/>
      <c r="B3" s="247"/>
      <c r="C3" s="247"/>
      <c r="D3" s="247"/>
      <c r="E3" s="247"/>
      <c r="F3" s="247"/>
      <c r="G3" s="247"/>
      <c r="H3" s="134">
        <v>2</v>
      </c>
      <c r="I3" s="148" t="s">
        <v>155</v>
      </c>
      <c r="J3" s="135" t="s">
        <v>323</v>
      </c>
      <c r="K3" s="136">
        <v>60635</v>
      </c>
      <c r="L3" s="136">
        <v>293416</v>
      </c>
      <c r="M3" s="136">
        <f>Table1[[#This Row],[Total Population (2011)]]/Table1[[#This Row],[No. HH (2011)]]</f>
        <v>4.8390533520244086</v>
      </c>
      <c r="N3" s="136">
        <v>15987</v>
      </c>
      <c r="O3" s="137">
        <f t="shared" si="0"/>
        <v>0.26365960253978726</v>
      </c>
      <c r="P3" s="136"/>
      <c r="Q3" s="314">
        <v>166.27540073204597</v>
      </c>
    </row>
    <row r="4" spans="1:17" x14ac:dyDescent="0.35">
      <c r="A4" s="246"/>
      <c r="B4" s="247"/>
      <c r="C4" s="247"/>
      <c r="D4" s="247"/>
      <c r="E4" s="247"/>
      <c r="F4" s="247"/>
      <c r="G4" s="247"/>
      <c r="H4" s="134">
        <v>3</v>
      </c>
      <c r="I4" s="148" t="s">
        <v>156</v>
      </c>
      <c r="J4" s="135" t="s">
        <v>323</v>
      </c>
      <c r="K4" s="136">
        <v>2101831</v>
      </c>
      <c r="L4" s="136">
        <v>8443675</v>
      </c>
      <c r="M4" s="136">
        <f>Table1[[#This Row],[Total Population (2011)]]/Table1[[#This Row],[No. HH (2011)]]</f>
        <v>4.0172949204764796</v>
      </c>
      <c r="N4" s="136">
        <v>165341</v>
      </c>
      <c r="O4" s="137">
        <f t="shared" si="0"/>
        <v>7.8665220943072975E-2</v>
      </c>
      <c r="P4" s="136"/>
      <c r="Q4" s="314">
        <v>132.525558500568</v>
      </c>
    </row>
    <row r="5" spans="1:17" x14ac:dyDescent="0.35">
      <c r="A5" s="246"/>
      <c r="B5" s="247"/>
      <c r="C5" s="247"/>
      <c r="D5" s="247"/>
      <c r="E5" s="247"/>
      <c r="F5" s="247"/>
      <c r="G5" s="247"/>
      <c r="H5" s="134">
        <v>4</v>
      </c>
      <c r="I5" s="148" t="s">
        <v>157</v>
      </c>
      <c r="J5" s="135" t="s">
        <v>323</v>
      </c>
      <c r="K5" s="136">
        <v>382690</v>
      </c>
      <c r="L5" s="136">
        <v>1798218</v>
      </c>
      <c r="M5" s="136">
        <f>Table1[[#This Row],[Total Population (2011)]]/Table1[[#This Row],[No. HH (2011)]]</f>
        <v>4.6988894405393395</v>
      </c>
      <c r="N5" s="136">
        <v>102803</v>
      </c>
      <c r="O5" s="137">
        <f t="shared" si="0"/>
        <v>0.26863257466879198</v>
      </c>
      <c r="P5" s="136"/>
      <c r="Q5" s="314">
        <v>108.65462509082352</v>
      </c>
    </row>
    <row r="6" spans="1:17" x14ac:dyDescent="0.35">
      <c r="A6" s="246"/>
      <c r="B6" s="247"/>
      <c r="C6" s="247"/>
      <c r="D6" s="247"/>
      <c r="E6" s="247"/>
      <c r="F6" s="247"/>
      <c r="G6" s="247"/>
      <c r="H6" s="134">
        <v>5</v>
      </c>
      <c r="I6" s="148" t="s">
        <v>158</v>
      </c>
      <c r="J6" s="135" t="s">
        <v>323</v>
      </c>
      <c r="K6" s="136">
        <v>196988</v>
      </c>
      <c r="L6" s="136">
        <v>843402</v>
      </c>
      <c r="M6" s="136">
        <f>Table1[[#This Row],[Total Population (2011)]]/Table1[[#This Row],[No. HH (2011)]]</f>
        <v>4.2814892277702192</v>
      </c>
      <c r="N6" s="136">
        <v>42277</v>
      </c>
      <c r="O6" s="137">
        <f t="shared" si="0"/>
        <v>0.21461713403862165</v>
      </c>
      <c r="P6" s="136"/>
      <c r="Q6" s="314">
        <v>70.680297866969596</v>
      </c>
    </row>
    <row r="7" spans="1:17" x14ac:dyDescent="0.35">
      <c r="A7" s="246"/>
      <c r="B7" s="247"/>
      <c r="C7" s="247"/>
      <c r="D7" s="247"/>
      <c r="E7" s="247"/>
      <c r="F7" s="247"/>
      <c r="G7" s="247"/>
      <c r="H7" s="134">
        <v>6</v>
      </c>
      <c r="I7" s="148" t="s">
        <v>159</v>
      </c>
      <c r="J7" s="135" t="s">
        <v>323</v>
      </c>
      <c r="K7" s="136">
        <v>218087</v>
      </c>
      <c r="L7" s="136">
        <v>961587</v>
      </c>
      <c r="M7" s="136">
        <f>Table1[[#This Row],[Total Population (2011)]]/Table1[[#This Row],[No. HH (2011)]]</f>
        <v>4.4091899104485828</v>
      </c>
      <c r="N7" s="136">
        <v>21704</v>
      </c>
      <c r="O7" s="137">
        <f t="shared" si="0"/>
        <v>9.9519916363653038E-2</v>
      </c>
      <c r="P7" s="136"/>
      <c r="Q7" s="314">
        <v>228.82746434431402</v>
      </c>
    </row>
    <row r="8" spans="1:17" x14ac:dyDescent="0.35">
      <c r="A8" s="246"/>
      <c r="B8" s="247"/>
      <c r="C8" s="247"/>
      <c r="D8" s="247"/>
      <c r="E8" s="247"/>
      <c r="F8" s="247"/>
      <c r="G8" s="247"/>
      <c r="H8" s="134">
        <v>7</v>
      </c>
      <c r="I8" s="148" t="s">
        <v>160</v>
      </c>
      <c r="J8" s="135" t="s">
        <v>323</v>
      </c>
      <c r="K8" s="136">
        <v>1154982</v>
      </c>
      <c r="L8" s="136">
        <v>4646732</v>
      </c>
      <c r="M8" s="136">
        <f>Table1[[#This Row],[Total Population (2011)]]/Table1[[#This Row],[No. HH (2011)]]</f>
        <v>4.0232072880789485</v>
      </c>
      <c r="N8" s="136">
        <v>329827</v>
      </c>
      <c r="O8" s="137">
        <f t="shared" si="0"/>
        <v>0.2855689525897373</v>
      </c>
      <c r="P8" s="136"/>
      <c r="Q8" s="314">
        <v>141.36059573393919</v>
      </c>
    </row>
    <row r="9" spans="1:17" x14ac:dyDescent="0.35">
      <c r="A9" s="246"/>
      <c r="B9" s="247"/>
      <c r="C9" s="247"/>
      <c r="D9" s="247"/>
      <c r="E9" s="247"/>
      <c r="F9" s="247"/>
      <c r="G9" s="247"/>
      <c r="H9" s="134">
        <v>8</v>
      </c>
      <c r="I9" s="148" t="s">
        <v>161</v>
      </c>
      <c r="J9" s="135" t="s">
        <v>323</v>
      </c>
      <c r="K9" s="136">
        <v>10222</v>
      </c>
      <c r="L9" s="136">
        <v>44282</v>
      </c>
      <c r="M9" s="136">
        <f>Table1[[#This Row],[Total Population (2011)]]/Table1[[#This Row],[No. HH (2011)]]</f>
        <v>4.332028957151242</v>
      </c>
      <c r="N9" s="136">
        <v>0</v>
      </c>
      <c r="O9" s="138">
        <v>6.0000000000000001E-3</v>
      </c>
      <c r="P9" s="139" t="s">
        <v>324</v>
      </c>
      <c r="Q9" s="314">
        <v>39.775337624637132</v>
      </c>
    </row>
    <row r="10" spans="1:17" x14ac:dyDescent="0.35">
      <c r="A10" s="246"/>
      <c r="B10" s="247"/>
      <c r="C10" s="247"/>
      <c r="D10" s="247"/>
      <c r="E10" s="247"/>
      <c r="F10" s="247"/>
      <c r="G10" s="247"/>
      <c r="H10" s="134">
        <v>9</v>
      </c>
      <c r="I10" s="148" t="s">
        <v>197</v>
      </c>
      <c r="J10" s="135" t="s">
        <v>323</v>
      </c>
      <c r="K10" s="136">
        <v>124059</v>
      </c>
      <c r="L10" s="136">
        <v>569578</v>
      </c>
      <c r="M10" s="136">
        <f>Table1[[#This Row],[Total Population (2011)]]/Table1[[#This Row],[No. HH (2011)]]</f>
        <v>4.5911864516077028</v>
      </c>
      <c r="N10" s="136">
        <v>32861</v>
      </c>
      <c r="O10" s="137">
        <f>N10/K10</f>
        <v>0.26488203193641735</v>
      </c>
      <c r="P10" s="136"/>
      <c r="Q10" s="314">
        <v>137.82658084059071</v>
      </c>
    </row>
    <row r="11" spans="1:17" s="251" customFormat="1" x14ac:dyDescent="0.35">
      <c r="A11" s="249"/>
      <c r="B11" s="250"/>
      <c r="C11" s="250"/>
      <c r="D11" s="250"/>
      <c r="E11" s="250"/>
      <c r="F11" s="250"/>
      <c r="G11" s="250"/>
      <c r="H11" s="134">
        <v>10</v>
      </c>
      <c r="I11" s="148" t="s">
        <v>163</v>
      </c>
      <c r="J11" s="135" t="s">
        <v>323</v>
      </c>
      <c r="K11" s="136">
        <v>129822</v>
      </c>
      <c r="L11" s="136">
        <v>528563</v>
      </c>
      <c r="M11" s="136">
        <f>Table1[[#This Row],[Total Population (2011)]]/Table1[[#This Row],[No. HH (2011)]]</f>
        <v>4.0714439771379274</v>
      </c>
      <c r="N11" s="136">
        <v>0</v>
      </c>
      <c r="O11" s="140">
        <v>0.18</v>
      </c>
      <c r="P11" s="141" t="s">
        <v>325</v>
      </c>
      <c r="Q11" s="314">
        <v>39.775337624637132</v>
      </c>
    </row>
    <row r="12" spans="1:17" x14ac:dyDescent="0.35">
      <c r="A12" s="246"/>
      <c r="B12" s="247"/>
      <c r="C12" s="247"/>
      <c r="D12" s="247"/>
      <c r="E12" s="247"/>
      <c r="F12" s="247"/>
      <c r="G12" s="247"/>
      <c r="H12" s="134">
        <v>11</v>
      </c>
      <c r="I12" s="148" t="s">
        <v>198</v>
      </c>
      <c r="J12" s="135" t="s">
        <v>323</v>
      </c>
      <c r="K12" s="136">
        <v>45143</v>
      </c>
      <c r="L12" s="136">
        <v>206167</v>
      </c>
      <c r="M12" s="136">
        <f>Table1[[#This Row],[Total Population (2011)]]/Table1[[#This Row],[No. HH (2011)]]</f>
        <v>4.5669760538732476</v>
      </c>
      <c r="N12" s="136">
        <v>24446</v>
      </c>
      <c r="O12" s="137">
        <f t="shared" si="0"/>
        <v>0.54152360277340894</v>
      </c>
      <c r="P12" s="136"/>
      <c r="Q12" s="314">
        <v>93.297993184399843</v>
      </c>
    </row>
    <row r="13" spans="1:17" x14ac:dyDescent="0.35">
      <c r="A13" s="246"/>
      <c r="B13" s="247"/>
      <c r="C13" s="247"/>
      <c r="D13" s="247"/>
      <c r="E13" s="247"/>
      <c r="F13" s="247"/>
      <c r="G13" s="247"/>
      <c r="H13" s="134">
        <v>12</v>
      </c>
      <c r="I13" s="148" t="s">
        <v>199</v>
      </c>
      <c r="J13" s="135" t="s">
        <v>323</v>
      </c>
      <c r="K13" s="136">
        <v>23773</v>
      </c>
      <c r="L13" s="136">
        <v>100286</v>
      </c>
      <c r="M13" s="136">
        <f>Table1[[#This Row],[Total Population (2011)]]/Table1[[#This Row],[No. HH (2011)]]</f>
        <v>4.2184831531569431</v>
      </c>
      <c r="N13" s="136">
        <v>5170</v>
      </c>
      <c r="O13" s="137">
        <f t="shared" si="0"/>
        <v>0.2174736045093173</v>
      </c>
      <c r="P13" s="136"/>
      <c r="Q13" s="314">
        <v>108.65462509082352</v>
      </c>
    </row>
    <row r="14" spans="1:17" s="255" customFormat="1" x14ac:dyDescent="0.35">
      <c r="A14" s="252"/>
      <c r="B14" s="253"/>
      <c r="C14" s="253"/>
      <c r="D14" s="253"/>
      <c r="E14" s="253"/>
      <c r="F14" s="253"/>
      <c r="G14" s="254"/>
      <c r="H14" s="134">
        <v>13</v>
      </c>
      <c r="I14" s="148" t="s">
        <v>166</v>
      </c>
      <c r="J14" s="135" t="s">
        <v>323</v>
      </c>
      <c r="K14" s="136">
        <f>Table1[[#This Row],[Total Population (2011)]]/Table1[[#This Row],[Avgerage HH size (2011)]]</f>
        <v>1554685.9122401848</v>
      </c>
      <c r="L14" s="136">
        <v>6731790</v>
      </c>
      <c r="M14" s="136">
        <v>4.33</v>
      </c>
      <c r="N14" s="136">
        <v>507396</v>
      </c>
      <c r="O14" s="137">
        <f t="shared" si="0"/>
        <v>0.32636559963991746</v>
      </c>
      <c r="P14" s="136"/>
      <c r="Q14" s="315">
        <v>139.85863940426606</v>
      </c>
    </row>
    <row r="15" spans="1:17" s="258" customFormat="1" x14ac:dyDescent="0.35">
      <c r="A15" s="256"/>
      <c r="B15" s="257"/>
      <c r="C15" s="257"/>
      <c r="D15" s="257"/>
      <c r="E15" s="257"/>
      <c r="F15" s="257"/>
      <c r="G15" s="257"/>
      <c r="H15" s="142"/>
      <c r="I15" s="143" t="s">
        <v>200</v>
      </c>
      <c r="J15" s="144" t="s">
        <v>323</v>
      </c>
      <c r="K15" s="145">
        <v>16608</v>
      </c>
      <c r="L15" s="145">
        <v>81705</v>
      </c>
      <c r="M15" s="145">
        <f>Table1[[#This Row],[Total Population (2011)]]/Table1[[#This Row],[No. HH (2011)]]</f>
        <v>4.9196170520231215</v>
      </c>
      <c r="N15" s="145" t="e">
        <v>#N/A</v>
      </c>
      <c r="O15" s="146" t="e">
        <f t="shared" si="0"/>
        <v>#N/A</v>
      </c>
      <c r="P15" s="145"/>
      <c r="Q15" s="316"/>
    </row>
    <row r="16" spans="1:17" s="258" customFormat="1" x14ac:dyDescent="0.35">
      <c r="A16" s="256"/>
      <c r="B16" s="257"/>
      <c r="C16" s="257"/>
      <c r="D16" s="257"/>
      <c r="E16" s="257"/>
      <c r="F16" s="257"/>
      <c r="G16" s="257"/>
      <c r="H16" s="142"/>
      <c r="I16" s="143" t="s">
        <v>201</v>
      </c>
      <c r="J16" s="144" t="s">
        <v>323</v>
      </c>
      <c r="K16" s="145">
        <v>41156</v>
      </c>
      <c r="L16" s="145">
        <v>186538</v>
      </c>
      <c r="M16" s="145">
        <f>Table1[[#This Row],[Total Population (2011)]]/Table1[[#This Row],[No. HH (2011)]]</f>
        <v>4.5324618524637961</v>
      </c>
      <c r="N16" s="145" t="e">
        <v>#N/A</v>
      </c>
      <c r="O16" s="146" t="e">
        <f t="shared" si="0"/>
        <v>#N/A</v>
      </c>
      <c r="P16" s="145"/>
      <c r="Q16" s="316"/>
    </row>
    <row r="17" spans="1:17" s="251" customFormat="1" x14ac:dyDescent="0.35">
      <c r="A17" s="259"/>
      <c r="B17" s="260"/>
      <c r="C17" s="260"/>
      <c r="D17" s="260"/>
      <c r="E17" s="260"/>
      <c r="F17" s="260"/>
      <c r="G17" s="260"/>
      <c r="H17" s="134">
        <v>14</v>
      </c>
      <c r="I17" s="148" t="s">
        <v>202</v>
      </c>
      <c r="J17" s="135" t="s">
        <v>323</v>
      </c>
      <c r="K17" s="136">
        <f>SUM(K15:K16)</f>
        <v>57764</v>
      </c>
      <c r="L17" s="136">
        <f>SUM(L15:L16)</f>
        <v>268243</v>
      </c>
      <c r="M17" s="136">
        <f>Table1[[#This Row],[Total Population (2011)]]/Table1[[#This Row],[No. HH (2011)]]</f>
        <v>4.6437746693442286</v>
      </c>
      <c r="N17" s="136">
        <v>0</v>
      </c>
      <c r="O17" s="140">
        <f t="shared" si="0"/>
        <v>0</v>
      </c>
      <c r="P17" s="136" t="s">
        <v>326</v>
      </c>
      <c r="Q17" s="314">
        <v>108.65462509082352</v>
      </c>
    </row>
    <row r="18" spans="1:17" x14ac:dyDescent="0.35">
      <c r="A18" s="246"/>
      <c r="B18" s="247"/>
      <c r="C18" s="247"/>
      <c r="D18" s="247"/>
      <c r="E18" s="247"/>
      <c r="F18" s="247"/>
      <c r="G18" s="247"/>
      <c r="H18" s="134">
        <v>15</v>
      </c>
      <c r="I18" s="148" t="s">
        <v>168</v>
      </c>
      <c r="J18" s="135" t="s">
        <v>323</v>
      </c>
      <c r="K18" s="136">
        <v>13465</v>
      </c>
      <c r="L18" s="136">
        <v>59490</v>
      </c>
      <c r="M18" s="136">
        <f>Table1[[#This Row],[Total Population (2011)]]/Table1[[#This Row],[No. HH (2011)]]</f>
        <v>4.4181210545859635</v>
      </c>
      <c r="N18" s="136">
        <v>0</v>
      </c>
      <c r="O18" s="137">
        <f t="shared" si="0"/>
        <v>0</v>
      </c>
      <c r="P18" s="136"/>
      <c r="Q18" s="314">
        <v>119.4497033951786</v>
      </c>
    </row>
    <row r="19" spans="1:17" s="263" customFormat="1" x14ac:dyDescent="0.35">
      <c r="A19" s="261"/>
      <c r="B19" s="262"/>
      <c r="C19" s="262"/>
      <c r="D19" s="262"/>
      <c r="E19" s="262"/>
      <c r="F19" s="262"/>
      <c r="G19" s="262"/>
      <c r="H19" s="142"/>
      <c r="I19" s="143" t="s">
        <v>203</v>
      </c>
      <c r="J19" s="144" t="s">
        <v>323</v>
      </c>
      <c r="K19" s="145">
        <v>153252</v>
      </c>
      <c r="L19" s="145">
        <v>763574</v>
      </c>
      <c r="M19" s="145">
        <f>Table1[[#This Row],[Total Population (2011)]]/Table1[[#This Row],[No. HH (2011)]]</f>
        <v>4.9824733119306766</v>
      </c>
      <c r="N19" s="145" t="e">
        <v>#N/A</v>
      </c>
      <c r="O19" s="146" t="e">
        <f t="shared" si="0"/>
        <v>#N/A</v>
      </c>
      <c r="P19" s="145"/>
      <c r="Q19" s="317"/>
    </row>
    <row r="20" spans="1:17" s="263" customFormat="1" x14ac:dyDescent="0.35">
      <c r="A20" s="261"/>
      <c r="B20" s="262"/>
      <c r="C20" s="262"/>
      <c r="D20" s="262"/>
      <c r="E20" s="262"/>
      <c r="F20" s="262"/>
      <c r="G20" s="262"/>
      <c r="H20" s="142"/>
      <c r="I20" s="143" t="s">
        <v>203</v>
      </c>
      <c r="J20" s="144" t="s">
        <v>323</v>
      </c>
      <c r="K20" s="145">
        <v>423464</v>
      </c>
      <c r="L20" s="145">
        <v>2159276</v>
      </c>
      <c r="M20" s="145">
        <f>Table1[[#This Row],[Total Population (2011)]]/Table1[[#This Row],[No. HH (2011)]]</f>
        <v>5.099078079836775</v>
      </c>
      <c r="N20" s="145" t="e">
        <v>#N/A</v>
      </c>
      <c r="O20" s="146" t="e">
        <f t="shared" si="0"/>
        <v>#N/A</v>
      </c>
      <c r="P20" s="145"/>
      <c r="Q20" s="317"/>
    </row>
    <row r="21" spans="1:17" s="263" customFormat="1" x14ac:dyDescent="0.35">
      <c r="A21" s="261"/>
      <c r="B21" s="262"/>
      <c r="C21" s="262"/>
      <c r="D21" s="262"/>
      <c r="E21" s="262"/>
      <c r="F21" s="262"/>
      <c r="G21" s="262"/>
      <c r="H21" s="142"/>
      <c r="I21" s="143" t="s">
        <v>203</v>
      </c>
      <c r="J21" s="144" t="s">
        <v>323</v>
      </c>
      <c r="K21" s="145">
        <v>22791</v>
      </c>
      <c r="L21" s="145">
        <v>123313</v>
      </c>
      <c r="M21" s="145">
        <f>Table1[[#This Row],[Total Population (2011)]]/Table1[[#This Row],[No. HH (2011)]]</f>
        <v>5.4106006757053224</v>
      </c>
      <c r="N21" s="145" t="e">
        <v>#N/A</v>
      </c>
      <c r="O21" s="146" t="e">
        <f t="shared" si="0"/>
        <v>#N/A</v>
      </c>
      <c r="P21" s="145"/>
      <c r="Q21" s="317"/>
    </row>
    <row r="22" spans="1:17" s="251" customFormat="1" x14ac:dyDescent="0.35">
      <c r="A22" s="259"/>
      <c r="B22" s="260"/>
      <c r="C22" s="260"/>
      <c r="D22" s="260"/>
      <c r="E22" s="260"/>
      <c r="F22" s="260"/>
      <c r="G22" s="260"/>
      <c r="H22" s="134">
        <v>16</v>
      </c>
      <c r="I22" s="148" t="s">
        <v>169</v>
      </c>
      <c r="J22" s="135" t="s">
        <v>323</v>
      </c>
      <c r="K22" s="136">
        <f>SUM(K19:K21)</f>
        <v>599507</v>
      </c>
      <c r="L22" s="136">
        <f>SUM(L19:L21)</f>
        <v>3046163</v>
      </c>
      <c r="M22" s="136">
        <f>Table1[[#This Row],[Total Population (2011)]]/Table1[[#This Row],[No. HH (2011)]]</f>
        <v>5.0811133147736394</v>
      </c>
      <c r="N22" s="147">
        <v>61858</v>
      </c>
      <c r="O22" s="137">
        <f t="shared" si="0"/>
        <v>0.10318144742263226</v>
      </c>
      <c r="P22" s="136"/>
      <c r="Q22" s="314">
        <v>125.45752871387103</v>
      </c>
    </row>
    <row r="23" spans="1:17" x14ac:dyDescent="0.35">
      <c r="A23" s="246"/>
      <c r="B23" s="247"/>
      <c r="C23" s="247"/>
      <c r="D23" s="247"/>
      <c r="E23" s="247"/>
      <c r="F23" s="247"/>
      <c r="G23" s="247"/>
      <c r="H23" s="149"/>
      <c r="I23" s="148" t="s">
        <v>327</v>
      </c>
      <c r="J23" s="135" t="s">
        <v>323</v>
      </c>
      <c r="K23" s="136">
        <v>103025</v>
      </c>
      <c r="L23" s="136">
        <v>502197</v>
      </c>
      <c r="M23" s="136">
        <f>Table1[[#This Row],[Total Population (2011)]]/Table1[[#This Row],[No. HH (2011)]]</f>
        <v>4.874515894200437</v>
      </c>
      <c r="N23" s="136">
        <v>1321</v>
      </c>
      <c r="O23" s="137">
        <f t="shared" si="0"/>
        <v>1.2822130550837176E-2</v>
      </c>
      <c r="P23" s="136"/>
      <c r="Q23" s="314"/>
    </row>
    <row r="24" spans="1:17" x14ac:dyDescent="0.35">
      <c r="A24" s="246"/>
      <c r="B24" s="247"/>
      <c r="C24" s="247"/>
      <c r="D24" s="247"/>
      <c r="E24" s="247"/>
      <c r="F24" s="247"/>
      <c r="G24" s="247"/>
      <c r="H24" s="134">
        <v>17</v>
      </c>
      <c r="I24" s="148" t="s">
        <v>247</v>
      </c>
      <c r="J24" s="135" t="s">
        <v>323</v>
      </c>
      <c r="K24" s="136">
        <v>2246</v>
      </c>
      <c r="L24" s="136">
        <v>11210</v>
      </c>
      <c r="M24" s="136">
        <f>Table1[[#This Row],[Total Population (2011)]]/Table1[[#This Row],[No. HH (2011)]]</f>
        <v>4.9910952804986639</v>
      </c>
      <c r="N24" s="136">
        <v>0</v>
      </c>
      <c r="O24" s="140">
        <f>N24/K24</f>
        <v>0</v>
      </c>
      <c r="P24" s="136" t="s">
        <v>326</v>
      </c>
      <c r="Q24" s="314">
        <v>108.65462509082352</v>
      </c>
    </row>
    <row r="25" spans="1:17" x14ac:dyDescent="0.35">
      <c r="A25" s="246"/>
      <c r="B25" s="247"/>
      <c r="C25" s="247"/>
      <c r="D25" s="247"/>
      <c r="E25" s="247"/>
      <c r="F25" s="247"/>
      <c r="G25" s="247"/>
      <c r="H25" s="134">
        <v>18</v>
      </c>
      <c r="I25" s="148" t="s">
        <v>171</v>
      </c>
      <c r="J25" s="135" t="s">
        <v>323</v>
      </c>
      <c r="K25" s="136">
        <v>22312</v>
      </c>
      <c r="L25" s="136">
        <v>99039</v>
      </c>
      <c r="M25" s="136">
        <f>Table1[[#This Row],[Total Population (2011)]]/Table1[[#This Row],[No. HH (2011)]]</f>
        <v>4.4388221584797423</v>
      </c>
      <c r="N25" s="136"/>
      <c r="O25" s="137">
        <f>48249/82324</f>
        <v>0.58608668189106461</v>
      </c>
      <c r="P25" s="136"/>
      <c r="Q25" s="314">
        <v>98.76688123185663</v>
      </c>
    </row>
    <row r="26" spans="1:17" x14ac:dyDescent="0.35">
      <c r="B26" s="247"/>
      <c r="C26" s="247"/>
      <c r="D26" s="247"/>
      <c r="E26" s="247"/>
      <c r="F26" s="247"/>
      <c r="G26" s="247"/>
      <c r="H26" s="134">
        <v>19</v>
      </c>
      <c r="I26" s="148" t="s">
        <v>172</v>
      </c>
      <c r="J26" s="135" t="s">
        <v>323</v>
      </c>
      <c r="K26" s="136">
        <v>1024928</v>
      </c>
      <c r="L26" s="136">
        <v>4496694</v>
      </c>
      <c r="M26" s="136">
        <f>Table1[[#This Row],[Total Population (2011)]]/Table1[[#This Row],[No. HH (2011)]]</f>
        <v>4.3873267195354213</v>
      </c>
      <c r="N26" s="136">
        <v>300755</v>
      </c>
      <c r="O26" s="137">
        <f t="shared" si="0"/>
        <v>0.29344012457460428</v>
      </c>
      <c r="P26" s="136"/>
      <c r="Q26" s="314">
        <v>155.49665530733307</v>
      </c>
    </row>
    <row r="27" spans="1:17" s="255" customFormat="1" x14ac:dyDescent="0.35">
      <c r="B27" s="264"/>
      <c r="C27" s="264"/>
      <c r="D27" s="264"/>
      <c r="E27" s="264"/>
      <c r="F27" s="264"/>
      <c r="G27" s="264"/>
      <c r="H27" s="134">
        <v>20</v>
      </c>
      <c r="I27" s="148" t="s">
        <v>173</v>
      </c>
      <c r="J27" s="135" t="s">
        <v>323</v>
      </c>
      <c r="K27" s="136">
        <v>538149</v>
      </c>
      <c r="L27" s="136">
        <v>2817105</v>
      </c>
      <c r="M27" s="136">
        <f>Table1[[#This Row],[Total Population (2011)]]/Table1[[#This Row],[No. HH (2011)]]</f>
        <v>5.2348048588773741</v>
      </c>
      <c r="N27" s="136">
        <v>65629</v>
      </c>
      <c r="O27" s="137">
        <f t="shared" si="0"/>
        <v>0.12195321370103819</v>
      </c>
      <c r="P27" s="136"/>
      <c r="Q27" s="315">
        <v>92.944591695065014</v>
      </c>
    </row>
    <row r="28" spans="1:17" x14ac:dyDescent="0.35">
      <c r="A28" s="246"/>
      <c r="B28" s="134"/>
      <c r="C28" s="134"/>
      <c r="D28" s="134"/>
      <c r="E28" s="134"/>
      <c r="F28" s="134"/>
      <c r="G28" s="134"/>
      <c r="H28" s="134">
        <v>21</v>
      </c>
      <c r="I28" s="148" t="s">
        <v>174</v>
      </c>
      <c r="J28" s="135" t="s">
        <v>323</v>
      </c>
      <c r="K28" s="136">
        <v>2780000</v>
      </c>
      <c r="L28" s="136">
        <v>12442373</v>
      </c>
      <c r="M28" s="136">
        <f>Table1[[#This Row],[Total Population (2011)]]/Table1[[#This Row],[No. HH (2011)]]</f>
        <v>4.4756737410071938</v>
      </c>
      <c r="N28" s="136">
        <v>1135514</v>
      </c>
      <c r="O28" s="137">
        <f t="shared" si="0"/>
        <v>0.40845827338129498</v>
      </c>
      <c r="P28" s="136"/>
      <c r="Q28" s="314">
        <v>254.44907232109051</v>
      </c>
    </row>
    <row r="29" spans="1:17" x14ac:dyDescent="0.35">
      <c r="A29" s="246"/>
      <c r="B29" s="247"/>
      <c r="C29" s="247"/>
      <c r="D29" s="247"/>
      <c r="E29" s="247"/>
      <c r="F29" s="247"/>
      <c r="G29" s="247"/>
      <c r="H29" s="134">
        <v>22</v>
      </c>
      <c r="I29" s="148" t="s">
        <v>175</v>
      </c>
      <c r="J29" s="135" t="s">
        <v>323</v>
      </c>
      <c r="K29" s="136">
        <v>2310000</v>
      </c>
      <c r="L29" s="136">
        <v>11034555</v>
      </c>
      <c r="M29" s="136">
        <f>Table1[[#This Row],[Total Population (2011)]]/Table1[[#This Row],[No. HH (2011)]]</f>
        <v>4.7768636363636361</v>
      </c>
      <c r="N29" s="136">
        <v>332022</v>
      </c>
      <c r="O29" s="137">
        <f t="shared" si="0"/>
        <v>0.14373246753246754</v>
      </c>
      <c r="P29" s="136"/>
      <c r="Q29" s="314">
        <v>150.91303799066011</v>
      </c>
    </row>
    <row r="30" spans="1:17" x14ac:dyDescent="0.35">
      <c r="A30" s="246"/>
      <c r="B30" s="247"/>
      <c r="C30" s="247"/>
      <c r="D30" s="247"/>
      <c r="E30" s="247"/>
      <c r="F30" s="247"/>
      <c r="G30" s="247"/>
      <c r="H30" s="134">
        <v>23</v>
      </c>
      <c r="I30" s="148" t="s">
        <v>204</v>
      </c>
      <c r="J30" s="135" t="s">
        <v>323</v>
      </c>
      <c r="K30" s="136">
        <v>10158</v>
      </c>
      <c r="L30" s="136">
        <v>40017</v>
      </c>
      <c r="M30" s="136">
        <f>Table1[[#This Row],[Total Population (2011)]]/Table1[[#This Row],[No. HH (2011)]]</f>
        <v>3.9394565859421147</v>
      </c>
      <c r="N30" s="136"/>
      <c r="O30" s="138">
        <v>0.29399999999999998</v>
      </c>
      <c r="P30" s="136" t="s">
        <v>328</v>
      </c>
      <c r="Q30" s="314">
        <v>127.00366022971097</v>
      </c>
    </row>
    <row r="31" spans="1:17" x14ac:dyDescent="0.35">
      <c r="A31" s="246"/>
      <c r="B31" s="247"/>
      <c r="C31" s="247"/>
      <c r="D31" s="247"/>
      <c r="E31" s="247"/>
      <c r="F31" s="247"/>
      <c r="G31" s="247"/>
      <c r="H31" s="134">
        <v>24</v>
      </c>
      <c r="I31" s="148" t="s">
        <v>177</v>
      </c>
      <c r="J31" s="135" t="s">
        <v>323</v>
      </c>
      <c r="K31" s="136">
        <v>294612</v>
      </c>
      <c r="L31" s="136">
        <v>1684222</v>
      </c>
      <c r="M31" s="136">
        <f>Table1[[#This Row],[Total Population (2011)]]/Table1[[#This Row],[No. HH (2011)]]</f>
        <v>5.7167460931666056</v>
      </c>
      <c r="N31" s="136">
        <v>13696</v>
      </c>
      <c r="O31" s="137">
        <f t="shared" si="0"/>
        <v>4.6488262528342365E-2</v>
      </c>
      <c r="P31" s="136"/>
      <c r="Q31" s="314">
        <v>84.816357440363504</v>
      </c>
    </row>
    <row r="32" spans="1:17" x14ac:dyDescent="0.35">
      <c r="A32" s="246"/>
      <c r="B32" s="247"/>
      <c r="C32" s="247"/>
      <c r="D32" s="247"/>
      <c r="E32" s="247"/>
      <c r="F32" s="247"/>
      <c r="G32" s="247"/>
      <c r="H32" s="134">
        <v>25</v>
      </c>
      <c r="I32" s="148" t="s">
        <v>178</v>
      </c>
      <c r="J32" s="135" t="s">
        <v>323</v>
      </c>
      <c r="K32" s="136">
        <f>Table1[[#This Row],[Total Population (2011)]]/Table1[[#This Row],[Avgerage HH size (2011)]]</f>
        <v>55540.227272727265</v>
      </c>
      <c r="L32" s="136">
        <v>244377</v>
      </c>
      <c r="M32" s="136">
        <v>4.4000000000000004</v>
      </c>
      <c r="N32" s="136">
        <v>10207</v>
      </c>
      <c r="O32" s="140">
        <f>N32/K32</f>
        <v>0.18377670566378998</v>
      </c>
      <c r="P32" s="141" t="s">
        <v>329</v>
      </c>
      <c r="Q32" s="314">
        <v>100.80777483276538</v>
      </c>
    </row>
    <row r="33" spans="1:17" x14ac:dyDescent="0.35">
      <c r="A33" s="246"/>
      <c r="B33" s="247"/>
      <c r="C33" s="247"/>
      <c r="D33" s="247"/>
      <c r="E33" s="247"/>
      <c r="F33" s="247"/>
      <c r="G33" s="247"/>
      <c r="H33" s="134">
        <v>26</v>
      </c>
      <c r="I33" s="148" t="s">
        <v>179</v>
      </c>
      <c r="J33" s="135" t="s">
        <v>323</v>
      </c>
      <c r="K33" s="136">
        <v>27049</v>
      </c>
      <c r="L33" s="136">
        <v>108058</v>
      </c>
      <c r="M33" s="136">
        <f>Table1[[#This Row],[Total Population (2011)]]/Table1[[#This Row],[No. HH (2011)]]</f>
        <v>3.9948981478058339</v>
      </c>
      <c r="N33" s="136">
        <v>3324</v>
      </c>
      <c r="O33" s="140">
        <f>N33/K33</f>
        <v>0.12288809198121926</v>
      </c>
      <c r="P33" s="136" t="s">
        <v>330</v>
      </c>
      <c r="Q33" s="314">
        <v>108.65462509082352</v>
      </c>
    </row>
    <row r="34" spans="1:17" x14ac:dyDescent="0.35">
      <c r="A34" s="246"/>
      <c r="B34" s="247"/>
      <c r="C34" s="247"/>
      <c r="D34" s="247"/>
      <c r="E34" s="247"/>
      <c r="F34" s="247"/>
      <c r="G34" s="247"/>
      <c r="H34" s="134">
        <v>27</v>
      </c>
      <c r="I34" s="148" t="s">
        <v>180</v>
      </c>
      <c r="J34" s="135" t="s">
        <v>323</v>
      </c>
      <c r="K34" s="136">
        <v>215227</v>
      </c>
      <c r="L34" s="136">
        <v>1010433</v>
      </c>
      <c r="M34" s="136">
        <f>Table1[[#This Row],[Total Population (2011)]]/Table1[[#This Row],[No. HH (2011)]]</f>
        <v>4.6947316089524085</v>
      </c>
      <c r="N34" s="136">
        <v>86003</v>
      </c>
      <c r="O34" s="137">
        <f t="shared" si="0"/>
        <v>0.39959205861718095</v>
      </c>
      <c r="P34" s="136"/>
      <c r="Q34" s="314">
        <v>58.94736842105263</v>
      </c>
    </row>
    <row r="35" spans="1:17" x14ac:dyDescent="0.35">
      <c r="B35" s="247"/>
      <c r="C35" s="247"/>
      <c r="D35" s="247"/>
      <c r="E35" s="247"/>
      <c r="F35" s="247"/>
      <c r="G35" s="247"/>
      <c r="H35" s="134">
        <v>28</v>
      </c>
      <c r="I35" s="148" t="s">
        <v>181</v>
      </c>
      <c r="J35" s="135" t="s">
        <v>323</v>
      </c>
      <c r="K35" s="136">
        <v>326235</v>
      </c>
      <c r="L35" s="136">
        <v>1073427</v>
      </c>
      <c r="M35" s="136">
        <f>Table1[[#This Row],[Total Population (2011)]]/Table1[[#This Row],[No. HH (2011)]]</f>
        <v>3.2903489815623708</v>
      </c>
      <c r="N35" s="136">
        <v>14426</v>
      </c>
      <c r="O35" s="137">
        <f>N35/K35</f>
        <v>4.4219657608778946E-2</v>
      </c>
      <c r="P35" s="136"/>
      <c r="Q35" s="314">
        <v>53.01022340022719</v>
      </c>
    </row>
    <row r="36" spans="1:17" x14ac:dyDescent="0.35">
      <c r="B36" s="247"/>
      <c r="C36" s="247"/>
      <c r="D36" s="247"/>
      <c r="E36" s="247"/>
      <c r="F36" s="247"/>
      <c r="G36" s="247"/>
      <c r="H36" s="134">
        <v>29</v>
      </c>
      <c r="I36" s="148" t="s">
        <v>182</v>
      </c>
      <c r="J36" s="135" t="s">
        <v>323</v>
      </c>
      <c r="K36" s="136">
        <v>31025</v>
      </c>
      <c r="L36" s="136">
        <v>143229</v>
      </c>
      <c r="M36" s="136">
        <f>Table1[[#This Row],[Total Population (2011)]]/Table1[[#This Row],[No. HH (2011)]]</f>
        <v>4.6165672844480259</v>
      </c>
      <c r="N36" s="136">
        <v>2992</v>
      </c>
      <c r="O36" s="137">
        <f t="shared" si="0"/>
        <v>9.6438356164383565E-2</v>
      </c>
      <c r="P36" s="136"/>
      <c r="Q36" s="318">
        <v>91.707686482393044</v>
      </c>
    </row>
    <row r="37" spans="1:17" x14ac:dyDescent="0.35">
      <c r="B37" s="247"/>
      <c r="C37" s="247"/>
      <c r="D37" s="247"/>
      <c r="E37" s="247"/>
      <c r="F37" s="247"/>
      <c r="G37" s="247"/>
      <c r="H37" s="134">
        <v>30</v>
      </c>
      <c r="I37" s="148" t="s">
        <v>183</v>
      </c>
      <c r="J37" s="135" t="s">
        <v>323</v>
      </c>
      <c r="K37" s="136">
        <v>24105</v>
      </c>
      <c r="L37" s="136">
        <v>98265</v>
      </c>
      <c r="M37" s="136">
        <f>Table1[[#This Row],[Total Population (2011)]]/Table1[[#This Row],[No. HH (2011)]]</f>
        <v>4.0765401369010581</v>
      </c>
      <c r="N37" s="136"/>
      <c r="O37" s="140">
        <f>N37/K37</f>
        <v>0</v>
      </c>
      <c r="P37" s="136" t="s">
        <v>326</v>
      </c>
      <c r="Q37" s="314">
        <v>60.413984601792251</v>
      </c>
    </row>
    <row r="38" spans="1:17" x14ac:dyDescent="0.35">
      <c r="B38" s="247"/>
      <c r="C38" s="247"/>
      <c r="D38" s="247"/>
      <c r="E38" s="247"/>
      <c r="F38" s="247"/>
      <c r="G38" s="247"/>
      <c r="H38" s="134">
        <v>31</v>
      </c>
      <c r="I38" s="148" t="s">
        <v>248</v>
      </c>
      <c r="J38" s="135" t="s">
        <v>323</v>
      </c>
      <c r="K38" s="136">
        <v>46306</v>
      </c>
      <c r="L38" s="136">
        <v>169578</v>
      </c>
      <c r="M38" s="136">
        <f>Table1[[#This Row],[Total Population (2011)]]/Table1[[#This Row],[No. HH (2011)]]</f>
        <v>3.6621172202306398</v>
      </c>
      <c r="N38" s="136">
        <v>887</v>
      </c>
      <c r="O38" s="137">
        <f t="shared" si="0"/>
        <v>1.9155185073208656E-2</v>
      </c>
      <c r="P38" s="136"/>
      <c r="Q38" s="318">
        <v>118.33648870377382</v>
      </c>
    </row>
    <row r="39" spans="1:17" x14ac:dyDescent="0.35">
      <c r="B39" s="247"/>
      <c r="C39" s="247"/>
      <c r="D39" s="247"/>
      <c r="E39" s="247"/>
      <c r="F39" s="247"/>
      <c r="G39" s="247"/>
      <c r="H39" s="134">
        <v>32</v>
      </c>
      <c r="I39" s="148" t="s">
        <v>185</v>
      </c>
      <c r="J39" s="135" t="s">
        <v>323</v>
      </c>
      <c r="K39" s="136">
        <v>182829</v>
      </c>
      <c r="L39" s="136">
        <v>1180570</v>
      </c>
      <c r="M39" s="136">
        <f>Table1[[#This Row],[Total Population (2011)]]/Table1[[#This Row],[No. HH (2011)]]</f>
        <v>6.457235996477583</v>
      </c>
      <c r="N39" s="136">
        <v>52650</v>
      </c>
      <c r="O39" s="137">
        <f t="shared" si="0"/>
        <v>0.28797400849974564</v>
      </c>
      <c r="P39" s="136"/>
      <c r="Q39" s="318">
        <v>105.97627161428754</v>
      </c>
    </row>
    <row r="40" spans="1:17" x14ac:dyDescent="0.35">
      <c r="B40" s="134"/>
      <c r="C40" s="134"/>
      <c r="D40" s="134"/>
      <c r="E40" s="134"/>
      <c r="F40" s="134"/>
      <c r="G40" s="134"/>
      <c r="H40" s="134">
        <v>33</v>
      </c>
      <c r="I40" s="148" t="s">
        <v>186</v>
      </c>
      <c r="J40" s="135" t="s">
        <v>323</v>
      </c>
      <c r="K40" s="136">
        <v>186792</v>
      </c>
      <c r="L40" s="136">
        <v>743691</v>
      </c>
      <c r="M40" s="136">
        <f>Table1[[#This Row],[Total Population (2011)]]/Table1[[#This Row],[No. HH (2011)]]</f>
        <v>3.9813857124502121</v>
      </c>
      <c r="N40" s="136">
        <v>834</v>
      </c>
      <c r="O40" s="137">
        <f t="shared" si="0"/>
        <v>4.4648593087498398E-3</v>
      </c>
      <c r="P40" s="136"/>
      <c r="Q40" s="318">
        <v>212.04089360090876</v>
      </c>
    </row>
    <row r="41" spans="1:17" x14ac:dyDescent="0.35">
      <c r="B41" s="134"/>
      <c r="C41" s="134"/>
      <c r="D41" s="134"/>
      <c r="E41" s="134"/>
      <c r="F41" s="134"/>
      <c r="G41" s="134"/>
      <c r="H41" s="134">
        <v>34</v>
      </c>
      <c r="I41" s="148" t="s">
        <v>187</v>
      </c>
      <c r="J41" s="135" t="s">
        <v>323</v>
      </c>
      <c r="K41" s="136">
        <v>100000</v>
      </c>
      <c r="L41" s="136">
        <v>430214</v>
      </c>
      <c r="M41" s="136">
        <f>Table1[[#This Row],[Total Population (2011)]]/Table1[[#This Row],[No. HH (2011)]]</f>
        <v>4.3021399999999996</v>
      </c>
      <c r="N41" s="136">
        <v>32681</v>
      </c>
      <c r="O41" s="137">
        <f t="shared" si="0"/>
        <v>0.32680999999999999</v>
      </c>
      <c r="P41" s="136"/>
      <c r="Q41" s="314">
        <v>71.56380159030671</v>
      </c>
    </row>
    <row r="42" spans="1:17" x14ac:dyDescent="0.35">
      <c r="B42" s="134"/>
      <c r="C42" s="134"/>
      <c r="D42" s="134"/>
      <c r="E42" s="134"/>
      <c r="F42" s="134"/>
      <c r="G42" s="134"/>
      <c r="H42" s="134">
        <v>35</v>
      </c>
      <c r="I42" s="148" t="s">
        <v>188</v>
      </c>
      <c r="J42" s="135" t="s">
        <v>323</v>
      </c>
      <c r="K42" s="136">
        <v>36000</v>
      </c>
      <c r="L42" s="136">
        <v>183282</v>
      </c>
      <c r="M42" s="136">
        <f>Table1[[#This Row],[Total Population (2011)]]/Table1[[#This Row],[No. HH (2011)]]</f>
        <v>5.0911666666666671</v>
      </c>
      <c r="N42" s="136">
        <v>1321</v>
      </c>
      <c r="O42" s="137">
        <f t="shared" si="0"/>
        <v>3.6694444444444446E-2</v>
      </c>
      <c r="P42" s="136"/>
      <c r="Q42" s="318">
        <v>112.55837435314906</v>
      </c>
    </row>
    <row r="43" spans="1:17" x14ac:dyDescent="0.35">
      <c r="B43" s="134"/>
      <c r="C43" s="134"/>
      <c r="D43" s="134"/>
      <c r="E43" s="134"/>
      <c r="F43" s="134"/>
      <c r="G43" s="134"/>
      <c r="H43" s="134">
        <v>36</v>
      </c>
      <c r="I43" s="148" t="s">
        <v>189</v>
      </c>
      <c r="J43" s="135" t="s">
        <v>323</v>
      </c>
      <c r="K43" s="136">
        <v>240000</v>
      </c>
      <c r="L43" s="136">
        <v>1175116</v>
      </c>
      <c r="M43" s="136">
        <f>Table1[[#This Row],[Total Population (2011)]]/Table1[[#This Row],[No. HH (2011)]]</f>
        <v>4.8963166666666664</v>
      </c>
      <c r="N43" s="136">
        <v>41723</v>
      </c>
      <c r="O43" s="137">
        <f t="shared" si="0"/>
        <v>0.17384583333333334</v>
      </c>
      <c r="P43" s="136"/>
      <c r="Q43" s="314">
        <v>50.200681560015155</v>
      </c>
    </row>
    <row r="44" spans="1:17" x14ac:dyDescent="0.35">
      <c r="B44" s="134"/>
      <c r="C44" s="134"/>
      <c r="D44" s="134"/>
      <c r="E44" s="134"/>
      <c r="F44" s="134"/>
      <c r="G44" s="134"/>
      <c r="H44" s="134">
        <v>37</v>
      </c>
      <c r="I44" s="148" t="s">
        <v>190</v>
      </c>
      <c r="J44" s="135" t="s">
        <v>323</v>
      </c>
      <c r="K44" s="136">
        <v>39000</v>
      </c>
      <c r="L44" s="136">
        <v>196057</v>
      </c>
      <c r="M44" s="136">
        <f>Table1[[#This Row],[Total Population (2011)]]/Table1[[#This Row],[No. HH (2011)]]</f>
        <v>5.027102564102564</v>
      </c>
      <c r="N44" s="136">
        <v>3670</v>
      </c>
      <c r="O44" s="137">
        <f t="shared" si="0"/>
        <v>9.4102564102564096E-2</v>
      </c>
      <c r="P44" s="136"/>
      <c r="Q44" s="318">
        <v>74.965290925154619</v>
      </c>
    </row>
    <row r="45" spans="1:17" x14ac:dyDescent="0.35">
      <c r="B45" s="134"/>
      <c r="C45" s="134"/>
      <c r="D45" s="134"/>
      <c r="E45" s="134"/>
      <c r="F45" s="134"/>
      <c r="G45" s="134"/>
      <c r="H45" s="134">
        <v>38</v>
      </c>
      <c r="I45" s="148" t="s">
        <v>191</v>
      </c>
      <c r="J45" s="135" t="s">
        <v>323</v>
      </c>
      <c r="K45" s="136">
        <v>190000</v>
      </c>
      <c r="L45" s="136">
        <v>862196</v>
      </c>
      <c r="M45" s="136">
        <f>Table1[[#This Row],[Total Population (2011)]]/Table1[[#This Row],[No. HH (2011)]]</f>
        <v>4.5378736842105267</v>
      </c>
      <c r="N45" s="136">
        <v>30170</v>
      </c>
      <c r="O45" s="137">
        <f t="shared" si="0"/>
        <v>0.15878947368421054</v>
      </c>
      <c r="P45" s="136"/>
      <c r="Q45" s="318">
        <v>100.71942446043167</v>
      </c>
    </row>
    <row r="46" spans="1:17" x14ac:dyDescent="0.35">
      <c r="B46" s="134"/>
      <c r="C46" s="134"/>
      <c r="D46" s="134"/>
      <c r="E46" s="134"/>
      <c r="F46" s="134"/>
      <c r="G46" s="134"/>
      <c r="H46" s="134">
        <v>39</v>
      </c>
      <c r="I46" s="148" t="s">
        <v>192</v>
      </c>
      <c r="J46" s="135" t="s">
        <v>323</v>
      </c>
      <c r="K46" s="136">
        <v>19344</v>
      </c>
      <c r="L46" s="136">
        <v>70980</v>
      </c>
      <c r="M46" s="136">
        <f>Table1[[#This Row],[Total Population (2011)]]/Table1[[#This Row],[No. HH (2011)]]</f>
        <v>3.6693548387096775</v>
      </c>
      <c r="N46" s="136"/>
      <c r="O46" s="138">
        <v>0.29399999999999998</v>
      </c>
      <c r="P46" s="136" t="s">
        <v>328</v>
      </c>
      <c r="Q46" s="318">
        <v>69.973494888299896</v>
      </c>
    </row>
    <row r="47" spans="1:17" x14ac:dyDescent="0.35">
      <c r="B47" s="134"/>
      <c r="C47" s="134"/>
      <c r="D47" s="134"/>
      <c r="E47" s="134"/>
      <c r="F47" s="134"/>
      <c r="G47" s="134"/>
      <c r="H47" s="134">
        <v>40</v>
      </c>
      <c r="I47" s="148" t="s">
        <v>193</v>
      </c>
      <c r="J47" s="135" t="s">
        <v>323</v>
      </c>
      <c r="K47" s="136">
        <v>30000</v>
      </c>
      <c r="L47" s="136">
        <v>126736</v>
      </c>
      <c r="M47" s="136">
        <f>Table1[[#This Row],[Total Population (2011)]]/Table1[[#This Row],[No. HH (2011)]]</f>
        <v>4.2245333333333335</v>
      </c>
      <c r="N47" s="136"/>
      <c r="O47" s="138">
        <v>0.29399999999999998</v>
      </c>
      <c r="P47" s="136" t="s">
        <v>328</v>
      </c>
      <c r="Q47" s="318">
        <v>73.754890824182766</v>
      </c>
    </row>
    <row r="48" spans="1:17" x14ac:dyDescent="0.35">
      <c r="B48" s="134"/>
      <c r="C48" s="134"/>
      <c r="D48" s="134"/>
      <c r="E48" s="134"/>
      <c r="F48" s="134"/>
      <c r="G48" s="134"/>
      <c r="H48" s="134">
        <v>41</v>
      </c>
      <c r="I48" s="148" t="s">
        <v>194</v>
      </c>
      <c r="J48" s="135" t="s">
        <v>323</v>
      </c>
      <c r="K48" s="136">
        <v>9931</v>
      </c>
      <c r="L48" s="136">
        <v>61000</v>
      </c>
      <c r="M48" s="136">
        <f>Table1[[#This Row],[Total Population (2011)]]/Table1[[#This Row],[No. HH (2011)]]</f>
        <v>6.1423824388279122</v>
      </c>
      <c r="N48" s="136"/>
      <c r="O48" s="138">
        <v>0.29399999999999998</v>
      </c>
      <c r="P48" s="136" t="s">
        <v>328</v>
      </c>
      <c r="Q48" s="318">
        <v>110.04922377887165</v>
      </c>
    </row>
    <row r="49" spans="8:17" s="265" customFormat="1" x14ac:dyDescent="0.35">
      <c r="H49" s="134">
        <v>42</v>
      </c>
      <c r="I49" s="148" t="s">
        <v>195</v>
      </c>
      <c r="J49" s="135" t="s">
        <v>323</v>
      </c>
      <c r="K49" s="136">
        <v>17808</v>
      </c>
      <c r="L49" s="136">
        <v>75540</v>
      </c>
      <c r="M49" s="136">
        <f>Table1[[#This Row],[Total Population (2011)]]/Table1[[#This Row],[No. HH (2011)]]</f>
        <v>4.2419137466307282</v>
      </c>
      <c r="N49" s="136"/>
      <c r="O49" s="138">
        <v>0.29399999999999998</v>
      </c>
      <c r="P49" s="136" t="s">
        <v>328</v>
      </c>
      <c r="Q49" s="319">
        <v>81.833648870377388</v>
      </c>
    </row>
  </sheetData>
  <hyperlinks>
    <hyperlink ref="P9" r:id="rId1" xr:uid="{00000000-0004-0000-0400-000000000000}"/>
    <hyperlink ref="P11" r:id="rId2" xr:uid="{00000000-0004-0000-0400-000001000000}"/>
    <hyperlink ref="P32" r:id="rId3" xr:uid="{00000000-0004-0000-0400-000002000000}"/>
  </hyperlinks>
  <pageMargins left="0.7" right="0.7" top="0.75" bottom="0.75" header="0.3" footer="0.3"/>
  <pageSetup orientation="portrait" r:id="rId4"/>
  <legacy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22940E3-7C02-471A-864A-E2E57D5E189B}">
            <xm:f>Variables!$E$45</xm:f>
            <x14:dxf>
              <font>
                <color rgb="FFFF0000"/>
              </font>
            </x14:dxf>
          </x14:cfRule>
          <xm:sqref>Q1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5"/>
  <sheetViews>
    <sheetView workbookViewId="0">
      <selection activeCell="F2" sqref="F2"/>
    </sheetView>
  </sheetViews>
  <sheetFormatPr defaultRowHeight="14.5" x14ac:dyDescent="0.35"/>
  <cols>
    <col min="1" max="1" width="6.26953125" bestFit="1" customWidth="1"/>
    <col min="2" max="2" width="19.7265625" bestFit="1" customWidth="1"/>
    <col min="3" max="3" width="28" style="65" bestFit="1" customWidth="1"/>
    <col min="4" max="4" width="43" bestFit="1" customWidth="1"/>
    <col min="6" max="6" width="26.81640625" style="102" customWidth="1"/>
  </cols>
  <sheetData>
    <row r="1" spans="1:11" x14ac:dyDescent="0.35">
      <c r="A1" s="275" t="s">
        <v>144</v>
      </c>
      <c r="B1" s="276" t="s">
        <v>97</v>
      </c>
      <c r="C1" s="277" t="s">
        <v>249</v>
      </c>
      <c r="D1" s="277" t="s">
        <v>250</v>
      </c>
      <c r="E1" s="277" t="s">
        <v>251</v>
      </c>
      <c r="F1" s="278" t="s">
        <v>304</v>
      </c>
    </row>
    <row r="2" spans="1:11" x14ac:dyDescent="0.35">
      <c r="A2" s="91">
        <v>1</v>
      </c>
      <c r="B2" s="268" t="s">
        <v>154</v>
      </c>
      <c r="C2" s="65" t="s">
        <v>283</v>
      </c>
      <c r="D2" t="s">
        <v>246</v>
      </c>
      <c r="E2">
        <v>0.35</v>
      </c>
      <c r="F2" s="102">
        <f>E2*Population!C2/1000</f>
        <v>140.00139999999999</v>
      </c>
    </row>
    <row r="3" spans="1:11" x14ac:dyDescent="0.35">
      <c r="A3" s="90">
        <v>2</v>
      </c>
      <c r="B3" s="269" t="s">
        <v>155</v>
      </c>
      <c r="C3" s="65" t="s">
        <v>276</v>
      </c>
      <c r="D3" t="s">
        <v>246</v>
      </c>
      <c r="E3">
        <v>0.62</v>
      </c>
      <c r="F3" s="102">
        <f>E3*Population!C3/1000</f>
        <v>181.91792000000001</v>
      </c>
    </row>
    <row r="4" spans="1:11" s="65" customFormat="1" x14ac:dyDescent="0.35">
      <c r="A4" s="90">
        <v>3</v>
      </c>
      <c r="B4" s="269" t="s">
        <v>156</v>
      </c>
      <c r="C4" s="65" t="s">
        <v>269</v>
      </c>
      <c r="D4" s="65" t="s">
        <v>246</v>
      </c>
      <c r="E4" s="65">
        <v>1.1499999999999999</v>
      </c>
      <c r="F4" s="102">
        <f>E4*Population!C4/1000</f>
        <v>9710.2262499999997</v>
      </c>
      <c r="G4" s="86"/>
      <c r="H4" s="86"/>
      <c r="I4" s="86"/>
      <c r="J4" s="86"/>
      <c r="K4" s="86"/>
    </row>
    <row r="5" spans="1:11" x14ac:dyDescent="0.35">
      <c r="A5" s="90">
        <v>4</v>
      </c>
      <c r="B5" s="269" t="s">
        <v>157</v>
      </c>
      <c r="C5" s="65" t="s">
        <v>272</v>
      </c>
      <c r="D5" t="s">
        <v>246</v>
      </c>
      <c r="E5">
        <v>0.78</v>
      </c>
      <c r="F5" s="102">
        <f>E5*Population!C5/1000</f>
        <v>1402.61004</v>
      </c>
    </row>
    <row r="6" spans="1:11" x14ac:dyDescent="0.35">
      <c r="A6" s="90">
        <v>5</v>
      </c>
      <c r="B6" s="269" t="s">
        <v>158</v>
      </c>
      <c r="C6" s="65" t="s">
        <v>278</v>
      </c>
      <c r="D6" t="s">
        <v>246</v>
      </c>
      <c r="E6">
        <v>2.82</v>
      </c>
      <c r="F6" s="102">
        <f>E6*Population!C6/1000</f>
        <v>2378.3936399999998</v>
      </c>
    </row>
    <row r="7" spans="1:11" s="65" customFormat="1" x14ac:dyDescent="0.35">
      <c r="A7" s="90">
        <v>6</v>
      </c>
      <c r="B7" s="269" t="s">
        <v>159</v>
      </c>
      <c r="C7" s="65" t="s">
        <v>279</v>
      </c>
      <c r="D7" s="65" t="s">
        <v>246</v>
      </c>
      <c r="E7" s="65">
        <v>0.81</v>
      </c>
      <c r="F7" s="102">
        <f>E7*Population!C7/1000</f>
        <v>778.88547000000005</v>
      </c>
      <c r="G7" s="100"/>
      <c r="H7" s="100"/>
      <c r="I7" s="100"/>
      <c r="J7" s="100"/>
      <c r="K7" s="100"/>
    </row>
    <row r="8" spans="1:11" x14ac:dyDescent="0.35">
      <c r="A8" s="90">
        <v>7</v>
      </c>
      <c r="B8" s="269" t="s">
        <v>160</v>
      </c>
      <c r="C8" s="65" t="s">
        <v>282</v>
      </c>
      <c r="D8" t="s">
        <v>246</v>
      </c>
      <c r="E8">
        <v>0.52</v>
      </c>
      <c r="F8" s="102">
        <f>E8*Population!C8/1000</f>
        <v>2416.3006399999999</v>
      </c>
    </row>
    <row r="9" spans="1:11" x14ac:dyDescent="0.35">
      <c r="A9" s="90">
        <v>8</v>
      </c>
      <c r="B9" s="269" t="s">
        <v>161</v>
      </c>
      <c r="C9" s="65" t="s">
        <v>260</v>
      </c>
      <c r="D9" t="s">
        <v>246</v>
      </c>
      <c r="E9">
        <v>0.43</v>
      </c>
      <c r="F9" s="102">
        <f>E9*Population!C9/1000</f>
        <v>19.041259999999998</v>
      </c>
    </row>
    <row r="10" spans="1:11" x14ac:dyDescent="0.35">
      <c r="A10" s="90">
        <v>9</v>
      </c>
      <c r="B10" s="269" t="s">
        <v>162</v>
      </c>
      <c r="C10" s="65" t="s">
        <v>285</v>
      </c>
      <c r="D10" t="s">
        <v>246</v>
      </c>
      <c r="E10">
        <v>1.22</v>
      </c>
      <c r="F10" s="102">
        <f>E10*Population!C10/1000</f>
        <v>694.88516000000004</v>
      </c>
    </row>
    <row r="11" spans="1:11" x14ac:dyDescent="0.35">
      <c r="A11" s="90">
        <v>10</v>
      </c>
      <c r="B11" s="269" t="s">
        <v>163</v>
      </c>
      <c r="C11" s="65" t="s">
        <v>255</v>
      </c>
      <c r="D11" t="s">
        <v>246</v>
      </c>
      <c r="E11">
        <v>1.36</v>
      </c>
      <c r="F11" s="102">
        <f>E11*Population!C11/1000</f>
        <v>718.84568000000002</v>
      </c>
    </row>
    <row r="12" spans="1:11" x14ac:dyDescent="0.35">
      <c r="A12" s="90">
        <v>11</v>
      </c>
      <c r="B12" s="269" t="s">
        <v>164</v>
      </c>
      <c r="C12" s="65" t="s">
        <v>263</v>
      </c>
      <c r="D12" t="s">
        <v>246</v>
      </c>
      <c r="E12">
        <v>0.86</v>
      </c>
      <c r="F12" s="102">
        <f>E12*Population!C12/1000</f>
        <v>177.30362</v>
      </c>
    </row>
    <row r="13" spans="1:11" x14ac:dyDescent="0.35">
      <c r="A13" s="90">
        <v>12</v>
      </c>
      <c r="B13" s="269" t="s">
        <v>165</v>
      </c>
      <c r="C13" s="65" t="s">
        <v>281</v>
      </c>
      <c r="D13" t="s">
        <v>246</v>
      </c>
      <c r="E13">
        <v>0.39</v>
      </c>
      <c r="F13" s="102">
        <f>E13*Population!C13/1000</f>
        <v>39.111539999999998</v>
      </c>
    </row>
    <row r="14" spans="1:11" x14ac:dyDescent="0.35">
      <c r="A14" s="90">
        <v>13</v>
      </c>
      <c r="B14" s="268" t="s">
        <v>166</v>
      </c>
      <c r="C14" s="65" t="s">
        <v>253</v>
      </c>
      <c r="D14" t="s">
        <v>246</v>
      </c>
      <c r="E14">
        <v>0.61</v>
      </c>
      <c r="F14" s="102">
        <f>E14*Population!C14/1000</f>
        <v>4106.3918999999996</v>
      </c>
    </row>
    <row r="15" spans="1:11" x14ac:dyDescent="0.35">
      <c r="A15" s="90">
        <v>14</v>
      </c>
      <c r="B15" s="269" t="s">
        <v>167</v>
      </c>
      <c r="C15" s="65" t="s">
        <v>274</v>
      </c>
      <c r="D15" t="s">
        <v>246</v>
      </c>
      <c r="E15">
        <v>0.27</v>
      </c>
      <c r="F15" s="102">
        <f>E15*Population!C15/1000</f>
        <v>72.425610000000006</v>
      </c>
    </row>
    <row r="16" spans="1:11" x14ac:dyDescent="0.35">
      <c r="A16" s="90">
        <v>15</v>
      </c>
      <c r="B16" s="269" t="s">
        <v>168</v>
      </c>
      <c r="C16" s="65" t="s">
        <v>254</v>
      </c>
      <c r="D16" t="s">
        <v>246</v>
      </c>
      <c r="E16">
        <v>0.04</v>
      </c>
      <c r="F16" s="102">
        <f>E16*Population!C16/1000</f>
        <v>2.3795999999999999</v>
      </c>
    </row>
    <row r="17" spans="1:11" x14ac:dyDescent="0.35">
      <c r="A17" s="90">
        <v>16</v>
      </c>
      <c r="B17" s="269" t="s">
        <v>169</v>
      </c>
      <c r="C17" s="65" t="s">
        <v>280</v>
      </c>
      <c r="D17" s="65" t="s">
        <v>246</v>
      </c>
      <c r="E17" s="65">
        <v>0.82</v>
      </c>
      <c r="F17" s="102">
        <f>E17*Population!C17/1000</f>
        <v>2497.8536599999998</v>
      </c>
      <c r="G17" s="86"/>
      <c r="H17" s="86"/>
      <c r="I17" s="86"/>
      <c r="J17" s="86"/>
      <c r="K17" s="86"/>
    </row>
    <row r="18" spans="1:11" x14ac:dyDescent="0.35">
      <c r="A18" s="90">
        <v>17</v>
      </c>
      <c r="B18" s="269" t="s">
        <v>170</v>
      </c>
      <c r="C18" s="65" t="s">
        <v>271</v>
      </c>
      <c r="D18" t="s">
        <v>246</v>
      </c>
      <c r="E18">
        <v>0.04</v>
      </c>
      <c r="F18" s="102">
        <f>E18*Population!C18/1000</f>
        <v>0.44840000000000002</v>
      </c>
    </row>
    <row r="19" spans="1:11" s="65" customFormat="1" x14ac:dyDescent="0.35">
      <c r="A19" s="90">
        <v>18</v>
      </c>
      <c r="B19" s="269" t="s">
        <v>171</v>
      </c>
      <c r="C19" s="65" t="s">
        <v>277</v>
      </c>
      <c r="D19" t="s">
        <v>246</v>
      </c>
      <c r="E19">
        <v>0.25</v>
      </c>
      <c r="F19" s="102">
        <f>E19*Population!C19/1000</f>
        <v>24.75975</v>
      </c>
      <c r="G19"/>
      <c r="H19"/>
      <c r="I19"/>
      <c r="J19"/>
      <c r="K19"/>
    </row>
    <row r="20" spans="1:11" x14ac:dyDescent="0.35">
      <c r="A20" s="90">
        <v>19</v>
      </c>
      <c r="B20" s="269" t="s">
        <v>172</v>
      </c>
      <c r="C20" s="65" t="s">
        <v>286</v>
      </c>
      <c r="D20" s="65" t="s">
        <v>246</v>
      </c>
      <c r="E20" s="65">
        <v>1.0900000000000001</v>
      </c>
      <c r="F20" s="102">
        <f>E20*Population!C20/1000</f>
        <v>4901.3964599999999</v>
      </c>
      <c r="G20" s="86"/>
      <c r="H20" s="86"/>
      <c r="I20" s="86"/>
      <c r="J20" s="86"/>
      <c r="K20" s="86"/>
    </row>
    <row r="21" spans="1:11" x14ac:dyDescent="0.35">
      <c r="A21" s="90">
        <v>20</v>
      </c>
      <c r="B21" s="269" t="s">
        <v>173</v>
      </c>
      <c r="C21" s="65" t="s">
        <v>284</v>
      </c>
      <c r="D21" t="s">
        <v>246</v>
      </c>
      <c r="E21">
        <v>1.1599999999999999</v>
      </c>
      <c r="F21" s="102">
        <f>E21*Population!C21/1000</f>
        <v>3267.8417999999997</v>
      </c>
    </row>
    <row r="22" spans="1:11" s="65" customFormat="1" x14ac:dyDescent="0.35">
      <c r="A22" s="90">
        <v>21</v>
      </c>
      <c r="B22" s="268" t="s">
        <v>174</v>
      </c>
      <c r="C22" s="65" t="s">
        <v>273</v>
      </c>
      <c r="D22" t="s">
        <v>246</v>
      </c>
      <c r="E22">
        <v>0.42</v>
      </c>
      <c r="F22" s="102">
        <f>E22*Population!C22/1000</f>
        <v>5225.79666</v>
      </c>
      <c r="G22"/>
      <c r="H22"/>
      <c r="I22"/>
      <c r="J22"/>
      <c r="K22"/>
    </row>
    <row r="23" spans="1:11" x14ac:dyDescent="0.35">
      <c r="A23" s="90">
        <v>22</v>
      </c>
      <c r="B23" s="268" t="s">
        <v>175</v>
      </c>
      <c r="C23" s="65" t="s">
        <v>261</v>
      </c>
      <c r="D23" t="s">
        <v>246</v>
      </c>
      <c r="E23">
        <v>1.81</v>
      </c>
      <c r="F23" s="102">
        <f>E23*Population!C23/1000</f>
        <v>19972.544550000002</v>
      </c>
    </row>
    <row r="24" spans="1:11" x14ac:dyDescent="0.35">
      <c r="A24" s="90">
        <v>23</v>
      </c>
      <c r="B24" s="269" t="s">
        <v>176</v>
      </c>
      <c r="C24" s="65" t="s">
        <v>262</v>
      </c>
      <c r="D24" t="s">
        <v>246</v>
      </c>
      <c r="E24">
        <v>1.34</v>
      </c>
      <c r="F24" s="102">
        <f>E24*Population!C24/1000</f>
        <v>53.622780000000006</v>
      </c>
    </row>
    <row r="25" spans="1:11" x14ac:dyDescent="0.35">
      <c r="A25" s="90">
        <v>24</v>
      </c>
      <c r="B25" s="269" t="s">
        <v>177</v>
      </c>
      <c r="C25" s="65" t="s">
        <v>256</v>
      </c>
      <c r="D25" t="s">
        <v>246</v>
      </c>
      <c r="E25">
        <v>1</v>
      </c>
      <c r="F25" s="102">
        <f>E25*Population!C25/1000</f>
        <v>1684.222</v>
      </c>
    </row>
    <row r="26" spans="1:11" x14ac:dyDescent="0.35">
      <c r="A26" s="90">
        <v>25</v>
      </c>
      <c r="B26" s="269" t="s">
        <v>178</v>
      </c>
      <c r="C26" s="28" t="s">
        <v>303</v>
      </c>
      <c r="D26" t="s">
        <v>246</v>
      </c>
      <c r="E26">
        <v>0.9</v>
      </c>
      <c r="F26" s="102">
        <f>E26*Population!C26/1000</f>
        <v>217.59570000000002</v>
      </c>
    </row>
    <row r="27" spans="1:11" x14ac:dyDescent="0.35">
      <c r="A27" s="90">
        <v>26</v>
      </c>
      <c r="B27" s="268" t="s">
        <v>179</v>
      </c>
      <c r="C27" s="65" t="s">
        <v>252</v>
      </c>
      <c r="D27" s="65" t="s">
        <v>246</v>
      </c>
      <c r="E27" s="65">
        <v>0.28999999999999998</v>
      </c>
      <c r="F27" s="102">
        <f>E27*Population!C27/1000</f>
        <v>29.053939999999997</v>
      </c>
      <c r="G27" s="86"/>
      <c r="H27" s="86"/>
      <c r="I27" s="86"/>
      <c r="J27" s="86"/>
      <c r="K27" s="86"/>
    </row>
    <row r="28" spans="1:11" x14ac:dyDescent="0.35">
      <c r="A28" s="90">
        <v>27</v>
      </c>
      <c r="B28" s="269" t="s">
        <v>180</v>
      </c>
      <c r="C28" s="65" t="s">
        <v>258</v>
      </c>
      <c r="D28" t="s">
        <v>246</v>
      </c>
      <c r="E28">
        <v>1.27</v>
      </c>
      <c r="F28" s="102">
        <f>E28*Population!C28/1000</f>
        <v>1283.24991</v>
      </c>
    </row>
    <row r="29" spans="1:11" s="65" customFormat="1" x14ac:dyDescent="0.35">
      <c r="A29" s="90">
        <v>28</v>
      </c>
      <c r="B29" s="269" t="s">
        <v>181</v>
      </c>
      <c r="C29" s="65" t="s">
        <v>268</v>
      </c>
      <c r="D29" t="s">
        <v>246</v>
      </c>
      <c r="E29">
        <v>0.05</v>
      </c>
      <c r="F29" s="102">
        <f>E29*Population!C29/1000</f>
        <v>53.671350000000004</v>
      </c>
      <c r="G29"/>
      <c r="H29"/>
      <c r="I29"/>
      <c r="J29"/>
      <c r="K29"/>
    </row>
    <row r="30" spans="1:11" x14ac:dyDescent="0.35">
      <c r="A30" s="90">
        <v>29</v>
      </c>
      <c r="B30" s="269" t="s">
        <v>182</v>
      </c>
      <c r="C30" s="65" t="s">
        <v>275</v>
      </c>
      <c r="D30" t="s">
        <v>246</v>
      </c>
      <c r="E30">
        <v>0.08</v>
      </c>
      <c r="F30" s="102">
        <f>E30*Population!C30/1000</f>
        <v>11.458320000000001</v>
      </c>
    </row>
    <row r="31" spans="1:11" x14ac:dyDescent="0.35">
      <c r="A31" s="90">
        <v>30</v>
      </c>
      <c r="B31" s="269" t="s">
        <v>183</v>
      </c>
      <c r="C31" s="65" t="s">
        <v>259</v>
      </c>
      <c r="D31" t="s">
        <v>246</v>
      </c>
      <c r="E31">
        <v>0</v>
      </c>
      <c r="F31" s="102">
        <f>E31*Population!C31/1000</f>
        <v>0</v>
      </c>
    </row>
    <row r="32" spans="1:11" x14ac:dyDescent="0.35">
      <c r="A32" s="90">
        <v>31</v>
      </c>
      <c r="B32" s="269" t="s">
        <v>184</v>
      </c>
      <c r="C32" s="65" t="s">
        <v>265</v>
      </c>
      <c r="D32" t="s">
        <v>246</v>
      </c>
      <c r="E32">
        <v>3.08</v>
      </c>
      <c r="F32" s="102">
        <f>E32*Population!C32/1000</f>
        <v>522.30024000000003</v>
      </c>
    </row>
    <row r="33" spans="1:11" x14ac:dyDescent="0.35">
      <c r="A33" s="90">
        <v>32</v>
      </c>
      <c r="B33" s="269" t="s">
        <v>185</v>
      </c>
      <c r="C33" s="65" t="s">
        <v>267</v>
      </c>
      <c r="D33" t="s">
        <v>246</v>
      </c>
      <c r="E33">
        <v>0.6</v>
      </c>
      <c r="F33" s="102">
        <f>E33*Population!C33/1000</f>
        <v>708.34199999999998</v>
      </c>
    </row>
    <row r="34" spans="1:11" x14ac:dyDescent="0.35">
      <c r="A34" s="90">
        <v>33</v>
      </c>
      <c r="B34" s="269" t="s">
        <v>186</v>
      </c>
      <c r="C34" s="65" t="s">
        <v>270</v>
      </c>
      <c r="D34" t="s">
        <v>246</v>
      </c>
      <c r="E34">
        <v>1.53</v>
      </c>
      <c r="F34" s="102">
        <f>E34*Population!C34/1000</f>
        <v>1137.8472300000001</v>
      </c>
    </row>
    <row r="35" spans="1:11" x14ac:dyDescent="0.35">
      <c r="A35" s="90">
        <v>34</v>
      </c>
      <c r="B35" s="269" t="s">
        <v>187</v>
      </c>
      <c r="C35" s="84" t="s">
        <v>253</v>
      </c>
      <c r="D35" s="86" t="s">
        <v>246</v>
      </c>
      <c r="E35" s="86">
        <v>0.61</v>
      </c>
      <c r="F35" s="102">
        <f>E35*Population!C35/1000</f>
        <v>262.43053999999995</v>
      </c>
      <c r="G35" s="86"/>
      <c r="H35" s="86"/>
      <c r="I35" s="86"/>
      <c r="J35" s="86"/>
      <c r="K35" s="86"/>
    </row>
    <row r="36" spans="1:11" x14ac:dyDescent="0.35">
      <c r="A36" s="90">
        <v>35</v>
      </c>
      <c r="B36" s="269" t="s">
        <v>188</v>
      </c>
      <c r="C36" s="86" t="s">
        <v>264</v>
      </c>
      <c r="D36" t="s">
        <v>246</v>
      </c>
      <c r="E36">
        <v>0.65</v>
      </c>
      <c r="F36" s="102">
        <f>E36*Population!C36/1000</f>
        <v>119.13330000000001</v>
      </c>
    </row>
    <row r="37" spans="1:11" x14ac:dyDescent="0.35">
      <c r="A37" s="90">
        <v>36</v>
      </c>
      <c r="B37" s="269" t="s">
        <v>189</v>
      </c>
      <c r="C37" s="84" t="s">
        <v>273</v>
      </c>
      <c r="D37" s="86" t="s">
        <v>246</v>
      </c>
      <c r="E37" s="86">
        <v>0.42</v>
      </c>
      <c r="F37" s="102">
        <f>E37*Population!C37/1000</f>
        <v>493.54871999999995</v>
      </c>
    </row>
    <row r="38" spans="1:11" x14ac:dyDescent="0.35">
      <c r="A38" s="90">
        <v>37</v>
      </c>
      <c r="B38" s="269" t="s">
        <v>190</v>
      </c>
      <c r="C38" s="65" t="s">
        <v>264</v>
      </c>
      <c r="D38" s="86" t="s">
        <v>246</v>
      </c>
      <c r="E38" s="86">
        <v>0.65</v>
      </c>
      <c r="F38" s="102">
        <f>E38*Population!C38/1000</f>
        <v>127.43705</v>
      </c>
    </row>
    <row r="39" spans="1:11" s="65" customFormat="1" x14ac:dyDescent="0.35">
      <c r="A39" s="90">
        <v>38</v>
      </c>
      <c r="B39" s="269" t="s">
        <v>191</v>
      </c>
      <c r="C39" s="86" t="s">
        <v>279</v>
      </c>
      <c r="D39" s="86" t="s">
        <v>246</v>
      </c>
      <c r="E39" s="86">
        <v>0.81</v>
      </c>
      <c r="F39" s="102">
        <f>E39*Population!C39/1000</f>
        <v>698.37876000000006</v>
      </c>
      <c r="G39" s="86"/>
      <c r="H39" s="86"/>
      <c r="I39" s="86"/>
      <c r="J39" s="86"/>
      <c r="K39" s="86"/>
    </row>
    <row r="40" spans="1:11" x14ac:dyDescent="0.35">
      <c r="A40" s="91">
        <v>39</v>
      </c>
      <c r="B40" s="268" t="s">
        <v>192</v>
      </c>
      <c r="C40" s="86" t="s">
        <v>282</v>
      </c>
      <c r="D40" s="86" t="s">
        <v>246</v>
      </c>
      <c r="E40" s="86">
        <v>0.52</v>
      </c>
      <c r="F40" s="102">
        <f>E40*Population!C40/1000</f>
        <v>36.909599999999998</v>
      </c>
    </row>
    <row r="41" spans="1:11" x14ac:dyDescent="0.35">
      <c r="A41" s="90">
        <v>40</v>
      </c>
      <c r="B41" s="269" t="s">
        <v>193</v>
      </c>
      <c r="C41" s="86" t="s">
        <v>255</v>
      </c>
      <c r="D41" s="100" t="s">
        <v>246</v>
      </c>
      <c r="E41" s="100">
        <v>1.36</v>
      </c>
      <c r="F41" s="102">
        <f>E41*Population!C41/1000</f>
        <v>172.36096000000003</v>
      </c>
    </row>
    <row r="42" spans="1:11" x14ac:dyDescent="0.35">
      <c r="A42" s="90">
        <v>41</v>
      </c>
      <c r="B42" s="269" t="s">
        <v>194</v>
      </c>
      <c r="C42" s="86" t="s">
        <v>267</v>
      </c>
      <c r="D42" s="86" t="s">
        <v>246</v>
      </c>
      <c r="E42" s="86">
        <v>0.6</v>
      </c>
      <c r="F42" s="102">
        <f>E42*Population!C42/1000</f>
        <v>36.6</v>
      </c>
    </row>
    <row r="43" spans="1:11" s="65" customFormat="1" x14ac:dyDescent="0.35">
      <c r="A43" s="270">
        <v>42</v>
      </c>
      <c r="B43" s="271" t="s">
        <v>195</v>
      </c>
      <c r="C43" s="65" t="s">
        <v>257</v>
      </c>
      <c r="D43" t="s">
        <v>246</v>
      </c>
      <c r="E43">
        <v>1.46</v>
      </c>
      <c r="F43" s="102">
        <f>E43*Population!C43/1000</f>
        <v>110.2884</v>
      </c>
      <c r="G43"/>
      <c r="H43"/>
      <c r="I43"/>
      <c r="J43"/>
      <c r="K43"/>
    </row>
    <row r="44" spans="1:11" ht="15" thickBot="1" x14ac:dyDescent="0.4">
      <c r="A44" s="272"/>
      <c r="B44" s="273"/>
      <c r="C44" s="88" t="s">
        <v>266</v>
      </c>
      <c r="D44" t="s">
        <v>246</v>
      </c>
      <c r="E44">
        <v>0.91</v>
      </c>
    </row>
    <row r="45" spans="1:11" x14ac:dyDescent="0.35">
      <c r="B45" s="274" t="s">
        <v>305</v>
      </c>
      <c r="C45" s="46"/>
    </row>
  </sheetData>
  <autoFilter ref="A1:F1" xr:uid="{00000000-0009-0000-0000-000006000000}">
    <sortState xmlns:xlrd2="http://schemas.microsoft.com/office/spreadsheetml/2017/richdata2" ref="A2:F44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3"/>
  <sheetViews>
    <sheetView zoomScale="85" zoomScaleNormal="85" workbookViewId="0">
      <selection activeCell="M27" sqref="M27"/>
    </sheetView>
  </sheetViews>
  <sheetFormatPr defaultColWidth="8.7265625" defaultRowHeight="14.5" x14ac:dyDescent="0.35"/>
  <cols>
    <col min="1" max="1" width="3.1796875" style="208" bestFit="1" customWidth="1"/>
    <col min="2" max="2" width="19.7265625" style="233" bestFit="1" customWidth="1"/>
    <col min="3" max="3" width="12.1796875" style="286" customWidth="1"/>
    <col min="4" max="4" width="12.1796875" style="207" customWidth="1"/>
    <col min="5" max="5" width="11.81640625" style="287" customWidth="1"/>
    <col min="6" max="6" width="23.453125" style="207" customWidth="1"/>
    <col min="7" max="7" width="5.1796875" style="226" customWidth="1"/>
    <col min="8" max="8" width="14" style="207" customWidth="1"/>
    <col min="9" max="10" width="8.7265625" style="207"/>
    <col min="11" max="11" width="18.54296875" style="207" customWidth="1"/>
    <col min="12" max="12" width="5.1796875" style="226" customWidth="1"/>
    <col min="13" max="13" width="14.81640625" style="207" customWidth="1"/>
    <col min="14" max="14" width="8.7265625" style="207"/>
    <col min="15" max="15" width="11.1796875" style="207" customWidth="1"/>
    <col min="16" max="16384" width="8.7265625" style="207"/>
  </cols>
  <sheetData>
    <row r="1" spans="1:16" s="210" customFormat="1" ht="43.5" x14ac:dyDescent="0.35">
      <c r="A1" s="227" t="s">
        <v>96</v>
      </c>
      <c r="B1" s="231" t="s">
        <v>97</v>
      </c>
      <c r="C1" s="237" t="s">
        <v>108</v>
      </c>
      <c r="D1" s="227" t="s">
        <v>98</v>
      </c>
      <c r="E1" s="230" t="s">
        <v>298</v>
      </c>
      <c r="F1" s="230" t="s">
        <v>7</v>
      </c>
      <c r="G1" s="228"/>
      <c r="H1" s="229" t="s">
        <v>111</v>
      </c>
      <c r="I1" s="227" t="s">
        <v>98</v>
      </c>
      <c r="J1" s="230" t="s">
        <v>298</v>
      </c>
      <c r="K1" s="230" t="s">
        <v>7</v>
      </c>
      <c r="L1" s="228"/>
      <c r="M1" s="227" t="s">
        <v>354</v>
      </c>
      <c r="N1" s="227" t="s">
        <v>98</v>
      </c>
      <c r="O1" s="230" t="s">
        <v>298</v>
      </c>
      <c r="P1" s="230" t="s">
        <v>7</v>
      </c>
    </row>
    <row r="2" spans="1:16" x14ac:dyDescent="0.35">
      <c r="A2" s="232">
        <v>1</v>
      </c>
      <c r="B2" s="233" t="s">
        <v>154</v>
      </c>
      <c r="C2" s="238">
        <v>108</v>
      </c>
      <c r="D2" s="176">
        <v>2018</v>
      </c>
      <c r="E2" s="221" t="s">
        <v>342</v>
      </c>
      <c r="G2" s="226" t="s">
        <v>351</v>
      </c>
      <c r="L2" s="226" t="s">
        <v>351</v>
      </c>
      <c r="M2" s="242">
        <v>0</v>
      </c>
      <c r="N2" s="216" t="s">
        <v>350</v>
      </c>
      <c r="O2" s="222" t="s">
        <v>343</v>
      </c>
    </row>
    <row r="3" spans="1:16" x14ac:dyDescent="0.35">
      <c r="A3" s="232">
        <v>2</v>
      </c>
      <c r="B3" s="233" t="s">
        <v>155</v>
      </c>
      <c r="C3" s="238">
        <v>262</v>
      </c>
      <c r="D3" s="300">
        <v>2018</v>
      </c>
      <c r="E3" s="221" t="s">
        <v>342</v>
      </c>
      <c r="G3" s="226" t="s">
        <v>351</v>
      </c>
      <c r="L3" s="226" t="s">
        <v>351</v>
      </c>
      <c r="M3" s="242">
        <v>0</v>
      </c>
      <c r="N3" s="216" t="s">
        <v>350</v>
      </c>
      <c r="O3" s="222" t="s">
        <v>343</v>
      </c>
    </row>
    <row r="4" spans="1:16" x14ac:dyDescent="0.35">
      <c r="A4" s="232">
        <v>3</v>
      </c>
      <c r="B4" s="233" t="s">
        <v>156</v>
      </c>
      <c r="C4" s="239">
        <v>3682</v>
      </c>
      <c r="D4" s="300">
        <v>2018</v>
      </c>
      <c r="E4" s="221" t="s">
        <v>342</v>
      </c>
      <c r="G4" s="226" t="s">
        <v>351</v>
      </c>
      <c r="L4" s="226" t="s">
        <v>351</v>
      </c>
      <c r="M4" s="242">
        <v>0</v>
      </c>
      <c r="N4" s="216" t="s">
        <v>350</v>
      </c>
      <c r="O4" s="222" t="s">
        <v>343</v>
      </c>
    </row>
    <row r="5" spans="1:16" x14ac:dyDescent="0.35">
      <c r="A5" s="232">
        <v>4</v>
      </c>
      <c r="B5" s="233" t="s">
        <v>157</v>
      </c>
      <c r="C5" s="240">
        <v>593</v>
      </c>
      <c r="D5" s="300">
        <v>2018</v>
      </c>
      <c r="E5" s="221" t="s">
        <v>342</v>
      </c>
      <c r="G5" s="226" t="s">
        <v>351</v>
      </c>
      <c r="L5" s="226" t="s">
        <v>351</v>
      </c>
      <c r="M5" s="242">
        <v>0</v>
      </c>
      <c r="N5" s="216" t="s">
        <v>350</v>
      </c>
      <c r="O5" s="222" t="s">
        <v>343</v>
      </c>
    </row>
    <row r="6" spans="1:16" x14ac:dyDescent="0.35">
      <c r="A6" s="232">
        <v>5</v>
      </c>
      <c r="B6" s="233" t="s">
        <v>158</v>
      </c>
      <c r="C6" s="238">
        <v>110</v>
      </c>
      <c r="D6" s="300">
        <v>2018</v>
      </c>
      <c r="E6" s="221" t="s">
        <v>342</v>
      </c>
      <c r="G6" s="226" t="s">
        <v>351</v>
      </c>
      <c r="L6" s="226" t="s">
        <v>351</v>
      </c>
      <c r="M6" s="242">
        <v>0</v>
      </c>
      <c r="N6" s="216" t="s">
        <v>350</v>
      </c>
      <c r="O6" s="222" t="s">
        <v>343</v>
      </c>
    </row>
    <row r="7" spans="1:16" x14ac:dyDescent="0.35">
      <c r="A7" s="232">
        <v>6</v>
      </c>
      <c r="B7" s="233" t="s">
        <v>159</v>
      </c>
      <c r="C7" s="238">
        <v>470</v>
      </c>
      <c r="D7" s="300">
        <v>2018</v>
      </c>
      <c r="E7" s="221" t="s">
        <v>342</v>
      </c>
      <c r="G7" s="226" t="s">
        <v>351</v>
      </c>
      <c r="L7" s="226" t="s">
        <v>351</v>
      </c>
      <c r="M7" s="242">
        <v>0</v>
      </c>
      <c r="N7" s="216" t="s">
        <v>350</v>
      </c>
      <c r="O7" s="222" t="s">
        <v>343</v>
      </c>
    </row>
    <row r="8" spans="1:16" x14ac:dyDescent="0.35">
      <c r="A8" s="232">
        <v>7</v>
      </c>
      <c r="B8" s="233" t="s">
        <v>160</v>
      </c>
      <c r="C8" s="241">
        <v>4599</v>
      </c>
      <c r="D8" s="300">
        <v>2018</v>
      </c>
      <c r="E8" s="221" t="s">
        <v>342</v>
      </c>
      <c r="G8" s="226" t="s">
        <v>351</v>
      </c>
      <c r="L8" s="226" t="s">
        <v>351</v>
      </c>
      <c r="M8" s="242">
        <v>0</v>
      </c>
      <c r="N8" s="216" t="s">
        <v>350</v>
      </c>
      <c r="O8" s="222" t="s">
        <v>343</v>
      </c>
    </row>
    <row r="9" spans="1:16" x14ac:dyDescent="0.35">
      <c r="A9" s="232">
        <v>8</v>
      </c>
      <c r="B9" s="233" t="s">
        <v>161</v>
      </c>
      <c r="C9" s="241">
        <v>0</v>
      </c>
      <c r="D9" s="215">
        <v>2002</v>
      </c>
      <c r="E9" s="220" t="s">
        <v>341</v>
      </c>
      <c r="G9" s="226" t="s">
        <v>351</v>
      </c>
      <c r="L9" s="226" t="s">
        <v>351</v>
      </c>
      <c r="M9" s="242">
        <v>0</v>
      </c>
      <c r="N9" s="216" t="s">
        <v>350</v>
      </c>
      <c r="O9" s="222" t="s">
        <v>343</v>
      </c>
    </row>
    <row r="10" spans="1:16" x14ac:dyDescent="0.35">
      <c r="A10" s="232">
        <v>9</v>
      </c>
      <c r="B10" s="233" t="s">
        <v>162</v>
      </c>
      <c r="C10" s="241">
        <v>430</v>
      </c>
      <c r="D10" s="300">
        <v>2018</v>
      </c>
      <c r="E10" s="221" t="s">
        <v>342</v>
      </c>
      <c r="G10" s="226" t="s">
        <v>351</v>
      </c>
      <c r="L10" s="226" t="s">
        <v>351</v>
      </c>
      <c r="M10" s="242">
        <v>0</v>
      </c>
      <c r="N10" s="216" t="s">
        <v>350</v>
      </c>
      <c r="O10" s="222" t="s">
        <v>343</v>
      </c>
    </row>
    <row r="11" spans="1:16" x14ac:dyDescent="0.35">
      <c r="A11" s="232">
        <v>10</v>
      </c>
      <c r="B11" s="233" t="s">
        <v>163</v>
      </c>
      <c r="C11" s="241">
        <v>60</v>
      </c>
      <c r="D11" s="215">
        <v>2019</v>
      </c>
      <c r="E11" s="285" t="s">
        <v>377</v>
      </c>
      <c r="F11" s="207" t="s">
        <v>349</v>
      </c>
      <c r="G11" s="226" t="s">
        <v>351</v>
      </c>
      <c r="L11" s="226" t="s">
        <v>351</v>
      </c>
      <c r="M11" s="242">
        <v>0</v>
      </c>
      <c r="N11" s="216" t="s">
        <v>350</v>
      </c>
      <c r="O11" s="222" t="s">
        <v>343</v>
      </c>
    </row>
    <row r="12" spans="1:16" x14ac:dyDescent="0.35">
      <c r="A12" s="232">
        <v>11</v>
      </c>
      <c r="B12" s="233" t="s">
        <v>164</v>
      </c>
      <c r="C12" s="242">
        <v>0</v>
      </c>
      <c r="D12" s="216" t="s">
        <v>350</v>
      </c>
      <c r="E12" s="222" t="s">
        <v>343</v>
      </c>
      <c r="G12" s="226" t="s">
        <v>351</v>
      </c>
      <c r="L12" s="226" t="s">
        <v>351</v>
      </c>
      <c r="M12" s="242">
        <v>0</v>
      </c>
      <c r="N12" s="216" t="s">
        <v>350</v>
      </c>
      <c r="O12" s="222" t="s">
        <v>343</v>
      </c>
    </row>
    <row r="13" spans="1:16" x14ac:dyDescent="0.35">
      <c r="A13" s="232">
        <v>12</v>
      </c>
      <c r="B13" s="233" t="s">
        <v>165</v>
      </c>
      <c r="C13" s="242">
        <v>0</v>
      </c>
      <c r="D13" s="216" t="s">
        <v>350</v>
      </c>
      <c r="E13" s="222" t="s">
        <v>343</v>
      </c>
      <c r="G13" s="226" t="s">
        <v>351</v>
      </c>
      <c r="L13" s="226" t="s">
        <v>351</v>
      </c>
      <c r="M13" s="242">
        <v>0</v>
      </c>
      <c r="N13" s="216" t="s">
        <v>350</v>
      </c>
      <c r="O13" s="222" t="s">
        <v>343</v>
      </c>
    </row>
    <row r="14" spans="1:16" x14ac:dyDescent="0.35">
      <c r="A14" s="232">
        <v>13</v>
      </c>
      <c r="B14" s="233" t="s">
        <v>166</v>
      </c>
      <c r="C14" s="242">
        <f>40+3816</f>
        <v>3856</v>
      </c>
      <c r="D14" s="217">
        <v>2019</v>
      </c>
      <c r="E14" s="223" t="s">
        <v>344</v>
      </c>
      <c r="G14" s="226" t="s">
        <v>351</v>
      </c>
      <c r="H14" s="236">
        <v>97</v>
      </c>
      <c r="I14" s="217">
        <v>2019</v>
      </c>
      <c r="J14" s="223" t="s">
        <v>344</v>
      </c>
      <c r="L14" s="226" t="s">
        <v>351</v>
      </c>
      <c r="M14" s="242">
        <v>0</v>
      </c>
      <c r="N14" s="216" t="s">
        <v>350</v>
      </c>
      <c r="O14" s="222" t="s">
        <v>343</v>
      </c>
    </row>
    <row r="15" spans="1:16" x14ac:dyDescent="0.35">
      <c r="A15" s="232">
        <v>14</v>
      </c>
      <c r="B15" s="233" t="s">
        <v>167</v>
      </c>
      <c r="C15" s="238">
        <v>0</v>
      </c>
      <c r="D15" s="176">
        <v>2019</v>
      </c>
      <c r="E15" s="223" t="s">
        <v>345</v>
      </c>
      <c r="G15" s="226" t="s">
        <v>351</v>
      </c>
      <c r="L15" s="226" t="s">
        <v>351</v>
      </c>
      <c r="M15" s="207">
        <v>1</v>
      </c>
      <c r="N15" s="207">
        <v>2019</v>
      </c>
      <c r="O15" s="218" t="s">
        <v>352</v>
      </c>
      <c r="P15" s="207" t="s">
        <v>353</v>
      </c>
    </row>
    <row r="16" spans="1:16" x14ac:dyDescent="0.35">
      <c r="A16" s="232">
        <v>15</v>
      </c>
      <c r="B16" s="233" t="s">
        <v>168</v>
      </c>
      <c r="C16" s="243">
        <v>0</v>
      </c>
      <c r="D16" s="217">
        <v>2019</v>
      </c>
      <c r="E16" s="223" t="s">
        <v>346</v>
      </c>
      <c r="G16" s="226" t="s">
        <v>351</v>
      </c>
      <c r="L16" s="226" t="s">
        <v>351</v>
      </c>
      <c r="M16" s="242">
        <v>0</v>
      </c>
      <c r="N16" s="216" t="s">
        <v>350</v>
      </c>
      <c r="O16" s="222" t="s">
        <v>343</v>
      </c>
    </row>
    <row r="17" spans="1:16" x14ac:dyDescent="0.35">
      <c r="A17" s="232">
        <v>16</v>
      </c>
      <c r="B17" s="233" t="s">
        <v>169</v>
      </c>
      <c r="C17" s="243">
        <f>3160+89</f>
        <v>3249</v>
      </c>
      <c r="D17" s="217">
        <v>2019</v>
      </c>
      <c r="E17" s="223" t="s">
        <v>347</v>
      </c>
      <c r="G17" s="226" t="s">
        <v>351</v>
      </c>
      <c r="L17" s="226" t="s">
        <v>351</v>
      </c>
      <c r="M17" s="242">
        <v>0</v>
      </c>
      <c r="N17" s="216" t="s">
        <v>350</v>
      </c>
      <c r="O17" s="222" t="s">
        <v>343</v>
      </c>
    </row>
    <row r="18" spans="1:16" x14ac:dyDescent="0.35">
      <c r="A18" s="232">
        <v>17</v>
      </c>
      <c r="B18" s="233" t="s">
        <v>170</v>
      </c>
      <c r="C18" s="242">
        <v>0</v>
      </c>
      <c r="D18" s="216" t="s">
        <v>350</v>
      </c>
      <c r="E18" s="222" t="s">
        <v>343</v>
      </c>
      <c r="G18" s="226" t="s">
        <v>351</v>
      </c>
      <c r="L18" s="226" t="s">
        <v>351</v>
      </c>
      <c r="M18" s="242">
        <v>0</v>
      </c>
      <c r="N18" s="216" t="s">
        <v>350</v>
      </c>
      <c r="O18" s="222" t="s">
        <v>343</v>
      </c>
    </row>
    <row r="19" spans="1:16" x14ac:dyDescent="0.35">
      <c r="A19" s="232">
        <v>18</v>
      </c>
      <c r="B19" s="233" t="s">
        <v>171</v>
      </c>
      <c r="C19" s="238">
        <v>94</v>
      </c>
      <c r="D19" s="176">
        <v>2019</v>
      </c>
      <c r="E19" s="221" t="s">
        <v>342</v>
      </c>
      <c r="G19" s="226" t="s">
        <v>351</v>
      </c>
      <c r="L19" s="226" t="s">
        <v>351</v>
      </c>
      <c r="M19" s="242">
        <v>0</v>
      </c>
      <c r="N19" s="216" t="s">
        <v>350</v>
      </c>
      <c r="O19" s="222" t="s">
        <v>343</v>
      </c>
    </row>
    <row r="20" spans="1:16" x14ac:dyDescent="0.35">
      <c r="A20" s="232">
        <v>19</v>
      </c>
      <c r="B20" s="233" t="s">
        <v>172</v>
      </c>
      <c r="C20" s="238">
        <f>4249+1018</f>
        <v>5267</v>
      </c>
      <c r="D20" s="176">
        <v>2011</v>
      </c>
      <c r="E20" s="29" t="s">
        <v>359</v>
      </c>
      <c r="G20" s="226" t="s">
        <v>351</v>
      </c>
      <c r="L20" s="226" t="s">
        <v>351</v>
      </c>
      <c r="M20" s="242">
        <v>0</v>
      </c>
      <c r="N20" s="216" t="s">
        <v>350</v>
      </c>
      <c r="O20" s="222" t="s">
        <v>343</v>
      </c>
    </row>
    <row r="21" spans="1:16" x14ac:dyDescent="0.35">
      <c r="A21" s="232">
        <v>20</v>
      </c>
      <c r="B21" s="233" t="s">
        <v>173</v>
      </c>
      <c r="C21" s="238">
        <v>3353</v>
      </c>
      <c r="D21" s="176">
        <v>2005</v>
      </c>
      <c r="E21" s="221" t="s">
        <v>360</v>
      </c>
      <c r="G21" s="226" t="s">
        <v>351</v>
      </c>
      <c r="L21" s="226" t="s">
        <v>351</v>
      </c>
      <c r="M21" s="242">
        <v>0</v>
      </c>
      <c r="N21" s="216" t="s">
        <v>350</v>
      </c>
      <c r="O21" s="222" t="s">
        <v>343</v>
      </c>
    </row>
    <row r="22" spans="1:16" x14ac:dyDescent="0.35">
      <c r="A22" s="232">
        <v>21</v>
      </c>
      <c r="B22" s="234" t="s">
        <v>174</v>
      </c>
      <c r="C22" s="306">
        <v>3600</v>
      </c>
      <c r="D22" s="219">
        <v>2015</v>
      </c>
      <c r="E22" s="29" t="s">
        <v>362</v>
      </c>
      <c r="G22" s="226" t="s">
        <v>351</v>
      </c>
      <c r="L22" s="226" t="s">
        <v>351</v>
      </c>
      <c r="M22" s="207">
        <v>27</v>
      </c>
      <c r="N22" s="207">
        <v>2019</v>
      </c>
      <c r="O22" s="29" t="s">
        <v>361</v>
      </c>
    </row>
    <row r="23" spans="1:16" x14ac:dyDescent="0.35">
      <c r="A23" s="232">
        <v>22</v>
      </c>
      <c r="B23" s="233" t="s">
        <v>175</v>
      </c>
      <c r="C23" s="240">
        <v>5578</v>
      </c>
      <c r="D23" s="219"/>
      <c r="E23" s="29" t="s">
        <v>363</v>
      </c>
      <c r="G23" s="226" t="s">
        <v>351</v>
      </c>
      <c r="L23" s="226" t="s">
        <v>351</v>
      </c>
      <c r="M23" s="207">
        <v>69</v>
      </c>
      <c r="N23" s="207">
        <v>2018</v>
      </c>
      <c r="O23" s="29" t="s">
        <v>364</v>
      </c>
      <c r="P23" s="207" t="s">
        <v>365</v>
      </c>
    </row>
    <row r="24" spans="1:16" x14ac:dyDescent="0.35">
      <c r="A24" s="232">
        <v>23</v>
      </c>
      <c r="B24" s="233" t="s">
        <v>176</v>
      </c>
      <c r="C24" s="243">
        <f>422-147*(4/5)+70</f>
        <v>374.4</v>
      </c>
      <c r="D24" s="309">
        <v>2015</v>
      </c>
      <c r="E24" s="310" t="s">
        <v>378</v>
      </c>
      <c r="F24" s="207" t="s">
        <v>379</v>
      </c>
      <c r="G24" s="226" t="s">
        <v>351</v>
      </c>
      <c r="L24" s="226" t="s">
        <v>351</v>
      </c>
      <c r="M24" s="207">
        <v>1</v>
      </c>
      <c r="N24" s="309">
        <v>2015</v>
      </c>
      <c r="O24" s="310" t="s">
        <v>378</v>
      </c>
      <c r="P24" s="207" t="s">
        <v>380</v>
      </c>
    </row>
    <row r="25" spans="1:16" x14ac:dyDescent="0.35">
      <c r="A25" s="232">
        <v>24</v>
      </c>
      <c r="B25" s="233" t="s">
        <v>177</v>
      </c>
      <c r="C25" s="240">
        <f>1+222+0.2*(212+141)</f>
        <v>293.60000000000002</v>
      </c>
      <c r="D25" s="219">
        <v>2013</v>
      </c>
      <c r="E25" s="225" t="s">
        <v>348</v>
      </c>
      <c r="G25" s="226" t="s">
        <v>351</v>
      </c>
      <c r="L25" s="226" t="s">
        <v>351</v>
      </c>
      <c r="M25" s="242">
        <v>0</v>
      </c>
      <c r="N25" s="216" t="s">
        <v>350</v>
      </c>
      <c r="O25" s="222" t="s">
        <v>343</v>
      </c>
    </row>
    <row r="26" spans="1:16" x14ac:dyDescent="0.35">
      <c r="A26" s="232">
        <v>25</v>
      </c>
      <c r="B26" s="233" t="s">
        <v>178</v>
      </c>
      <c r="C26" s="240">
        <v>111</v>
      </c>
      <c r="D26" s="219">
        <v>2019</v>
      </c>
      <c r="E26" s="29" t="s">
        <v>381</v>
      </c>
      <c r="F26" s="207" t="s">
        <v>382</v>
      </c>
      <c r="G26" s="226" t="s">
        <v>351</v>
      </c>
      <c r="L26" s="226" t="s">
        <v>351</v>
      </c>
      <c r="M26" s="207">
        <v>1</v>
      </c>
      <c r="N26" s="219">
        <v>2019</v>
      </c>
      <c r="O26" s="29" t="s">
        <v>381</v>
      </c>
      <c r="P26" s="28" t="s">
        <v>383</v>
      </c>
    </row>
    <row r="27" spans="1:16" x14ac:dyDescent="0.35">
      <c r="A27" s="232">
        <v>26</v>
      </c>
      <c r="B27" s="233" t="s">
        <v>179</v>
      </c>
      <c r="C27" s="240">
        <v>139</v>
      </c>
      <c r="D27" s="308">
        <v>2018</v>
      </c>
      <c r="E27" s="221" t="s">
        <v>342</v>
      </c>
      <c r="G27" s="226" t="s">
        <v>351</v>
      </c>
      <c r="L27" s="226" t="s">
        <v>351</v>
      </c>
      <c r="M27" s="207">
        <v>0</v>
      </c>
      <c r="N27" s="308">
        <v>2018</v>
      </c>
      <c r="O27" s="221" t="s">
        <v>342</v>
      </c>
    </row>
    <row r="28" spans="1:16" x14ac:dyDescent="0.35">
      <c r="A28" s="232">
        <v>27</v>
      </c>
      <c r="B28" s="233" t="s">
        <v>180</v>
      </c>
      <c r="C28" s="240">
        <v>30</v>
      </c>
      <c r="D28" s="219"/>
      <c r="E28" s="29" t="s">
        <v>366</v>
      </c>
      <c r="F28" s="207" t="s">
        <v>367</v>
      </c>
      <c r="G28" s="226" t="s">
        <v>351</v>
      </c>
      <c r="L28" s="226" t="s">
        <v>351</v>
      </c>
      <c r="M28" s="207">
        <v>110</v>
      </c>
      <c r="N28" s="308">
        <v>2018</v>
      </c>
      <c r="O28" s="221" t="s">
        <v>342</v>
      </c>
      <c r="P28" s="207" t="s">
        <v>384</v>
      </c>
    </row>
    <row r="29" spans="1:16" x14ac:dyDescent="0.35">
      <c r="A29" s="232">
        <v>28</v>
      </c>
      <c r="B29" s="233" t="s">
        <v>181</v>
      </c>
      <c r="C29" s="240">
        <v>91</v>
      </c>
      <c r="D29" s="219">
        <v>2017</v>
      </c>
      <c r="E29" s="29" t="s">
        <v>368</v>
      </c>
      <c r="G29" s="226" t="s">
        <v>351</v>
      </c>
      <c r="L29" s="226" t="s">
        <v>351</v>
      </c>
      <c r="M29" s="242">
        <v>0</v>
      </c>
      <c r="N29" s="216" t="s">
        <v>350</v>
      </c>
      <c r="O29" s="222" t="s">
        <v>343</v>
      </c>
    </row>
    <row r="30" spans="1:16" x14ac:dyDescent="0.35">
      <c r="A30" s="232">
        <v>29</v>
      </c>
      <c r="B30" s="233" t="s">
        <v>182</v>
      </c>
      <c r="C30" s="240">
        <v>206</v>
      </c>
      <c r="D30" s="219">
        <v>2018</v>
      </c>
      <c r="E30" s="221" t="s">
        <v>342</v>
      </c>
      <c r="G30" s="226" t="s">
        <v>351</v>
      </c>
      <c r="L30" s="226" t="s">
        <v>351</v>
      </c>
      <c r="M30" s="242">
        <v>0</v>
      </c>
      <c r="N30" s="216" t="s">
        <v>350</v>
      </c>
      <c r="O30" s="222" t="s">
        <v>343</v>
      </c>
    </row>
    <row r="31" spans="1:16" x14ac:dyDescent="0.35">
      <c r="A31" s="232">
        <v>30</v>
      </c>
      <c r="B31" s="233" t="s">
        <v>183</v>
      </c>
      <c r="C31" s="207">
        <v>21</v>
      </c>
      <c r="D31" s="207">
        <v>2018</v>
      </c>
      <c r="E31" s="207" t="s">
        <v>385</v>
      </c>
      <c r="F31" s="207" t="s">
        <v>386</v>
      </c>
      <c r="G31" s="226" t="s">
        <v>351</v>
      </c>
      <c r="L31" s="226" t="s">
        <v>351</v>
      </c>
      <c r="M31" s="207">
        <v>1</v>
      </c>
      <c r="N31" s="207">
        <v>2018</v>
      </c>
      <c r="O31" s="207" t="s">
        <v>385</v>
      </c>
    </row>
    <row r="32" spans="1:16" x14ac:dyDescent="0.35">
      <c r="A32" s="232">
        <v>31</v>
      </c>
      <c r="B32" s="233" t="s">
        <v>184</v>
      </c>
      <c r="C32" s="240">
        <f>3105+53</f>
        <v>3158</v>
      </c>
      <c r="D32" s="219">
        <v>2017</v>
      </c>
      <c r="E32" s="29" t="s">
        <v>369</v>
      </c>
      <c r="G32" s="226" t="s">
        <v>351</v>
      </c>
      <c r="I32" s="219"/>
      <c r="J32" s="29"/>
      <c r="L32" s="226" t="s">
        <v>351</v>
      </c>
      <c r="M32" s="207">
        <v>27</v>
      </c>
      <c r="N32" s="219">
        <v>2017</v>
      </c>
      <c r="O32" s="29" t="s">
        <v>369</v>
      </c>
    </row>
    <row r="33" spans="1:16" x14ac:dyDescent="0.35">
      <c r="A33" s="232">
        <v>32</v>
      </c>
      <c r="B33" s="233" t="s">
        <v>185</v>
      </c>
      <c r="C33" s="240">
        <v>20</v>
      </c>
      <c r="D33" s="219">
        <v>2019</v>
      </c>
      <c r="E33" s="29" t="s">
        <v>370</v>
      </c>
      <c r="F33" s="207" t="s">
        <v>371</v>
      </c>
      <c r="G33" s="226" t="s">
        <v>351</v>
      </c>
      <c r="L33" s="226" t="s">
        <v>351</v>
      </c>
      <c r="M33" s="242">
        <v>0</v>
      </c>
      <c r="N33" s="216" t="s">
        <v>350</v>
      </c>
      <c r="O33" s="222" t="s">
        <v>343</v>
      </c>
    </row>
    <row r="34" spans="1:16" x14ac:dyDescent="0.35">
      <c r="A34" s="232">
        <v>33</v>
      </c>
      <c r="B34" s="233" t="s">
        <v>186</v>
      </c>
      <c r="C34" s="240">
        <f>603/3</f>
        <v>201</v>
      </c>
      <c r="D34" s="219">
        <v>2019</v>
      </c>
      <c r="E34" s="29" t="s">
        <v>372</v>
      </c>
      <c r="F34" s="207" t="s">
        <v>373</v>
      </c>
      <c r="G34" s="226" t="s">
        <v>351</v>
      </c>
      <c r="L34" s="226" t="s">
        <v>351</v>
      </c>
      <c r="M34" s="207">
        <v>2</v>
      </c>
      <c r="N34" s="207">
        <v>2012</v>
      </c>
      <c r="O34" s="207" t="s">
        <v>387</v>
      </c>
    </row>
    <row r="35" spans="1:16" x14ac:dyDescent="0.35">
      <c r="A35" s="232">
        <v>34</v>
      </c>
      <c r="B35" s="233" t="s">
        <v>187</v>
      </c>
      <c r="C35" s="240">
        <f>1061</f>
        <v>1061</v>
      </c>
      <c r="D35" s="219">
        <v>2010</v>
      </c>
      <c r="E35" s="224" t="s">
        <v>375</v>
      </c>
      <c r="F35" s="207" t="s">
        <v>376</v>
      </c>
      <c r="G35" s="226" t="s">
        <v>351</v>
      </c>
      <c r="L35" s="226" t="s">
        <v>351</v>
      </c>
      <c r="M35" s="207">
        <v>2</v>
      </c>
      <c r="N35" s="207">
        <v>2019</v>
      </c>
      <c r="O35" s="29" t="s">
        <v>374</v>
      </c>
    </row>
    <row r="36" spans="1:16" x14ac:dyDescent="0.35">
      <c r="A36" s="232">
        <v>35</v>
      </c>
      <c r="B36" s="233" t="s">
        <v>188</v>
      </c>
      <c r="C36" s="242">
        <v>0</v>
      </c>
      <c r="D36" s="216" t="s">
        <v>350</v>
      </c>
      <c r="E36" s="222" t="s">
        <v>343</v>
      </c>
      <c r="G36" s="226" t="s">
        <v>351</v>
      </c>
      <c r="L36" s="226" t="s">
        <v>351</v>
      </c>
      <c r="M36" s="242">
        <v>0</v>
      </c>
      <c r="N36" s="216">
        <v>0</v>
      </c>
      <c r="O36" s="311" t="s">
        <v>350</v>
      </c>
      <c r="P36" s="222" t="s">
        <v>343</v>
      </c>
    </row>
    <row r="37" spans="1:16" x14ac:dyDescent="0.35">
      <c r="A37" s="232">
        <v>36</v>
      </c>
      <c r="B37" s="233" t="s">
        <v>189</v>
      </c>
      <c r="C37" s="240">
        <v>49</v>
      </c>
      <c r="D37" s="219"/>
      <c r="E37" s="29" t="s">
        <v>388</v>
      </c>
      <c r="G37" s="226" t="s">
        <v>351</v>
      </c>
      <c r="L37" s="226" t="s">
        <v>351</v>
      </c>
      <c r="M37" s="207">
        <v>1</v>
      </c>
      <c r="O37" s="29" t="s">
        <v>389</v>
      </c>
      <c r="P37" s="207" t="s">
        <v>390</v>
      </c>
    </row>
    <row r="38" spans="1:16" x14ac:dyDescent="0.35">
      <c r="A38" s="232">
        <v>37</v>
      </c>
      <c r="B38" s="233" t="s">
        <v>190</v>
      </c>
      <c r="C38" s="240">
        <v>0</v>
      </c>
      <c r="D38" s="219">
        <v>2019</v>
      </c>
      <c r="E38" s="224" t="s">
        <v>392</v>
      </c>
      <c r="F38" s="207" t="s">
        <v>393</v>
      </c>
      <c r="G38" s="226" t="s">
        <v>351</v>
      </c>
      <c r="H38" s="207">
        <v>2</v>
      </c>
      <c r="I38" s="207">
        <v>2019</v>
      </c>
      <c r="J38" s="29" t="s">
        <v>392</v>
      </c>
      <c r="K38" s="207" t="s">
        <v>393</v>
      </c>
      <c r="L38" s="226" t="s">
        <v>351</v>
      </c>
      <c r="M38" s="207">
        <v>1</v>
      </c>
      <c r="N38" s="207">
        <v>1998</v>
      </c>
      <c r="O38" s="29" t="s">
        <v>391</v>
      </c>
    </row>
    <row r="39" spans="1:16" x14ac:dyDescent="0.35">
      <c r="A39" s="232">
        <v>38</v>
      </c>
      <c r="B39" s="233" t="s">
        <v>191</v>
      </c>
      <c r="C39" s="240">
        <v>0</v>
      </c>
      <c r="D39" s="219">
        <v>2016</v>
      </c>
      <c r="E39" s="29" t="s">
        <v>394</v>
      </c>
      <c r="F39" s="207" t="s">
        <v>396</v>
      </c>
      <c r="G39" s="226" t="s">
        <v>351</v>
      </c>
      <c r="L39" s="226" t="s">
        <v>351</v>
      </c>
      <c r="M39" s="207">
        <v>1</v>
      </c>
      <c r="N39" s="219">
        <v>2016</v>
      </c>
      <c r="O39" s="29" t="s">
        <v>394</v>
      </c>
      <c r="P39" s="207" t="s">
        <v>395</v>
      </c>
    </row>
    <row r="40" spans="1:16" x14ac:dyDescent="0.35">
      <c r="A40" s="232">
        <v>39</v>
      </c>
      <c r="B40" s="233" t="s">
        <v>192</v>
      </c>
      <c r="C40" s="242">
        <v>0</v>
      </c>
      <c r="D40" s="216" t="s">
        <v>350</v>
      </c>
      <c r="E40" s="222" t="s">
        <v>343</v>
      </c>
      <c r="G40" s="226" t="s">
        <v>351</v>
      </c>
      <c r="L40" s="226" t="s">
        <v>351</v>
      </c>
      <c r="M40" s="242">
        <v>0</v>
      </c>
      <c r="N40" s="216" t="s">
        <v>350</v>
      </c>
      <c r="O40" s="222" t="s">
        <v>343</v>
      </c>
    </row>
    <row r="41" spans="1:16" x14ac:dyDescent="0.35">
      <c r="A41" s="232">
        <v>40</v>
      </c>
      <c r="B41" s="233" t="s">
        <v>193</v>
      </c>
      <c r="C41" s="312">
        <v>0</v>
      </c>
      <c r="D41" s="311"/>
      <c r="E41" s="70" t="s">
        <v>397</v>
      </c>
      <c r="F41" s="207" t="s">
        <v>398</v>
      </c>
      <c r="G41" s="226" t="s">
        <v>351</v>
      </c>
      <c r="H41" s="207">
        <v>0</v>
      </c>
      <c r="J41" s="70" t="s">
        <v>397</v>
      </c>
      <c r="L41" s="226" t="s">
        <v>351</v>
      </c>
      <c r="M41" s="207">
        <v>1</v>
      </c>
      <c r="O41" s="70" t="s">
        <v>397</v>
      </c>
      <c r="P41" s="207" t="s">
        <v>399</v>
      </c>
    </row>
    <row r="42" spans="1:16" x14ac:dyDescent="0.35">
      <c r="A42" s="232">
        <v>41</v>
      </c>
      <c r="B42" s="233" t="s">
        <v>194</v>
      </c>
      <c r="C42" s="242">
        <v>0</v>
      </c>
      <c r="D42" s="216" t="s">
        <v>350</v>
      </c>
      <c r="E42" s="222" t="s">
        <v>343</v>
      </c>
      <c r="G42" s="226" t="s">
        <v>351</v>
      </c>
      <c r="L42" s="226" t="s">
        <v>351</v>
      </c>
      <c r="M42" s="242">
        <v>0</v>
      </c>
      <c r="N42" s="216" t="s">
        <v>350</v>
      </c>
      <c r="O42" s="222" t="s">
        <v>343</v>
      </c>
    </row>
    <row r="43" spans="1:16" x14ac:dyDescent="0.35">
      <c r="A43" s="232">
        <v>42</v>
      </c>
      <c r="B43" s="233" t="s">
        <v>195</v>
      </c>
      <c r="C43" s="242">
        <v>0</v>
      </c>
      <c r="D43" s="216" t="s">
        <v>350</v>
      </c>
      <c r="E43" s="222" t="s">
        <v>343</v>
      </c>
      <c r="G43" s="226" t="s">
        <v>351</v>
      </c>
      <c r="L43" s="226" t="s">
        <v>351</v>
      </c>
      <c r="M43" s="242">
        <v>0</v>
      </c>
      <c r="N43" s="216" t="s">
        <v>350</v>
      </c>
      <c r="O43" s="222" t="s">
        <v>343</v>
      </c>
    </row>
  </sheetData>
  <hyperlinks>
    <hyperlink ref="E14" r:id="rId1" xr:uid="{00000000-0004-0000-0700-000000000000}"/>
    <hyperlink ref="E15" r:id="rId2" xr:uid="{00000000-0004-0000-0700-000001000000}"/>
    <hyperlink ref="E16" r:id="rId3" xr:uid="{00000000-0004-0000-0700-000002000000}"/>
    <hyperlink ref="E17" r:id="rId4" xr:uid="{00000000-0004-0000-0700-000003000000}"/>
    <hyperlink ref="E25" r:id="rId5" xr:uid="{00000000-0004-0000-0700-000004000000}"/>
    <hyperlink ref="E11" r:id="rId6" display="https://astc.assam.gov.in/frontimpotentdata/district-wise-list-of-bus-stations" xr:uid="{00000000-0004-0000-0700-000005000000}"/>
    <hyperlink ref="J14" r:id="rId7" xr:uid="{00000000-0004-0000-0700-000006000000}"/>
    <hyperlink ref="O15" r:id="rId8" xr:uid="{00000000-0004-0000-0700-000007000000}"/>
    <hyperlink ref="E20" r:id="rId9" display="https://shodhganga.inflibnet.ac.in/bitstream/10603/163672/15/15_chapter 7.pdf" xr:uid="{00000000-0004-0000-0700-000008000000}"/>
    <hyperlink ref="O22" r:id="rId10" xr:uid="{00000000-0004-0000-0700-000009000000}"/>
    <hyperlink ref="E22" r:id="rId11" xr:uid="{00000000-0004-0000-0700-00000A000000}"/>
    <hyperlink ref="E23" r:id="rId12" xr:uid="{00000000-0004-0000-0700-00000B000000}"/>
    <hyperlink ref="O23" r:id="rId13" xr:uid="{00000000-0004-0000-0700-00000C000000}"/>
    <hyperlink ref="E28" r:id="rId14" xr:uid="{00000000-0004-0000-0700-00000D000000}"/>
    <hyperlink ref="E29" r:id="rId15" xr:uid="{00000000-0004-0000-0700-00000E000000}"/>
    <hyperlink ref="E32" r:id="rId16" xr:uid="{00000000-0004-0000-0700-00000F000000}"/>
    <hyperlink ref="O32" r:id="rId17" xr:uid="{00000000-0004-0000-0700-000010000000}"/>
    <hyperlink ref="E33" r:id="rId18" xr:uid="{00000000-0004-0000-0700-000011000000}"/>
    <hyperlink ref="E34" r:id="rId19" xr:uid="{00000000-0004-0000-0700-000012000000}"/>
    <hyperlink ref="O35" r:id="rId20" xr:uid="{00000000-0004-0000-0700-000013000000}"/>
    <hyperlink ref="E26" r:id="rId21" display="https://tcpd.py.gov.in/sites/default/files/FINAL REPORT -CDP-2036 _6-11-2019.pdf" xr:uid="{00000000-0004-0000-0700-000014000000}"/>
    <hyperlink ref="O26" r:id="rId22" display="https://tcpd.py.gov.in/sites/default/files/FINAL REPORT -CDP-2036 _6-11-2019.pdf" xr:uid="{00000000-0004-0000-0700-000015000000}"/>
    <hyperlink ref="E37" r:id="rId23" xr:uid="{00000000-0004-0000-0700-000016000000}"/>
    <hyperlink ref="O37" r:id="rId24" xr:uid="{00000000-0004-0000-0700-000017000000}"/>
    <hyperlink ref="O38" r:id="rId25" xr:uid="{00000000-0004-0000-0700-000018000000}"/>
    <hyperlink ref="J38" r:id="rId26" xr:uid="{00000000-0004-0000-0700-000019000000}"/>
    <hyperlink ref="E39" r:id="rId27" xr:uid="{00000000-0004-0000-0700-00001A000000}"/>
    <hyperlink ref="O39" r:id="rId28" xr:uid="{00000000-0004-0000-0700-00001B000000}"/>
    <hyperlink ref="E41" r:id="rId29" xr:uid="{00000000-0004-0000-0700-00001C000000}"/>
    <hyperlink ref="O41" r:id="rId30" xr:uid="{00000000-0004-0000-0700-00001D000000}"/>
    <hyperlink ref="J41" r:id="rId31" xr:uid="{00000000-0004-0000-0700-00001E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5"/>
  <sheetViews>
    <sheetView workbookViewId="0">
      <selection activeCell="C44" sqref="C44"/>
    </sheetView>
  </sheetViews>
  <sheetFormatPr defaultColWidth="8.7265625" defaultRowHeight="14.5" x14ac:dyDescent="0.35"/>
  <cols>
    <col min="1" max="1" width="6" style="207" bestFit="1" customWidth="1"/>
    <col min="2" max="2" width="13.1796875" style="207" bestFit="1" customWidth="1"/>
    <col min="3" max="3" width="28" style="28" bestFit="1" customWidth="1"/>
    <col min="4" max="7" width="9.1796875" style="283" customWidth="1"/>
    <col min="8" max="16384" width="8.7265625" style="28"/>
  </cols>
  <sheetData>
    <row r="1" spans="1:7" ht="15" thickBot="1" x14ac:dyDescent="0.4">
      <c r="A1" s="279" t="s">
        <v>144</v>
      </c>
      <c r="B1" s="280" t="s">
        <v>97</v>
      </c>
      <c r="C1" s="281" t="s">
        <v>249</v>
      </c>
      <c r="D1" s="282" t="s">
        <v>251</v>
      </c>
      <c r="E1" s="282" t="s">
        <v>287</v>
      </c>
      <c r="F1" s="282" t="s">
        <v>288</v>
      </c>
      <c r="G1" s="282" t="s">
        <v>289</v>
      </c>
    </row>
    <row r="2" spans="1:7" ht="15" thickTop="1" x14ac:dyDescent="0.35">
      <c r="A2" s="92">
        <v>1</v>
      </c>
      <c r="B2" s="94" t="s">
        <v>154</v>
      </c>
      <c r="C2" s="28" t="s">
        <v>283</v>
      </c>
      <c r="D2" s="283">
        <v>0.81858407079646023</v>
      </c>
      <c r="E2" s="283">
        <v>0.81938325991189431</v>
      </c>
      <c r="F2" s="283">
        <v>0.75179856115107913</v>
      </c>
      <c r="G2" s="283">
        <v>0.75357142857142856</v>
      </c>
    </row>
    <row r="3" spans="1:7" x14ac:dyDescent="0.35">
      <c r="A3" s="92">
        <v>2</v>
      </c>
      <c r="B3" s="94" t="s">
        <v>155</v>
      </c>
      <c r="C3" s="28" t="s">
        <v>276</v>
      </c>
      <c r="D3" s="283">
        <v>0.87459807073954987</v>
      </c>
      <c r="E3" s="283">
        <v>0.87459807073954987</v>
      </c>
      <c r="F3" s="283">
        <v>0.87459807073954987</v>
      </c>
      <c r="G3" s="283">
        <v>0.87345679012345678</v>
      </c>
    </row>
    <row r="4" spans="1:7" x14ac:dyDescent="0.35">
      <c r="A4" s="91">
        <v>3</v>
      </c>
      <c r="B4" s="94" t="s">
        <v>156</v>
      </c>
      <c r="C4" s="28" t="s">
        <v>269</v>
      </c>
      <c r="D4" s="283">
        <v>0.64054840049854589</v>
      </c>
      <c r="E4" s="283">
        <v>0.64054840049854589</v>
      </c>
      <c r="F4" s="283">
        <v>0.64066782955394963</v>
      </c>
      <c r="G4" s="283">
        <v>0.6408468244084683</v>
      </c>
    </row>
    <row r="5" spans="1:7" x14ac:dyDescent="0.35">
      <c r="A5" s="91">
        <v>4</v>
      </c>
      <c r="B5" s="94" t="s">
        <v>157</v>
      </c>
      <c r="C5" s="28" t="s">
        <v>272</v>
      </c>
      <c r="D5" s="283">
        <v>0.6953098254022595</v>
      </c>
      <c r="E5" s="283">
        <v>0.70128676470588236</v>
      </c>
      <c r="F5" s="283">
        <v>0.70128676470588236</v>
      </c>
      <c r="G5" s="283">
        <v>0.70133635013787743</v>
      </c>
    </row>
    <row r="6" spans="1:7" x14ac:dyDescent="0.35">
      <c r="A6" s="91">
        <v>5</v>
      </c>
      <c r="B6" s="94" t="s">
        <v>158</v>
      </c>
      <c r="C6" s="28" t="s">
        <v>278</v>
      </c>
      <c r="D6" s="283">
        <v>0.37340900325086784</v>
      </c>
      <c r="E6" s="283">
        <v>0.37060702875399359</v>
      </c>
      <c r="F6" s="283">
        <v>0.37071284465366511</v>
      </c>
      <c r="G6" s="283">
        <v>0.60908797937479853</v>
      </c>
    </row>
    <row r="7" spans="1:7" x14ac:dyDescent="0.35">
      <c r="A7" s="91">
        <v>6</v>
      </c>
      <c r="B7" s="94" t="s">
        <v>159</v>
      </c>
      <c r="C7" s="28" t="s">
        <v>279</v>
      </c>
      <c r="D7" s="283">
        <v>0.80606060606060603</v>
      </c>
      <c r="E7" s="283">
        <v>0.80606060606060603</v>
      </c>
      <c r="F7" s="283">
        <v>0.80606060606060603</v>
      </c>
      <c r="G7" s="283">
        <v>0.80606060606060603</v>
      </c>
    </row>
    <row r="8" spans="1:7" x14ac:dyDescent="0.35">
      <c r="A8" s="91">
        <v>7</v>
      </c>
      <c r="B8" s="94" t="s">
        <v>160</v>
      </c>
      <c r="C8" s="28" t="s">
        <v>282</v>
      </c>
      <c r="D8" s="283">
        <v>0.84218919072840137</v>
      </c>
      <c r="E8" s="283">
        <v>0.84222209573680917</v>
      </c>
      <c r="F8" s="283">
        <v>0.84232388756116994</v>
      </c>
      <c r="G8" s="283">
        <v>0.84233875554544424</v>
      </c>
    </row>
    <row r="9" spans="1:7" x14ac:dyDescent="0.35">
      <c r="A9" s="91">
        <v>8</v>
      </c>
      <c r="B9" s="94" t="s">
        <v>161</v>
      </c>
      <c r="C9" s="28" t="s">
        <v>260</v>
      </c>
      <c r="D9" s="283">
        <v>0.93333333333333335</v>
      </c>
      <c r="E9" s="283">
        <v>1</v>
      </c>
      <c r="F9" s="283">
        <v>1</v>
      </c>
      <c r="G9" s="283">
        <v>1</v>
      </c>
    </row>
    <row r="10" spans="1:7" x14ac:dyDescent="0.35">
      <c r="A10" s="91">
        <v>9</v>
      </c>
      <c r="B10" s="94" t="s">
        <v>162</v>
      </c>
      <c r="C10" s="28" t="s">
        <v>285</v>
      </c>
      <c r="D10" s="283">
        <v>0.76264834478450971</v>
      </c>
      <c r="E10" s="283">
        <v>0.71355853771402133</v>
      </c>
      <c r="F10" s="283">
        <v>0.71031835628810114</v>
      </c>
      <c r="G10" s="283">
        <v>0.71041433370660689</v>
      </c>
    </row>
    <row r="11" spans="1:7" x14ac:dyDescent="0.35">
      <c r="A11" s="91">
        <v>10</v>
      </c>
      <c r="B11" s="94" t="s">
        <v>163</v>
      </c>
      <c r="C11" s="28" t="s">
        <v>255</v>
      </c>
      <c r="D11" s="283">
        <v>0.6300678614929528</v>
      </c>
      <c r="E11" s="283">
        <v>0.69460891243377998</v>
      </c>
      <c r="F11" s="283">
        <v>0.70214723926380374</v>
      </c>
      <c r="G11" s="283">
        <v>0.70423169267707086</v>
      </c>
    </row>
    <row r="12" spans="1:7" x14ac:dyDescent="0.35">
      <c r="A12" s="91">
        <v>11</v>
      </c>
      <c r="B12" s="94" t="s">
        <v>164</v>
      </c>
      <c r="C12" s="28" t="s">
        <v>263</v>
      </c>
      <c r="D12" s="283">
        <v>0.77706412514244272</v>
      </c>
      <c r="E12" s="283">
        <v>0.76793368188026945</v>
      </c>
      <c r="F12" s="283">
        <v>0.7733677134174417</v>
      </c>
      <c r="G12" s="283">
        <v>0.77304375893392352</v>
      </c>
    </row>
    <row r="13" spans="1:7" x14ac:dyDescent="0.35">
      <c r="A13" s="91">
        <v>12</v>
      </c>
      <c r="B13" s="94" t="s">
        <v>165</v>
      </c>
      <c r="C13" s="28" t="s">
        <v>281</v>
      </c>
      <c r="D13" s="283">
        <v>1</v>
      </c>
      <c r="E13" s="283">
        <v>1</v>
      </c>
      <c r="F13" s="283">
        <v>1</v>
      </c>
      <c r="G13" s="283">
        <v>1</v>
      </c>
    </row>
    <row r="14" spans="1:7" x14ac:dyDescent="0.35">
      <c r="A14" s="91">
        <v>13</v>
      </c>
      <c r="B14" s="94" t="s">
        <v>166</v>
      </c>
      <c r="C14" s="28" t="s">
        <v>253</v>
      </c>
      <c r="D14" s="283">
        <v>0.79353576346112042</v>
      </c>
      <c r="E14" s="283">
        <v>0.79371515458692343</v>
      </c>
      <c r="F14" s="283">
        <v>0.79384949348769895</v>
      </c>
      <c r="G14" s="283">
        <v>0.79419201040236942</v>
      </c>
    </row>
    <row r="15" spans="1:7" x14ac:dyDescent="0.35">
      <c r="A15" s="91">
        <v>14</v>
      </c>
      <c r="B15" s="94" t="s">
        <v>167</v>
      </c>
      <c r="C15" s="28" t="s">
        <v>274</v>
      </c>
      <c r="D15" s="283">
        <v>0.6785714285714286</v>
      </c>
      <c r="E15" s="283">
        <v>0.6785714285714286</v>
      </c>
      <c r="F15" s="283">
        <v>0.6785714285714286</v>
      </c>
      <c r="G15" s="283">
        <v>0.7345971563981043</v>
      </c>
    </row>
    <row r="16" spans="1:7" x14ac:dyDescent="0.35">
      <c r="A16" s="91">
        <v>15</v>
      </c>
      <c r="B16" s="94" t="s">
        <v>168</v>
      </c>
      <c r="C16" s="28" t="s">
        <v>254</v>
      </c>
      <c r="D16" s="283">
        <v>1</v>
      </c>
      <c r="E16" s="283">
        <v>1</v>
      </c>
      <c r="F16" s="283">
        <v>1</v>
      </c>
      <c r="G16" s="283">
        <v>1</v>
      </c>
    </row>
    <row r="17" spans="1:7" x14ac:dyDescent="0.35">
      <c r="A17" s="91">
        <v>16</v>
      </c>
      <c r="B17" s="94" t="s">
        <v>169</v>
      </c>
      <c r="C17" s="28" t="s">
        <v>280</v>
      </c>
      <c r="D17" s="283">
        <v>0.83794969754855142</v>
      </c>
      <c r="E17" s="283">
        <v>0.83794969754855142</v>
      </c>
      <c r="F17" s="283">
        <v>0.83794969754855142</v>
      </c>
      <c r="G17" s="283">
        <v>0.83794969754855142</v>
      </c>
    </row>
    <row r="18" spans="1:7" x14ac:dyDescent="0.35">
      <c r="A18" s="91">
        <v>17</v>
      </c>
      <c r="B18" s="94" t="s">
        <v>170</v>
      </c>
      <c r="C18" s="28" t="s">
        <v>271</v>
      </c>
      <c r="D18" s="283">
        <v>1</v>
      </c>
      <c r="E18" s="283">
        <v>1</v>
      </c>
      <c r="F18" s="283">
        <v>1</v>
      </c>
      <c r="G18" s="283">
        <v>1</v>
      </c>
    </row>
    <row r="19" spans="1:7" x14ac:dyDescent="0.35">
      <c r="A19" s="91">
        <v>18</v>
      </c>
      <c r="B19" s="94" t="s">
        <v>171</v>
      </c>
      <c r="C19" s="28" t="s">
        <v>277</v>
      </c>
      <c r="D19" s="283">
        <v>0.97894736842105268</v>
      </c>
      <c r="E19" s="283">
        <v>0.97959183673469385</v>
      </c>
      <c r="F19" s="283">
        <v>0.97959183673469385</v>
      </c>
      <c r="G19" s="283">
        <v>0.97959183673469385</v>
      </c>
    </row>
    <row r="20" spans="1:7" x14ac:dyDescent="0.35">
      <c r="A20" s="91">
        <v>19</v>
      </c>
      <c r="B20" s="94" t="s">
        <v>172</v>
      </c>
      <c r="C20" s="28" t="s">
        <v>286</v>
      </c>
      <c r="D20" s="283">
        <v>0.6643575418994413</v>
      </c>
      <c r="E20" s="283">
        <v>0.65422705587084817</v>
      </c>
      <c r="F20" s="283">
        <v>0.67745374939031999</v>
      </c>
      <c r="G20" s="283">
        <v>0.69945529258114869</v>
      </c>
    </row>
    <row r="21" spans="1:7" x14ac:dyDescent="0.35">
      <c r="A21" s="91">
        <v>20</v>
      </c>
      <c r="B21" s="94" t="s">
        <v>173</v>
      </c>
      <c r="C21" s="28" t="s">
        <v>284</v>
      </c>
      <c r="D21" s="283">
        <v>0.65633957174169621</v>
      </c>
      <c r="E21" s="283">
        <v>0.65729246694432086</v>
      </c>
      <c r="F21" s="283">
        <v>0.65694967566436491</v>
      </c>
      <c r="G21" s="283">
        <v>0.65699901928734883</v>
      </c>
    </row>
    <row r="22" spans="1:7" x14ac:dyDescent="0.35">
      <c r="A22" s="91">
        <v>21</v>
      </c>
      <c r="B22" s="94" t="s">
        <v>174</v>
      </c>
      <c r="C22" s="28" t="s">
        <v>273</v>
      </c>
      <c r="D22" s="283">
        <v>0.74370799195407933</v>
      </c>
      <c r="E22" s="283">
        <v>0.74463593067216571</v>
      </c>
      <c r="F22" s="283">
        <v>0.74504901960784309</v>
      </c>
      <c r="G22" s="283">
        <v>0.74518547557210757</v>
      </c>
    </row>
    <row r="23" spans="1:7" x14ac:dyDescent="0.35">
      <c r="A23" s="91">
        <v>22</v>
      </c>
      <c r="B23" s="94" t="s">
        <v>175</v>
      </c>
      <c r="C23" s="28" t="s">
        <v>261</v>
      </c>
      <c r="D23" s="283">
        <v>0.70137862275243235</v>
      </c>
      <c r="E23" s="283">
        <v>0.70137862275243235</v>
      </c>
      <c r="F23" s="283">
        <v>0.70138888888888884</v>
      </c>
      <c r="G23" s="283">
        <v>0.70141300237219373</v>
      </c>
    </row>
    <row r="24" spans="1:7" x14ac:dyDescent="0.35">
      <c r="A24" s="91">
        <v>23</v>
      </c>
      <c r="B24" s="94" t="s">
        <v>176</v>
      </c>
      <c r="C24" s="28" t="s">
        <v>262</v>
      </c>
      <c r="D24" s="283">
        <v>0.89522212908633692</v>
      </c>
      <c r="E24" s="283">
        <v>0.89529914529914534</v>
      </c>
      <c r="F24" s="283">
        <v>0.8720682302771855</v>
      </c>
      <c r="G24" s="283">
        <v>0.86638830897703545</v>
      </c>
    </row>
    <row r="25" spans="1:7" x14ac:dyDescent="0.35">
      <c r="A25" s="91">
        <v>24</v>
      </c>
      <c r="B25" s="94" t="s">
        <v>177</v>
      </c>
      <c r="C25" s="28" t="s">
        <v>256</v>
      </c>
      <c r="D25" s="283">
        <v>0.45585549015628174</v>
      </c>
      <c r="E25" s="283">
        <v>0.45681265206812655</v>
      </c>
      <c r="F25" s="283">
        <v>0.45674390367297379</v>
      </c>
      <c r="G25" s="283">
        <v>0.46075187969924813</v>
      </c>
    </row>
    <row r="26" spans="1:7" x14ac:dyDescent="0.35">
      <c r="A26" s="91">
        <v>25</v>
      </c>
      <c r="B26" s="94" t="s">
        <v>178</v>
      </c>
      <c r="C26" s="28" t="s">
        <v>303</v>
      </c>
      <c r="D26" s="283">
        <v>0.96221322537112008</v>
      </c>
      <c r="E26" s="283">
        <v>0.95888594164456231</v>
      </c>
      <c r="F26" s="283">
        <v>0.96223958333333337</v>
      </c>
      <c r="G26" s="283">
        <v>0.95969773299748107</v>
      </c>
    </row>
    <row r="27" spans="1:7" s="88" customFormat="1" x14ac:dyDescent="0.35">
      <c r="A27" s="92">
        <v>26</v>
      </c>
      <c r="B27" s="94" t="s">
        <v>179</v>
      </c>
      <c r="C27" s="28" t="s">
        <v>252</v>
      </c>
      <c r="D27" s="283">
        <v>1</v>
      </c>
      <c r="E27" s="283">
        <v>1</v>
      </c>
      <c r="F27" s="283">
        <v>1</v>
      </c>
      <c r="G27" s="283">
        <v>1</v>
      </c>
    </row>
    <row r="28" spans="1:7" x14ac:dyDescent="0.35">
      <c r="A28" s="91">
        <v>27</v>
      </c>
      <c r="B28" s="94" t="s">
        <v>180</v>
      </c>
      <c r="C28" s="28" t="s">
        <v>258</v>
      </c>
      <c r="D28" s="283">
        <v>0.75736303982908593</v>
      </c>
      <c r="E28" s="283">
        <v>0.75724479394204169</v>
      </c>
      <c r="F28" s="283">
        <v>0.75689325689325693</v>
      </c>
      <c r="G28" s="283">
        <v>0.75644378035113935</v>
      </c>
    </row>
    <row r="29" spans="1:7" x14ac:dyDescent="0.35">
      <c r="A29" s="91">
        <v>28</v>
      </c>
      <c r="B29" s="94" t="s">
        <v>181</v>
      </c>
      <c r="C29" s="28" t="s">
        <v>268</v>
      </c>
      <c r="D29" s="283">
        <v>0.95846645367412142</v>
      </c>
      <c r="E29" s="283">
        <v>0.91828793774319062</v>
      </c>
      <c r="F29" s="283">
        <v>0.91828793774319062</v>
      </c>
      <c r="G29" s="283">
        <v>0.91828793774319062</v>
      </c>
    </row>
    <row r="30" spans="1:7" x14ac:dyDescent="0.35">
      <c r="A30" s="91">
        <v>29</v>
      </c>
      <c r="B30" s="94" t="s">
        <v>182</v>
      </c>
      <c r="C30" s="28" t="s">
        <v>275</v>
      </c>
      <c r="D30" s="283">
        <v>0.90243902439024393</v>
      </c>
      <c r="E30" s="283">
        <v>0.96363636363636362</v>
      </c>
      <c r="F30" s="283">
        <v>0.96363636363636362</v>
      </c>
      <c r="G30" s="283">
        <v>0.96363636363636362</v>
      </c>
    </row>
    <row r="31" spans="1:7" x14ac:dyDescent="0.35">
      <c r="A31" s="91">
        <v>30</v>
      </c>
      <c r="B31" s="94" t="s">
        <v>183</v>
      </c>
      <c r="C31" s="28" t="s">
        <v>259</v>
      </c>
      <c r="D31" s="283" t="s">
        <v>290</v>
      </c>
      <c r="E31" s="283" t="s">
        <v>290</v>
      </c>
      <c r="F31" s="283" t="s">
        <v>290</v>
      </c>
      <c r="G31" s="283" t="s">
        <v>290</v>
      </c>
    </row>
    <row r="32" spans="1:7" x14ac:dyDescent="0.35">
      <c r="A32" s="91">
        <v>31</v>
      </c>
      <c r="B32" s="94" t="s">
        <v>184</v>
      </c>
      <c r="C32" s="28" t="s">
        <v>265</v>
      </c>
      <c r="D32" s="283">
        <v>0.78459409594095941</v>
      </c>
      <c r="E32" s="283">
        <v>0.80352177942539393</v>
      </c>
      <c r="F32" s="283">
        <v>0.79445202364711232</v>
      </c>
      <c r="G32" s="283">
        <v>0.79846362403976501</v>
      </c>
    </row>
    <row r="33" spans="1:7" x14ac:dyDescent="0.35">
      <c r="A33" s="91">
        <v>32</v>
      </c>
      <c r="B33" s="94" t="s">
        <v>185</v>
      </c>
      <c r="C33" s="28" t="s">
        <v>267</v>
      </c>
      <c r="D33" s="283">
        <v>0.99432463110102154</v>
      </c>
      <c r="E33" s="283">
        <v>0.99432463110102154</v>
      </c>
      <c r="F33" s="283">
        <v>0.99432463110102154</v>
      </c>
      <c r="G33" s="283">
        <v>0.99432463110102154</v>
      </c>
    </row>
    <row r="34" spans="1:7" x14ac:dyDescent="0.35">
      <c r="A34" s="91">
        <v>33</v>
      </c>
      <c r="B34" s="94" t="s">
        <v>186</v>
      </c>
      <c r="C34" s="28" t="s">
        <v>270</v>
      </c>
      <c r="D34" s="283">
        <v>0.81781924900293479</v>
      </c>
      <c r="E34" s="283">
        <v>0.81778513391513696</v>
      </c>
      <c r="F34" s="283">
        <v>0.81783995186522263</v>
      </c>
      <c r="G34" s="283">
        <v>0.81796317173994737</v>
      </c>
    </row>
    <row r="35" spans="1:7" x14ac:dyDescent="0.35">
      <c r="A35" s="91">
        <v>34</v>
      </c>
      <c r="B35" s="94" t="s">
        <v>187</v>
      </c>
      <c r="C35" s="84" t="s">
        <v>253</v>
      </c>
      <c r="D35" s="85">
        <v>0.79353576346112042</v>
      </c>
      <c r="E35" s="85">
        <v>0.79371515458692343</v>
      </c>
      <c r="F35" s="85">
        <v>0.79384949348769895</v>
      </c>
      <c r="G35" s="85">
        <v>0.79419201040236942</v>
      </c>
    </row>
    <row r="36" spans="1:7" x14ac:dyDescent="0.35">
      <c r="A36" s="91">
        <v>35</v>
      </c>
      <c r="B36" s="94" t="s">
        <v>188</v>
      </c>
      <c r="C36" s="86" t="s">
        <v>264</v>
      </c>
      <c r="D36" s="87">
        <v>0.74064490445859876</v>
      </c>
      <c r="E36" s="87">
        <v>0.68687374749498997</v>
      </c>
      <c r="F36" s="87">
        <v>0.72298877455565946</v>
      </c>
      <c r="G36" s="87">
        <v>0.65427995971802622</v>
      </c>
    </row>
    <row r="37" spans="1:7" x14ac:dyDescent="0.35">
      <c r="A37" s="91">
        <v>36</v>
      </c>
      <c r="B37" s="94" t="s">
        <v>189</v>
      </c>
      <c r="C37" s="84" t="s">
        <v>273</v>
      </c>
      <c r="D37" s="85">
        <v>0.74370799195407933</v>
      </c>
      <c r="E37" s="85">
        <v>0.74463593067216571</v>
      </c>
      <c r="F37" s="85">
        <v>0.74504901960784309</v>
      </c>
      <c r="G37" s="85">
        <v>0.74518547557210757</v>
      </c>
    </row>
    <row r="38" spans="1:7" x14ac:dyDescent="0.35">
      <c r="A38" s="91">
        <v>37</v>
      </c>
      <c r="B38" s="94" t="s">
        <v>190</v>
      </c>
      <c r="C38" s="28" t="s">
        <v>264</v>
      </c>
      <c r="D38" s="283">
        <v>0.74064490445859876</v>
      </c>
      <c r="E38" s="283">
        <v>0.68687374749498997</v>
      </c>
      <c r="F38" s="283">
        <v>0.72298877455565946</v>
      </c>
      <c r="G38" s="283">
        <v>0.65427995971802622</v>
      </c>
    </row>
    <row r="39" spans="1:7" s="86" customFormat="1" x14ac:dyDescent="0.35">
      <c r="A39" s="91">
        <v>38</v>
      </c>
      <c r="B39" s="94" t="s">
        <v>191</v>
      </c>
      <c r="C39" s="86" t="s">
        <v>279</v>
      </c>
      <c r="D39" s="87">
        <v>0.80606060606060603</v>
      </c>
      <c r="E39" s="87">
        <v>0.80606060606060603</v>
      </c>
      <c r="F39" s="87">
        <v>0.80606060606060603</v>
      </c>
      <c r="G39" s="87">
        <v>0.80606060606060603</v>
      </c>
    </row>
    <row r="40" spans="1:7" x14ac:dyDescent="0.35">
      <c r="A40" s="91">
        <v>39</v>
      </c>
      <c r="B40" s="94" t="s">
        <v>192</v>
      </c>
      <c r="C40" s="86" t="s">
        <v>282</v>
      </c>
      <c r="D40" s="87">
        <v>0.84218919072840137</v>
      </c>
      <c r="E40" s="87">
        <v>0.84222209573680917</v>
      </c>
      <c r="F40" s="87">
        <v>0.84232388756116994</v>
      </c>
      <c r="G40" s="87">
        <v>0.84233875554544424</v>
      </c>
    </row>
    <row r="41" spans="1:7" x14ac:dyDescent="0.35">
      <c r="A41" s="91">
        <v>40</v>
      </c>
      <c r="B41" s="94" t="s">
        <v>193</v>
      </c>
      <c r="C41" s="86" t="s">
        <v>255</v>
      </c>
      <c r="D41" s="87">
        <v>0.6300678614929528</v>
      </c>
      <c r="E41" s="87">
        <v>0.69460891243377998</v>
      </c>
      <c r="F41" s="87">
        <v>0.70214723926380374</v>
      </c>
      <c r="G41" s="87">
        <v>0.70423169267707086</v>
      </c>
    </row>
    <row r="42" spans="1:7" x14ac:dyDescent="0.35">
      <c r="A42" s="91">
        <v>41</v>
      </c>
      <c r="B42" s="94" t="s">
        <v>194</v>
      </c>
      <c r="C42" s="86" t="s">
        <v>267</v>
      </c>
      <c r="D42" s="87">
        <v>0.99432463110102154</v>
      </c>
      <c r="E42" s="87">
        <v>0.99432463110102154</v>
      </c>
      <c r="F42" s="87">
        <v>0.99432463110102154</v>
      </c>
      <c r="G42" s="87">
        <v>0.99432463110102154</v>
      </c>
    </row>
    <row r="43" spans="1:7" x14ac:dyDescent="0.35">
      <c r="A43" s="91">
        <v>42</v>
      </c>
      <c r="B43" s="94" t="s">
        <v>195</v>
      </c>
      <c r="C43" s="28" t="s">
        <v>255</v>
      </c>
      <c r="D43" s="283">
        <v>0.6300678614929528</v>
      </c>
      <c r="E43" s="283">
        <v>0.69460891243377998</v>
      </c>
      <c r="F43" s="283">
        <v>0.70214723926380374</v>
      </c>
      <c r="G43" s="283">
        <v>0.70423169267707086</v>
      </c>
    </row>
    <row r="44" spans="1:7" x14ac:dyDescent="0.35">
      <c r="A44" s="93"/>
      <c r="B44" s="95"/>
      <c r="C44" s="88" t="s">
        <v>266</v>
      </c>
      <c r="D44" s="89" t="s">
        <v>290</v>
      </c>
      <c r="E44" s="89">
        <v>0.69095135927576634</v>
      </c>
      <c r="F44" s="89">
        <v>0.6950306499986334</v>
      </c>
      <c r="G44" s="89">
        <v>0.70875754845947081</v>
      </c>
    </row>
    <row r="45" spans="1:7" x14ac:dyDescent="0.35">
      <c r="B45" s="103" t="s">
        <v>332</v>
      </c>
    </row>
  </sheetData>
  <autoFilter ref="A1:G1" xr:uid="{00000000-0009-0000-0000-000008000000}">
    <sortState xmlns:xlrd2="http://schemas.microsoft.com/office/spreadsheetml/2017/richdata2" ref="A2:G45">
      <sortCondition ref="A1"/>
    </sortState>
  </autoFilter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9A44DC6532149868339A1A082B6A5" ma:contentTypeVersion="2" ma:contentTypeDescription="Create a new document." ma:contentTypeScope="" ma:versionID="ffe931a9c1a3f48ebabfd74be3cd934b">
  <xsd:schema xmlns:xsd="http://www.w3.org/2001/XMLSchema" xmlns:xs="http://www.w3.org/2001/XMLSchema" xmlns:p="http://schemas.microsoft.com/office/2006/metadata/properties" xmlns:ns3="676520f3-30c9-413e-b187-6f4645badb48" targetNamespace="http://schemas.microsoft.com/office/2006/metadata/properties" ma:root="true" ma:fieldsID="18bc60e34efddf467f7284cdb5b1d70d" ns3:_="">
    <xsd:import namespace="676520f3-30c9-413e-b187-6f4645badb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520f3-30c9-413e-b187-6f4645badb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1C6468-EA64-40A2-AF4E-43FC380B2854}">
  <ds:schemaRefs>
    <ds:schemaRef ds:uri="http://www.w3.org/XML/1998/namespace"/>
    <ds:schemaRef ds:uri="http://schemas.openxmlformats.org/package/2006/metadata/core-properties"/>
    <ds:schemaRef ds:uri="676520f3-30c9-413e-b187-6f4645badb48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CDFE2C-8C80-4C20-BDD9-53CF1C4F39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5EC5CE-D34F-4FEF-972E-783414DBC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520f3-30c9-413e-b187-6f4645badb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Sheet - Transportation</vt:lpstr>
      <vt:lpstr>Cost Calculations</vt:lpstr>
      <vt:lpstr>Variables</vt:lpstr>
      <vt:lpstr>Area</vt:lpstr>
      <vt:lpstr>Population</vt:lpstr>
      <vt:lpstr>Household Information</vt:lpstr>
      <vt:lpstr>Urban road length (WDI)</vt:lpstr>
      <vt:lpstr>Existing Fleet</vt:lpstr>
      <vt:lpstr>% Urban Roads Surfaced (WDI)</vt:lpstr>
      <vt:lpstr>Standard bus O&amp;M</vt:lpstr>
      <vt:lpstr>Road Proportions</vt:lpstr>
      <vt:lpstr>CPI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Suzanne Schadel</cp:lastModifiedBy>
  <dcterms:created xsi:type="dcterms:W3CDTF">2019-07-15T11:45:00Z</dcterms:created>
  <dcterms:modified xsi:type="dcterms:W3CDTF">2020-01-28T21:45:45Z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0x01010052E9A44DC6532149868339A1A082B6A5</vt:lpwstr>
  </property>
</Properties>
</file>