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zan\OneDrive\DOCUME~1\Adulting\Jobs\AIDDAT~1\UNHABI~1\Report\MALAYS~1\"/>
    </mc:Choice>
  </mc:AlternateContent>
  <xr:revisionPtr revIDLastSave="0" documentId="8_{C16E8251-2B8F-4F61-9652-CE725D1FF04C}" xr6:coauthVersionLast="44" xr6:coauthVersionMax="44" xr10:uidLastSave="{00000000-0000-0000-0000-000000000000}"/>
  <bookViews>
    <workbookView xWindow="28680" yWindow="-120" windowWidth="19440" windowHeight="15000" activeTab="1" xr2:uid="{00000000-000D-0000-FFFF-FFFF00000000}"/>
  </bookViews>
  <sheets>
    <sheet name="Summary Sheet - Solid Waste" sheetId="1" r:id="rId1"/>
    <sheet name="Cost Calculation" sheetId="2" r:id="rId2"/>
    <sheet name="Variables" sheetId="3" r:id="rId3"/>
    <sheet name="Household Information" sheetId="8" state="hidden" r:id="rId4"/>
    <sheet name="Existing landfills" sheetId="5" state="hidden" r:id="rId5"/>
    <sheet name="Waste per capita" sheetId="6" state="hidden" r:id="rId6"/>
    <sheet name="Population" sheetId="4" state="hidden" r:id="rId7"/>
    <sheet name="Land costs" sheetId="7" r:id="rId8"/>
    <sheet name="Sanitary Landfilling" sheetId="9" state="hidden" r:id="rId9"/>
  </sheets>
  <externalReferences>
    <externalReference r:id="rId10"/>
    <externalReference r:id="rId11"/>
  </externalReferences>
  <definedNames>
    <definedName name="_xlnm._FilterDatabase" localSheetId="4" hidden="1">'Existing landfills'!$A$1:$I$1</definedName>
    <definedName name="_xlnm._FilterDatabase" localSheetId="5" hidden="1">'Waste per capita'!$A$1:$I$1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2" roundtripDataSignature="AMtx7mgbeIDB4Wf/OIanGZdZCsy8X55zGA=="/>
    </ext>
  </extLst>
</workbook>
</file>

<file path=xl/calcChain.xml><?xml version="1.0" encoding="utf-8"?>
<calcChain xmlns="http://schemas.openxmlformats.org/spreadsheetml/2006/main">
  <c r="E17" i="7" l="1"/>
  <c r="E9" i="7"/>
  <c r="E11" i="7"/>
  <c r="E15" i="7"/>
  <c r="E16" i="7"/>
  <c r="E24" i="7"/>
  <c r="E26" i="7"/>
  <c r="E28" i="7"/>
  <c r="Z6" i="2" l="1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4" i="2"/>
  <c r="Z5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4" i="2"/>
  <c r="E2" i="4" l="1"/>
  <c r="F2" i="4"/>
  <c r="G2" i="4"/>
  <c r="H2" i="4"/>
  <c r="I2" i="4"/>
  <c r="J2" i="4"/>
  <c r="K2" i="4"/>
  <c r="L2" i="4"/>
  <c r="M2" i="4"/>
  <c r="N2" i="4"/>
  <c r="O2" i="4"/>
  <c r="E3" i="4"/>
  <c r="F3" i="4"/>
  <c r="G3" i="4"/>
  <c r="H3" i="4"/>
  <c r="I3" i="4"/>
  <c r="J3" i="4"/>
  <c r="K3" i="4"/>
  <c r="L3" i="4"/>
  <c r="M3" i="4"/>
  <c r="N3" i="4"/>
  <c r="O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O7" i="4"/>
  <c r="E8" i="4"/>
  <c r="F8" i="4"/>
  <c r="G8" i="4"/>
  <c r="H8" i="4"/>
  <c r="I8" i="4"/>
  <c r="J8" i="4"/>
  <c r="K8" i="4"/>
  <c r="L8" i="4"/>
  <c r="M8" i="4"/>
  <c r="N8" i="4"/>
  <c r="O8" i="4"/>
  <c r="E9" i="4"/>
  <c r="F9" i="4"/>
  <c r="G9" i="4"/>
  <c r="H9" i="4"/>
  <c r="I9" i="4"/>
  <c r="J9" i="4"/>
  <c r="K9" i="4"/>
  <c r="L9" i="4"/>
  <c r="M9" i="4"/>
  <c r="N9" i="4"/>
  <c r="O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C12" i="4"/>
  <c r="C10" i="4"/>
  <c r="C7" i="4"/>
  <c r="C3" i="4"/>
  <c r="M12" i="6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4" i="2"/>
  <c r="E36" i="7"/>
  <c r="E29" i="7"/>
  <c r="E30" i="7"/>
  <c r="E31" i="7"/>
  <c r="E32" i="7"/>
  <c r="E4" i="7"/>
  <c r="E2" i="7"/>
  <c r="K6" i="7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3" i="2"/>
  <c r="Y4" i="2"/>
  <c r="B18" i="9"/>
  <c r="B21" i="9" s="1"/>
  <c r="B17" i="9"/>
  <c r="B20" i="9" s="1"/>
  <c r="B16" i="9"/>
  <c r="B19" i="9" s="1"/>
  <c r="B10" i="9"/>
  <c r="B9" i="9"/>
  <c r="B22" i="9" l="1"/>
  <c r="D18" i="3" s="1"/>
  <c r="T8" i="2" l="1"/>
  <c r="T12" i="2"/>
  <c r="T16" i="2"/>
  <c r="T20" i="2"/>
  <c r="T24" i="2"/>
  <c r="T28" i="2"/>
  <c r="T32" i="2"/>
  <c r="T36" i="2"/>
  <c r="T40" i="2"/>
  <c r="T44" i="2"/>
  <c r="T48" i="2"/>
  <c r="T52" i="2"/>
  <c r="T56" i="2"/>
  <c r="T60" i="2"/>
  <c r="T64" i="2"/>
  <c r="T68" i="2"/>
  <c r="T72" i="2"/>
  <c r="T76" i="2"/>
  <c r="T80" i="2"/>
  <c r="T84" i="2"/>
  <c r="T88" i="2"/>
  <c r="T92" i="2"/>
  <c r="T96" i="2"/>
  <c r="T100" i="2"/>
  <c r="T104" i="2"/>
  <c r="T108" i="2"/>
  <c r="T112" i="2"/>
  <c r="T116" i="2"/>
  <c r="T120" i="2"/>
  <c r="T124" i="2"/>
  <c r="T128" i="2"/>
  <c r="T132" i="2"/>
  <c r="T136" i="2"/>
  <c r="T140" i="2"/>
  <c r="T144" i="2"/>
  <c r="T148" i="2"/>
  <c r="T152" i="2"/>
  <c r="T156" i="2"/>
  <c r="T160" i="2"/>
  <c r="T164" i="2"/>
  <c r="T168" i="2"/>
  <c r="T172" i="2"/>
  <c r="T176" i="2"/>
  <c r="T180" i="2"/>
  <c r="T184" i="2"/>
  <c r="T188" i="2"/>
  <c r="T192" i="2"/>
  <c r="T196" i="2"/>
  <c r="T200" i="2"/>
  <c r="T204" i="2"/>
  <c r="T208" i="2"/>
  <c r="T212" i="2"/>
  <c r="T216" i="2"/>
  <c r="T220" i="2"/>
  <c r="T224" i="2"/>
  <c r="T228" i="2"/>
  <c r="T232" i="2"/>
  <c r="T236" i="2"/>
  <c r="T240" i="2"/>
  <c r="T4" i="2"/>
  <c r="T35" i="2"/>
  <c r="T55" i="2"/>
  <c r="T67" i="2"/>
  <c r="T79" i="2"/>
  <c r="T91" i="2"/>
  <c r="T99" i="2"/>
  <c r="T111" i="2"/>
  <c r="T119" i="2"/>
  <c r="T131" i="2"/>
  <c r="T143" i="2"/>
  <c r="T155" i="2"/>
  <c r="T167" i="2"/>
  <c r="T175" i="2"/>
  <c r="T187" i="2"/>
  <c r="T195" i="2"/>
  <c r="T211" i="2"/>
  <c r="T219" i="2"/>
  <c r="T5" i="2"/>
  <c r="T9" i="2"/>
  <c r="T13" i="2"/>
  <c r="T17" i="2"/>
  <c r="T21" i="2"/>
  <c r="T25" i="2"/>
  <c r="T29" i="2"/>
  <c r="T33" i="2"/>
  <c r="T37" i="2"/>
  <c r="T41" i="2"/>
  <c r="T45" i="2"/>
  <c r="T49" i="2"/>
  <c r="T53" i="2"/>
  <c r="T57" i="2"/>
  <c r="T61" i="2"/>
  <c r="T65" i="2"/>
  <c r="T69" i="2"/>
  <c r="T73" i="2"/>
  <c r="T77" i="2"/>
  <c r="T81" i="2"/>
  <c r="T85" i="2"/>
  <c r="T89" i="2"/>
  <c r="T93" i="2"/>
  <c r="T97" i="2"/>
  <c r="T101" i="2"/>
  <c r="T105" i="2"/>
  <c r="T109" i="2"/>
  <c r="T113" i="2"/>
  <c r="T117" i="2"/>
  <c r="T121" i="2"/>
  <c r="T125" i="2"/>
  <c r="T129" i="2"/>
  <c r="T133" i="2"/>
  <c r="T137" i="2"/>
  <c r="T141" i="2"/>
  <c r="T145" i="2"/>
  <c r="T149" i="2"/>
  <c r="T153" i="2"/>
  <c r="T157" i="2"/>
  <c r="T161" i="2"/>
  <c r="T165" i="2"/>
  <c r="T169" i="2"/>
  <c r="T173" i="2"/>
  <c r="T177" i="2"/>
  <c r="T181" i="2"/>
  <c r="T185" i="2"/>
  <c r="T189" i="2"/>
  <c r="T193" i="2"/>
  <c r="T197" i="2"/>
  <c r="T201" i="2"/>
  <c r="T205" i="2"/>
  <c r="T209" i="2"/>
  <c r="T213" i="2"/>
  <c r="T217" i="2"/>
  <c r="T221" i="2"/>
  <c r="T225" i="2"/>
  <c r="T229" i="2"/>
  <c r="T233" i="2"/>
  <c r="T237" i="2"/>
  <c r="T241" i="2"/>
  <c r="T19" i="2"/>
  <c r="T51" i="2"/>
  <c r="T71" i="2"/>
  <c r="T87" i="2"/>
  <c r="T103" i="2"/>
  <c r="T115" i="2"/>
  <c r="T127" i="2"/>
  <c r="T147" i="2"/>
  <c r="T159" i="2"/>
  <c r="T171" i="2"/>
  <c r="T191" i="2"/>
  <c r="T203" i="2"/>
  <c r="T215" i="2"/>
  <c r="T6" i="2"/>
  <c r="T10" i="2"/>
  <c r="T14" i="2"/>
  <c r="T18" i="2"/>
  <c r="T22" i="2"/>
  <c r="T26" i="2"/>
  <c r="T30" i="2"/>
  <c r="T34" i="2"/>
  <c r="T38" i="2"/>
  <c r="T42" i="2"/>
  <c r="T46" i="2"/>
  <c r="T50" i="2"/>
  <c r="T54" i="2"/>
  <c r="T58" i="2"/>
  <c r="T62" i="2"/>
  <c r="T66" i="2"/>
  <c r="T70" i="2"/>
  <c r="T74" i="2"/>
  <c r="T78" i="2"/>
  <c r="T82" i="2"/>
  <c r="T86" i="2"/>
  <c r="T90" i="2"/>
  <c r="T94" i="2"/>
  <c r="T98" i="2"/>
  <c r="T102" i="2"/>
  <c r="T106" i="2"/>
  <c r="T110" i="2"/>
  <c r="T114" i="2"/>
  <c r="T118" i="2"/>
  <c r="T122" i="2"/>
  <c r="T126" i="2"/>
  <c r="T130" i="2"/>
  <c r="T134" i="2"/>
  <c r="T138" i="2"/>
  <c r="T142" i="2"/>
  <c r="T146" i="2"/>
  <c r="T150" i="2"/>
  <c r="T154" i="2"/>
  <c r="T158" i="2"/>
  <c r="T162" i="2"/>
  <c r="T166" i="2"/>
  <c r="T170" i="2"/>
  <c r="T174" i="2"/>
  <c r="T178" i="2"/>
  <c r="T182" i="2"/>
  <c r="T186" i="2"/>
  <c r="T190" i="2"/>
  <c r="T194" i="2"/>
  <c r="T198" i="2"/>
  <c r="T202" i="2"/>
  <c r="T206" i="2"/>
  <c r="T210" i="2"/>
  <c r="T214" i="2"/>
  <c r="T218" i="2"/>
  <c r="T222" i="2"/>
  <c r="T226" i="2"/>
  <c r="T230" i="2"/>
  <c r="T234" i="2"/>
  <c r="T238" i="2"/>
  <c r="T242" i="2"/>
  <c r="T7" i="2"/>
  <c r="T11" i="2"/>
  <c r="T15" i="2"/>
  <c r="T23" i="2"/>
  <c r="T27" i="2"/>
  <c r="T31" i="2"/>
  <c r="T39" i="2"/>
  <c r="T43" i="2"/>
  <c r="T47" i="2"/>
  <c r="T59" i="2"/>
  <c r="T63" i="2"/>
  <c r="T75" i="2"/>
  <c r="T83" i="2"/>
  <c r="T95" i="2"/>
  <c r="T107" i="2"/>
  <c r="T123" i="2"/>
  <c r="T135" i="2"/>
  <c r="T139" i="2"/>
  <c r="T151" i="2"/>
  <c r="T163" i="2"/>
  <c r="T179" i="2"/>
  <c r="T183" i="2"/>
  <c r="T199" i="2"/>
  <c r="T207" i="2"/>
  <c r="T235" i="2"/>
  <c r="T239" i="2"/>
  <c r="T227" i="2"/>
  <c r="T243" i="2"/>
  <c r="T223" i="2"/>
  <c r="T231" i="2"/>
  <c r="G35" i="7"/>
  <c r="F35" i="7" s="1"/>
  <c r="G34" i="7"/>
  <c r="F34" i="7" s="1"/>
  <c r="G33" i="7"/>
  <c r="G30" i="7"/>
  <c r="F30" i="7" s="1"/>
  <c r="G28" i="7"/>
  <c r="F33" i="7"/>
  <c r="G27" i="7"/>
  <c r="G26" i="7"/>
  <c r="F26" i="7" s="1"/>
  <c r="G25" i="7"/>
  <c r="G24" i="7"/>
  <c r="F24" i="7" s="1"/>
  <c r="G23" i="7"/>
  <c r="G22" i="7"/>
  <c r="F22" i="7" s="1"/>
  <c r="G21" i="7"/>
  <c r="G20" i="7"/>
  <c r="G19" i="7"/>
  <c r="F19" i="7" s="1"/>
  <c r="G18" i="7"/>
  <c r="F18" i="7" s="1"/>
  <c r="G17" i="7"/>
  <c r="F17" i="7" s="1"/>
  <c r="G16" i="7"/>
  <c r="F16" i="7" s="1"/>
  <c r="G15" i="7"/>
  <c r="G14" i="7"/>
  <c r="F14" i="7" s="1"/>
  <c r="G13" i="7"/>
  <c r="F13" i="7" s="1"/>
  <c r="G12" i="7"/>
  <c r="F12" i="7" s="1"/>
  <c r="G11" i="7"/>
  <c r="F11" i="7" s="1"/>
  <c r="F15" i="7"/>
  <c r="G10" i="7"/>
  <c r="F10" i="7" s="1"/>
  <c r="G9" i="7"/>
  <c r="G6" i="7"/>
  <c r="G7" i="7"/>
  <c r="F7" i="7" s="1"/>
  <c r="G8" i="7"/>
  <c r="G4" i="7"/>
  <c r="F4" i="7" s="1"/>
  <c r="F6" i="7"/>
  <c r="G5" i="7"/>
  <c r="F5" i="7" s="1"/>
  <c r="F8" i="7"/>
  <c r="F9" i="7"/>
  <c r="F20" i="7"/>
  <c r="F21" i="7"/>
  <c r="F23" i="7"/>
  <c r="F25" i="7"/>
  <c r="F27" i="7"/>
  <c r="F28" i="7"/>
  <c r="F29" i="7"/>
  <c r="G3" i="7"/>
  <c r="F3" i="7" s="1"/>
  <c r="G2" i="7"/>
  <c r="F2" i="7" s="1"/>
  <c r="E18" i="7" l="1"/>
  <c r="K4" i="7"/>
  <c r="E6" i="7"/>
  <c r="E12" i="7"/>
  <c r="E21" i="7"/>
  <c r="E33" i="7"/>
  <c r="K5" i="7"/>
  <c r="D10" i="5" l="1"/>
  <c r="N3" i="6"/>
  <c r="N2" i="6"/>
  <c r="N4" i="6"/>
  <c r="D12" i="5" l="1"/>
  <c r="B17" i="3" l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4" i="2"/>
  <c r="J4" i="2" s="1"/>
  <c r="D8" i="3" l="1"/>
  <c r="B13" i="3"/>
  <c r="B8" i="3" l="1"/>
  <c r="M6" i="6"/>
  <c r="G5" i="6" l="1"/>
  <c r="F5" i="6" s="1"/>
  <c r="E5" i="2"/>
  <c r="E25" i="2" s="1"/>
  <c r="E45" i="2" s="1"/>
  <c r="E65" i="2" s="1"/>
  <c r="E85" i="2" s="1"/>
  <c r="E105" i="2" s="1"/>
  <c r="E125" i="2" s="1"/>
  <c r="E145" i="2" s="1"/>
  <c r="E165" i="2" s="1"/>
  <c r="E185" i="2" s="1"/>
  <c r="E205" i="2" s="1"/>
  <c r="E225" i="2" s="1"/>
  <c r="E6" i="2"/>
  <c r="E26" i="2" s="1"/>
  <c r="E46" i="2" s="1"/>
  <c r="E66" i="2" s="1"/>
  <c r="E86" i="2" s="1"/>
  <c r="E106" i="2" s="1"/>
  <c r="E126" i="2" s="1"/>
  <c r="E146" i="2" s="1"/>
  <c r="E166" i="2" s="1"/>
  <c r="E186" i="2" s="1"/>
  <c r="E206" i="2" s="1"/>
  <c r="E226" i="2" s="1"/>
  <c r="E7" i="2"/>
  <c r="E27" i="2" s="1"/>
  <c r="E47" i="2" s="1"/>
  <c r="E67" i="2" s="1"/>
  <c r="E87" i="2" s="1"/>
  <c r="E107" i="2" s="1"/>
  <c r="E127" i="2" s="1"/>
  <c r="E147" i="2" s="1"/>
  <c r="E167" i="2" s="1"/>
  <c r="E187" i="2" s="1"/>
  <c r="E207" i="2" s="1"/>
  <c r="E227" i="2" s="1"/>
  <c r="E8" i="2"/>
  <c r="E28" i="2" s="1"/>
  <c r="E48" i="2" s="1"/>
  <c r="E68" i="2" s="1"/>
  <c r="E88" i="2" s="1"/>
  <c r="E108" i="2" s="1"/>
  <c r="E128" i="2" s="1"/>
  <c r="E148" i="2" s="1"/>
  <c r="E168" i="2" s="1"/>
  <c r="E188" i="2" s="1"/>
  <c r="E208" i="2" s="1"/>
  <c r="E228" i="2" s="1"/>
  <c r="E9" i="2"/>
  <c r="E29" i="2" s="1"/>
  <c r="E49" i="2" s="1"/>
  <c r="E69" i="2" s="1"/>
  <c r="E89" i="2" s="1"/>
  <c r="E109" i="2" s="1"/>
  <c r="E129" i="2" s="1"/>
  <c r="E149" i="2" s="1"/>
  <c r="E169" i="2" s="1"/>
  <c r="E189" i="2" s="1"/>
  <c r="E209" i="2" s="1"/>
  <c r="E229" i="2" s="1"/>
  <c r="E10" i="2"/>
  <c r="E30" i="2" s="1"/>
  <c r="E50" i="2" s="1"/>
  <c r="E70" i="2" s="1"/>
  <c r="E90" i="2" s="1"/>
  <c r="E110" i="2" s="1"/>
  <c r="E130" i="2" s="1"/>
  <c r="E150" i="2" s="1"/>
  <c r="E170" i="2" s="1"/>
  <c r="E190" i="2" s="1"/>
  <c r="E210" i="2" s="1"/>
  <c r="E230" i="2" s="1"/>
  <c r="E11" i="2"/>
  <c r="E31" i="2" s="1"/>
  <c r="E51" i="2" s="1"/>
  <c r="E71" i="2" s="1"/>
  <c r="E91" i="2" s="1"/>
  <c r="E111" i="2" s="1"/>
  <c r="E131" i="2" s="1"/>
  <c r="E151" i="2" s="1"/>
  <c r="E171" i="2" s="1"/>
  <c r="E191" i="2" s="1"/>
  <c r="E211" i="2" s="1"/>
  <c r="E231" i="2" s="1"/>
  <c r="E12" i="2"/>
  <c r="E32" i="2" s="1"/>
  <c r="E52" i="2" s="1"/>
  <c r="E72" i="2" s="1"/>
  <c r="E92" i="2" s="1"/>
  <c r="E112" i="2" s="1"/>
  <c r="E132" i="2" s="1"/>
  <c r="E152" i="2" s="1"/>
  <c r="E172" i="2" s="1"/>
  <c r="E192" i="2" s="1"/>
  <c r="E212" i="2" s="1"/>
  <c r="E232" i="2" s="1"/>
  <c r="E13" i="2"/>
  <c r="E33" i="2" s="1"/>
  <c r="E53" i="2" s="1"/>
  <c r="E73" i="2" s="1"/>
  <c r="E93" i="2" s="1"/>
  <c r="E113" i="2" s="1"/>
  <c r="E133" i="2" s="1"/>
  <c r="E153" i="2" s="1"/>
  <c r="E173" i="2" s="1"/>
  <c r="E193" i="2" s="1"/>
  <c r="E213" i="2" s="1"/>
  <c r="E233" i="2" s="1"/>
  <c r="E14" i="2"/>
  <c r="E34" i="2" s="1"/>
  <c r="E54" i="2" s="1"/>
  <c r="E74" i="2" s="1"/>
  <c r="E94" i="2" s="1"/>
  <c r="E114" i="2" s="1"/>
  <c r="E134" i="2" s="1"/>
  <c r="E154" i="2" s="1"/>
  <c r="E174" i="2" s="1"/>
  <c r="E194" i="2" s="1"/>
  <c r="E214" i="2" s="1"/>
  <c r="E234" i="2" s="1"/>
  <c r="E15" i="2"/>
  <c r="E35" i="2" s="1"/>
  <c r="E55" i="2" s="1"/>
  <c r="E75" i="2" s="1"/>
  <c r="E95" i="2" s="1"/>
  <c r="E115" i="2" s="1"/>
  <c r="E135" i="2" s="1"/>
  <c r="E155" i="2" s="1"/>
  <c r="E175" i="2" s="1"/>
  <c r="E195" i="2" s="1"/>
  <c r="E215" i="2" s="1"/>
  <c r="E235" i="2" s="1"/>
  <c r="E16" i="2"/>
  <c r="E36" i="2" s="1"/>
  <c r="E56" i="2" s="1"/>
  <c r="E76" i="2" s="1"/>
  <c r="E96" i="2" s="1"/>
  <c r="E116" i="2" s="1"/>
  <c r="E136" i="2" s="1"/>
  <c r="E156" i="2" s="1"/>
  <c r="E176" i="2" s="1"/>
  <c r="E196" i="2" s="1"/>
  <c r="E216" i="2" s="1"/>
  <c r="E236" i="2" s="1"/>
  <c r="E17" i="2"/>
  <c r="E37" i="2" s="1"/>
  <c r="E57" i="2" s="1"/>
  <c r="E77" i="2" s="1"/>
  <c r="E97" i="2" s="1"/>
  <c r="E117" i="2" s="1"/>
  <c r="E137" i="2" s="1"/>
  <c r="E157" i="2" s="1"/>
  <c r="E177" i="2" s="1"/>
  <c r="E197" i="2" s="1"/>
  <c r="E217" i="2" s="1"/>
  <c r="E237" i="2" s="1"/>
  <c r="E18" i="2"/>
  <c r="E38" i="2" s="1"/>
  <c r="E58" i="2" s="1"/>
  <c r="E78" i="2" s="1"/>
  <c r="E98" i="2" s="1"/>
  <c r="E118" i="2" s="1"/>
  <c r="E138" i="2" s="1"/>
  <c r="E158" i="2" s="1"/>
  <c r="E178" i="2" s="1"/>
  <c r="E198" i="2" s="1"/>
  <c r="E218" i="2" s="1"/>
  <c r="E238" i="2" s="1"/>
  <c r="E19" i="2"/>
  <c r="E39" i="2" s="1"/>
  <c r="E59" i="2" s="1"/>
  <c r="E79" i="2" s="1"/>
  <c r="E99" i="2" s="1"/>
  <c r="E119" i="2" s="1"/>
  <c r="E139" i="2" s="1"/>
  <c r="E159" i="2" s="1"/>
  <c r="E179" i="2" s="1"/>
  <c r="E199" i="2" s="1"/>
  <c r="E219" i="2" s="1"/>
  <c r="E239" i="2" s="1"/>
  <c r="E20" i="2"/>
  <c r="E40" i="2" s="1"/>
  <c r="E60" i="2" s="1"/>
  <c r="E80" i="2" s="1"/>
  <c r="E100" i="2" s="1"/>
  <c r="E120" i="2" s="1"/>
  <c r="E140" i="2" s="1"/>
  <c r="E160" i="2" s="1"/>
  <c r="E180" i="2" s="1"/>
  <c r="E200" i="2" s="1"/>
  <c r="E220" i="2" s="1"/>
  <c r="E240" i="2" s="1"/>
  <c r="E21" i="2"/>
  <c r="E41" i="2" s="1"/>
  <c r="E61" i="2" s="1"/>
  <c r="E81" i="2" s="1"/>
  <c r="E101" i="2" s="1"/>
  <c r="E121" i="2" s="1"/>
  <c r="E141" i="2" s="1"/>
  <c r="E161" i="2" s="1"/>
  <c r="E181" i="2" s="1"/>
  <c r="E201" i="2" s="1"/>
  <c r="E221" i="2" s="1"/>
  <c r="E241" i="2" s="1"/>
  <c r="E22" i="2"/>
  <c r="E42" i="2" s="1"/>
  <c r="E62" i="2" s="1"/>
  <c r="E82" i="2" s="1"/>
  <c r="E102" i="2" s="1"/>
  <c r="E122" i="2" s="1"/>
  <c r="E142" i="2" s="1"/>
  <c r="E162" i="2" s="1"/>
  <c r="E182" i="2" s="1"/>
  <c r="E202" i="2" s="1"/>
  <c r="E222" i="2" s="1"/>
  <c r="E242" i="2" s="1"/>
  <c r="E23" i="2"/>
  <c r="E43" i="2" s="1"/>
  <c r="E63" i="2" s="1"/>
  <c r="E83" i="2" s="1"/>
  <c r="E103" i="2" s="1"/>
  <c r="E123" i="2" s="1"/>
  <c r="E143" i="2" s="1"/>
  <c r="E163" i="2" s="1"/>
  <c r="E183" i="2" s="1"/>
  <c r="E203" i="2" s="1"/>
  <c r="E223" i="2" s="1"/>
  <c r="E243" i="2" s="1"/>
  <c r="E4" i="2"/>
  <c r="E24" i="2" s="1"/>
  <c r="E44" i="2" s="1"/>
  <c r="E64" i="2" s="1"/>
  <c r="E84" i="2" s="1"/>
  <c r="E104" i="2" s="1"/>
  <c r="E124" i="2" s="1"/>
  <c r="E144" i="2" s="1"/>
  <c r="E164" i="2" s="1"/>
  <c r="E184" i="2" s="1"/>
  <c r="E204" i="2" s="1"/>
  <c r="E224" i="2" s="1"/>
  <c r="B14" i="3"/>
  <c r="D14" i="3" s="1"/>
  <c r="K7" i="2" l="1"/>
  <c r="K167" i="2"/>
  <c r="K27" i="2"/>
  <c r="K67" i="2"/>
  <c r="K107" i="2"/>
  <c r="K147" i="2"/>
  <c r="K187" i="2"/>
  <c r="K227" i="2"/>
  <c r="K87" i="2"/>
  <c r="K207" i="2"/>
  <c r="K47" i="2"/>
  <c r="K127" i="2"/>
  <c r="N5" i="6"/>
  <c r="G12" i="6"/>
  <c r="G15" i="6"/>
  <c r="G9" i="6"/>
  <c r="G8" i="6"/>
  <c r="G7" i="6"/>
  <c r="G4" i="6"/>
  <c r="G13" i="6"/>
  <c r="G20" i="6"/>
  <c r="B15" i="3"/>
  <c r="D15" i="3" s="1"/>
  <c r="N6" i="6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4" i="2"/>
  <c r="F12" i="6" l="1"/>
  <c r="F20" i="6"/>
  <c r="K14" i="2"/>
  <c r="K54" i="2"/>
  <c r="K134" i="2"/>
  <c r="K214" i="2"/>
  <c r="K34" i="2"/>
  <c r="K74" i="2"/>
  <c r="K114" i="2"/>
  <c r="K154" i="2"/>
  <c r="K194" i="2"/>
  <c r="K234" i="2"/>
  <c r="K174" i="2"/>
  <c r="K94" i="2"/>
  <c r="F13" i="6"/>
  <c r="F15" i="6"/>
  <c r="F4" i="6"/>
  <c r="F9" i="6"/>
  <c r="F8" i="6"/>
  <c r="F7" i="6"/>
  <c r="K55" i="2" l="1"/>
  <c r="K95" i="2"/>
  <c r="K135" i="2"/>
  <c r="K175" i="2"/>
  <c r="K215" i="2"/>
  <c r="K15" i="2"/>
  <c r="K35" i="2"/>
  <c r="K75" i="2"/>
  <c r="K115" i="2"/>
  <c r="K155" i="2"/>
  <c r="K195" i="2"/>
  <c r="K235" i="2"/>
  <c r="K11" i="2"/>
  <c r="K31" i="2"/>
  <c r="K51" i="2"/>
  <c r="K71" i="2"/>
  <c r="K91" i="2"/>
  <c r="K111" i="2"/>
  <c r="K131" i="2"/>
  <c r="K151" i="2"/>
  <c r="K171" i="2"/>
  <c r="K191" i="2"/>
  <c r="K211" i="2"/>
  <c r="K231" i="2"/>
  <c r="K29" i="2"/>
  <c r="K49" i="2"/>
  <c r="K69" i="2"/>
  <c r="K89" i="2"/>
  <c r="K109" i="2"/>
  <c r="K129" i="2"/>
  <c r="K149" i="2"/>
  <c r="K169" i="2"/>
  <c r="K189" i="2"/>
  <c r="K209" i="2"/>
  <c r="K229" i="2"/>
  <c r="K9" i="2"/>
  <c r="K26" i="2"/>
  <c r="K46" i="2"/>
  <c r="K66" i="2"/>
  <c r="K86" i="2"/>
  <c r="K106" i="2"/>
  <c r="K126" i="2"/>
  <c r="K146" i="2"/>
  <c r="K166" i="2"/>
  <c r="K186" i="2"/>
  <c r="K206" i="2"/>
  <c r="K226" i="2"/>
  <c r="K6" i="2"/>
  <c r="K30" i="2"/>
  <c r="K50" i="2"/>
  <c r="K70" i="2"/>
  <c r="K90" i="2"/>
  <c r="K110" i="2"/>
  <c r="K130" i="2"/>
  <c r="K150" i="2"/>
  <c r="K170" i="2"/>
  <c r="K190" i="2"/>
  <c r="K210" i="2"/>
  <c r="K230" i="2"/>
  <c r="K10" i="2"/>
  <c r="M11" i="6"/>
  <c r="K37" i="2"/>
  <c r="K57" i="2"/>
  <c r="K77" i="2"/>
  <c r="K97" i="2"/>
  <c r="K117" i="2"/>
  <c r="K137" i="2"/>
  <c r="K157" i="2"/>
  <c r="K177" i="2"/>
  <c r="K197" i="2"/>
  <c r="K217" i="2"/>
  <c r="K237" i="2"/>
  <c r="K17" i="2"/>
  <c r="D24" i="2"/>
  <c r="F24" i="2" s="1"/>
  <c r="S24" i="2" s="1"/>
  <c r="D5" i="2"/>
  <c r="F5" i="2" s="1"/>
  <c r="S5" i="2" s="1"/>
  <c r="D6" i="2"/>
  <c r="F6" i="2" s="1"/>
  <c r="S6" i="2" s="1"/>
  <c r="D7" i="2"/>
  <c r="F7" i="2" s="1"/>
  <c r="S7" i="2" s="1"/>
  <c r="D8" i="2"/>
  <c r="F8" i="2" s="1"/>
  <c r="S8" i="2" s="1"/>
  <c r="D9" i="2"/>
  <c r="F9" i="2" s="1"/>
  <c r="S9" i="2" s="1"/>
  <c r="D10" i="2"/>
  <c r="F10" i="2" s="1"/>
  <c r="S10" i="2" s="1"/>
  <c r="D11" i="2"/>
  <c r="F11" i="2" s="1"/>
  <c r="S11" i="2" s="1"/>
  <c r="D12" i="2"/>
  <c r="F12" i="2" s="1"/>
  <c r="S12" i="2" s="1"/>
  <c r="D13" i="2"/>
  <c r="F13" i="2" s="1"/>
  <c r="S13" i="2" s="1"/>
  <c r="D14" i="2"/>
  <c r="F14" i="2" s="1"/>
  <c r="S14" i="2" s="1"/>
  <c r="D15" i="2"/>
  <c r="F15" i="2" s="1"/>
  <c r="S15" i="2" s="1"/>
  <c r="D16" i="2"/>
  <c r="F16" i="2" s="1"/>
  <c r="S16" i="2" s="1"/>
  <c r="D17" i="2"/>
  <c r="F17" i="2" s="1"/>
  <c r="S17" i="2" s="1"/>
  <c r="D18" i="2"/>
  <c r="F18" i="2" s="1"/>
  <c r="S18" i="2" s="1"/>
  <c r="D19" i="2"/>
  <c r="F19" i="2" s="1"/>
  <c r="S19" i="2" s="1"/>
  <c r="D20" i="2"/>
  <c r="F20" i="2" s="1"/>
  <c r="S20" i="2" s="1"/>
  <c r="D21" i="2"/>
  <c r="F21" i="2" s="1"/>
  <c r="S21" i="2" s="1"/>
  <c r="D22" i="2"/>
  <c r="F22" i="2" s="1"/>
  <c r="S22" i="2" s="1"/>
  <c r="D23" i="2"/>
  <c r="F23" i="2" s="1"/>
  <c r="S23" i="2" s="1"/>
  <c r="D4" i="2"/>
  <c r="D44" i="2"/>
  <c r="F44" i="2" s="1"/>
  <c r="S44" i="2" s="1"/>
  <c r="D64" i="2"/>
  <c r="F64" i="2" s="1"/>
  <c r="S64" i="2" s="1"/>
  <c r="D84" i="2"/>
  <c r="F84" i="2" s="1"/>
  <c r="S84" i="2" s="1"/>
  <c r="D104" i="2"/>
  <c r="F104" i="2" s="1"/>
  <c r="S104" i="2" s="1"/>
  <c r="D124" i="2"/>
  <c r="F124" i="2" s="1"/>
  <c r="S124" i="2" s="1"/>
  <c r="D144" i="2"/>
  <c r="F144" i="2" s="1"/>
  <c r="S144" i="2" s="1"/>
  <c r="D164" i="2"/>
  <c r="F164" i="2" s="1"/>
  <c r="S164" i="2" s="1"/>
  <c r="D184" i="2"/>
  <c r="F184" i="2" s="1"/>
  <c r="S184" i="2" s="1"/>
  <c r="D204" i="2"/>
  <c r="F204" i="2" s="1"/>
  <c r="S204" i="2" s="1"/>
  <c r="D224" i="2"/>
  <c r="F224" i="2" s="1"/>
  <c r="S224" i="2" s="1"/>
  <c r="D45" i="2"/>
  <c r="F45" i="2" s="1"/>
  <c r="S45" i="2" s="1"/>
  <c r="D65" i="2"/>
  <c r="F65" i="2" s="1"/>
  <c r="S65" i="2" s="1"/>
  <c r="D85" i="2"/>
  <c r="F85" i="2" s="1"/>
  <c r="S85" i="2" s="1"/>
  <c r="D105" i="2"/>
  <c r="F105" i="2" s="1"/>
  <c r="S105" i="2" s="1"/>
  <c r="D125" i="2"/>
  <c r="F125" i="2" s="1"/>
  <c r="S125" i="2" s="1"/>
  <c r="D145" i="2"/>
  <c r="F145" i="2" s="1"/>
  <c r="S145" i="2" s="1"/>
  <c r="D165" i="2"/>
  <c r="F165" i="2" s="1"/>
  <c r="S165" i="2" s="1"/>
  <c r="D185" i="2"/>
  <c r="F185" i="2" s="1"/>
  <c r="S185" i="2" s="1"/>
  <c r="D205" i="2"/>
  <c r="F205" i="2" s="1"/>
  <c r="S205" i="2" s="1"/>
  <c r="D225" i="2"/>
  <c r="F225" i="2" s="1"/>
  <c r="S225" i="2" s="1"/>
  <c r="D46" i="2"/>
  <c r="F46" i="2" s="1"/>
  <c r="S46" i="2" s="1"/>
  <c r="D66" i="2"/>
  <c r="F66" i="2" s="1"/>
  <c r="S66" i="2" s="1"/>
  <c r="D86" i="2"/>
  <c r="F86" i="2" s="1"/>
  <c r="S86" i="2" s="1"/>
  <c r="D106" i="2"/>
  <c r="F106" i="2" s="1"/>
  <c r="S106" i="2" s="1"/>
  <c r="D126" i="2"/>
  <c r="F126" i="2" s="1"/>
  <c r="S126" i="2" s="1"/>
  <c r="D146" i="2"/>
  <c r="F146" i="2" s="1"/>
  <c r="S146" i="2" s="1"/>
  <c r="D166" i="2"/>
  <c r="F166" i="2" s="1"/>
  <c r="S166" i="2" s="1"/>
  <c r="D186" i="2"/>
  <c r="F186" i="2" s="1"/>
  <c r="S186" i="2" s="1"/>
  <c r="D206" i="2"/>
  <c r="F206" i="2" s="1"/>
  <c r="S206" i="2" s="1"/>
  <c r="D226" i="2"/>
  <c r="F226" i="2" s="1"/>
  <c r="S226" i="2" s="1"/>
  <c r="D47" i="2"/>
  <c r="F47" i="2" s="1"/>
  <c r="S47" i="2" s="1"/>
  <c r="D67" i="2"/>
  <c r="F67" i="2" s="1"/>
  <c r="S67" i="2" s="1"/>
  <c r="D87" i="2"/>
  <c r="F87" i="2" s="1"/>
  <c r="S87" i="2" s="1"/>
  <c r="D107" i="2"/>
  <c r="F107" i="2" s="1"/>
  <c r="S107" i="2" s="1"/>
  <c r="D127" i="2"/>
  <c r="F127" i="2" s="1"/>
  <c r="S127" i="2" s="1"/>
  <c r="D147" i="2"/>
  <c r="F147" i="2" s="1"/>
  <c r="S147" i="2" s="1"/>
  <c r="D167" i="2"/>
  <c r="F167" i="2" s="1"/>
  <c r="S167" i="2" s="1"/>
  <c r="D187" i="2"/>
  <c r="F187" i="2" s="1"/>
  <c r="S187" i="2" s="1"/>
  <c r="D207" i="2"/>
  <c r="F207" i="2" s="1"/>
  <c r="S207" i="2" s="1"/>
  <c r="D227" i="2"/>
  <c r="F227" i="2" s="1"/>
  <c r="S227" i="2" s="1"/>
  <c r="D48" i="2"/>
  <c r="F48" i="2" s="1"/>
  <c r="S48" i="2" s="1"/>
  <c r="D68" i="2"/>
  <c r="F68" i="2" s="1"/>
  <c r="S68" i="2" s="1"/>
  <c r="D88" i="2"/>
  <c r="F88" i="2" s="1"/>
  <c r="S88" i="2" s="1"/>
  <c r="D108" i="2"/>
  <c r="F108" i="2" s="1"/>
  <c r="S108" i="2" s="1"/>
  <c r="D128" i="2"/>
  <c r="F128" i="2" s="1"/>
  <c r="S128" i="2" s="1"/>
  <c r="D148" i="2"/>
  <c r="F148" i="2" s="1"/>
  <c r="S148" i="2" s="1"/>
  <c r="D168" i="2"/>
  <c r="F168" i="2" s="1"/>
  <c r="S168" i="2" s="1"/>
  <c r="D188" i="2"/>
  <c r="F188" i="2" s="1"/>
  <c r="S188" i="2" s="1"/>
  <c r="D208" i="2"/>
  <c r="F208" i="2" s="1"/>
  <c r="S208" i="2" s="1"/>
  <c r="D228" i="2"/>
  <c r="F228" i="2" s="1"/>
  <c r="S228" i="2" s="1"/>
  <c r="D49" i="2"/>
  <c r="F49" i="2" s="1"/>
  <c r="S49" i="2" s="1"/>
  <c r="D69" i="2"/>
  <c r="F69" i="2" s="1"/>
  <c r="S69" i="2" s="1"/>
  <c r="D89" i="2"/>
  <c r="F89" i="2" s="1"/>
  <c r="S89" i="2" s="1"/>
  <c r="D109" i="2"/>
  <c r="F109" i="2" s="1"/>
  <c r="S109" i="2" s="1"/>
  <c r="D129" i="2"/>
  <c r="F129" i="2" s="1"/>
  <c r="S129" i="2" s="1"/>
  <c r="D149" i="2"/>
  <c r="F149" i="2" s="1"/>
  <c r="S149" i="2" s="1"/>
  <c r="D169" i="2"/>
  <c r="F169" i="2" s="1"/>
  <c r="S169" i="2" s="1"/>
  <c r="D189" i="2"/>
  <c r="F189" i="2" s="1"/>
  <c r="S189" i="2" s="1"/>
  <c r="D209" i="2"/>
  <c r="F209" i="2" s="1"/>
  <c r="S209" i="2" s="1"/>
  <c r="D229" i="2"/>
  <c r="F229" i="2" s="1"/>
  <c r="S229" i="2" s="1"/>
  <c r="D50" i="2"/>
  <c r="F50" i="2" s="1"/>
  <c r="S50" i="2" s="1"/>
  <c r="D70" i="2"/>
  <c r="F70" i="2" s="1"/>
  <c r="S70" i="2" s="1"/>
  <c r="D90" i="2"/>
  <c r="F90" i="2" s="1"/>
  <c r="S90" i="2" s="1"/>
  <c r="D110" i="2"/>
  <c r="F110" i="2" s="1"/>
  <c r="S110" i="2" s="1"/>
  <c r="D130" i="2"/>
  <c r="F130" i="2" s="1"/>
  <c r="S130" i="2" s="1"/>
  <c r="D150" i="2"/>
  <c r="F150" i="2" s="1"/>
  <c r="S150" i="2" s="1"/>
  <c r="D170" i="2"/>
  <c r="F170" i="2" s="1"/>
  <c r="S170" i="2" s="1"/>
  <c r="D190" i="2"/>
  <c r="F190" i="2" s="1"/>
  <c r="S190" i="2" s="1"/>
  <c r="D210" i="2"/>
  <c r="F210" i="2" s="1"/>
  <c r="S210" i="2" s="1"/>
  <c r="D230" i="2"/>
  <c r="F230" i="2" s="1"/>
  <c r="S230" i="2" s="1"/>
  <c r="D51" i="2"/>
  <c r="F51" i="2" s="1"/>
  <c r="S51" i="2" s="1"/>
  <c r="D71" i="2"/>
  <c r="F71" i="2" s="1"/>
  <c r="S71" i="2" s="1"/>
  <c r="D91" i="2"/>
  <c r="F91" i="2" s="1"/>
  <c r="S91" i="2" s="1"/>
  <c r="D111" i="2"/>
  <c r="F111" i="2" s="1"/>
  <c r="S111" i="2" s="1"/>
  <c r="D131" i="2"/>
  <c r="F131" i="2" s="1"/>
  <c r="S131" i="2" s="1"/>
  <c r="D151" i="2"/>
  <c r="F151" i="2" s="1"/>
  <c r="S151" i="2" s="1"/>
  <c r="D171" i="2"/>
  <c r="F171" i="2" s="1"/>
  <c r="S171" i="2" s="1"/>
  <c r="D191" i="2"/>
  <c r="F191" i="2" s="1"/>
  <c r="S191" i="2" s="1"/>
  <c r="D211" i="2"/>
  <c r="F211" i="2" s="1"/>
  <c r="S211" i="2" s="1"/>
  <c r="D231" i="2"/>
  <c r="F231" i="2" s="1"/>
  <c r="S231" i="2" s="1"/>
  <c r="D52" i="2"/>
  <c r="F52" i="2" s="1"/>
  <c r="S52" i="2" s="1"/>
  <c r="D72" i="2"/>
  <c r="F72" i="2" s="1"/>
  <c r="S72" i="2" s="1"/>
  <c r="D92" i="2"/>
  <c r="F92" i="2" s="1"/>
  <c r="S92" i="2" s="1"/>
  <c r="D112" i="2"/>
  <c r="F112" i="2" s="1"/>
  <c r="S112" i="2" s="1"/>
  <c r="D132" i="2"/>
  <c r="F132" i="2" s="1"/>
  <c r="S132" i="2" s="1"/>
  <c r="D152" i="2"/>
  <c r="F152" i="2" s="1"/>
  <c r="S152" i="2" s="1"/>
  <c r="D172" i="2"/>
  <c r="F172" i="2" s="1"/>
  <c r="S172" i="2" s="1"/>
  <c r="D192" i="2"/>
  <c r="F192" i="2" s="1"/>
  <c r="S192" i="2" s="1"/>
  <c r="D212" i="2"/>
  <c r="F212" i="2" s="1"/>
  <c r="S212" i="2" s="1"/>
  <c r="D232" i="2"/>
  <c r="F232" i="2" s="1"/>
  <c r="S232" i="2" s="1"/>
  <c r="D53" i="2"/>
  <c r="F53" i="2" s="1"/>
  <c r="S53" i="2" s="1"/>
  <c r="D73" i="2"/>
  <c r="F73" i="2" s="1"/>
  <c r="S73" i="2" s="1"/>
  <c r="D93" i="2"/>
  <c r="F93" i="2" s="1"/>
  <c r="S93" i="2" s="1"/>
  <c r="D113" i="2"/>
  <c r="F113" i="2" s="1"/>
  <c r="S113" i="2" s="1"/>
  <c r="D133" i="2"/>
  <c r="F133" i="2" s="1"/>
  <c r="S133" i="2" s="1"/>
  <c r="D153" i="2"/>
  <c r="F153" i="2" s="1"/>
  <c r="S153" i="2" s="1"/>
  <c r="D173" i="2"/>
  <c r="F173" i="2" s="1"/>
  <c r="S173" i="2" s="1"/>
  <c r="D193" i="2"/>
  <c r="F193" i="2" s="1"/>
  <c r="S193" i="2" s="1"/>
  <c r="D213" i="2"/>
  <c r="F213" i="2" s="1"/>
  <c r="S213" i="2" s="1"/>
  <c r="D233" i="2"/>
  <c r="F233" i="2" s="1"/>
  <c r="S233" i="2" s="1"/>
  <c r="D54" i="2"/>
  <c r="F54" i="2" s="1"/>
  <c r="S54" i="2" s="1"/>
  <c r="D74" i="2"/>
  <c r="F74" i="2" s="1"/>
  <c r="S74" i="2" s="1"/>
  <c r="D94" i="2"/>
  <c r="F94" i="2" s="1"/>
  <c r="S94" i="2" s="1"/>
  <c r="D114" i="2"/>
  <c r="F114" i="2" s="1"/>
  <c r="S114" i="2" s="1"/>
  <c r="D134" i="2"/>
  <c r="F134" i="2" s="1"/>
  <c r="S134" i="2" s="1"/>
  <c r="D154" i="2"/>
  <c r="F154" i="2" s="1"/>
  <c r="S154" i="2" s="1"/>
  <c r="D174" i="2"/>
  <c r="F174" i="2" s="1"/>
  <c r="S174" i="2" s="1"/>
  <c r="D194" i="2"/>
  <c r="F194" i="2" s="1"/>
  <c r="S194" i="2" s="1"/>
  <c r="D214" i="2"/>
  <c r="F214" i="2" s="1"/>
  <c r="S214" i="2" s="1"/>
  <c r="D234" i="2"/>
  <c r="F234" i="2" s="1"/>
  <c r="S234" i="2" s="1"/>
  <c r="D55" i="2"/>
  <c r="F55" i="2" s="1"/>
  <c r="S55" i="2" s="1"/>
  <c r="D75" i="2"/>
  <c r="F75" i="2" s="1"/>
  <c r="S75" i="2" s="1"/>
  <c r="D95" i="2"/>
  <c r="F95" i="2" s="1"/>
  <c r="S95" i="2" s="1"/>
  <c r="D115" i="2"/>
  <c r="F115" i="2" s="1"/>
  <c r="S115" i="2" s="1"/>
  <c r="D135" i="2"/>
  <c r="F135" i="2" s="1"/>
  <c r="S135" i="2" s="1"/>
  <c r="D155" i="2"/>
  <c r="F155" i="2" s="1"/>
  <c r="S155" i="2" s="1"/>
  <c r="D175" i="2"/>
  <c r="F175" i="2" s="1"/>
  <c r="S175" i="2" s="1"/>
  <c r="D195" i="2"/>
  <c r="F195" i="2" s="1"/>
  <c r="S195" i="2" s="1"/>
  <c r="D215" i="2"/>
  <c r="F215" i="2" s="1"/>
  <c r="S215" i="2" s="1"/>
  <c r="D235" i="2"/>
  <c r="F235" i="2" s="1"/>
  <c r="S235" i="2" s="1"/>
  <c r="D56" i="2"/>
  <c r="F56" i="2" s="1"/>
  <c r="S56" i="2" s="1"/>
  <c r="D76" i="2"/>
  <c r="F76" i="2" s="1"/>
  <c r="S76" i="2" s="1"/>
  <c r="D96" i="2"/>
  <c r="F96" i="2" s="1"/>
  <c r="S96" i="2" s="1"/>
  <c r="D116" i="2"/>
  <c r="F116" i="2" s="1"/>
  <c r="S116" i="2" s="1"/>
  <c r="D136" i="2"/>
  <c r="F136" i="2" s="1"/>
  <c r="S136" i="2" s="1"/>
  <c r="D156" i="2"/>
  <c r="F156" i="2" s="1"/>
  <c r="S156" i="2" s="1"/>
  <c r="D176" i="2"/>
  <c r="F176" i="2" s="1"/>
  <c r="S176" i="2" s="1"/>
  <c r="D196" i="2"/>
  <c r="F196" i="2" s="1"/>
  <c r="S196" i="2" s="1"/>
  <c r="D216" i="2"/>
  <c r="F216" i="2" s="1"/>
  <c r="S216" i="2" s="1"/>
  <c r="D236" i="2"/>
  <c r="F236" i="2" s="1"/>
  <c r="S236" i="2" s="1"/>
  <c r="D57" i="2"/>
  <c r="F57" i="2" s="1"/>
  <c r="S57" i="2" s="1"/>
  <c r="D77" i="2"/>
  <c r="F77" i="2" s="1"/>
  <c r="S77" i="2" s="1"/>
  <c r="D97" i="2"/>
  <c r="F97" i="2" s="1"/>
  <c r="S97" i="2" s="1"/>
  <c r="D117" i="2"/>
  <c r="F117" i="2" s="1"/>
  <c r="S117" i="2" s="1"/>
  <c r="D137" i="2"/>
  <c r="F137" i="2" s="1"/>
  <c r="S137" i="2" s="1"/>
  <c r="D157" i="2"/>
  <c r="F157" i="2" s="1"/>
  <c r="S157" i="2" s="1"/>
  <c r="D177" i="2"/>
  <c r="F177" i="2" s="1"/>
  <c r="S177" i="2" s="1"/>
  <c r="D197" i="2"/>
  <c r="F197" i="2" s="1"/>
  <c r="S197" i="2" s="1"/>
  <c r="D217" i="2"/>
  <c r="F217" i="2" s="1"/>
  <c r="S217" i="2" s="1"/>
  <c r="D237" i="2"/>
  <c r="F237" i="2" s="1"/>
  <c r="S237" i="2" s="1"/>
  <c r="D58" i="2"/>
  <c r="F58" i="2" s="1"/>
  <c r="S58" i="2" s="1"/>
  <c r="D78" i="2"/>
  <c r="F78" i="2" s="1"/>
  <c r="S78" i="2" s="1"/>
  <c r="D98" i="2"/>
  <c r="F98" i="2" s="1"/>
  <c r="S98" i="2" s="1"/>
  <c r="D118" i="2"/>
  <c r="F118" i="2" s="1"/>
  <c r="S118" i="2" s="1"/>
  <c r="D138" i="2"/>
  <c r="F138" i="2" s="1"/>
  <c r="S138" i="2" s="1"/>
  <c r="D158" i="2"/>
  <c r="F158" i="2" s="1"/>
  <c r="S158" i="2" s="1"/>
  <c r="D178" i="2"/>
  <c r="F178" i="2" s="1"/>
  <c r="S178" i="2" s="1"/>
  <c r="D198" i="2"/>
  <c r="F198" i="2" s="1"/>
  <c r="S198" i="2" s="1"/>
  <c r="D218" i="2"/>
  <c r="F218" i="2" s="1"/>
  <c r="S218" i="2" s="1"/>
  <c r="D238" i="2"/>
  <c r="F238" i="2" s="1"/>
  <c r="S238" i="2" s="1"/>
  <c r="D59" i="2"/>
  <c r="F59" i="2" s="1"/>
  <c r="S59" i="2" s="1"/>
  <c r="D79" i="2"/>
  <c r="F79" i="2" s="1"/>
  <c r="S79" i="2" s="1"/>
  <c r="D99" i="2"/>
  <c r="F99" i="2" s="1"/>
  <c r="S99" i="2" s="1"/>
  <c r="D119" i="2"/>
  <c r="F119" i="2" s="1"/>
  <c r="S119" i="2" s="1"/>
  <c r="D139" i="2"/>
  <c r="F139" i="2" s="1"/>
  <c r="S139" i="2" s="1"/>
  <c r="D159" i="2"/>
  <c r="F159" i="2" s="1"/>
  <c r="S159" i="2" s="1"/>
  <c r="D179" i="2"/>
  <c r="F179" i="2" s="1"/>
  <c r="S179" i="2" s="1"/>
  <c r="D199" i="2"/>
  <c r="F199" i="2" s="1"/>
  <c r="S199" i="2" s="1"/>
  <c r="D219" i="2"/>
  <c r="F219" i="2" s="1"/>
  <c r="S219" i="2" s="1"/>
  <c r="D239" i="2"/>
  <c r="F239" i="2" s="1"/>
  <c r="S239" i="2" s="1"/>
  <c r="D60" i="2"/>
  <c r="F60" i="2" s="1"/>
  <c r="S60" i="2" s="1"/>
  <c r="D80" i="2"/>
  <c r="F80" i="2" s="1"/>
  <c r="S80" i="2" s="1"/>
  <c r="D100" i="2"/>
  <c r="F100" i="2" s="1"/>
  <c r="S100" i="2" s="1"/>
  <c r="D120" i="2"/>
  <c r="F120" i="2" s="1"/>
  <c r="S120" i="2" s="1"/>
  <c r="D140" i="2"/>
  <c r="F140" i="2" s="1"/>
  <c r="S140" i="2" s="1"/>
  <c r="D160" i="2"/>
  <c r="F160" i="2" s="1"/>
  <c r="S160" i="2" s="1"/>
  <c r="D180" i="2"/>
  <c r="F180" i="2" s="1"/>
  <c r="S180" i="2" s="1"/>
  <c r="D200" i="2"/>
  <c r="F200" i="2" s="1"/>
  <c r="S200" i="2" s="1"/>
  <c r="D220" i="2"/>
  <c r="F220" i="2" s="1"/>
  <c r="S220" i="2" s="1"/>
  <c r="D240" i="2"/>
  <c r="F240" i="2" s="1"/>
  <c r="S240" i="2" s="1"/>
  <c r="D61" i="2"/>
  <c r="F61" i="2" s="1"/>
  <c r="S61" i="2" s="1"/>
  <c r="D81" i="2"/>
  <c r="F81" i="2" s="1"/>
  <c r="S81" i="2" s="1"/>
  <c r="D101" i="2"/>
  <c r="F101" i="2" s="1"/>
  <c r="S101" i="2" s="1"/>
  <c r="D121" i="2"/>
  <c r="F121" i="2" s="1"/>
  <c r="S121" i="2" s="1"/>
  <c r="D141" i="2"/>
  <c r="F141" i="2" s="1"/>
  <c r="S141" i="2" s="1"/>
  <c r="D161" i="2"/>
  <c r="F161" i="2" s="1"/>
  <c r="S161" i="2" s="1"/>
  <c r="D181" i="2"/>
  <c r="F181" i="2" s="1"/>
  <c r="S181" i="2" s="1"/>
  <c r="D201" i="2"/>
  <c r="F201" i="2" s="1"/>
  <c r="S201" i="2" s="1"/>
  <c r="D221" i="2"/>
  <c r="F221" i="2" s="1"/>
  <c r="S221" i="2" s="1"/>
  <c r="D241" i="2"/>
  <c r="F241" i="2" s="1"/>
  <c r="S241" i="2" s="1"/>
  <c r="D62" i="2"/>
  <c r="F62" i="2" s="1"/>
  <c r="S62" i="2" s="1"/>
  <c r="D82" i="2"/>
  <c r="F82" i="2" s="1"/>
  <c r="S82" i="2" s="1"/>
  <c r="D102" i="2"/>
  <c r="F102" i="2" s="1"/>
  <c r="S102" i="2" s="1"/>
  <c r="D122" i="2"/>
  <c r="F122" i="2" s="1"/>
  <c r="S122" i="2" s="1"/>
  <c r="D142" i="2"/>
  <c r="F142" i="2" s="1"/>
  <c r="S142" i="2" s="1"/>
  <c r="D162" i="2"/>
  <c r="F162" i="2" s="1"/>
  <c r="S162" i="2" s="1"/>
  <c r="D182" i="2"/>
  <c r="F182" i="2" s="1"/>
  <c r="S182" i="2" s="1"/>
  <c r="D202" i="2"/>
  <c r="F202" i="2" s="1"/>
  <c r="S202" i="2" s="1"/>
  <c r="D222" i="2"/>
  <c r="F222" i="2" s="1"/>
  <c r="S222" i="2" s="1"/>
  <c r="D242" i="2"/>
  <c r="F242" i="2" s="1"/>
  <c r="S242" i="2" s="1"/>
  <c r="D63" i="2"/>
  <c r="F63" i="2" s="1"/>
  <c r="S63" i="2" s="1"/>
  <c r="D83" i="2"/>
  <c r="F83" i="2" s="1"/>
  <c r="S83" i="2" s="1"/>
  <c r="D103" i="2"/>
  <c r="F103" i="2" s="1"/>
  <c r="S103" i="2" s="1"/>
  <c r="D123" i="2"/>
  <c r="F123" i="2" s="1"/>
  <c r="S123" i="2" s="1"/>
  <c r="D143" i="2"/>
  <c r="F143" i="2" s="1"/>
  <c r="S143" i="2" s="1"/>
  <c r="D163" i="2"/>
  <c r="F163" i="2" s="1"/>
  <c r="S163" i="2" s="1"/>
  <c r="D183" i="2"/>
  <c r="F183" i="2" s="1"/>
  <c r="S183" i="2" s="1"/>
  <c r="D203" i="2"/>
  <c r="F203" i="2" s="1"/>
  <c r="S203" i="2" s="1"/>
  <c r="D223" i="2"/>
  <c r="F223" i="2" s="1"/>
  <c r="S223" i="2" s="1"/>
  <c r="D243" i="2"/>
  <c r="F243" i="2" s="1"/>
  <c r="S243" i="2" s="1"/>
  <c r="D25" i="2"/>
  <c r="F25" i="2" s="1"/>
  <c r="S25" i="2" s="1"/>
  <c r="D26" i="2"/>
  <c r="F26" i="2" s="1"/>
  <c r="S26" i="2" s="1"/>
  <c r="D27" i="2"/>
  <c r="F27" i="2" s="1"/>
  <c r="S27" i="2" s="1"/>
  <c r="D28" i="2"/>
  <c r="F28" i="2" s="1"/>
  <c r="S28" i="2" s="1"/>
  <c r="D29" i="2"/>
  <c r="F29" i="2" s="1"/>
  <c r="S29" i="2" s="1"/>
  <c r="D30" i="2"/>
  <c r="F30" i="2" s="1"/>
  <c r="S30" i="2" s="1"/>
  <c r="D31" i="2"/>
  <c r="F31" i="2" s="1"/>
  <c r="S31" i="2" s="1"/>
  <c r="D32" i="2"/>
  <c r="F32" i="2" s="1"/>
  <c r="S32" i="2" s="1"/>
  <c r="D33" i="2"/>
  <c r="F33" i="2" s="1"/>
  <c r="S33" i="2" s="1"/>
  <c r="D34" i="2"/>
  <c r="F34" i="2" s="1"/>
  <c r="S34" i="2" s="1"/>
  <c r="D35" i="2"/>
  <c r="F35" i="2" s="1"/>
  <c r="S35" i="2" s="1"/>
  <c r="D36" i="2"/>
  <c r="F36" i="2" s="1"/>
  <c r="S36" i="2" s="1"/>
  <c r="D37" i="2"/>
  <c r="F37" i="2" s="1"/>
  <c r="S37" i="2" s="1"/>
  <c r="D38" i="2"/>
  <c r="F38" i="2" s="1"/>
  <c r="S38" i="2" s="1"/>
  <c r="D39" i="2"/>
  <c r="F39" i="2" s="1"/>
  <c r="S39" i="2" s="1"/>
  <c r="D40" i="2"/>
  <c r="F40" i="2" s="1"/>
  <c r="S40" i="2" s="1"/>
  <c r="D41" i="2"/>
  <c r="F41" i="2" s="1"/>
  <c r="S41" i="2" s="1"/>
  <c r="D42" i="2"/>
  <c r="F42" i="2" s="1"/>
  <c r="S42" i="2" s="1"/>
  <c r="D43" i="2"/>
  <c r="F43" i="2" s="1"/>
  <c r="S43" i="2" s="1"/>
  <c r="F4" i="2" l="1"/>
  <c r="S4" i="2" s="1"/>
  <c r="S244" i="2" s="1"/>
  <c r="N4" i="2"/>
  <c r="C33" i="7"/>
  <c r="D33" i="7" s="1"/>
  <c r="G22" i="2"/>
  <c r="D20" i="6"/>
  <c r="E20" i="6" s="1"/>
  <c r="C29" i="7"/>
  <c r="D29" i="7" s="1"/>
  <c r="G18" i="2"/>
  <c r="D16" i="6"/>
  <c r="E16" i="6" s="1"/>
  <c r="C21" i="7"/>
  <c r="D21" i="7" s="1"/>
  <c r="G14" i="2"/>
  <c r="D12" i="6"/>
  <c r="E12" i="6" s="1"/>
  <c r="N14" i="2"/>
  <c r="U14" i="2" s="1"/>
  <c r="C6" i="7"/>
  <c r="D6" i="7" s="1"/>
  <c r="G6" i="2"/>
  <c r="D4" i="6"/>
  <c r="E4" i="6" s="1"/>
  <c r="N6" i="2"/>
  <c r="U6" i="2" s="1"/>
  <c r="C32" i="7"/>
  <c r="D32" i="7" s="1"/>
  <c r="G21" i="2"/>
  <c r="D19" i="6"/>
  <c r="E19" i="6" s="1"/>
  <c r="C18" i="7"/>
  <c r="D18" i="7" s="1"/>
  <c r="G13" i="2"/>
  <c r="D11" i="6"/>
  <c r="E11" i="6" s="1"/>
  <c r="C12" i="7"/>
  <c r="D12" i="7" s="1"/>
  <c r="G9" i="2"/>
  <c r="D7" i="6"/>
  <c r="E7" i="6" s="1"/>
  <c r="N9" i="2"/>
  <c r="U9" i="2" s="1"/>
  <c r="C4" i="7"/>
  <c r="D4" i="7" s="1"/>
  <c r="G5" i="2"/>
  <c r="D3" i="6"/>
  <c r="E3" i="6" s="1"/>
  <c r="C2" i="7"/>
  <c r="D2" i="7" s="1"/>
  <c r="G4" i="2"/>
  <c r="D2" i="6"/>
  <c r="E2" i="6" s="1"/>
  <c r="C31" i="7"/>
  <c r="D31" i="7" s="1"/>
  <c r="G20" i="2"/>
  <c r="D18" i="6"/>
  <c r="E18" i="6" s="1"/>
  <c r="C26" i="7"/>
  <c r="D26" i="7" s="1"/>
  <c r="G16" i="2"/>
  <c r="D14" i="6"/>
  <c r="E14" i="6" s="1"/>
  <c r="C17" i="7"/>
  <c r="D17" i="7" s="1"/>
  <c r="G12" i="2"/>
  <c r="D10" i="6"/>
  <c r="E10" i="6" s="1"/>
  <c r="C11" i="7"/>
  <c r="D11" i="7" s="1"/>
  <c r="G8" i="2"/>
  <c r="D6" i="6"/>
  <c r="E6" i="6" s="1"/>
  <c r="C15" i="7"/>
  <c r="D15" i="7" s="1"/>
  <c r="G10" i="2"/>
  <c r="D8" i="6"/>
  <c r="E8" i="6" s="1"/>
  <c r="N10" i="2"/>
  <c r="U10" i="2" s="1"/>
  <c r="C28" i="7"/>
  <c r="D28" i="7" s="1"/>
  <c r="G17" i="2"/>
  <c r="D15" i="6"/>
  <c r="E15" i="6" s="1"/>
  <c r="N17" i="2"/>
  <c r="U17" i="2" s="1"/>
  <c r="C36" i="7"/>
  <c r="D36" i="7" s="1"/>
  <c r="G23" i="2"/>
  <c r="D21" i="6"/>
  <c r="E21" i="6" s="1"/>
  <c r="C30" i="7"/>
  <c r="D30" i="7" s="1"/>
  <c r="G19" i="2"/>
  <c r="D17" i="6"/>
  <c r="E17" i="6" s="1"/>
  <c r="C24" i="7"/>
  <c r="D24" i="7" s="1"/>
  <c r="G15" i="2"/>
  <c r="D13" i="6"/>
  <c r="E13" i="6" s="1"/>
  <c r="N15" i="2"/>
  <c r="U15" i="2" s="1"/>
  <c r="C16" i="7"/>
  <c r="D16" i="7" s="1"/>
  <c r="G11" i="2"/>
  <c r="D9" i="6"/>
  <c r="E9" i="6" s="1"/>
  <c r="N11" i="2"/>
  <c r="U11" i="2" s="1"/>
  <c r="C9" i="7"/>
  <c r="D9" i="7" s="1"/>
  <c r="G7" i="2"/>
  <c r="D5" i="6"/>
  <c r="E5" i="6" s="1"/>
  <c r="N7" i="2"/>
  <c r="U7" i="2" s="1"/>
  <c r="G34" i="2"/>
  <c r="N34" i="2"/>
  <c r="G242" i="2"/>
  <c r="G121" i="2"/>
  <c r="G80" i="2"/>
  <c r="G158" i="2"/>
  <c r="G117" i="2"/>
  <c r="N117" i="2"/>
  <c r="U117" i="2" s="1"/>
  <c r="G76" i="2"/>
  <c r="G154" i="2"/>
  <c r="N154" i="2"/>
  <c r="U154" i="2" s="1"/>
  <c r="G113" i="2"/>
  <c r="G72" i="2"/>
  <c r="G230" i="2"/>
  <c r="N230" i="2"/>
  <c r="U230" i="2" s="1"/>
  <c r="G70" i="2"/>
  <c r="N70" i="2"/>
  <c r="U70" i="2" s="1"/>
  <c r="G109" i="2"/>
  <c r="N109" i="2"/>
  <c r="U109" i="2" s="1"/>
  <c r="G148" i="2"/>
  <c r="G226" i="2"/>
  <c r="N226" i="2"/>
  <c r="U226" i="2" s="1"/>
  <c r="G66" i="2"/>
  <c r="N66" i="2"/>
  <c r="U66" i="2" s="1"/>
  <c r="G105" i="2"/>
  <c r="G144" i="2"/>
  <c r="G37" i="2"/>
  <c r="N37" i="2"/>
  <c r="G29" i="2"/>
  <c r="N29" i="2"/>
  <c r="G25" i="2"/>
  <c r="G181" i="2"/>
  <c r="G101" i="2"/>
  <c r="G220" i="2"/>
  <c r="G140" i="2"/>
  <c r="G60" i="2"/>
  <c r="G177" i="2"/>
  <c r="N177" i="2"/>
  <c r="U177" i="2" s="1"/>
  <c r="G97" i="2"/>
  <c r="N97" i="2"/>
  <c r="U97" i="2" s="1"/>
  <c r="G216" i="2"/>
  <c r="G136" i="2"/>
  <c r="G56" i="2"/>
  <c r="G173" i="2"/>
  <c r="G93" i="2"/>
  <c r="G212" i="2"/>
  <c r="G132" i="2"/>
  <c r="G52" i="2"/>
  <c r="G169" i="2"/>
  <c r="N169" i="2"/>
  <c r="U169" i="2" s="1"/>
  <c r="G89" i="2"/>
  <c r="N89" i="2"/>
  <c r="U89" i="2" s="1"/>
  <c r="G208" i="2"/>
  <c r="G128" i="2"/>
  <c r="G48" i="2"/>
  <c r="G165" i="2"/>
  <c r="G85" i="2"/>
  <c r="G204" i="2"/>
  <c r="G124" i="2"/>
  <c r="G44" i="2"/>
  <c r="G42" i="2"/>
  <c r="G30" i="2"/>
  <c r="N30" i="2"/>
  <c r="G162" i="2"/>
  <c r="G201" i="2"/>
  <c r="G160" i="2"/>
  <c r="G197" i="2"/>
  <c r="N197" i="2"/>
  <c r="U197" i="2" s="1"/>
  <c r="G156" i="2"/>
  <c r="G234" i="2"/>
  <c r="N234" i="2"/>
  <c r="U234" i="2" s="1"/>
  <c r="G193" i="2"/>
  <c r="G232" i="2"/>
  <c r="G152" i="2"/>
  <c r="G150" i="2"/>
  <c r="N150" i="2"/>
  <c r="U150" i="2" s="1"/>
  <c r="G189" i="2"/>
  <c r="N189" i="2"/>
  <c r="U189" i="2" s="1"/>
  <c r="G228" i="2"/>
  <c r="G68" i="2"/>
  <c r="G146" i="2"/>
  <c r="N146" i="2"/>
  <c r="U146" i="2" s="1"/>
  <c r="G185" i="2"/>
  <c r="G224" i="2"/>
  <c r="G64" i="2"/>
  <c r="G41" i="2"/>
  <c r="G33" i="2"/>
  <c r="G40" i="2"/>
  <c r="G36" i="2"/>
  <c r="G32" i="2"/>
  <c r="G28" i="2"/>
  <c r="G241" i="2"/>
  <c r="G161" i="2"/>
  <c r="G81" i="2"/>
  <c r="G200" i="2"/>
  <c r="G120" i="2"/>
  <c r="G237" i="2"/>
  <c r="N237" i="2"/>
  <c r="U237" i="2" s="1"/>
  <c r="G157" i="2"/>
  <c r="N157" i="2"/>
  <c r="U157" i="2" s="1"/>
  <c r="G77" i="2"/>
  <c r="N77" i="2"/>
  <c r="U77" i="2" s="1"/>
  <c r="G196" i="2"/>
  <c r="G116" i="2"/>
  <c r="G233" i="2"/>
  <c r="G153" i="2"/>
  <c r="G73" i="2"/>
  <c r="G192" i="2"/>
  <c r="G112" i="2"/>
  <c r="G229" i="2"/>
  <c r="N229" i="2"/>
  <c r="U229" i="2" s="1"/>
  <c r="G149" i="2"/>
  <c r="N149" i="2"/>
  <c r="U149" i="2" s="1"/>
  <c r="G69" i="2"/>
  <c r="N69" i="2"/>
  <c r="U69" i="2" s="1"/>
  <c r="G188" i="2"/>
  <c r="G108" i="2"/>
  <c r="G225" i="2"/>
  <c r="G145" i="2"/>
  <c r="G65" i="2"/>
  <c r="G184" i="2"/>
  <c r="G104" i="2"/>
  <c r="G38" i="2"/>
  <c r="G26" i="2"/>
  <c r="N26" i="2"/>
  <c r="G82" i="2"/>
  <c r="G240" i="2"/>
  <c r="G238" i="2"/>
  <c r="G78" i="2"/>
  <c r="G236" i="2"/>
  <c r="G74" i="2"/>
  <c r="N74" i="2"/>
  <c r="U74" i="2" s="1"/>
  <c r="G43" i="2"/>
  <c r="G39" i="2"/>
  <c r="G35" i="2"/>
  <c r="N35" i="2"/>
  <c r="G31" i="2"/>
  <c r="N31" i="2"/>
  <c r="G27" i="2"/>
  <c r="N27" i="2"/>
  <c r="G223" i="2"/>
  <c r="G143" i="2"/>
  <c r="G63" i="2"/>
  <c r="G182" i="2"/>
  <c r="G102" i="2"/>
  <c r="G221" i="2"/>
  <c r="G141" i="2"/>
  <c r="G61" i="2"/>
  <c r="G180" i="2"/>
  <c r="G100" i="2"/>
  <c r="G219" i="2"/>
  <c r="G139" i="2"/>
  <c r="G59" i="2"/>
  <c r="G178" i="2"/>
  <c r="G98" i="2"/>
  <c r="G217" i="2"/>
  <c r="N217" i="2"/>
  <c r="U217" i="2" s="1"/>
  <c r="G137" i="2"/>
  <c r="N137" i="2"/>
  <c r="U137" i="2" s="1"/>
  <c r="G57" i="2"/>
  <c r="N57" i="2"/>
  <c r="U57" i="2" s="1"/>
  <c r="G176" i="2"/>
  <c r="G96" i="2"/>
  <c r="G215" i="2"/>
  <c r="N215" i="2"/>
  <c r="U215" i="2" s="1"/>
  <c r="G135" i="2"/>
  <c r="N135" i="2"/>
  <c r="U135" i="2" s="1"/>
  <c r="G55" i="2"/>
  <c r="N55" i="2"/>
  <c r="U55" i="2" s="1"/>
  <c r="G174" i="2"/>
  <c r="N174" i="2"/>
  <c r="U174" i="2" s="1"/>
  <c r="G94" i="2"/>
  <c r="N94" i="2"/>
  <c r="U94" i="2" s="1"/>
  <c r="G213" i="2"/>
  <c r="G133" i="2"/>
  <c r="G53" i="2"/>
  <c r="G172" i="2"/>
  <c r="G92" i="2"/>
  <c r="G211" i="2"/>
  <c r="N211" i="2"/>
  <c r="U211" i="2" s="1"/>
  <c r="G131" i="2"/>
  <c r="N131" i="2"/>
  <c r="U131" i="2" s="1"/>
  <c r="G51" i="2"/>
  <c r="N51" i="2"/>
  <c r="U51" i="2" s="1"/>
  <c r="G170" i="2"/>
  <c r="N170" i="2"/>
  <c r="U170" i="2" s="1"/>
  <c r="G90" i="2"/>
  <c r="N90" i="2"/>
  <c r="U90" i="2" s="1"/>
  <c r="G209" i="2"/>
  <c r="N209" i="2"/>
  <c r="U209" i="2" s="1"/>
  <c r="G129" i="2"/>
  <c r="N129" i="2"/>
  <c r="U129" i="2" s="1"/>
  <c r="G49" i="2"/>
  <c r="N49" i="2"/>
  <c r="U49" i="2" s="1"/>
  <c r="G168" i="2"/>
  <c r="G88" i="2"/>
  <c r="G207" i="2"/>
  <c r="N207" i="2"/>
  <c r="U207" i="2" s="1"/>
  <c r="G127" i="2"/>
  <c r="N127" i="2"/>
  <c r="U127" i="2" s="1"/>
  <c r="G47" i="2"/>
  <c r="N47" i="2"/>
  <c r="U47" i="2" s="1"/>
  <c r="G166" i="2"/>
  <c r="N166" i="2"/>
  <c r="U166" i="2" s="1"/>
  <c r="G86" i="2"/>
  <c r="N86" i="2"/>
  <c r="U86" i="2" s="1"/>
  <c r="G205" i="2"/>
  <c r="G125" i="2"/>
  <c r="G45" i="2"/>
  <c r="G164" i="2"/>
  <c r="G84" i="2"/>
  <c r="G75" i="2"/>
  <c r="N75" i="2"/>
  <c r="U75" i="2" s="1"/>
  <c r="G67" i="2"/>
  <c r="N67" i="2"/>
  <c r="U67" i="2" s="1"/>
  <c r="G95" i="2"/>
  <c r="N95" i="2"/>
  <c r="U95" i="2" s="1"/>
  <c r="G87" i="2"/>
  <c r="N87" i="2"/>
  <c r="U87" i="2" s="1"/>
  <c r="G119" i="2"/>
  <c r="G111" i="2"/>
  <c r="N111" i="2"/>
  <c r="U111" i="2" s="1"/>
  <c r="G163" i="2"/>
  <c r="G151" i="2"/>
  <c r="N151" i="2"/>
  <c r="U151" i="2" s="1"/>
  <c r="G183" i="2"/>
  <c r="G175" i="2"/>
  <c r="N175" i="2"/>
  <c r="U175" i="2" s="1"/>
  <c r="G203" i="2"/>
  <c r="G195" i="2"/>
  <c r="N195" i="2"/>
  <c r="U195" i="2" s="1"/>
  <c r="G187" i="2"/>
  <c r="N187" i="2"/>
  <c r="U187" i="2" s="1"/>
  <c r="G239" i="2"/>
  <c r="G235" i="2"/>
  <c r="N235" i="2"/>
  <c r="U235" i="2" s="1"/>
  <c r="G58" i="2"/>
  <c r="G50" i="2"/>
  <c r="N50" i="2"/>
  <c r="U50" i="2" s="1"/>
  <c r="G122" i="2"/>
  <c r="G114" i="2"/>
  <c r="N114" i="2"/>
  <c r="U114" i="2" s="1"/>
  <c r="G110" i="2"/>
  <c r="N110" i="2"/>
  <c r="U110" i="2" s="1"/>
  <c r="G142" i="2"/>
  <c r="G134" i="2"/>
  <c r="N134" i="2"/>
  <c r="U134" i="2" s="1"/>
  <c r="G130" i="2"/>
  <c r="N130" i="2"/>
  <c r="U130" i="2" s="1"/>
  <c r="G126" i="2"/>
  <c r="N126" i="2"/>
  <c r="U126" i="2" s="1"/>
  <c r="G194" i="2"/>
  <c r="N194" i="2"/>
  <c r="U194" i="2" s="1"/>
  <c r="G190" i="2"/>
  <c r="N190" i="2"/>
  <c r="U190" i="2" s="1"/>
  <c r="G186" i="2"/>
  <c r="N186" i="2"/>
  <c r="U186" i="2" s="1"/>
  <c r="G222" i="2"/>
  <c r="G218" i="2"/>
  <c r="G214" i="2"/>
  <c r="N214" i="2"/>
  <c r="U214" i="2" s="1"/>
  <c r="G210" i="2"/>
  <c r="N210" i="2"/>
  <c r="U210" i="2" s="1"/>
  <c r="G206" i="2"/>
  <c r="N206" i="2"/>
  <c r="U206" i="2" s="1"/>
  <c r="G79" i="2"/>
  <c r="G71" i="2"/>
  <c r="N71" i="2"/>
  <c r="U71" i="2" s="1"/>
  <c r="G99" i="2"/>
  <c r="G91" i="2"/>
  <c r="N91" i="2"/>
  <c r="U91" i="2" s="1"/>
  <c r="G115" i="2"/>
  <c r="N115" i="2"/>
  <c r="U115" i="2" s="1"/>
  <c r="G107" i="2"/>
  <c r="N107" i="2"/>
  <c r="U107" i="2" s="1"/>
  <c r="G159" i="2"/>
  <c r="G147" i="2"/>
  <c r="N147" i="2"/>
  <c r="U147" i="2" s="1"/>
  <c r="G179" i="2"/>
  <c r="G171" i="2"/>
  <c r="N171" i="2"/>
  <c r="U171" i="2" s="1"/>
  <c r="G199" i="2"/>
  <c r="G191" i="2"/>
  <c r="N191" i="2"/>
  <c r="U191" i="2" s="1"/>
  <c r="G243" i="2"/>
  <c r="G231" i="2"/>
  <c r="N231" i="2"/>
  <c r="U231" i="2" s="1"/>
  <c r="G62" i="2"/>
  <c r="G54" i="2"/>
  <c r="N54" i="2"/>
  <c r="U54" i="2" s="1"/>
  <c r="G46" i="2"/>
  <c r="N46" i="2"/>
  <c r="U46" i="2" s="1"/>
  <c r="G118" i="2"/>
  <c r="G106" i="2"/>
  <c r="N106" i="2"/>
  <c r="U106" i="2" s="1"/>
  <c r="G138" i="2"/>
  <c r="G202" i="2"/>
  <c r="G83" i="2"/>
  <c r="G103" i="2"/>
  <c r="G123" i="2"/>
  <c r="G155" i="2"/>
  <c r="N155" i="2"/>
  <c r="U155" i="2" s="1"/>
  <c r="G167" i="2"/>
  <c r="N167" i="2"/>
  <c r="U167" i="2" s="1"/>
  <c r="G227" i="2"/>
  <c r="N227" i="2"/>
  <c r="U227" i="2" s="1"/>
  <c r="G198" i="2"/>
  <c r="G24" i="2"/>
  <c r="U30" i="2" l="1"/>
  <c r="W10" i="2"/>
  <c r="U29" i="2"/>
  <c r="W9" i="2"/>
  <c r="X9" i="2" s="1"/>
  <c r="W11" i="2"/>
  <c r="U31" i="2"/>
  <c r="U34" i="2"/>
  <c r="W14" i="2"/>
  <c r="X14" i="2" s="1"/>
  <c r="U26" i="2"/>
  <c r="W6" i="2"/>
  <c r="X6" i="2" s="1"/>
  <c r="U37" i="2"/>
  <c r="W17" i="2"/>
  <c r="X17" i="2" s="1"/>
  <c r="AB17" i="2" s="1"/>
  <c r="W7" i="2"/>
  <c r="X7" i="2" s="1"/>
  <c r="U27" i="2"/>
  <c r="W15" i="2"/>
  <c r="X15" i="2" s="1"/>
  <c r="U35" i="2"/>
  <c r="Q11" i="2"/>
  <c r="Q6" i="2"/>
  <c r="Q14" i="2"/>
  <c r="Q7" i="2"/>
  <c r="Q15" i="2"/>
  <c r="Q17" i="2"/>
  <c r="Q10" i="2"/>
  <c r="Q9" i="2"/>
  <c r="Q155" i="2"/>
  <c r="Q106" i="2"/>
  <c r="Q194" i="2"/>
  <c r="Q114" i="2"/>
  <c r="Q235" i="2"/>
  <c r="Q75" i="2"/>
  <c r="Q47" i="2"/>
  <c r="Q129" i="2"/>
  <c r="Q51" i="2"/>
  <c r="Q94" i="2"/>
  <c r="Q149" i="2"/>
  <c r="Q157" i="2"/>
  <c r="Q197" i="2"/>
  <c r="Q97" i="2"/>
  <c r="Q227" i="2"/>
  <c r="Q46" i="2"/>
  <c r="Q115" i="2"/>
  <c r="Q210" i="2"/>
  <c r="Q186" i="2"/>
  <c r="Q130" i="2"/>
  <c r="Q50" i="2"/>
  <c r="Q187" i="2"/>
  <c r="Q95" i="2"/>
  <c r="Q86" i="2"/>
  <c r="Q207" i="2"/>
  <c r="Q90" i="2"/>
  <c r="Q211" i="2"/>
  <c r="Q55" i="2"/>
  <c r="Q215" i="2"/>
  <c r="Q137" i="2"/>
  <c r="Q31" i="2"/>
  <c r="Q74" i="2"/>
  <c r="Q26" i="2"/>
  <c r="Q146" i="2"/>
  <c r="Q150" i="2"/>
  <c r="Q234" i="2"/>
  <c r="Q30" i="2"/>
  <c r="Q89" i="2"/>
  <c r="Q29" i="2"/>
  <c r="Q66" i="2"/>
  <c r="Q70" i="2"/>
  <c r="Q154" i="2"/>
  <c r="Q117" i="2"/>
  <c r="Q167" i="2"/>
  <c r="Q54" i="2"/>
  <c r="Q231" i="2"/>
  <c r="Q191" i="2"/>
  <c r="Q171" i="2"/>
  <c r="Q147" i="2"/>
  <c r="Q107" i="2"/>
  <c r="Q91" i="2"/>
  <c r="Q71" i="2"/>
  <c r="Q206" i="2"/>
  <c r="Q214" i="2"/>
  <c r="Q190" i="2"/>
  <c r="Q126" i="2"/>
  <c r="Q134" i="2"/>
  <c r="Q110" i="2"/>
  <c r="Q195" i="2"/>
  <c r="Q175" i="2"/>
  <c r="Q151" i="2"/>
  <c r="Q111" i="2"/>
  <c r="Q87" i="2"/>
  <c r="Q67" i="2"/>
  <c r="Q166" i="2"/>
  <c r="Q127" i="2"/>
  <c r="Q49" i="2"/>
  <c r="Q209" i="2"/>
  <c r="Q170" i="2"/>
  <c r="Q131" i="2"/>
  <c r="Q174" i="2"/>
  <c r="Q135" i="2"/>
  <c r="Q57" i="2"/>
  <c r="Q217" i="2"/>
  <c r="Q27" i="2"/>
  <c r="Q35" i="2"/>
  <c r="Q69" i="2"/>
  <c r="Q229" i="2"/>
  <c r="Q77" i="2"/>
  <c r="Q237" i="2"/>
  <c r="Q189" i="2"/>
  <c r="Q169" i="2"/>
  <c r="Q177" i="2"/>
  <c r="Q37" i="2"/>
  <c r="Q226" i="2"/>
  <c r="Q109" i="2"/>
  <c r="Q230" i="2"/>
  <c r="Q34" i="2"/>
  <c r="X11" i="2"/>
  <c r="X10" i="2"/>
  <c r="AB6" i="2" l="1"/>
  <c r="AB10" i="2"/>
  <c r="AB15" i="2"/>
  <c r="AB11" i="2"/>
  <c r="AB7" i="2"/>
  <c r="AB9" i="2"/>
  <c r="AB14" i="2"/>
  <c r="K142" i="2" l="1"/>
  <c r="N142" i="2" s="1"/>
  <c r="U142" i="2" s="1"/>
  <c r="K182" i="2"/>
  <c r="N182" i="2" s="1"/>
  <c r="U182" i="2" s="1"/>
  <c r="K42" i="2"/>
  <c r="N42" i="2" s="1"/>
  <c r="K62" i="2"/>
  <c r="N62" i="2" s="1"/>
  <c r="U62" i="2" s="1"/>
  <c r="K102" i="2"/>
  <c r="N102" i="2" s="1"/>
  <c r="U102" i="2" s="1"/>
  <c r="K122" i="2"/>
  <c r="N122" i="2" s="1"/>
  <c r="U122" i="2" s="1"/>
  <c r="K202" i="2"/>
  <c r="N202" i="2" s="1"/>
  <c r="U202" i="2" s="1"/>
  <c r="K222" i="2"/>
  <c r="N222" i="2" s="1"/>
  <c r="U222" i="2" s="1"/>
  <c r="K82" i="2"/>
  <c r="N82" i="2" s="1"/>
  <c r="U82" i="2" s="1"/>
  <c r="F16" i="6"/>
  <c r="K198" i="2" s="1"/>
  <c r="N198" i="2" s="1"/>
  <c r="U198" i="2" s="1"/>
  <c r="K242" i="2"/>
  <c r="N242" i="2" s="1"/>
  <c r="U242" i="2" s="1"/>
  <c r="K162" i="2"/>
  <c r="N162" i="2" s="1"/>
  <c r="U162" i="2" s="1"/>
  <c r="K22" i="2"/>
  <c r="N22" i="2" s="1"/>
  <c r="U22" i="2" s="1"/>
  <c r="M13" i="6"/>
  <c r="F10" i="6" s="1"/>
  <c r="K212" i="2" s="1"/>
  <c r="N212" i="2" s="1"/>
  <c r="U212" i="2" s="1"/>
  <c r="U42" i="2" l="1"/>
  <c r="W22" i="2"/>
  <c r="X22" i="2" s="1"/>
  <c r="D20" i="5" s="1"/>
  <c r="Y22" i="2" s="1"/>
  <c r="AB22" i="2" s="1"/>
  <c r="F18" i="6"/>
  <c r="F17" i="6"/>
  <c r="F21" i="6"/>
  <c r="F19" i="6"/>
  <c r="Q22" i="2"/>
  <c r="Q242" i="2"/>
  <c r="Q102" i="2"/>
  <c r="Q182" i="2"/>
  <c r="Q222" i="2"/>
  <c r="Q62" i="2"/>
  <c r="Q212" i="2"/>
  <c r="Q198" i="2"/>
  <c r="Q202" i="2"/>
  <c r="Q142" i="2"/>
  <c r="Q82" i="2"/>
  <c r="Q122" i="2"/>
  <c r="Q42" i="2"/>
  <c r="K38" i="2"/>
  <c r="N38" i="2" s="1"/>
  <c r="Q162" i="2"/>
  <c r="K178" i="2"/>
  <c r="N178" i="2" s="1"/>
  <c r="U178" i="2" s="1"/>
  <c r="K192" i="2"/>
  <c r="N192" i="2" s="1"/>
  <c r="U192" i="2" s="1"/>
  <c r="K158" i="2"/>
  <c r="N158" i="2" s="1"/>
  <c r="U158" i="2" s="1"/>
  <c r="K152" i="2"/>
  <c r="N152" i="2" s="1"/>
  <c r="U152" i="2" s="1"/>
  <c r="K232" i="2"/>
  <c r="N232" i="2" s="1"/>
  <c r="U232" i="2" s="1"/>
  <c r="K172" i="2"/>
  <c r="N172" i="2" s="1"/>
  <c r="U172" i="2" s="1"/>
  <c r="K238" i="2"/>
  <c r="N238" i="2" s="1"/>
  <c r="U238" i="2" s="1"/>
  <c r="K138" i="2"/>
  <c r="N138" i="2" s="1"/>
  <c r="U138" i="2" s="1"/>
  <c r="K78" i="2"/>
  <c r="N78" i="2" s="1"/>
  <c r="U78" i="2" s="1"/>
  <c r="K218" i="2"/>
  <c r="N218" i="2" s="1"/>
  <c r="U218" i="2" s="1"/>
  <c r="K18" i="2"/>
  <c r="N18" i="2" s="1"/>
  <c r="U18" i="2" s="1"/>
  <c r="K12" i="2"/>
  <c r="N12" i="2" s="1"/>
  <c r="U12" i="2" s="1"/>
  <c r="K98" i="2"/>
  <c r="N98" i="2" s="1"/>
  <c r="U98" i="2" s="1"/>
  <c r="K72" i="2"/>
  <c r="N72" i="2" s="1"/>
  <c r="U72" i="2" s="1"/>
  <c r="K52" i="2"/>
  <c r="N52" i="2" s="1"/>
  <c r="U52" i="2" s="1"/>
  <c r="K118" i="2"/>
  <c r="N118" i="2" s="1"/>
  <c r="U118" i="2" s="1"/>
  <c r="K112" i="2"/>
  <c r="N112" i="2" s="1"/>
  <c r="U112" i="2" s="1"/>
  <c r="K32" i="2"/>
  <c r="N32" i="2" s="1"/>
  <c r="K132" i="2"/>
  <c r="N132" i="2" s="1"/>
  <c r="U132" i="2" s="1"/>
  <c r="K92" i="2"/>
  <c r="N92" i="2" s="1"/>
  <c r="U92" i="2" s="1"/>
  <c r="K58" i="2"/>
  <c r="N58" i="2" s="1"/>
  <c r="U58" i="2" s="1"/>
  <c r="U38" i="2" l="1"/>
  <c r="W18" i="2"/>
  <c r="X18" i="2" s="1"/>
  <c r="AB18" i="2" s="1"/>
  <c r="W12" i="2"/>
  <c r="X12" i="2" s="1"/>
  <c r="AB12" i="2" s="1"/>
  <c r="U32" i="2"/>
  <c r="K39" i="2"/>
  <c r="N39" i="2" s="1"/>
  <c r="K59" i="2"/>
  <c r="N59" i="2" s="1"/>
  <c r="U59" i="2" s="1"/>
  <c r="K79" i="2"/>
  <c r="N79" i="2" s="1"/>
  <c r="U79" i="2" s="1"/>
  <c r="K99" i="2"/>
  <c r="N99" i="2" s="1"/>
  <c r="U99" i="2" s="1"/>
  <c r="K119" i="2"/>
  <c r="N119" i="2" s="1"/>
  <c r="U119" i="2" s="1"/>
  <c r="K139" i="2"/>
  <c r="N139" i="2" s="1"/>
  <c r="U139" i="2" s="1"/>
  <c r="K159" i="2"/>
  <c r="N159" i="2" s="1"/>
  <c r="U159" i="2" s="1"/>
  <c r="K179" i="2"/>
  <c r="N179" i="2" s="1"/>
  <c r="U179" i="2" s="1"/>
  <c r="K199" i="2"/>
  <c r="N199" i="2" s="1"/>
  <c r="U199" i="2" s="1"/>
  <c r="K219" i="2"/>
  <c r="N219" i="2" s="1"/>
  <c r="U219" i="2" s="1"/>
  <c r="K239" i="2"/>
  <c r="N239" i="2" s="1"/>
  <c r="U239" i="2" s="1"/>
  <c r="K19" i="2"/>
  <c r="N19" i="2" s="1"/>
  <c r="U19" i="2" s="1"/>
  <c r="K41" i="2"/>
  <c r="N41" i="2" s="1"/>
  <c r="K61" i="2"/>
  <c r="N61" i="2" s="1"/>
  <c r="U61" i="2" s="1"/>
  <c r="K81" i="2"/>
  <c r="N81" i="2" s="1"/>
  <c r="U81" i="2" s="1"/>
  <c r="K101" i="2"/>
  <c r="N101" i="2" s="1"/>
  <c r="U101" i="2" s="1"/>
  <c r="K121" i="2"/>
  <c r="N121" i="2" s="1"/>
  <c r="U121" i="2" s="1"/>
  <c r="K141" i="2"/>
  <c r="N141" i="2" s="1"/>
  <c r="U141" i="2" s="1"/>
  <c r="K161" i="2"/>
  <c r="N161" i="2" s="1"/>
  <c r="U161" i="2" s="1"/>
  <c r="K181" i="2"/>
  <c r="N181" i="2" s="1"/>
  <c r="U181" i="2" s="1"/>
  <c r="K201" i="2"/>
  <c r="N201" i="2" s="1"/>
  <c r="U201" i="2" s="1"/>
  <c r="K221" i="2"/>
  <c r="N221" i="2" s="1"/>
  <c r="U221" i="2" s="1"/>
  <c r="K241" i="2"/>
  <c r="N241" i="2" s="1"/>
  <c r="U241" i="2" s="1"/>
  <c r="K21" i="2"/>
  <c r="N21" i="2" s="1"/>
  <c r="U21" i="2" s="1"/>
  <c r="K23" i="2"/>
  <c r="N23" i="2" s="1"/>
  <c r="U23" i="2" s="1"/>
  <c r="K43" i="2"/>
  <c r="N43" i="2" s="1"/>
  <c r="K63" i="2"/>
  <c r="N63" i="2" s="1"/>
  <c r="U63" i="2" s="1"/>
  <c r="K83" i="2"/>
  <c r="N83" i="2" s="1"/>
  <c r="U83" i="2" s="1"/>
  <c r="K103" i="2"/>
  <c r="N103" i="2" s="1"/>
  <c r="U103" i="2" s="1"/>
  <c r="K123" i="2"/>
  <c r="N123" i="2" s="1"/>
  <c r="U123" i="2" s="1"/>
  <c r="K143" i="2"/>
  <c r="N143" i="2" s="1"/>
  <c r="U143" i="2" s="1"/>
  <c r="K163" i="2"/>
  <c r="N163" i="2" s="1"/>
  <c r="U163" i="2" s="1"/>
  <c r="K183" i="2"/>
  <c r="N183" i="2" s="1"/>
  <c r="U183" i="2" s="1"/>
  <c r="K203" i="2"/>
  <c r="N203" i="2" s="1"/>
  <c r="U203" i="2" s="1"/>
  <c r="K223" i="2"/>
  <c r="N223" i="2" s="1"/>
  <c r="U223" i="2" s="1"/>
  <c r="K243" i="2"/>
  <c r="N243" i="2" s="1"/>
  <c r="U243" i="2" s="1"/>
  <c r="K40" i="2"/>
  <c r="N40" i="2" s="1"/>
  <c r="K60" i="2"/>
  <c r="N60" i="2" s="1"/>
  <c r="U60" i="2" s="1"/>
  <c r="K80" i="2"/>
  <c r="N80" i="2" s="1"/>
  <c r="U80" i="2" s="1"/>
  <c r="K100" i="2"/>
  <c r="N100" i="2" s="1"/>
  <c r="U100" i="2" s="1"/>
  <c r="K120" i="2"/>
  <c r="N120" i="2" s="1"/>
  <c r="U120" i="2" s="1"/>
  <c r="K140" i="2"/>
  <c r="N140" i="2" s="1"/>
  <c r="U140" i="2" s="1"/>
  <c r="K160" i="2"/>
  <c r="N160" i="2" s="1"/>
  <c r="U160" i="2" s="1"/>
  <c r="K180" i="2"/>
  <c r="N180" i="2" s="1"/>
  <c r="U180" i="2" s="1"/>
  <c r="K200" i="2"/>
  <c r="N200" i="2" s="1"/>
  <c r="U200" i="2" s="1"/>
  <c r="K220" i="2"/>
  <c r="N220" i="2" s="1"/>
  <c r="U220" i="2" s="1"/>
  <c r="K240" i="2"/>
  <c r="N240" i="2" s="1"/>
  <c r="U240" i="2" s="1"/>
  <c r="K20" i="2"/>
  <c r="N20" i="2" s="1"/>
  <c r="U20" i="2" s="1"/>
  <c r="Q118" i="2"/>
  <c r="Q12" i="2"/>
  <c r="Q138" i="2"/>
  <c r="Q152" i="2"/>
  <c r="Q132" i="2"/>
  <c r="Q52" i="2"/>
  <c r="Q18" i="2"/>
  <c r="Q238" i="2"/>
  <c r="Q158" i="2"/>
  <c r="Q38" i="2"/>
  <c r="Q92" i="2"/>
  <c r="Q32" i="2"/>
  <c r="Q72" i="2"/>
  <c r="Q218" i="2"/>
  <c r="Q172" i="2"/>
  <c r="Q192" i="2"/>
  <c r="Q58" i="2"/>
  <c r="Q112" i="2"/>
  <c r="Q98" i="2"/>
  <c r="Q78" i="2"/>
  <c r="Q232" i="2"/>
  <c r="Q178" i="2"/>
  <c r="W23" i="2" l="1"/>
  <c r="X23" i="2" s="1"/>
  <c r="AB23" i="2" s="1"/>
  <c r="U43" i="2"/>
  <c r="W20" i="2"/>
  <c r="X20" i="2" s="1"/>
  <c r="AB20" i="2" s="1"/>
  <c r="U40" i="2"/>
  <c r="U41" i="2"/>
  <c r="W21" i="2"/>
  <c r="X21" i="2" s="1"/>
  <c r="AB21" i="2" s="1"/>
  <c r="W19" i="2"/>
  <c r="X19" i="2" s="1"/>
  <c r="AB19" i="2" s="1"/>
  <c r="U39" i="2"/>
  <c r="Q20" i="2"/>
  <c r="Q223" i="2"/>
  <c r="Q143" i="2"/>
  <c r="Q63" i="2"/>
  <c r="Q241" i="2"/>
  <c r="Q161" i="2"/>
  <c r="Q81" i="2"/>
  <c r="Q239" i="2"/>
  <c r="Q159" i="2"/>
  <c r="Q79" i="2"/>
  <c r="Q180" i="2"/>
  <c r="Q100" i="2"/>
  <c r="Q243" i="2"/>
  <c r="Q163" i="2"/>
  <c r="Q83" i="2"/>
  <c r="Q21" i="2"/>
  <c r="Q181" i="2"/>
  <c r="Q101" i="2"/>
  <c r="Q19" i="2"/>
  <c r="Q179" i="2"/>
  <c r="Q99" i="2"/>
  <c r="Q240" i="2"/>
  <c r="Q160" i="2"/>
  <c r="Q80" i="2"/>
  <c r="Q220" i="2"/>
  <c r="Q140" i="2"/>
  <c r="Q60" i="2"/>
  <c r="Q203" i="2"/>
  <c r="Q123" i="2"/>
  <c r="Q43" i="2"/>
  <c r="Q221" i="2"/>
  <c r="Q141" i="2"/>
  <c r="Q61" i="2"/>
  <c r="Q219" i="2"/>
  <c r="Q139" i="2"/>
  <c r="Q59" i="2"/>
  <c r="Q200" i="2"/>
  <c r="Q120" i="2"/>
  <c r="Q40" i="2"/>
  <c r="Q183" i="2"/>
  <c r="Q103" i="2"/>
  <c r="Q23" i="2"/>
  <c r="Q201" i="2"/>
  <c r="Q121" i="2"/>
  <c r="Q41" i="2"/>
  <c r="Q199" i="2"/>
  <c r="Q119" i="2"/>
  <c r="Q39" i="2"/>
  <c r="K116" i="2" l="1"/>
  <c r="N116" i="2" s="1"/>
  <c r="K96" i="2"/>
  <c r="N96" i="2" s="1"/>
  <c r="Q96" i="2" s="1"/>
  <c r="K24" i="2"/>
  <c r="N24" i="2" s="1"/>
  <c r="K165" i="2"/>
  <c r="N165" i="2" s="1"/>
  <c r="K36" i="2"/>
  <c r="N36" i="2" s="1"/>
  <c r="Q36" i="2" s="1"/>
  <c r="K196" i="2"/>
  <c r="N196" i="2" s="1"/>
  <c r="K16" i="2"/>
  <c r="N16" i="2" s="1"/>
  <c r="K188" i="2"/>
  <c r="N188" i="2" s="1"/>
  <c r="U188" i="2" s="1"/>
  <c r="K233" i="2"/>
  <c r="N233" i="2" s="1"/>
  <c r="K48" i="2"/>
  <c r="N48" i="2" s="1"/>
  <c r="K76" i="2"/>
  <c r="N76" i="2"/>
  <c r="K5" i="2"/>
  <c r="N5" i="2" s="1"/>
  <c r="F14" i="6"/>
  <c r="K156" i="2" s="1"/>
  <c r="N156" i="2" s="1"/>
  <c r="Q156" i="2" s="1"/>
  <c r="K176" i="2"/>
  <c r="N176" i="2" s="1"/>
  <c r="F3" i="6"/>
  <c r="K145" i="2" s="1"/>
  <c r="N145" i="2" s="1"/>
  <c r="F11" i="6"/>
  <c r="F6" i="6"/>
  <c r="K168" i="2" s="1"/>
  <c r="N168" i="2" s="1"/>
  <c r="F2" i="6"/>
  <c r="K204" i="2" s="1"/>
  <c r="N204" i="2" s="1"/>
  <c r="Q204" i="2" l="1"/>
  <c r="U204" i="2"/>
  <c r="U116" i="2"/>
  <c r="Q116" i="2"/>
  <c r="U168" i="2"/>
  <c r="Q168" i="2"/>
  <c r="U16" i="2"/>
  <c r="Q16" i="2"/>
  <c r="U48" i="2"/>
  <c r="Q48" i="2"/>
  <c r="U24" i="2"/>
  <c r="Q24" i="2"/>
  <c r="U176" i="2"/>
  <c r="Q176" i="2"/>
  <c r="Q145" i="2"/>
  <c r="U145" i="2"/>
  <c r="U5" i="2"/>
  <c r="Q5" i="2"/>
  <c r="Q233" i="2"/>
  <c r="U233" i="2"/>
  <c r="K113" i="2"/>
  <c r="N113" i="2" s="1"/>
  <c r="K33" i="2"/>
  <c r="N33" i="2" s="1"/>
  <c r="K133" i="2"/>
  <c r="N133" i="2" s="1"/>
  <c r="K213" i="2"/>
  <c r="N213" i="2" s="1"/>
  <c r="K73" i="2"/>
  <c r="N73" i="2" s="1"/>
  <c r="K53" i="2"/>
  <c r="N53" i="2" s="1"/>
  <c r="K13" i="2"/>
  <c r="N13" i="2" s="1"/>
  <c r="U76" i="2"/>
  <c r="Q76" i="2"/>
  <c r="U165" i="2"/>
  <c r="Q165" i="2"/>
  <c r="K124" i="2"/>
  <c r="N124" i="2" s="1"/>
  <c r="K88" i="2"/>
  <c r="N88" i="2" s="1"/>
  <c r="K45" i="2"/>
  <c r="N45" i="2" s="1"/>
  <c r="K153" i="2"/>
  <c r="N153" i="2" s="1"/>
  <c r="K208" i="2"/>
  <c r="N208" i="2" s="1"/>
  <c r="Q188" i="2"/>
  <c r="K173" i="2"/>
  <c r="N173" i="2" s="1"/>
  <c r="U156" i="2"/>
  <c r="K84" i="2"/>
  <c r="N84" i="2" s="1"/>
  <c r="K144" i="2"/>
  <c r="N144" i="2" s="1"/>
  <c r="K4" i="2"/>
  <c r="K164" i="2"/>
  <c r="N164" i="2" s="1"/>
  <c r="K224" i="2"/>
  <c r="N224" i="2" s="1"/>
  <c r="K184" i="2"/>
  <c r="N184" i="2" s="1"/>
  <c r="U196" i="2"/>
  <c r="Q196" i="2"/>
  <c r="K64" i="2"/>
  <c r="N64" i="2" s="1"/>
  <c r="K93" i="2"/>
  <c r="N93" i="2" s="1"/>
  <c r="K148" i="2"/>
  <c r="N148" i="2" s="1"/>
  <c r="K28" i="2"/>
  <c r="N28" i="2" s="1"/>
  <c r="K8" i="2"/>
  <c r="N8" i="2" s="1"/>
  <c r="K68" i="2"/>
  <c r="N68" i="2" s="1"/>
  <c r="K185" i="2"/>
  <c r="N185" i="2" s="1"/>
  <c r="K105" i="2"/>
  <c r="N105" i="2" s="1"/>
  <c r="K125" i="2"/>
  <c r="N125" i="2" s="1"/>
  <c r="K25" i="2"/>
  <c r="N25" i="2" s="1"/>
  <c r="K85" i="2"/>
  <c r="N85" i="2" s="1"/>
  <c r="K225" i="2"/>
  <c r="N225" i="2" s="1"/>
  <c r="K205" i="2"/>
  <c r="N205" i="2" s="1"/>
  <c r="K228" i="2"/>
  <c r="N228" i="2" s="1"/>
  <c r="K65" i="2"/>
  <c r="N65" i="2" s="1"/>
  <c r="K108" i="2"/>
  <c r="N108" i="2" s="1"/>
  <c r="K44" i="2"/>
  <c r="N44" i="2" s="1"/>
  <c r="K193" i="2"/>
  <c r="N193" i="2" s="1"/>
  <c r="K104" i="2"/>
  <c r="N104" i="2" s="1"/>
  <c r="K128" i="2"/>
  <c r="N128" i="2" s="1"/>
  <c r="U36" i="2"/>
  <c r="U96" i="2"/>
  <c r="K136" i="2"/>
  <c r="N136" i="2" s="1"/>
  <c r="K56" i="2"/>
  <c r="N56" i="2" s="1"/>
  <c r="K236" i="2"/>
  <c r="N236" i="2" s="1"/>
  <c r="K216" i="2"/>
  <c r="N216" i="2" s="1"/>
  <c r="U104" i="2" l="1"/>
  <c r="Q104" i="2"/>
  <c r="U85" i="2"/>
  <c r="Q85" i="2"/>
  <c r="Q4" i="2"/>
  <c r="U4" i="2"/>
  <c r="W4" i="2"/>
  <c r="X4" i="2" s="1"/>
  <c r="AB4" i="2" s="1"/>
  <c r="Q45" i="2"/>
  <c r="U45" i="2"/>
  <c r="U33" i="2"/>
  <c r="Q33" i="2"/>
  <c r="Q193" i="2"/>
  <c r="U193" i="2"/>
  <c r="Q228" i="2"/>
  <c r="U228" i="2"/>
  <c r="U25" i="2"/>
  <c r="Q25" i="2"/>
  <c r="U68" i="2"/>
  <c r="Q68" i="2"/>
  <c r="U93" i="2"/>
  <c r="Q93" i="2"/>
  <c r="Q184" i="2"/>
  <c r="U184" i="2"/>
  <c r="Q144" i="2"/>
  <c r="U144" i="2"/>
  <c r="U88" i="2"/>
  <c r="Q88" i="2"/>
  <c r="U73" i="2"/>
  <c r="Q73" i="2"/>
  <c r="U113" i="2"/>
  <c r="Q113" i="2"/>
  <c r="W5" i="2"/>
  <c r="X5" i="2" s="1"/>
  <c r="AB5" i="2" s="1"/>
  <c r="Q65" i="2"/>
  <c r="U65" i="2"/>
  <c r="U148" i="2"/>
  <c r="Q148" i="2"/>
  <c r="U173" i="2"/>
  <c r="Q173" i="2"/>
  <c r="U53" i="2"/>
  <c r="Q53" i="2"/>
  <c r="Q216" i="2"/>
  <c r="U216" i="2"/>
  <c r="U236" i="2"/>
  <c r="Q236" i="2"/>
  <c r="Q44" i="2"/>
  <c r="U44" i="2"/>
  <c r="Q205" i="2"/>
  <c r="U205" i="2"/>
  <c r="Q125" i="2"/>
  <c r="U125" i="2"/>
  <c r="U8" i="2"/>
  <c r="W8" i="2"/>
  <c r="X8" i="2" s="1"/>
  <c r="AB8" i="2" s="1"/>
  <c r="Q8" i="2"/>
  <c r="Q64" i="2"/>
  <c r="U64" i="2"/>
  <c r="U224" i="2"/>
  <c r="Q224" i="2"/>
  <c r="Q84" i="2"/>
  <c r="U84" i="2"/>
  <c r="U208" i="2"/>
  <c r="Q208" i="2"/>
  <c r="U124" i="2"/>
  <c r="Q124" i="2"/>
  <c r="Q213" i="2"/>
  <c r="U213" i="2"/>
  <c r="U136" i="2"/>
  <c r="Q136" i="2"/>
  <c r="U185" i="2"/>
  <c r="Q185" i="2"/>
  <c r="Q56" i="2"/>
  <c r="U56" i="2"/>
  <c r="U128" i="2"/>
  <c r="Q128" i="2"/>
  <c r="U108" i="2"/>
  <c r="Q108" i="2"/>
  <c r="Q225" i="2"/>
  <c r="U225" i="2"/>
  <c r="U105" i="2"/>
  <c r="Q105" i="2"/>
  <c r="U28" i="2"/>
  <c r="Q28" i="2"/>
  <c r="Q164" i="2"/>
  <c r="U164" i="2"/>
  <c r="U153" i="2"/>
  <c r="Q153" i="2"/>
  <c r="Q13" i="2"/>
  <c r="U13" i="2"/>
  <c r="W13" i="2"/>
  <c r="X13" i="2" s="1"/>
  <c r="AB13" i="2" s="1"/>
  <c r="Q133" i="2"/>
  <c r="U133" i="2"/>
  <c r="W16" i="2"/>
  <c r="X16" i="2" s="1"/>
  <c r="AB16" i="2" s="1"/>
  <c r="AB24" i="2" l="1"/>
  <c r="C3" i="1" s="1"/>
  <c r="U244" i="2"/>
  <c r="C7" i="1" s="1"/>
  <c r="Q244" i="2"/>
  <c r="C6" i="1" s="1"/>
  <c r="C4" i="1" l="1"/>
  <c r="C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tc={358F6565-113A-41D2-A3A7-1D8E69F3C580}</author>
    <author>tc={97DEABB8-EB12-4F14-B9B8-B0EFE75D84B8}</author>
    <author>tc={988B9771-6B86-4A1D-BAA8-45B25594F8B9}</author>
    <author>tc={A6261FB6-964D-436F-AD79-C2FBB3DEB2E2}</author>
    <author>tc={9EB9CFBE-A51F-40FB-99F7-8C6A33015C56}</author>
    <author>tc={6E33B923-2896-44BE-B9D1-D5B1A717455B}</author>
    <author>tc={8B5DAEC8-8609-4FE4-9992-F77994503287}</author>
  </authors>
  <commentList>
    <comment ref="C5" authorId="0" shapeId="0" xr:uid="{358F6565-113A-41D2-A3A7-1D8E69F3C580}">
      <text>
        <t>[Threaded comment]
Your version of Excel allows you to read this threaded comment; however, any edits to it will get removed if the file is opened in a newer version of Excel. Learn more: https://go.microsoft.com/fwlink/?linkid=870924
Comment:
    M.B. Melaka Bersejarah</t>
      </text>
    </comment>
    <comment ref="C7" authorId="1" shapeId="0" xr:uid="{97DEABB8-EB12-4F14-B9B8-B0EFE75D84B8}">
      <text>
        <t>[Threaded comment]
Your version of Excel allows you to read this threaded comment; however, any edits to it will get removed if the file is opened in a newer version of Excel. Learn more: https://go.microsoft.com/fwlink/?linkid=870924
Comment:
    Kuala Kuantan and Beserah</t>
      </text>
    </comment>
    <comment ref="C10" authorId="2" shapeId="0" xr:uid="{988B9771-6B86-4A1D-BAA8-45B25594F8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Alor Kangar and Kangar</t>
      </text>
    </comment>
    <comment ref="C11" authorId="3" shapeId="0" xr:uid="{A6261FB6-964D-436F-AD79-C2FBB3DEB2E2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Kota Kinabalu</t>
      </text>
    </comment>
    <comment ref="C12" authorId="4" shapeId="0" xr:uid="{9EB9CFBE-A51F-40FB-99F7-8C6A330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Kuching Utara, M.P. Padawan, &amp; M.B. Kuching Selatan</t>
      </text>
    </comment>
    <comment ref="C15" authorId="5" shapeId="0" xr:uid="{6E33B923-2896-44BE-B9D1-D5B1A717455B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Kuala Lumpur</t>
      </text>
    </comment>
    <comment ref="C18" authorId="6" shapeId="0" xr:uid="{8B5DAEC8-8609-4FE4-9992-F77994503287}">
      <text>
        <t>[Threaded comment]
Your version of Excel allows you to read this threaded comment; however, any edits to it will get removed if the file is opened in a newer version of Excel. Learn more: https://go.microsoft.com/fwlink/?linkid=870924
Comment:
    Kemaman (Chukai)</t>
      </text>
    </comment>
  </commentList>
</comments>
</file>

<file path=xl/sharedStrings.xml><?xml version="1.0" encoding="utf-8"?>
<sst xmlns="http://schemas.openxmlformats.org/spreadsheetml/2006/main" count="702" uniqueCount="225">
  <si>
    <t>Variable</t>
  </si>
  <si>
    <t>S.No.</t>
  </si>
  <si>
    <t>Year</t>
  </si>
  <si>
    <t>Source</t>
  </si>
  <si>
    <t>Average GDP growth rate for the past 10 years (%)</t>
  </si>
  <si>
    <t>Item</t>
  </si>
  <si>
    <t>PARAMETERS</t>
  </si>
  <si>
    <t>Cost (USD 2019)</t>
  </si>
  <si>
    <t>Infrastructure</t>
  </si>
  <si>
    <t>Operation</t>
  </si>
  <si>
    <t>Sanitary Landfill Construction</t>
  </si>
  <si>
    <t>No</t>
  </si>
  <si>
    <t>City</t>
  </si>
  <si>
    <t>Population</t>
  </si>
  <si>
    <t>WDI</t>
  </si>
  <si>
    <t>Total Waste Generated per Year (Tons)</t>
  </si>
  <si>
    <t>GDP per capita (projected, constant 2011 international $)</t>
  </si>
  <si>
    <t>Land Purchase</t>
  </si>
  <si>
    <t>Existing acres of sanitary landfill</t>
  </si>
  <si>
    <t>Additional acres of sanitary landfill needed</t>
  </si>
  <si>
    <t>Collection and Transportation</t>
  </si>
  <si>
    <t>Operational cost of sanitary landfill</t>
  </si>
  <si>
    <t>GDP per capita, PPP (constant 2011 international $)</t>
  </si>
  <si>
    <t>Johor Bahru</t>
  </si>
  <si>
    <t>TOTAL</t>
  </si>
  <si>
    <t>https://data.worldbank.org/indicator/NY.GDP.PCAP.PP.KD?locations=MY</t>
  </si>
  <si>
    <t>Alor Setar</t>
  </si>
  <si>
    <t>Waste Atlas</t>
  </si>
  <si>
    <t>Kota Bharu</t>
  </si>
  <si>
    <t>EPA 2005</t>
  </si>
  <si>
    <t>Malacca City</t>
  </si>
  <si>
    <t>Seremban</t>
  </si>
  <si>
    <t>Kuantan</t>
  </si>
  <si>
    <t>George Town</t>
  </si>
  <si>
    <t>Malaysia CPI in 2005 (2010=100)</t>
  </si>
  <si>
    <t>https://data.worldbank.org/indicator/FP.CPI.TOTL?locations=MY</t>
  </si>
  <si>
    <t>Ipoh</t>
  </si>
  <si>
    <t>Malaysia CPI in 2012 (2010=100)</t>
  </si>
  <si>
    <t>Kangar</t>
  </si>
  <si>
    <t>Malaysia CPI in 2010 (2010=100)</t>
  </si>
  <si>
    <t>Kota Kinabalu</t>
  </si>
  <si>
    <t>Malaysia CPI in 2017 (2010=100)</t>
  </si>
  <si>
    <t>Kuching</t>
  </si>
  <si>
    <t>Average inflation for the past 10 years (%)</t>
  </si>
  <si>
    <t>Shah Alam</t>
  </si>
  <si>
    <t>Kuala Terengganu</t>
  </si>
  <si>
    <t>Kuala Lumpur</t>
  </si>
  <si>
    <t>Victoria</t>
  </si>
  <si>
    <t>Putrajaya</t>
  </si>
  <si>
    <t>Cukai</t>
  </si>
  <si>
    <t>calculated based on model from What A Waste 2.0</t>
  </si>
  <si>
    <t>Donggongon</t>
  </si>
  <si>
    <t>Semenyih</t>
  </si>
  <si>
    <t xml:space="preserve">Simpang Empat </t>
  </si>
  <si>
    <t>Exchange rate RM to USD 2019 (_____ RM = 1 USD)</t>
  </si>
  <si>
    <t>Price level ratio of PPP conversion factor (GDP) of Malaysia to market exchange rate in 2019</t>
  </si>
  <si>
    <t>Value in source year</t>
  </si>
  <si>
    <t>Values (USD 2019 and PPP)</t>
  </si>
  <si>
    <t>Estimated cost of per acre landfill construction in US (high end, EPA 2005)</t>
  </si>
  <si>
    <t>Price level ratio of PPP conversion factor (GDP) of Malaysia to market exchange rate in 2005</t>
  </si>
  <si>
    <t>Estimated cost of per acre landfill construction in Malaysia (adjusted for PPP, US$)</t>
  </si>
  <si>
    <t>Waste Final Disposal cost in Malaysia (US$/Ton)</t>
  </si>
  <si>
    <t>GDP per capita in 2010, PPP (constant 2011 international $) in Malaysia</t>
  </si>
  <si>
    <t>Disposal cost per ton (USD 2019/ton)</t>
  </si>
  <si>
    <t>Collection cost (USD 2019)</t>
  </si>
  <si>
    <t>No.</t>
  </si>
  <si>
    <t>Area (ha.)</t>
  </si>
  <si>
    <t>Name of landfill</t>
  </si>
  <si>
    <t>Notes</t>
  </si>
  <si>
    <t>Determine capacity required to provide complete management coverage</t>
  </si>
  <si>
    <t>Adequate Treatment of Waste, Operational Costs</t>
  </si>
  <si>
    <t>Adequate sanitary landfills</t>
  </si>
  <si>
    <t>Waste Produced</t>
  </si>
  <si>
    <t>Waste distribution</t>
  </si>
  <si>
    <t>Landfill demand by 2030</t>
  </si>
  <si>
    <t>Cost of sanitary landfill installation</t>
  </si>
  <si>
    <t>City Size</t>
  </si>
  <si>
    <t>Proxy waste generation per capita (kg/year-person)</t>
  </si>
  <si>
    <t>Projected Waste Generated per capita (kg/yr-person)</t>
  </si>
  <si>
    <t>Percentage of landfilled waste</t>
  </si>
  <si>
    <t>Amount landfilled (tons)</t>
  </si>
  <si>
    <t>Annual administrative, operations, and maintenance costs per ton (USD 2019/ton)</t>
  </si>
  <si>
    <t>Total waste generated by 2030 (tons)</t>
  </si>
  <si>
    <t>Price of vacant land outside city center (USD 2019/ha)</t>
  </si>
  <si>
    <t>Cost of additional sanitary landfill construction (USD 2019)</t>
  </si>
  <si>
    <t>Max amount of waste dumped on each hectare of land (ton)</t>
  </si>
  <si>
    <t>Waste Per Capita in 2019 (kg/yr-person)</t>
  </si>
  <si>
    <t>Waste Per Capita in source year (kg/yr-person)</t>
  </si>
  <si>
    <t>Proxy waste per capita (kg/yr-person)</t>
  </si>
  <si>
    <t>Waste Per Capita, 2019</t>
  </si>
  <si>
    <t>Large</t>
  </si>
  <si>
    <t>Medium</t>
  </si>
  <si>
    <t>Small</t>
  </si>
  <si>
    <t>Population (2019)</t>
  </si>
  <si>
    <t>State</t>
  </si>
  <si>
    <t>Johor</t>
  </si>
  <si>
    <t>Kelantan</t>
  </si>
  <si>
    <t>Kedah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</si>
  <si>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</si>
  <si>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</si>
  <si>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</si>
  <si>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</si>
  <si>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</si>
  <si>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</si>
  <si>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</si>
  <si>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</si>
  <si>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</si>
  <si>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Federal Territory of Kuala Lumpur</t>
  </si>
  <si>
    <t>Labuan Federal Territory</t>
  </si>
  <si>
    <t>Stesen Pemindahan Taman Beringin</t>
  </si>
  <si>
    <t>Stesen Pemindahan Shah Alam</t>
  </si>
  <si>
    <t>Stesen Pemindahan Taruka</t>
  </si>
  <si>
    <t>http://www.data.gov.my/data/en_US/dataset/lokasi-fasiliti-pengurusan-sisa-pepejal/resource/5d62940c-c7c7-40a1-90db-45ba2cb7bee2</t>
  </si>
  <si>
    <t>Average price of vacant land outside city center (USD 2019/ha)</t>
  </si>
  <si>
    <t>Average Cost by City Size</t>
  </si>
  <si>
    <t>Size</t>
  </si>
  <si>
    <t>Average</t>
  </si>
  <si>
    <t>.</t>
  </si>
  <si>
    <t>Exchange rate RM to USD 2015 (_____ RM = 1 USD)</t>
  </si>
  <si>
    <t>Inflation rate of USD: 1 USD 2015 = ______ USD 2019</t>
  </si>
  <si>
    <t>State of the 3Rs in Asia and the Pacific (2017) Prof. Agamuthu Pariatamby: Center for Research in Waste Management, Institute of Biological Sciences, University of Malaya.</t>
  </si>
  <si>
    <t>Solid Waste Management in Kuching (2003). Prepared by Tang Hung Huong, Soon Hun Yang and Ib Larsen and COWI, DANWASTE, Chemsain Consultant Universiti Putra Malaysia and Daya Rancang</t>
  </si>
  <si>
    <t>Solid Waste Management in Kuching (2003). Prepared by Tang Hung Huong, Soon Hun Yang and Ib Larsen and COWI, DANWASTE, Chemsain Consultant Universiti Putra Malaysia and Daya Rancang (Table 8.3)</t>
  </si>
  <si>
    <t>Table 8.2</t>
  </si>
  <si>
    <t>State average</t>
  </si>
  <si>
    <t>2000?</t>
  </si>
  <si>
    <t>Taman Beringin, Jinjang</t>
  </si>
  <si>
    <t>http://ensearch.org/wp-content/uploads/2012/07/Paper-13.pdf</t>
  </si>
  <si>
    <t>Exchange rate RM to USD 2012 (_____ RM = 1 USD)</t>
  </si>
  <si>
    <t>Inflation rate of USD: 1 USD 2013 = ______ USD 2019</t>
  </si>
  <si>
    <t>Waste collection cost in Malaysia (US$/Household)</t>
  </si>
  <si>
    <t>Collection and Transportation cost per household (US$)</t>
  </si>
  <si>
    <t>Avg. HH Size</t>
  </si>
  <si>
    <t>Source:  
JADUAL 3: PURATA SAIZ ISI RUMAH MENGIKUT NEGERI, 1980-2010
TABLE 3: AVERAGE HOUSEHOLD SIZE BY STATE, 1980-2010</t>
  </si>
  <si>
    <t>No. HH</t>
  </si>
  <si>
    <t>https://www.worldbank.org/en/country/malaysia/overview</t>
  </si>
  <si>
    <t>Malaka</t>
  </si>
  <si>
    <t>https://openknowledge.worldbank.org/bitstream/handle/10986/31660/Supporting-Report-2-Integrating-Environmental-Plans.pdf?sequence=1&amp;isAllowed=y</t>
  </si>
  <si>
    <t>Over-capacity landfill</t>
  </si>
  <si>
    <t>Krubong site</t>
  </si>
  <si>
    <t>https://jpspn.kpkt.gov.my/resources/index/user_1/Sumber_Rujukan/statistik/Kelantan.pdf</t>
  </si>
  <si>
    <t>No. Sanitary Landfills</t>
  </si>
  <si>
    <t>Only non-sanitary landfills</t>
  </si>
  <si>
    <t>Taman Beringin, Jinjang is main landfill, but unsanitary landfill</t>
  </si>
  <si>
    <t>http://www.dbkl.gov.my/pskl2020/english/infrastructure_and_utilities/index.htm#11_2_6
https://jpspn.kpkt.gov.my/resources/index/user_1/Sumber_Rujukan/statistik/WP_Kuala%20Lumpur.pdf</t>
  </si>
  <si>
    <t>Average urban population growth rate in Malaysia for the past 10 years</t>
  </si>
  <si>
    <t>2008-2018</t>
  </si>
  <si>
    <t>https://openknowledge.worldbank.org/bitstream/handle/10986/22038/Malaysia0econo0ming0urban0transport.pdf?sequence=1&amp;isAllowed=y</t>
  </si>
  <si>
    <t>https://data.worldbank.org/indicator/PA.NUS.PPPC.RF?locations=MY</t>
  </si>
  <si>
    <t>https://data.worldbank.org/indicator/PA.NUS.FCRF?locations=MY</t>
  </si>
  <si>
    <t>GDP per capita, PPP (constant 2011 international $) in 2018</t>
  </si>
  <si>
    <t>Source: https://data.worldbank.org/indicator/NY.GDP.PCAP.PP.KD?locations=MY</t>
  </si>
  <si>
    <t>https://www.in2013dollars.com/</t>
  </si>
  <si>
    <t xml:space="preserve">proxy waste generation in base year (2010) </t>
  </si>
  <si>
    <t>1) Dewan Bandaraya Kuching Utara in Lot 1125, Jalan Mambong, Kuching
2) Tapak Pelupusa Sampah Sanitari in Sibuti, Beneka
M Sibu (Japan Kemuyang, Sibu, Sarawak) closed 2011</t>
  </si>
  <si>
    <t>Calculated existing hectares by subtracting TPD since year opened</t>
  </si>
  <si>
    <t>https://jpspn.kpkt.gov.my/resources/index/user_1/Sumber_Rujukan/statistik/Sarawak.pdf gave landfill names
http://www.swcorp.gov.my/docfile/fasiliti/PDF%20KEMASKINI%20PORTAL/sarawak.pdf gave landfill values</t>
  </si>
  <si>
    <t>https://www.e-idaman.com/service/landfill-management</t>
  </si>
  <si>
    <t>Jabi</t>
  </si>
  <si>
    <t>Assumed 15 year lifespan, removed 2 years' worth of area</t>
  </si>
  <si>
    <t>Rimba Mas Landfill</t>
  </si>
  <si>
    <t>http://akademiabaru.com/wvcarmea/docu/027.pdf</t>
  </si>
  <si>
    <t>The efficiency of this incineration plant, based on refuse-derived fuel, is assumed sufficient</t>
  </si>
  <si>
    <t>Core Competencies Sdn Bhd (CCSB) incineration plant</t>
  </si>
  <si>
    <t>Yearly Administrative, Operations and Maintenance Costs (USD 2019)</t>
  </si>
  <si>
    <t>Adequate Treatment of Waste</t>
  </si>
  <si>
    <t>Annual Operational Costs</t>
  </si>
  <si>
    <t>Disposal cost (USD 2019)</t>
  </si>
  <si>
    <t>1 hectare = ___ acres</t>
  </si>
  <si>
    <t>Price of vacant land outside city center (RM 2019/acre)</t>
  </si>
  <si>
    <t>https://www.mudah.my/4+acres+Agriculture+Land+at+Sungai+Tiram+Johor+Bahru-77837888.htm</t>
  </si>
  <si>
    <t>https://www.mudah.my/MAIN+ROAD+7+8+acre+Industrial+area-77176559.htm</t>
  </si>
  <si>
    <t>https://www.mudah.my/Tanah+Untuk+Dijual-80302732.htm</t>
  </si>
  <si>
    <t>https://www.mudah.my/Mukim+Titi+Gajah+Bandar+Anak+Bukit-80093222.htm</t>
  </si>
  <si>
    <t>https://www.mudah.my/Tanah+untuk+dijual-80783435.htm</t>
  </si>
  <si>
    <t>https://www.mudah.my/Tanah+Luas+910+Depa+Di+Pulau+Gajah+Kota+Bharu+Kelantan-78526955.htm</t>
  </si>
  <si>
    <t>https://www.mudah.my/Tanah+Pertanian+Kg+Tini+Belakang+Kota+Seribong-80235564.htm</t>
  </si>
  <si>
    <t>https://www.mudah.my/2+adjoining+plots+total+of+5+6+acres+mkmt+b+rambai+MELAKA-74396591.htm</t>
  </si>
  <si>
    <t>https://www.mudah.my/FREEHOLD+Agricultural+Land+Nibong+Machap+Alor+Gajah+Melaka-73631676.htm</t>
  </si>
  <si>
    <t>https://www.mudah.my/Tanah+Pertanian+4+7+Ekar+Gadong+Jaya+Labu+Seremban-72358218.htm</t>
  </si>
  <si>
    <t>https://www.mudah.my/Freehold+agricultural+land+tepi+jalan+Kuantan+to+pekan+road-63901312.htm</t>
  </si>
  <si>
    <t>https://www.mudah.my/Affordable+3+3acre+land+in+Kuantan-80193349.htm</t>
  </si>
  <si>
    <t>https://www.mudah.my/Tanah+15+25+ekar+Tepi+Pantai+dan+Jalan+Besar+Kg+Gebeng+Port+Kuantan-78114177.htm</t>
  </si>
  <si>
    <t>https://www.mudah.my/Tanah+Kebun+Sanggang+Temerloh-79989811.htm?last=1</t>
  </si>
  <si>
    <t>https://www.mudah.my/8+4+ekar+Tanah+Pertanian+murah+Tanjung+Tualang-80347519.htm</t>
  </si>
  <si>
    <t>https://www.mudah.my/Tanah+Sesuai+untuk+buat+sawah+Ladang+harumanis+Pusat-76578352.htm#show</t>
  </si>
  <si>
    <t>https://www.mudah.my/Tuaran+Wangkod+Land+11+47+Acres+-48065404.htm</t>
  </si>
  <si>
    <t>https://www.mudah.my/Kg+kaiduan+Papar+NT+Land-80442530.htm</t>
  </si>
  <si>
    <t>https://www.mudah.my/Kiulu+Agricultural+Land+Sabah-75890677.htm</t>
  </si>
  <si>
    <t>https://www.mudah.my/Kuching+Matang+Land+Lot-69884945.htm</t>
  </si>
  <si>
    <t>https://www.mudah.my/29+Mile+Jalan+Palah+Jalan+Kuching+Serian+Mixed+Zone+Land+for+sales-80597738.htm</t>
  </si>
  <si>
    <t>https://www.mudah.my/8+9+Acres+Land+at+Asajaya+Kuching-80204358.htm</t>
  </si>
  <si>
    <t>https://www.mudah.my/Shah+Alam+Land+for+Sale+Residential+Industrial+Zone+-70832584.htm#show</t>
  </si>
  <si>
    <t>https://www.mudah.my/Tanah+pertanian+3+1+ekar+Kg+Bukit+Cherakah+Shah+Alam-79694236.htm</t>
  </si>
  <si>
    <t>https://www.mudah.my/Tanah+kebun+getah+batu+Rakit-61146346.htm</t>
  </si>
  <si>
    <t>https://www.mudah.my/Tanah+CANTIK+FREEHOLD+13EKAR+KG+JERAM+HULU+MANIR+Kuala+Terengganu-74484466.htm#show</t>
  </si>
  <si>
    <t>https://www.mudah.my/Tanah+pertanian+untuk+dijual-79947603.htm</t>
  </si>
  <si>
    <t>https://www.mudah.my/Tanah+pertanian+sungai+merab+putrajaya-80370370.htm</t>
  </si>
  <si>
    <t>https://www.mudah.my/Semenyih+6+5+ekar+freehold+land+sales-80460000.htm</t>
  </si>
  <si>
    <t>https://www.mudah.my/11+acres+land+at+Semenyih-80344875.htm</t>
  </si>
  <si>
    <t>https://www.mudah.my/+HIGHLY+POTENTIAL+FREEHOLD+Agricultural+Land+Semenyih-72665360.htm</t>
  </si>
  <si>
    <t>N/A</t>
  </si>
  <si>
    <t>TOTAL:</t>
  </si>
  <si>
    <t>Source:  German Environment Agency
Best Practice Municipal Waste Management: Information pool on approaches towards a  sustainable design of municipal waste management and supporting technologies and equipment (2018)</t>
  </si>
  <si>
    <t>Link: https://www.umweltbundesamt.de/sites/default/files/medien/1410/publikationen/2018-05-30_texte_40-2018-municipal-waste-management_en.pdf</t>
  </si>
  <si>
    <t>Landfill Model Parameters: Sanitary Landfill</t>
  </si>
  <si>
    <t>Annual receipt (ton/yr)</t>
  </si>
  <si>
    <t>Volume received (cubic m/yr)</t>
  </si>
  <si>
    <t>Life Span (yr)</t>
  </si>
  <si>
    <t>Size of actual landfill (ha)</t>
  </si>
  <si>
    <t>Land Required (includes facilities, road, etc.) (ha)</t>
  </si>
  <si>
    <t>Total Landfill Capacity (ton)</t>
  </si>
  <si>
    <t>Annual operations cost (EUR 2008)</t>
  </si>
  <si>
    <t>Annual repair and maintenance cost (EUR 2008)</t>
  </si>
  <si>
    <t>Annual personell and admin cost (EUR 2008)</t>
  </si>
  <si>
    <t>Annual operations cost (USD 2019 &amp; U.S. PPP)</t>
  </si>
  <si>
    <t>Annual repair and maintenance cost (USD 2019 &amp; U.S. PPP)</t>
  </si>
  <si>
    <t>Annual personell and admin cost (USD 2019 &amp; U.S. PPP)</t>
  </si>
  <si>
    <t>Annual operations cost (USD 2019 &amp; U.S. PPP) per ton/yr waste</t>
  </si>
  <si>
    <t>Annual repair and maintenance cost (USD 2019 &amp; U.S. PPP) per ton/yr waste</t>
  </si>
  <si>
    <t>Annual personell and admin cost (USD 2019 &amp; U.S. PPP) per ton/yr waste</t>
  </si>
  <si>
    <t>TOTAL (USD 2019/ton-yr and U.S. PPP)</t>
  </si>
  <si>
    <t>German Environment Agency; Best Practice Municipal Waste Management: Information pool on approaches towards a  sustainable design of municipal waste management and supporting technologies and equipment (2018)</t>
  </si>
  <si>
    <t>Total hectares of sanitary landfilled needed by 2030 (ha.)</t>
  </si>
  <si>
    <t>Source: Malaysian Census 2010; "Population Distribution by Local Authority Areas and Mukims 2010"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</si>
</sst>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_(* #,##0.0_);_(* \(#,##0.0\);_(* &quot;-&quot;??_);_(@_)"/>
    <numFmt numFmtId="168" formatCode="#,##0.0"/>
    <numFmt numFmtId="169" formatCode="_(* #,##0.000_);_(* \(#,##0.000\);_(* &quot;-&quot;??_);_(@_)"/>
    <numFmt numFmtId="170" formatCode="_-[$£-809]* #,##0.00_-;\-[$£-809]* #,##0.00_-;_-[$£-809]* &quot;-&quot;??_-;_-@_-"/>
    <numFmt numFmtId="171" formatCode="#,##0__"/>
    <numFmt numFmtId="172" formatCode="_-* #,##0_-;\-* #,##0_-;_-* &quot;-&quot;_-;_-@_-"/>
  </numFmts>
  <fonts count="37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i/>
      <sz val="11"/>
      <color rgb="FFFF0000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rgb="FF0000FF"/>
      <name val="Calibri"/>
      <family val="2"/>
      <scheme val="major"/>
    </font>
    <font>
      <sz val="11"/>
      <color rgb="FF222222"/>
      <name val="Calibri"/>
      <family val="2"/>
      <scheme val="major"/>
    </font>
    <font>
      <u/>
      <sz val="11"/>
      <color theme="1"/>
      <name val="Calibri"/>
      <family val="2"/>
      <scheme val="major"/>
    </font>
    <font>
      <b/>
      <i/>
      <u/>
      <sz val="11"/>
      <color theme="1"/>
      <name val="Calibri"/>
      <family val="2"/>
      <scheme val="major"/>
    </font>
    <font>
      <i/>
      <sz val="11"/>
      <color rgb="FFFF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color rgb="FFFF0000"/>
      <name val="Calibri"/>
      <family val="2"/>
      <scheme val="major"/>
    </font>
    <font>
      <i/>
      <sz val="11"/>
      <color theme="1"/>
      <name val="Calibri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rgb="FF0070C0"/>
      <name val="Calibri"/>
      <family val="2"/>
    </font>
    <font>
      <u/>
      <sz val="11"/>
      <color rgb="FF0070C0"/>
      <name val="Calibri"/>
      <family val="2"/>
      <scheme val="major"/>
    </font>
    <font>
      <b/>
      <sz val="11"/>
      <color theme="1"/>
      <name val="Calibri"/>
      <family val="2"/>
      <scheme val="major"/>
    </font>
    <font>
      <i/>
      <sz val="11"/>
      <color theme="1"/>
      <name val="Calibri"/>
      <family val="2"/>
      <scheme val="major"/>
    </font>
    <font>
      <b/>
      <i/>
      <u val="singleAccounting"/>
      <sz val="11"/>
      <color rgb="FF0070C0"/>
      <name val="Calibri"/>
      <family val="2"/>
    </font>
    <font>
      <b/>
      <i/>
      <u val="singleAccounting"/>
      <sz val="11"/>
      <name val="Calibri"/>
      <family val="2"/>
    </font>
    <font>
      <b/>
      <i/>
      <u val="singleAccounting"/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4" fillId="0" borderId="8"/>
    <xf numFmtId="0" fontId="36" fillId="0" borderId="8"/>
    <xf numFmtId="0" fontId="34" fillId="0" borderId="8"/>
    <xf numFmtId="43" fontId="34" fillId="0" borderId="8" applyFont="0" applyFill="0" applyBorder="0" applyAlignment="0" applyProtection="0"/>
    <xf numFmtId="0" fontId="34" fillId="0" borderId="8"/>
  </cellStyleXfs>
  <cellXfs count="266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44" fontId="3" fillId="0" borderId="0" xfId="0" applyNumberFormat="1" applyFont="1"/>
    <xf numFmtId="44" fontId="3" fillId="0" borderId="5" xfId="0" applyNumberFormat="1" applyFont="1" applyBorder="1"/>
    <xf numFmtId="44" fontId="3" fillId="4" borderId="9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10" fillId="0" borderId="2" xfId="0" applyFont="1" applyFill="1" applyBorder="1" applyAlignment="1"/>
    <xf numFmtId="0" fontId="8" fillId="0" borderId="0" xfId="0" applyFont="1" applyAlignment="1">
      <alignment vertical="center" wrapText="1"/>
    </xf>
    <xf numFmtId="164" fontId="9" fillId="0" borderId="8" xfId="0" applyNumberFormat="1" applyFont="1" applyBorder="1" applyAlignment="1">
      <alignment horizontal="right"/>
    </xf>
    <xf numFmtId="165" fontId="8" fillId="0" borderId="0" xfId="0" applyNumberFormat="1" applyFont="1"/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/>
    <xf numFmtId="0" fontId="0" fillId="0" borderId="10" xfId="0" applyFont="1" applyBorder="1" applyAlignment="1"/>
    <xf numFmtId="0" fontId="9" fillId="0" borderId="8" xfId="0" applyFont="1" applyBorder="1" applyAlignment="1"/>
    <xf numFmtId="0" fontId="8" fillId="0" borderId="12" xfId="0" applyFont="1" applyBorder="1"/>
    <xf numFmtId="164" fontId="8" fillId="0" borderId="0" xfId="0" applyNumberFormat="1" applyFont="1"/>
    <xf numFmtId="0" fontId="9" fillId="0" borderId="12" xfId="0" applyFont="1" applyBorder="1" applyAlignment="1"/>
    <xf numFmtId="0" fontId="8" fillId="0" borderId="12" xfId="0" applyFont="1" applyBorder="1" applyAlignment="1"/>
    <xf numFmtId="0" fontId="0" fillId="0" borderId="8" xfId="0" applyFont="1" applyBorder="1" applyAlignment="1"/>
    <xf numFmtId="0" fontId="0" fillId="0" borderId="12" xfId="0" applyFont="1" applyBorder="1" applyAlignme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/>
    <xf numFmtId="4" fontId="8" fillId="0" borderId="1" xfId="0" applyNumberFormat="1" applyFont="1" applyFill="1" applyBorder="1"/>
    <xf numFmtId="0" fontId="8" fillId="0" borderId="1" xfId="0" applyFont="1" applyFill="1" applyBorder="1"/>
    <xf numFmtId="0" fontId="9" fillId="0" borderId="1" xfId="0" applyFont="1" applyFill="1" applyBorder="1" applyAlignment="1"/>
    <xf numFmtId="0" fontId="9" fillId="0" borderId="8" xfId="0" applyFont="1" applyFill="1" applyBorder="1" applyAlignment="1"/>
    <xf numFmtId="0" fontId="8" fillId="0" borderId="8" xfId="0" applyFont="1" applyFill="1" applyBorder="1"/>
    <xf numFmtId="43" fontId="8" fillId="0" borderId="1" xfId="0" applyNumberFormat="1" applyFont="1" applyFill="1" applyBorder="1"/>
    <xf numFmtId="43" fontId="8" fillId="0" borderId="8" xfId="0" applyNumberFormat="1" applyFont="1" applyFill="1" applyBorder="1"/>
    <xf numFmtId="0" fontId="10" fillId="0" borderId="8" xfId="0" applyFont="1" applyFill="1" applyBorder="1" applyAlignment="1"/>
    <xf numFmtId="0" fontId="11" fillId="0" borderId="8" xfId="0" applyFont="1" applyFill="1" applyBorder="1" applyAlignment="1"/>
    <xf numFmtId="165" fontId="8" fillId="6" borderId="0" xfId="0" applyNumberFormat="1" applyFont="1" applyFill="1"/>
    <xf numFmtId="43" fontId="8" fillId="6" borderId="0" xfId="0" applyNumberFormat="1" applyFont="1" applyFill="1"/>
    <xf numFmtId="0" fontId="8" fillId="6" borderId="0" xfId="0" applyFont="1" applyFill="1" applyAlignment="1"/>
    <xf numFmtId="9" fontId="8" fillId="8" borderId="0" xfId="3" applyFont="1" applyFill="1" applyAlignment="1"/>
    <xf numFmtId="0" fontId="14" fillId="0" borderId="0" xfId="0" applyFont="1" applyAlignment="1"/>
    <xf numFmtId="0" fontId="16" fillId="0" borderId="0" xfId="0" applyFont="1" applyAlignment="1"/>
    <xf numFmtId="0" fontId="14" fillId="0" borderId="0" xfId="0" applyFont="1"/>
    <xf numFmtId="0" fontId="14" fillId="0" borderId="8" xfId="0" applyFont="1" applyBorder="1" applyAlignment="1"/>
    <xf numFmtId="0" fontId="13" fillId="0" borderId="12" xfId="0" applyFont="1" applyBorder="1" applyAlignment="1"/>
    <xf numFmtId="0" fontId="18" fillId="0" borderId="0" xfId="0" applyFont="1" applyAlignment="1"/>
    <xf numFmtId="0" fontId="14" fillId="0" borderId="18" xfId="0" applyFont="1" applyBorder="1"/>
    <xf numFmtId="43" fontId="14" fillId="0" borderId="19" xfId="2" applyFont="1" applyBorder="1"/>
    <xf numFmtId="0" fontId="14" fillId="0" borderId="20" xfId="0" applyFont="1" applyBorder="1"/>
    <xf numFmtId="43" fontId="14" fillId="0" borderId="22" xfId="2" applyFont="1" applyBorder="1"/>
    <xf numFmtId="0" fontId="14" fillId="0" borderId="8" xfId="0" applyFont="1" applyBorder="1"/>
    <xf numFmtId="0" fontId="14" fillId="0" borderId="10" xfId="0" applyFont="1" applyBorder="1" applyAlignment="1">
      <alignment horizontal="center" vertical="center"/>
    </xf>
    <xf numFmtId="164" fontId="14" fillId="0" borderId="10" xfId="2" applyNumberFormat="1" applyFont="1" applyBorder="1" applyAlignment="1">
      <alignment horizontal="center" vertical="center" wrapText="1"/>
    </xf>
    <xf numFmtId="43" fontId="15" fillId="0" borderId="10" xfId="2" applyFont="1" applyBorder="1" applyAlignment="1">
      <alignment horizontal="center" vertical="center" wrapText="1"/>
    </xf>
    <xf numFmtId="0" fontId="16" fillId="0" borderId="8" xfId="0" applyFont="1" applyBorder="1" applyAlignment="1"/>
    <xf numFmtId="0" fontId="14" fillId="0" borderId="12" xfId="0" applyFont="1" applyBorder="1"/>
    <xf numFmtId="0" fontId="14" fillId="0" borderId="12" xfId="0" applyFont="1" applyBorder="1" applyAlignment="1"/>
    <xf numFmtId="0" fontId="16" fillId="0" borderId="11" xfId="0" applyFont="1" applyFill="1" applyBorder="1" applyAlignment="1">
      <alignment horizontal="center" vertical="center" wrapText="1"/>
    </xf>
    <xf numFmtId="164" fontId="16" fillId="0" borderId="12" xfId="0" applyNumberFormat="1" applyFont="1" applyBorder="1" applyAlignment="1">
      <alignment horizontal="right"/>
    </xf>
    <xf numFmtId="164" fontId="14" fillId="0" borderId="8" xfId="2" applyNumberFormat="1" applyFont="1" applyBorder="1" applyAlignment="1"/>
    <xf numFmtId="0" fontId="14" fillId="0" borderId="0" xfId="0" applyFont="1" applyBorder="1" applyAlignment="1"/>
    <xf numFmtId="0" fontId="16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4" fillId="0" borderId="24" xfId="0" applyFont="1" applyBorder="1" applyAlignment="1"/>
    <xf numFmtId="0" fontId="14" fillId="0" borderId="19" xfId="0" applyFont="1" applyBorder="1" applyAlignment="1"/>
    <xf numFmtId="0" fontId="14" fillId="0" borderId="25" xfId="0" applyFont="1" applyBorder="1" applyAlignment="1"/>
    <xf numFmtId="0" fontId="14" fillId="0" borderId="10" xfId="0" applyFont="1" applyFill="1" applyBorder="1" applyAlignment="1">
      <alignment horizontal="center" vertical="center"/>
    </xf>
    <xf numFmtId="164" fontId="14" fillId="0" borderId="10" xfId="2" applyNumberFormat="1" applyFont="1" applyFill="1" applyBorder="1" applyAlignment="1">
      <alignment horizontal="center" vertical="center" wrapText="1"/>
    </xf>
    <xf numFmtId="0" fontId="14" fillId="0" borderId="10" xfId="0" applyFont="1" applyBorder="1" applyAlignment="1"/>
    <xf numFmtId="168" fontId="16" fillId="0" borderId="0" xfId="0" applyNumberFormat="1" applyFont="1" applyAlignment="1"/>
    <xf numFmtId="43" fontId="8" fillId="0" borderId="1" xfId="2" applyFont="1" applyFill="1" applyBorder="1"/>
    <xf numFmtId="4" fontId="8" fillId="0" borderId="8" xfId="0" applyNumberFormat="1" applyFont="1" applyFill="1" applyBorder="1"/>
    <xf numFmtId="43" fontId="8" fillId="0" borderId="0" xfId="2" applyFont="1" applyFill="1"/>
    <xf numFmtId="169" fontId="8" fillId="0" borderId="0" xfId="2" applyNumberFormat="1" applyFont="1" applyFill="1"/>
    <xf numFmtId="0" fontId="23" fillId="0" borderId="0" xfId="0" applyFont="1" applyAlignment="1"/>
    <xf numFmtId="0" fontId="1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0" xfId="0" applyFont="1" applyAlignment="1"/>
    <xf numFmtId="0" fontId="14" fillId="0" borderId="0" xfId="0" applyFont="1" applyFill="1" applyAlignment="1"/>
    <xf numFmtId="0" fontId="17" fillId="0" borderId="0" xfId="0" applyFont="1" applyFill="1" applyAlignment="1"/>
    <xf numFmtId="0" fontId="14" fillId="0" borderId="1" xfId="0" applyFont="1" applyFill="1" applyBorder="1"/>
    <xf numFmtId="0" fontId="6" fillId="0" borderId="0" xfId="1" applyAlignment="1"/>
    <xf numFmtId="0" fontId="12" fillId="0" borderId="0" xfId="0" applyFont="1" applyFill="1" applyAlignment="1">
      <alignment horizontal="center" vertical="center"/>
    </xf>
    <xf numFmtId="0" fontId="9" fillId="0" borderId="0" xfId="0" applyFont="1" applyFill="1"/>
    <xf numFmtId="0" fontId="8" fillId="0" borderId="0" xfId="0" applyFont="1" applyFill="1"/>
    <xf numFmtId="0" fontId="8" fillId="6" borderId="10" xfId="0" applyFont="1" applyFill="1" applyBorder="1" applyAlignment="1">
      <alignment horizontal="center" vertical="center" wrapText="1"/>
    </xf>
    <xf numFmtId="0" fontId="8" fillId="0" borderId="8" xfId="0" applyFont="1" applyBorder="1"/>
    <xf numFmtId="43" fontId="9" fillId="0" borderId="8" xfId="0" applyNumberFormat="1" applyFont="1" applyBorder="1" applyAlignment="1"/>
    <xf numFmtId="0" fontId="8" fillId="0" borderId="8" xfId="0" applyFont="1" applyBorder="1" applyAlignment="1"/>
    <xf numFmtId="0" fontId="24" fillId="0" borderId="8" xfId="0" applyFont="1" applyBorder="1" applyAlignment="1"/>
    <xf numFmtId="43" fontId="10" fillId="0" borderId="8" xfId="0" applyNumberFormat="1" applyFont="1" applyFill="1" applyBorder="1" applyAlignment="1"/>
    <xf numFmtId="43" fontId="8" fillId="0" borderId="0" xfId="0" applyNumberFormat="1" applyFont="1" applyAlignment="1">
      <alignment vertical="center" wrapText="1"/>
    </xf>
    <xf numFmtId="43" fontId="9" fillId="0" borderId="8" xfId="0" applyNumberFormat="1" applyFont="1" applyBorder="1" applyAlignment="1">
      <alignment horizontal="right"/>
    </xf>
    <xf numFmtId="0" fontId="14" fillId="0" borderId="23" xfId="0" applyFont="1" applyBorder="1" applyAlignment="1"/>
    <xf numFmtId="0" fontId="14" fillId="10" borderId="0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left" vertical="center" wrapText="1"/>
    </xf>
    <xf numFmtId="0" fontId="22" fillId="0" borderId="8" xfId="1" applyFont="1" applyBorder="1" applyAlignment="1"/>
    <xf numFmtId="0" fontId="16" fillId="0" borderId="8" xfId="0" applyFont="1" applyBorder="1" applyAlignment="1">
      <alignment horizontal="left" vertical="center" wrapText="1"/>
    </xf>
    <xf numFmtId="0" fontId="22" fillId="0" borderId="0" xfId="1" applyFont="1" applyBorder="1" applyAlignment="1"/>
    <xf numFmtId="0" fontId="9" fillId="0" borderId="0" xfId="0" applyFont="1"/>
    <xf numFmtId="166" fontId="8" fillId="0" borderId="0" xfId="3" applyNumberFormat="1" applyFont="1" applyFill="1"/>
    <xf numFmtId="0" fontId="26" fillId="0" borderId="0" xfId="1" applyFont="1" applyAlignment="1"/>
    <xf numFmtId="0" fontId="22" fillId="0" borderId="0" xfId="1" applyFont="1" applyAlignment="1"/>
    <xf numFmtId="0" fontId="21" fillId="0" borderId="0" xfId="0" applyFont="1" applyFill="1" applyAlignment="1"/>
    <xf numFmtId="43" fontId="12" fillId="0" borderId="0" xfId="2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43" fontId="9" fillId="0" borderId="1" xfId="2" applyFont="1" applyFill="1" applyBorder="1" applyAlignment="1"/>
    <xf numFmtId="10" fontId="9" fillId="0" borderId="1" xfId="3" applyNumberFormat="1" applyFont="1" applyFill="1" applyBorder="1" applyAlignment="1"/>
    <xf numFmtId="0" fontId="16" fillId="0" borderId="0" xfId="0" applyNumberFormat="1" applyFont="1" applyFill="1"/>
    <xf numFmtId="43" fontId="8" fillId="0" borderId="0" xfId="2" applyFont="1" applyFill="1" applyAlignment="1"/>
    <xf numFmtId="169" fontId="16" fillId="0" borderId="0" xfId="0" applyNumberFormat="1" applyFont="1" applyFill="1"/>
    <xf numFmtId="0" fontId="16" fillId="0" borderId="0" xfId="0" applyFont="1" applyFill="1" applyAlignment="1"/>
    <xf numFmtId="44" fontId="16" fillId="0" borderId="0" xfId="0" applyNumberFormat="1" applyFont="1" applyFill="1"/>
    <xf numFmtId="44" fontId="8" fillId="0" borderId="0" xfId="4" applyFont="1" applyFill="1" applyAlignment="1"/>
    <xf numFmtId="44" fontId="8" fillId="0" borderId="0" xfId="4" applyFont="1" applyFill="1"/>
    <xf numFmtId="164" fontId="8" fillId="6" borderId="0" xfId="2" applyNumberFormat="1" applyFont="1" applyFill="1"/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9" fillId="0" borderId="8" xfId="0" applyFont="1" applyFill="1" applyBorder="1" applyAlignment="1">
      <alignment horizontal="center" vertical="center" wrapText="1"/>
    </xf>
    <xf numFmtId="164" fontId="8" fillId="6" borderId="0" xfId="2" applyNumberFormat="1" applyFont="1" applyFill="1" applyAlignment="1">
      <alignment horizontal="center" vertical="center" wrapText="1"/>
    </xf>
    <xf numFmtId="43" fontId="8" fillId="6" borderId="0" xfId="2" applyFont="1" applyFill="1" applyAlignment="1">
      <alignment horizontal="center" vertical="center" wrapText="1"/>
    </xf>
    <xf numFmtId="167" fontId="11" fillId="6" borderId="0" xfId="2" applyNumberFormat="1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43" fontId="8" fillId="8" borderId="0" xfId="2" applyFont="1" applyFill="1" applyAlignment="1">
      <alignment horizontal="center" vertical="center" wrapText="1"/>
    </xf>
    <xf numFmtId="164" fontId="8" fillId="0" borderId="0" xfId="2" applyNumberFormat="1" applyFont="1" applyFill="1" applyAlignment="1">
      <alignment horizontal="center" vertical="center" wrapText="1"/>
    </xf>
    <xf numFmtId="0" fontId="27" fillId="6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43" fontId="8" fillId="8" borderId="0" xfId="2" applyFont="1" applyFill="1" applyAlignment="1"/>
    <xf numFmtId="44" fontId="8" fillId="6" borderId="0" xfId="0" applyNumberFormat="1" applyFont="1" applyFill="1"/>
    <xf numFmtId="0" fontId="8" fillId="8" borderId="0" xfId="0" applyFont="1" applyFill="1" applyAlignment="1"/>
    <xf numFmtId="43" fontId="8" fillId="0" borderId="0" xfId="0" applyNumberFormat="1" applyFont="1" applyAlignment="1"/>
    <xf numFmtId="164" fontId="8" fillId="6" borderId="0" xfId="2" applyNumberFormat="1" applyFont="1" applyFill="1" applyAlignment="1"/>
    <xf numFmtId="43" fontId="14" fillId="0" borderId="8" xfId="2" applyFont="1" applyBorder="1" applyAlignment="1">
      <alignment horizontal="right"/>
    </xf>
    <xf numFmtId="43" fontId="14" fillId="10" borderId="8" xfId="2" applyFont="1" applyFill="1" applyBorder="1" applyAlignment="1">
      <alignment horizontal="right" wrapText="1"/>
    </xf>
    <xf numFmtId="43" fontId="14" fillId="0" borderId="0" xfId="2" applyFont="1" applyBorder="1" applyAlignment="1">
      <alignment horizontal="right"/>
    </xf>
    <xf numFmtId="43" fontId="14" fillId="0" borderId="0" xfId="2" applyFont="1" applyAlignment="1">
      <alignment horizontal="right"/>
    </xf>
    <xf numFmtId="0" fontId="19" fillId="0" borderId="8" xfId="0" applyFont="1" applyBorder="1"/>
    <xf numFmtId="0" fontId="14" fillId="0" borderId="8" xfId="0" applyFont="1" applyFill="1" applyBorder="1"/>
    <xf numFmtId="43" fontId="20" fillId="0" borderId="8" xfId="0" applyNumberFormat="1" applyFont="1" applyFill="1" applyBorder="1"/>
    <xf numFmtId="0" fontId="14" fillId="8" borderId="17" xfId="0" applyFont="1" applyFill="1" applyBorder="1"/>
    <xf numFmtId="0" fontId="14" fillId="8" borderId="16" xfId="0" applyFont="1" applyFill="1" applyBorder="1" applyAlignment="1">
      <alignment wrapText="1"/>
    </xf>
    <xf numFmtId="0" fontId="14" fillId="8" borderId="15" xfId="0" applyFont="1" applyFill="1" applyBorder="1" applyAlignment="1">
      <alignment wrapText="1"/>
    </xf>
    <xf numFmtId="43" fontId="15" fillId="0" borderId="8" xfId="2" applyFont="1" applyBorder="1" applyAlignment="1">
      <alignment horizontal="right"/>
    </xf>
    <xf numFmtId="0" fontId="15" fillId="0" borderId="12" xfId="0" applyFont="1" applyBorder="1"/>
    <xf numFmtId="0" fontId="15" fillId="0" borderId="0" xfId="0" applyFont="1" applyAlignment="1">
      <alignment horizontal="left" vertical="center" wrapText="1"/>
    </xf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28" fillId="0" borderId="8" xfId="1" applyFont="1" applyBorder="1" applyAlignment="1"/>
    <xf numFmtId="0" fontId="14" fillId="0" borderId="8" xfId="0" applyNumberFormat="1" applyFont="1" applyBorder="1" applyAlignment="1"/>
    <xf numFmtId="0" fontId="15" fillId="0" borderId="8" xfId="0" applyNumberFormat="1" applyFont="1" applyBorder="1" applyAlignment="1"/>
    <xf numFmtId="0" fontId="14" fillId="0" borderId="0" xfId="0" applyNumberFormat="1" applyFont="1" applyBorder="1" applyAlignment="1"/>
    <xf numFmtId="0" fontId="14" fillId="0" borderId="0" xfId="0" applyNumberFormat="1" applyFont="1" applyAlignment="1"/>
    <xf numFmtId="0" fontId="16" fillId="0" borderId="12" xfId="0" applyFont="1" applyBorder="1" applyAlignment="1"/>
    <xf numFmtId="0" fontId="16" fillId="8" borderId="13" xfId="0" applyFont="1" applyFill="1" applyBorder="1" applyAlignment="1"/>
    <xf numFmtId="0" fontId="16" fillId="8" borderId="14" xfId="0" applyFont="1" applyFill="1" applyBorder="1" applyAlignment="1"/>
    <xf numFmtId="0" fontId="14" fillId="8" borderId="10" xfId="0" applyFont="1" applyFill="1" applyBorder="1" applyAlignment="1">
      <alignment horizontal="center" vertical="center"/>
    </xf>
    <xf numFmtId="43" fontId="16" fillId="8" borderId="10" xfId="2" applyFont="1" applyFill="1" applyBorder="1" applyAlignment="1">
      <alignment horizontal="right"/>
    </xf>
    <xf numFmtId="0" fontId="14" fillId="8" borderId="10" xfId="0" applyNumberFormat="1" applyFont="1" applyFill="1" applyBorder="1" applyAlignment="1">
      <alignment wrapText="1"/>
    </xf>
    <xf numFmtId="0" fontId="14" fillId="8" borderId="10" xfId="0" applyFont="1" applyFill="1" applyBorder="1"/>
    <xf numFmtId="0" fontId="21" fillId="8" borderId="10" xfId="0" applyFont="1" applyFill="1" applyBorder="1" applyAlignment="1">
      <alignment wrapText="1"/>
    </xf>
    <xf numFmtId="0" fontId="11" fillId="6" borderId="0" xfId="0" applyFont="1" applyFill="1" applyAlignment="1">
      <alignment horizontal="center" vertical="center" wrapText="1"/>
    </xf>
    <xf numFmtId="43" fontId="14" fillId="0" borderId="10" xfId="2" applyFont="1" applyBorder="1" applyAlignment="1">
      <alignment horizontal="center" vertical="center" wrapText="1"/>
    </xf>
    <xf numFmtId="43" fontId="14" fillId="0" borderId="0" xfId="2" applyFont="1" applyAlignment="1"/>
    <xf numFmtId="43" fontId="23" fillId="0" borderId="0" xfId="2" applyFont="1" applyAlignment="1"/>
    <xf numFmtId="44" fontId="11" fillId="6" borderId="0" xfId="0" applyNumberFormat="1" applyFont="1" applyFill="1"/>
    <xf numFmtId="0" fontId="11" fillId="6" borderId="0" xfId="0" applyFont="1" applyFill="1" applyAlignment="1"/>
    <xf numFmtId="0" fontId="27" fillId="6" borderId="0" xfId="0" applyFont="1" applyFill="1" applyAlignment="1">
      <alignment vertical="center" wrapText="1"/>
    </xf>
    <xf numFmtId="44" fontId="27" fillId="6" borderId="0" xfId="0" applyNumberFormat="1" applyFont="1" applyFill="1"/>
    <xf numFmtId="0" fontId="27" fillId="6" borderId="0" xfId="0" applyFont="1" applyFill="1" applyAlignment="1"/>
    <xf numFmtId="44" fontId="27" fillId="8" borderId="0" xfId="0" applyNumberFormat="1" applyFont="1" applyFill="1"/>
    <xf numFmtId="0" fontId="27" fillId="8" borderId="0" xfId="0" applyFont="1" applyFill="1" applyAlignment="1"/>
    <xf numFmtId="43" fontId="14" fillId="0" borderId="10" xfId="2" applyFont="1" applyFill="1" applyBorder="1" applyAlignment="1">
      <alignment horizontal="center" vertical="center" wrapText="1"/>
    </xf>
    <xf numFmtId="44" fontId="14" fillId="0" borderId="0" xfId="4" applyFont="1" applyAlignment="1"/>
    <xf numFmtId="44" fontId="14" fillId="0" borderId="10" xfId="4" applyFont="1" applyFill="1" applyBorder="1" applyAlignment="1">
      <alignment horizontal="center" vertical="center" wrapText="1"/>
    </xf>
    <xf numFmtId="0" fontId="14" fillId="0" borderId="13" xfId="0" applyFont="1" applyBorder="1" applyAlignment="1"/>
    <xf numFmtId="0" fontId="14" fillId="0" borderId="16" xfId="0" applyFont="1" applyBorder="1" applyAlignment="1"/>
    <xf numFmtId="44" fontId="14" fillId="0" borderId="19" xfId="0" applyNumberFormat="1" applyFont="1" applyBorder="1" applyAlignment="1"/>
    <xf numFmtId="44" fontId="14" fillId="0" borderId="22" xfId="0" applyNumberFormat="1" applyFont="1" applyBorder="1" applyAlignment="1"/>
    <xf numFmtId="0" fontId="14" fillId="0" borderId="0" xfId="0" applyFont="1" applyAlignment="1">
      <alignment wrapText="1"/>
    </xf>
    <xf numFmtId="0" fontId="14" fillId="11" borderId="26" xfId="0" applyFont="1" applyFill="1" applyBorder="1"/>
    <xf numFmtId="0" fontId="14" fillId="11" borderId="27" xfId="0" applyFont="1" applyFill="1" applyBorder="1"/>
    <xf numFmtId="0" fontId="14" fillId="6" borderId="28" xfId="0" applyFont="1" applyFill="1" applyBorder="1"/>
    <xf numFmtId="164" fontId="14" fillId="0" borderId="29" xfId="2" applyNumberFormat="1" applyFont="1" applyFill="1" applyBorder="1"/>
    <xf numFmtId="0" fontId="14" fillId="6" borderId="18" xfId="0" applyFont="1" applyFill="1" applyBorder="1"/>
    <xf numFmtId="164" fontId="14" fillId="0" borderId="19" xfId="2" applyNumberFormat="1" applyFont="1" applyFill="1" applyBorder="1"/>
    <xf numFmtId="0" fontId="14" fillId="0" borderId="19" xfId="0" applyFont="1" applyFill="1" applyBorder="1"/>
    <xf numFmtId="0" fontId="14" fillId="6" borderId="20" xfId="0" applyFont="1" applyFill="1" applyBorder="1"/>
    <xf numFmtId="164" fontId="14" fillId="0" borderId="22" xfId="2" applyNumberFormat="1" applyFont="1" applyFill="1" applyBorder="1"/>
    <xf numFmtId="0" fontId="14" fillId="0" borderId="0" xfId="0" applyFont="1" applyFill="1"/>
    <xf numFmtId="164" fontId="14" fillId="0" borderId="0" xfId="2" applyNumberFormat="1" applyFont="1" applyFill="1"/>
    <xf numFmtId="43" fontId="14" fillId="0" borderId="0" xfId="0" applyNumberFormat="1" applyFont="1"/>
    <xf numFmtId="0" fontId="14" fillId="0" borderId="28" xfId="0" applyFont="1" applyFill="1" applyBorder="1"/>
    <xf numFmtId="170" fontId="14" fillId="0" borderId="29" xfId="0" applyNumberFormat="1" applyFont="1" applyFill="1" applyBorder="1" applyAlignment="1">
      <alignment vertical="top"/>
    </xf>
    <xf numFmtId="0" fontId="14" fillId="0" borderId="18" xfId="0" applyFont="1" applyFill="1" applyBorder="1"/>
    <xf numFmtId="170" fontId="14" fillId="0" borderId="19" xfId="0" applyNumberFormat="1" applyFont="1" applyFill="1" applyBorder="1" applyAlignment="1">
      <alignment vertical="center"/>
    </xf>
    <xf numFmtId="0" fontId="14" fillId="0" borderId="30" xfId="0" applyFont="1" applyFill="1" applyBorder="1"/>
    <xf numFmtId="170" fontId="14" fillId="0" borderId="31" xfId="0" applyNumberFormat="1" applyFont="1" applyFill="1" applyBorder="1" applyAlignment="1">
      <alignment vertical="center"/>
    </xf>
    <xf numFmtId="44" fontId="14" fillId="0" borderId="19" xfId="4" applyFont="1" applyFill="1" applyBorder="1" applyAlignment="1"/>
    <xf numFmtId="43" fontId="14" fillId="0" borderId="0" xfId="2" applyFont="1"/>
    <xf numFmtId="0" fontId="14" fillId="8" borderId="28" xfId="0" applyFont="1" applyFill="1" applyBorder="1"/>
    <xf numFmtId="44" fontId="14" fillId="8" borderId="29" xfId="4" applyFont="1" applyFill="1" applyBorder="1"/>
    <xf numFmtId="0" fontId="14" fillId="8" borderId="18" xfId="0" applyFont="1" applyFill="1" applyBorder="1"/>
    <xf numFmtId="44" fontId="14" fillId="8" borderId="19" xfId="4" applyFont="1" applyFill="1" applyBorder="1"/>
    <xf numFmtId="0" fontId="14" fillId="8" borderId="20" xfId="0" applyFont="1" applyFill="1" applyBorder="1"/>
    <xf numFmtId="44" fontId="14" fillId="8" borderId="22" xfId="4" applyFont="1" applyFill="1" applyBorder="1"/>
    <xf numFmtId="0" fontId="29" fillId="8" borderId="20" xfId="0" applyFont="1" applyFill="1" applyBorder="1"/>
    <xf numFmtId="44" fontId="29" fillId="8" borderId="22" xfId="0" applyNumberFormat="1" applyFont="1" applyFill="1" applyBorder="1"/>
    <xf numFmtId="44" fontId="8" fillId="0" borderId="0" xfId="0" applyNumberFormat="1" applyFont="1" applyFill="1"/>
    <xf numFmtId="0" fontId="1" fillId="0" borderId="0" xfId="0" applyFont="1"/>
    <xf numFmtId="44" fontId="11" fillId="8" borderId="0" xfId="0" applyNumberFormat="1" applyFont="1" applyFill="1"/>
    <xf numFmtId="43" fontId="8" fillId="7" borderId="1" xfId="0" applyNumberFormat="1" applyFont="1" applyFill="1" applyBorder="1"/>
    <xf numFmtId="43" fontId="8" fillId="6" borderId="0" xfId="2" applyFont="1" applyFill="1" applyAlignment="1"/>
    <xf numFmtId="44" fontId="8" fillId="0" borderId="8" xfId="4" applyFont="1" applyFill="1" applyBorder="1"/>
    <xf numFmtId="44" fontId="9" fillId="0" borderId="8" xfId="4" applyFont="1" applyFill="1" applyBorder="1" applyAlignment="1"/>
    <xf numFmtId="44" fontId="30" fillId="0" borderId="0" xfId="4" applyFont="1" applyAlignment="1"/>
    <xf numFmtId="0" fontId="29" fillId="11" borderId="26" xfId="0" applyFont="1" applyFill="1" applyBorder="1" applyAlignment="1"/>
    <xf numFmtId="44" fontId="14" fillId="11" borderId="27" xfId="0" applyNumberFormat="1" applyFont="1" applyFill="1" applyBorder="1" applyAlignment="1"/>
    <xf numFmtId="44" fontId="23" fillId="0" borderId="0" xfId="4" applyFont="1" applyAlignment="1"/>
    <xf numFmtId="44" fontId="8" fillId="9" borderId="1" xfId="4" applyFont="1" applyFill="1" applyBorder="1"/>
    <xf numFmtId="44" fontId="31" fillId="8" borderId="0" xfId="4" applyFont="1" applyFill="1" applyAlignment="1"/>
    <xf numFmtId="44" fontId="31" fillId="6" borderId="0" xfId="0" applyNumberFormat="1" applyFont="1" applyFill="1" applyAlignment="1"/>
    <xf numFmtId="0" fontId="32" fillId="6" borderId="0" xfId="0" applyFont="1" applyFill="1" applyAlignment="1"/>
    <xf numFmtId="0" fontId="33" fillId="8" borderId="0" xfId="0" applyFont="1" applyFill="1" applyAlignment="1"/>
    <xf numFmtId="44" fontId="31" fillId="8" borderId="0" xfId="0" applyNumberFormat="1" applyFont="1" applyFill="1" applyAlignment="1"/>
    <xf numFmtId="0" fontId="9" fillId="0" borderId="32" xfId="0" applyFont="1" applyBorder="1"/>
    <xf numFmtId="164" fontId="11" fillId="0" borderId="8" xfId="2" applyNumberFormat="1" applyFont="1" applyBorder="1" applyAlignment="1"/>
    <xf numFmtId="164" fontId="11" fillId="0" borderId="0" xfId="2" applyNumberFormat="1" applyFont="1" applyAlignment="1"/>
    <xf numFmtId="37" fontId="35" fillId="0" borderId="8" xfId="5" applyNumberFormat="1" applyFont="1" applyBorder="1"/>
    <xf numFmtId="171" fontId="11" fillId="0" borderId="8" xfId="5" applyNumberFormat="1" applyFont="1" applyBorder="1" applyAlignment="1">
      <alignment vertical="center"/>
    </xf>
    <xf numFmtId="171" fontId="35" fillId="0" borderId="8" xfId="5" applyNumberFormat="1" applyFont="1" applyFill="1" applyBorder="1" applyAlignment="1">
      <alignment vertical="center"/>
    </xf>
    <xf numFmtId="172" fontId="35" fillId="0" borderId="8" xfId="6" applyNumberFormat="1" applyFont="1" applyBorder="1" applyAlignment="1">
      <alignment vertical="center"/>
    </xf>
    <xf numFmtId="171" fontId="35" fillId="0" borderId="8" xfId="5" applyNumberFormat="1" applyFont="1" applyBorder="1"/>
    <xf numFmtId="171" fontId="11" fillId="0" borderId="8" xfId="5" applyNumberFormat="1" applyFont="1" applyBorder="1"/>
    <xf numFmtId="171" fontId="35" fillId="0" borderId="8" xfId="7" applyNumberFormat="1" applyFont="1" applyFill="1" applyBorder="1"/>
    <xf numFmtId="172" fontId="35" fillId="0" borderId="8" xfId="6" applyNumberFormat="1" applyFont="1" applyBorder="1"/>
    <xf numFmtId="164" fontId="11" fillId="0" borderId="8" xfId="8" applyNumberFormat="1" applyFont="1" applyBorder="1" applyAlignment="1"/>
    <xf numFmtId="164" fontId="35" fillId="0" borderId="8" xfId="9" applyNumberFormat="1" applyFont="1" applyFill="1" applyBorder="1"/>
    <xf numFmtId="172" fontId="11" fillId="0" borderId="8" xfId="6" applyNumberFormat="1" applyFont="1" applyBorder="1" applyAlignment="1">
      <alignment vertical="center"/>
    </xf>
    <xf numFmtId="0" fontId="9" fillId="0" borderId="8" xfId="0" applyFont="1" applyBorder="1"/>
    <xf numFmtId="164" fontId="14" fillId="0" borderId="8" xfId="2" applyNumberFormat="1" applyFont="1" applyBorder="1" applyAlignment="1">
      <alignment wrapText="1"/>
    </xf>
    <xf numFmtId="164" fontId="14" fillId="0" borderId="8" xfId="2" applyNumberFormat="1" applyFont="1" applyBorder="1"/>
    <xf numFmtId="164" fontId="14" fillId="0" borderId="21" xfId="2" applyNumberFormat="1" applyFont="1" applyBorder="1"/>
    <xf numFmtId="0" fontId="3" fillId="4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0" fillId="5" borderId="0" xfId="0" applyFont="1" applyFill="1" applyAlignment="1">
      <alignment horizontal="center"/>
    </xf>
    <xf numFmtId="43" fontId="11" fillId="6" borderId="0" xfId="2" applyFont="1" applyFill="1" applyAlignment="1">
      <alignment horizontal="center" wrapText="1"/>
    </xf>
    <xf numFmtId="0" fontId="11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3" fillId="0" borderId="8" xfId="0" applyFont="1" applyBorder="1" applyAlignment="1">
      <alignment horizontal="center"/>
    </xf>
    <xf numFmtId="0" fontId="14" fillId="8" borderId="26" xfId="0" applyFont="1" applyFill="1" applyBorder="1" applyAlignment="1">
      <alignment horizontal="center"/>
    </xf>
    <xf numFmtId="0" fontId="14" fillId="8" borderId="27" xfId="0" applyFont="1" applyFill="1" applyBorder="1" applyAlignment="1">
      <alignment horizontal="center"/>
    </xf>
    <xf numFmtId="44" fontId="27" fillId="8" borderId="0" xfId="4" applyFont="1" applyFill="1" applyAlignment="1">
      <alignment horizontal="center" vertical="center" wrapText="1"/>
    </xf>
    <xf numFmtId="44" fontId="27" fillId="8" borderId="0" xfId="4" applyFont="1" applyFill="1"/>
    <xf numFmtId="44" fontId="27" fillId="8" borderId="0" xfId="4" applyFont="1" applyFill="1" applyAlignment="1"/>
  </cellXfs>
  <cellStyles count="10">
    <cellStyle name="Comma" xfId="2" builtinId="3"/>
    <cellStyle name="Comma 2" xfId="8" xr:uid="{B1BE36BF-AF71-4F06-B3FF-00B0B1632CA8}"/>
    <cellStyle name="Currency" xfId="4" builtinId="4"/>
    <cellStyle name="Hyperlink" xfId="1" builtinId="8"/>
    <cellStyle name="Normal" xfId="0" builtinId="0"/>
    <cellStyle name="Normal 2 2" xfId="5" xr:uid="{0C9009C2-BEE2-4093-8AB6-A057E8C2F564}"/>
    <cellStyle name="Normal 8" xfId="7" xr:uid="{B479D7C5-5262-4419-BAAC-F670727EB23C}"/>
    <cellStyle name="Normal 8 2" xfId="9" xr:uid="{F18FBC2D-47CF-408D-87A4-3492C2729524}"/>
    <cellStyle name="Normal_10 Jadual@Table 2.3-16.3" xfId="6" xr:uid="{FA001B22-0185-4F3F-B468-6B65185DB8E7}"/>
    <cellStyle name="Percent" xfId="3" builtinId="5"/>
  </cellStyles>
  <dxfs count="7"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OneDrive\DOCUME~1\Adulting\Jobs\AIDDAT~1\UNHABI~1\WORKIN~1\RESEAR~1\India\SOLID%20WASTE%20SHEET_Ind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zan\OneDrive\Documents\Adulting\Jobs\AidData%20at%20W&amp;M\UN%20Habitat%20SDG%2011%20Costing\Report\Colombia%20Briefs\SOLID%20WASTE%20SHEET_Colomb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Solid Waste"/>
      <sheetName val="Cost Calculation"/>
      <sheetName val="Variables"/>
      <sheetName val="Sanitary Landfilling"/>
      <sheetName val="Budgeting"/>
      <sheetName val="Land cost"/>
      <sheetName val="Existing landfills"/>
      <sheetName val="Population"/>
      <sheetName val="Waste per capi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Solid Waste"/>
      <sheetName val="Variables"/>
      <sheetName val="Cost Calculation"/>
      <sheetName val="Sanitary Landfilling"/>
      <sheetName val="Population"/>
      <sheetName val="Land cost"/>
      <sheetName val="Waste per capita"/>
      <sheetName val="Landfills"/>
    </sheetNames>
    <sheetDataSet>
      <sheetData sheetId="0"/>
      <sheetData sheetId="1">
        <row r="17">
          <cell r="C17">
            <v>1.085</v>
          </cell>
        </row>
        <row r="26">
          <cell r="C26">
            <v>1.24</v>
          </cell>
        </row>
        <row r="27">
          <cell r="E27">
            <v>1.19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zanne Schadel" id="{ABD4B63C-7A29-4281-B6C4-A107515BC01B}" userId="f44dd92c4f2be79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0-01-14T17:39:42.61" personId="{ABD4B63C-7A29-4281-B6C4-A107515BC01B}" id="{358F6565-113A-41D2-A3A7-1D8E69F3C580}">
    <text>M.B. Melaka Bersejarah</text>
  </threadedComment>
  <threadedComment ref="C7" dT="2020-01-14T17:38:26.91" personId="{ABD4B63C-7A29-4281-B6C4-A107515BC01B}" id="{97DEABB8-EB12-4F14-B9B8-B0EFE75D84B8}">
    <text>Kuala Kuantan and Beserah</text>
  </threadedComment>
  <threadedComment ref="C10" dT="2020-01-14T17:45:15.50" personId="{ABD4B63C-7A29-4281-B6C4-A107515BC01B}" id="{988B9771-6B86-4A1D-BAA8-45B25594F8B9}">
    <text>Alor Kangar and Kangar</text>
  </threadedComment>
  <threadedComment ref="C11" dT="2020-01-14T17:45:04.61" personId="{ABD4B63C-7A29-4281-B6C4-A107515BC01B}" id="{A6261FB6-964D-436F-AD79-C2FBB3DEB2E2}">
    <text>D.B. Kota Kinabalu</text>
  </threadedComment>
  <threadedComment ref="C12" dT="2020-01-14T17:51:23.22" personId="{ABD4B63C-7A29-4281-B6C4-A107515BC01B}" id="{9EB9CFBE-A51F-40FB-99F7-8C6A33015C56}">
    <text>D.B. Kuching Utara, M.P. Padawan, &amp; M.B. Kuching Selatan</text>
  </threadedComment>
  <threadedComment ref="C15" dT="2020-01-14T17:57:30.89" personId="{ABD4B63C-7A29-4281-B6C4-A107515BC01B}" id="{6E33B923-2896-44BE-B9D1-D5B1A717455B}">
    <text>D.B. Kuala Lumpur</text>
  </threadedComment>
  <threadedComment ref="C18" dT="2020-01-14T18:06:04.25" personId="{ABD4B63C-7A29-4281-B6C4-A107515BC01B}" id="{8B5DAEC8-8609-4FE4-9992-F77994503287}">
    <text>Kemaman (Chukai)</text>
  </threadedComment>
</ThreadedComment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NY.GDP.PCAP.PP.KD?locations=MY" TargetMode="External"/><Relationship Id="rId3" Type="http://schemas.openxmlformats.org/officeDocument/2006/relationships/hyperlink" Target="https://openknowledge.worldbank.org/bitstream/handle/10986/22038/Malaysia0econo0ming0urban0transport.pdf?sequence=1&amp;isAllowed=y" TargetMode="External"/><Relationship Id="rId7" Type="http://schemas.openxmlformats.org/officeDocument/2006/relationships/hyperlink" Target="https://data.worldbank.org/indicator/PA.NUS.FCRF?locations=MY" TargetMode="External"/><Relationship Id="rId12" Type="http://schemas.openxmlformats.org/officeDocument/2006/relationships/hyperlink" Target="https://www.in2013dollars.com/" TargetMode="External"/><Relationship Id="rId2" Type="http://schemas.openxmlformats.org/officeDocument/2006/relationships/hyperlink" Target="https://www.worldbank.org/en/country/malaysia/overview" TargetMode="External"/><Relationship Id="rId1" Type="http://schemas.openxmlformats.org/officeDocument/2006/relationships/hyperlink" Target="http://ensearch.org/wp-content/uploads/2012/07/Paper-13.pdf" TargetMode="External"/><Relationship Id="rId6" Type="http://schemas.openxmlformats.org/officeDocument/2006/relationships/hyperlink" Target="https://data.worldbank.org/indicator/PA.NUS.FCRF?locations=MY" TargetMode="External"/><Relationship Id="rId11" Type="http://schemas.openxmlformats.org/officeDocument/2006/relationships/hyperlink" Target="https://www.in2013dollars.com/" TargetMode="External"/><Relationship Id="rId5" Type="http://schemas.openxmlformats.org/officeDocument/2006/relationships/hyperlink" Target="https://data.worldbank.org/indicator/PA.NUS.FCRF?locations=MY" TargetMode="External"/><Relationship Id="rId10" Type="http://schemas.openxmlformats.org/officeDocument/2006/relationships/hyperlink" Target="https://data.worldbank.org/indicator/FP.CPI.TOTL?locations=MY" TargetMode="External"/><Relationship Id="rId4" Type="http://schemas.openxmlformats.org/officeDocument/2006/relationships/hyperlink" Target="https://data.worldbank.org/indicator/PA.NUS.PPPC.RF?locations=MY" TargetMode="External"/><Relationship Id="rId9" Type="http://schemas.openxmlformats.org/officeDocument/2006/relationships/hyperlink" Target="https://data.worldbank.org/indicator/NY.GDP.PCAP.PP.KD?locations=MY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pspn.kpkt.gov.my/resources/index/user_1/Sumber_Rujukan/statistik/Kelantan.pdf" TargetMode="External"/><Relationship Id="rId13" Type="http://schemas.openxmlformats.org/officeDocument/2006/relationships/hyperlink" Target="https://jpspn.kpkt.gov.my/resources/index/user_1/Sumber_Rujukan/statistik/Kelantan.pdf" TargetMode="External"/><Relationship Id="rId18" Type="http://schemas.openxmlformats.org/officeDocument/2006/relationships/hyperlink" Target="https://www.e-idaman.com/service/landfill-management" TargetMode="External"/><Relationship Id="rId3" Type="http://schemas.openxmlformats.org/officeDocument/2006/relationships/hyperlink" Target="http://www.data.gov.my/data/en_US/dataset/lokasi-fasiliti-pengurusan-sisa-pepejal/resource/5d62940c-c7c7-40a1-90db-45ba2cb7bee2" TargetMode="External"/><Relationship Id="rId7" Type="http://schemas.openxmlformats.org/officeDocument/2006/relationships/hyperlink" Target="https://jpspn.kpkt.gov.my/resources/index/user_1/Sumber_Rujukan/statistik/Kelantan.pdf" TargetMode="External"/><Relationship Id="rId12" Type="http://schemas.openxmlformats.org/officeDocument/2006/relationships/hyperlink" Target="https://jpspn.kpkt.gov.my/resources/index/user_1/Sumber_Rujukan/statistik/Kelantan.pdf" TargetMode="External"/><Relationship Id="rId17" Type="http://schemas.openxmlformats.org/officeDocument/2006/relationships/hyperlink" Target="https://jpspn.kpkt.gov.my/resources/index/user_1/Sumber_Rujukan/statistik/Kelantan.pdf" TargetMode="External"/><Relationship Id="rId2" Type="http://schemas.openxmlformats.org/officeDocument/2006/relationships/hyperlink" Target="http://www.data.gov.my/data/en_US/dataset/lokasi-fasiliti-pengurusan-sisa-pepejal/resource/5d62940c-c7c7-40a1-90db-45ba2cb7bee2" TargetMode="External"/><Relationship Id="rId16" Type="http://schemas.openxmlformats.org/officeDocument/2006/relationships/hyperlink" Target="https://jpspn.kpkt.gov.my/resources/index/user_1/Sumber_Rujukan/statistik/Kelantan.pdf" TargetMode="External"/><Relationship Id="rId20" Type="http://schemas.openxmlformats.org/officeDocument/2006/relationships/hyperlink" Target="http://akademiabaru.com/wvcarmea/docu/027.pdf" TargetMode="External"/><Relationship Id="rId1" Type="http://schemas.openxmlformats.org/officeDocument/2006/relationships/hyperlink" Target="http://www.data.gov.my/data/en_US/dataset/lokasi-fasiliti-pengurusan-sisa-pepejal/resource/5d62940c-c7c7-40a1-90db-45ba2cb7bee2" TargetMode="External"/><Relationship Id="rId6" Type="http://schemas.openxmlformats.org/officeDocument/2006/relationships/hyperlink" Target="https://jpspn.kpkt.gov.my/resources/index/user_1/Sumber_Rujukan/statistik/Kelantan.pdf" TargetMode="External"/><Relationship Id="rId11" Type="http://schemas.openxmlformats.org/officeDocument/2006/relationships/hyperlink" Target="https://jpspn.kpkt.gov.my/resources/index/user_1/Sumber_Rujukan/statistik/Kelantan.pdf" TargetMode="External"/><Relationship Id="rId5" Type="http://schemas.openxmlformats.org/officeDocument/2006/relationships/hyperlink" Target="https://openknowledge.worldbank.org/bitstream/handle/10986/31660/Supporting-Report-2-Integrating-Environmental-Plans.pdf?sequence=1&amp;isAllowed=y" TargetMode="External"/><Relationship Id="rId15" Type="http://schemas.openxmlformats.org/officeDocument/2006/relationships/hyperlink" Target="https://jpspn.kpkt.gov.my/resources/index/user_1/Sumber_Rujukan/statistik/Sarawak.pdf" TargetMode="External"/><Relationship Id="rId10" Type="http://schemas.openxmlformats.org/officeDocument/2006/relationships/hyperlink" Target="https://jpspn.kpkt.gov.my/resources/index/user_1/Sumber_Rujukan/statistik/Kelantan.pdf" TargetMode="External"/><Relationship Id="rId19" Type="http://schemas.openxmlformats.org/officeDocument/2006/relationships/hyperlink" Target="https://www.e-idaman.com/service/landfill-management" TargetMode="External"/><Relationship Id="rId4" Type="http://schemas.openxmlformats.org/officeDocument/2006/relationships/hyperlink" Target="http://www.dbkl.gov.my/pskl2020/english/infrastructure_and_utilities/index.htm" TargetMode="External"/><Relationship Id="rId9" Type="http://schemas.openxmlformats.org/officeDocument/2006/relationships/hyperlink" Target="https://jpspn.kpkt.gov.my/resources/index/user_1/Sumber_Rujukan/statistik/Kelantan.pdf" TargetMode="External"/><Relationship Id="rId14" Type="http://schemas.openxmlformats.org/officeDocument/2006/relationships/hyperlink" Target="https://jpspn.kpkt.gov.my/resources/index/user_1/Sumber_Rujukan/statistik/Kelanta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knowledge.worldbank.org/bitstream/handle/10986/31660/Supporting-Report-2-Integrating-Environmental-Plans.pdf?sequence=1&amp;isAllowed=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udah.my/2+adjoining+plots+total+of+5+6+acres+mkmt+b+rambai+MELAKA-74396591.htm" TargetMode="External"/><Relationship Id="rId13" Type="http://schemas.openxmlformats.org/officeDocument/2006/relationships/hyperlink" Target="https://www.mudah.my/Tanah+15+25+ekar+Tepi+Pantai+dan+Jalan+Besar+Kg+Gebeng+Port+Kuantan-78114177.htm" TargetMode="External"/><Relationship Id="rId18" Type="http://schemas.openxmlformats.org/officeDocument/2006/relationships/hyperlink" Target="https://www.mudah.my/Kg+kaiduan+Papar+NT+Land-80442530.htm" TargetMode="External"/><Relationship Id="rId26" Type="http://schemas.openxmlformats.org/officeDocument/2006/relationships/hyperlink" Target="https://www.mudah.my/Tanah+CANTIK+FREEHOLD+13EKAR+KG+JERAM+HULU+MANIR+Kuala+Terengganu-74484466.htm" TargetMode="External"/><Relationship Id="rId3" Type="http://schemas.openxmlformats.org/officeDocument/2006/relationships/hyperlink" Target="https://www.mudah.my/Tanah+Untuk+Dijual-80302732.htm" TargetMode="External"/><Relationship Id="rId21" Type="http://schemas.openxmlformats.org/officeDocument/2006/relationships/hyperlink" Target="https://www.mudah.my/29+Mile+Jalan+Palah+Jalan+Kuching+Serian+Mixed+Zone+Land+for+sales-80597738.htm" TargetMode="External"/><Relationship Id="rId7" Type="http://schemas.openxmlformats.org/officeDocument/2006/relationships/hyperlink" Target="https://www.mudah.my/Tanah+Pertanian+Kg+Tini+Belakang+Kota+Seribong-80235564.htm" TargetMode="External"/><Relationship Id="rId12" Type="http://schemas.openxmlformats.org/officeDocument/2006/relationships/hyperlink" Target="https://www.mudah.my/Affordable+3+3acre+land+in+Kuantan-80193349.htm" TargetMode="External"/><Relationship Id="rId17" Type="http://schemas.openxmlformats.org/officeDocument/2006/relationships/hyperlink" Target="https://www.mudah.my/Tuaran+Wangkod+Land+11+47+Acres+-48065404.htm" TargetMode="External"/><Relationship Id="rId25" Type="http://schemas.openxmlformats.org/officeDocument/2006/relationships/hyperlink" Target="https://www.mudah.my/Tanah+kebun+getah+batu+Rakit-61146346.htm" TargetMode="External"/><Relationship Id="rId2" Type="http://schemas.openxmlformats.org/officeDocument/2006/relationships/hyperlink" Target="https://www.mudah.my/MAIN+ROAD+7+8+acre+Industrial+area-77176559.htm" TargetMode="External"/><Relationship Id="rId16" Type="http://schemas.openxmlformats.org/officeDocument/2006/relationships/hyperlink" Target="https://www.mudah.my/Tanah+Sesuai+untuk+buat+sawah+Ladang+harumanis+Pusat-76578352.htm" TargetMode="External"/><Relationship Id="rId20" Type="http://schemas.openxmlformats.org/officeDocument/2006/relationships/hyperlink" Target="https://www.mudah.my/Kuching+Matang+Land+Lot-69884945.htm" TargetMode="External"/><Relationship Id="rId29" Type="http://schemas.openxmlformats.org/officeDocument/2006/relationships/hyperlink" Target="https://www.mudah.my/Semenyih+6+5+ekar+freehold+land+sales-80460000.htm" TargetMode="External"/><Relationship Id="rId1" Type="http://schemas.openxmlformats.org/officeDocument/2006/relationships/hyperlink" Target="https://www.mudah.my/4+acres+Agriculture+Land+at+Sungai+Tiram+Johor+Bahru-77837888.htm" TargetMode="External"/><Relationship Id="rId6" Type="http://schemas.openxmlformats.org/officeDocument/2006/relationships/hyperlink" Target="https://www.mudah.my/Tanah+Luas+910+Depa+Di+Pulau+Gajah+Kota+Bharu+Kelantan-78526955.htm" TargetMode="External"/><Relationship Id="rId11" Type="http://schemas.openxmlformats.org/officeDocument/2006/relationships/hyperlink" Target="https://www.mudah.my/Freehold+agricultural+land+tepi+jalan+Kuantan+to+pekan+road-63901312.htm" TargetMode="External"/><Relationship Id="rId24" Type="http://schemas.openxmlformats.org/officeDocument/2006/relationships/hyperlink" Target="https://www.mudah.my/Tanah+pertanian+3+1+ekar+Kg+Bukit+Cherakah+Shah+Alam-79694236.htm" TargetMode="External"/><Relationship Id="rId5" Type="http://schemas.openxmlformats.org/officeDocument/2006/relationships/hyperlink" Target="https://www.mudah.my/Tanah+untuk+dijual-80783435.htm" TargetMode="External"/><Relationship Id="rId15" Type="http://schemas.openxmlformats.org/officeDocument/2006/relationships/hyperlink" Target="https://www.mudah.my/8+4+ekar+Tanah+Pertanian+murah+Tanjung+Tualang-80347519.htm" TargetMode="External"/><Relationship Id="rId23" Type="http://schemas.openxmlformats.org/officeDocument/2006/relationships/hyperlink" Target="https://www.mudah.my/Shah+Alam+Land+for+Sale+Residential+Industrial+Zone+-70832584.htm" TargetMode="External"/><Relationship Id="rId28" Type="http://schemas.openxmlformats.org/officeDocument/2006/relationships/hyperlink" Target="https://www.mudah.my/Tanah+pertanian+sungai+merab+putrajaya-80370370.htm" TargetMode="External"/><Relationship Id="rId10" Type="http://schemas.openxmlformats.org/officeDocument/2006/relationships/hyperlink" Target="https://www.mudah.my/Tanah+Pertanian+4+7+Ekar+Gadong+Jaya+Labu+Seremban-72358218.htm" TargetMode="External"/><Relationship Id="rId19" Type="http://schemas.openxmlformats.org/officeDocument/2006/relationships/hyperlink" Target="https://www.mudah.my/Kiulu+Agricultural+Land+Sabah-75890677.htm" TargetMode="External"/><Relationship Id="rId31" Type="http://schemas.openxmlformats.org/officeDocument/2006/relationships/hyperlink" Target="https://www.mudah.my/+HIGHLY+POTENTIAL+FREEHOLD+Agricultural+Land+Semenyih-72665360.htm" TargetMode="External"/><Relationship Id="rId4" Type="http://schemas.openxmlformats.org/officeDocument/2006/relationships/hyperlink" Target="https://www.mudah.my/Mukim+Titi+Gajah+Bandar+Anak+Bukit-80093222.htm" TargetMode="External"/><Relationship Id="rId9" Type="http://schemas.openxmlformats.org/officeDocument/2006/relationships/hyperlink" Target="https://www.mudah.my/FREEHOLD+Agricultural+Land+Nibong+Machap+Alor+Gajah+Melaka-73631676.htm" TargetMode="External"/><Relationship Id="rId14" Type="http://schemas.openxmlformats.org/officeDocument/2006/relationships/hyperlink" Target="https://www.mudah.my/Tanah+Kebun+Sanggang+Temerloh-79989811.htm?last=1" TargetMode="External"/><Relationship Id="rId22" Type="http://schemas.openxmlformats.org/officeDocument/2006/relationships/hyperlink" Target="https://www.mudah.my/8+9+Acres+Land+at+Asajaya+Kuching-80204358.htm" TargetMode="External"/><Relationship Id="rId27" Type="http://schemas.openxmlformats.org/officeDocument/2006/relationships/hyperlink" Target="https://www.mudah.my/Tanah+pertanian+untuk+dijual-79947603.htm" TargetMode="External"/><Relationship Id="rId30" Type="http://schemas.openxmlformats.org/officeDocument/2006/relationships/hyperlink" Target="https://www.mudah.my/11+acres+land+at+Semenyih-8034487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:C2"/>
    </sheetView>
  </sheetViews>
  <sheetFormatPr defaultColWidth="11.23046875" defaultRowHeight="15" customHeight="1" x14ac:dyDescent="0.35"/>
  <cols>
    <col min="1" max="1" width="5" customWidth="1"/>
    <col min="2" max="2" width="44.3046875" customWidth="1"/>
    <col min="3" max="3" width="36.765625" customWidth="1"/>
    <col min="4" max="4" width="12.07421875" customWidth="1"/>
    <col min="5" max="26" width="10.53515625" customWidth="1"/>
  </cols>
  <sheetData>
    <row r="1" spans="1:3" ht="15.75" customHeight="1" x14ac:dyDescent="0.35">
      <c r="A1" s="1" t="s">
        <v>1</v>
      </c>
      <c r="B1" s="3" t="s">
        <v>5</v>
      </c>
      <c r="C1" s="3" t="s">
        <v>7</v>
      </c>
    </row>
    <row r="2" spans="1:3" ht="15.75" customHeight="1" x14ac:dyDescent="0.35">
      <c r="A2" s="252" t="s">
        <v>8</v>
      </c>
      <c r="B2" s="253"/>
      <c r="C2" s="254"/>
    </row>
    <row r="3" spans="1:3" ht="15.75" customHeight="1" x14ac:dyDescent="0.35">
      <c r="A3" s="4">
        <v>1</v>
      </c>
      <c r="B3" s="5" t="s">
        <v>10</v>
      </c>
      <c r="C3" s="6">
        <f>'Cost Calculation'!AB24</f>
        <v>40837367.411892198</v>
      </c>
    </row>
    <row r="4" spans="1:3" ht="15.75" customHeight="1" x14ac:dyDescent="0.35">
      <c r="A4" s="4">
        <v>2</v>
      </c>
      <c r="B4" s="5" t="s">
        <v>17</v>
      </c>
      <c r="C4" s="7">
        <f>SUM('Cost Calculation'!AB:AB)</f>
        <v>81674734.823784396</v>
      </c>
    </row>
    <row r="5" spans="1:3" ht="15.75" customHeight="1" x14ac:dyDescent="0.35">
      <c r="A5" s="252" t="s">
        <v>9</v>
      </c>
      <c r="B5" s="253"/>
      <c r="C5" s="254"/>
    </row>
    <row r="6" spans="1:3" ht="15.75" customHeight="1" x14ac:dyDescent="0.35">
      <c r="A6" s="4">
        <v>1</v>
      </c>
      <c r="B6" s="2" t="s">
        <v>20</v>
      </c>
      <c r="C6" s="7">
        <f>'Cost Calculation'!S244+'Cost Calculation'!Q244</f>
        <v>671292302.86164284</v>
      </c>
    </row>
    <row r="7" spans="1:3" ht="15.75" customHeight="1" x14ac:dyDescent="0.35">
      <c r="A7" s="4">
        <v>2</v>
      </c>
      <c r="B7" s="2" t="s">
        <v>21</v>
      </c>
      <c r="C7" s="7">
        <f>'Cost Calculation'!U244</f>
        <v>246619120.93043777</v>
      </c>
    </row>
    <row r="8" spans="1:3" ht="15.75" customHeight="1" x14ac:dyDescent="0.35">
      <c r="A8" s="250" t="s">
        <v>24</v>
      </c>
      <c r="B8" s="251"/>
      <c r="C8" s="8">
        <f>SUM(C3:C4,C6:C7)</f>
        <v>1040423526.0277572</v>
      </c>
    </row>
    <row r="9" spans="1:3" ht="15.75" customHeight="1" x14ac:dyDescent="0.35"/>
    <row r="10" spans="1:3" ht="15.75" customHeight="1" x14ac:dyDescent="0.35"/>
    <row r="11" spans="1:3" ht="15.75" customHeight="1" x14ac:dyDescent="0.35"/>
    <row r="12" spans="1:3" ht="15.75" customHeight="1" x14ac:dyDescent="0.35"/>
    <row r="13" spans="1:3" ht="15.75" customHeight="1" x14ac:dyDescent="0.35"/>
    <row r="14" spans="1:3" ht="15.75" customHeight="1" x14ac:dyDescent="0.35"/>
    <row r="15" spans="1:3" ht="15.75" customHeight="1" x14ac:dyDescent="0.35"/>
    <row r="16" spans="1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8:B8"/>
    <mergeCell ref="A2:C2"/>
    <mergeCell ref="A5:C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F1001"/>
  <sheetViews>
    <sheetView tabSelected="1" zoomScale="70" zoomScaleNormal="70" workbookViewId="0">
      <pane xSplit="1" topLeftCell="B1" activePane="topRight" state="frozen"/>
      <selection pane="topRight" activeCell="E3" sqref="E3"/>
    </sheetView>
  </sheetViews>
  <sheetFormatPr defaultColWidth="11.23046875" defaultRowHeight="15" customHeight="1" x14ac:dyDescent="0.35"/>
  <cols>
    <col min="1" max="1" width="2.921875" style="13" customWidth="1"/>
    <col min="2" max="2" width="13.3046875" style="13" bestFit="1" customWidth="1"/>
    <col min="3" max="3" width="5.07421875" style="13" customWidth="1"/>
    <col min="4" max="4" width="12.69140625" style="13" customWidth="1"/>
    <col min="5" max="5" width="9.69140625" style="138" bestFit="1" customWidth="1"/>
    <col min="6" max="6" width="8.53515625" style="13" bestFit="1" customWidth="1"/>
    <col min="7" max="7" width="7.69140625" style="13" bestFit="1" customWidth="1"/>
    <col min="8" max="8" width="6.3828125" style="13" customWidth="1"/>
    <col min="9" max="9" width="17.4609375" style="139" customWidth="1"/>
    <col min="10" max="10" width="16.84375" style="44" bestFit="1" customWidth="1"/>
    <col min="11" max="11" width="14" style="44" customWidth="1"/>
    <col min="12" max="12" width="13.765625" style="219" customWidth="1"/>
    <col min="13" max="13" width="14.765625" style="137" customWidth="1"/>
    <col min="14" max="14" width="23.3046875" style="135" customWidth="1"/>
    <col min="15" max="15" width="5.3046875" style="32" customWidth="1"/>
    <col min="16" max="16" width="10.53515625" style="44" customWidth="1"/>
    <col min="17" max="17" width="18.3046875" style="176" bestFit="1" customWidth="1"/>
    <col min="18" max="18" width="15" style="173" customWidth="1"/>
    <col min="19" max="19" width="15" style="176" customWidth="1"/>
    <col min="20" max="20" width="15" style="137" customWidth="1"/>
    <col min="21" max="21" width="17" style="178" bestFit="1" customWidth="1"/>
    <col min="22" max="22" width="8.69140625" style="13" customWidth="1"/>
    <col min="23" max="23" width="13.61328125" style="44" bestFit="1" customWidth="1"/>
    <col min="24" max="24" width="22" style="44" customWidth="1"/>
    <col min="25" max="25" width="14.4609375" style="44" customWidth="1"/>
    <col min="26" max="26" width="19.69140625" style="44" customWidth="1"/>
    <col min="27" max="27" width="12" style="137" bestFit="1" customWidth="1"/>
    <col min="28" max="28" width="19" style="265" bestFit="1" customWidth="1"/>
    <col min="29" max="32" width="10.53515625" style="13" customWidth="1"/>
    <col min="33" max="16384" width="11.23046875" style="13"/>
  </cols>
  <sheetData>
    <row r="1" spans="1:32" ht="15.5" customHeight="1" x14ac:dyDescent="0.35">
      <c r="A1" s="9"/>
      <c r="B1" s="9"/>
      <c r="C1" s="9"/>
      <c r="D1" s="14" t="s">
        <v>6</v>
      </c>
      <c r="E1" s="96"/>
      <c r="F1" s="40"/>
      <c r="H1" s="41"/>
      <c r="I1" s="255" t="s">
        <v>69</v>
      </c>
      <c r="J1" s="255"/>
      <c r="K1" s="255"/>
      <c r="L1" s="255"/>
      <c r="M1" s="255"/>
      <c r="N1" s="255"/>
      <c r="O1" s="122"/>
      <c r="P1" s="255" t="s">
        <v>70</v>
      </c>
      <c r="Q1" s="255"/>
      <c r="R1" s="255"/>
      <c r="S1" s="255"/>
      <c r="T1" s="255"/>
      <c r="U1" s="255"/>
      <c r="W1" s="255" t="s">
        <v>71</v>
      </c>
      <c r="X1" s="255"/>
      <c r="Y1" s="255"/>
      <c r="Z1" s="255"/>
      <c r="AA1" s="255"/>
      <c r="AB1" s="255"/>
    </row>
    <row r="2" spans="1:32" ht="15.5" customHeight="1" x14ac:dyDescent="0.35">
      <c r="A2" s="9"/>
      <c r="B2" s="9"/>
      <c r="C2" s="9"/>
      <c r="D2" s="40"/>
      <c r="E2" s="96"/>
      <c r="F2" s="40"/>
      <c r="G2" s="9"/>
      <c r="H2" s="41"/>
      <c r="I2" s="256" t="s">
        <v>72</v>
      </c>
      <c r="J2" s="256"/>
      <c r="K2" s="256"/>
      <c r="L2" s="256"/>
      <c r="M2" s="257" t="s">
        <v>73</v>
      </c>
      <c r="N2" s="257"/>
      <c r="O2" s="123"/>
      <c r="P2" s="259" t="s">
        <v>165</v>
      </c>
      <c r="Q2" s="259"/>
      <c r="R2" s="259"/>
      <c r="S2" s="259"/>
      <c r="T2" s="258" t="s">
        <v>166</v>
      </c>
      <c r="U2" s="258"/>
      <c r="W2" s="259" t="s">
        <v>74</v>
      </c>
      <c r="X2" s="259"/>
      <c r="Y2" s="259"/>
      <c r="Z2" s="259"/>
      <c r="AA2" s="258" t="s">
        <v>75</v>
      </c>
      <c r="AB2" s="258"/>
    </row>
    <row r="3" spans="1:32" ht="87" x14ac:dyDescent="0.35">
      <c r="A3" s="10" t="s">
        <v>11</v>
      </c>
      <c r="B3" s="10" t="s">
        <v>12</v>
      </c>
      <c r="C3" s="10" t="s">
        <v>2</v>
      </c>
      <c r="D3" s="15" t="s">
        <v>13</v>
      </c>
      <c r="E3" s="97" t="s">
        <v>132</v>
      </c>
      <c r="F3" s="15" t="s">
        <v>134</v>
      </c>
      <c r="G3" s="124" t="s">
        <v>76</v>
      </c>
      <c r="H3" s="15"/>
      <c r="I3" s="125" t="s">
        <v>16</v>
      </c>
      <c r="J3" s="126" t="s">
        <v>77</v>
      </c>
      <c r="K3" s="127" t="s">
        <v>78</v>
      </c>
      <c r="L3" s="126" t="s">
        <v>15</v>
      </c>
      <c r="M3" s="128" t="s">
        <v>79</v>
      </c>
      <c r="N3" s="129" t="s">
        <v>80</v>
      </c>
      <c r="O3" s="130"/>
      <c r="P3" s="133" t="s">
        <v>63</v>
      </c>
      <c r="Q3" s="174" t="s">
        <v>167</v>
      </c>
      <c r="R3" s="168" t="s">
        <v>131</v>
      </c>
      <c r="S3" s="131" t="s">
        <v>64</v>
      </c>
      <c r="T3" s="128" t="s">
        <v>81</v>
      </c>
      <c r="U3" s="132" t="s">
        <v>164</v>
      </c>
      <c r="V3" s="15"/>
      <c r="W3" s="133" t="s">
        <v>82</v>
      </c>
      <c r="X3" s="133" t="s">
        <v>223</v>
      </c>
      <c r="Y3" s="134" t="s">
        <v>18</v>
      </c>
      <c r="Z3" s="133" t="s">
        <v>19</v>
      </c>
      <c r="AA3" s="128" t="s">
        <v>83</v>
      </c>
      <c r="AB3" s="263" t="s">
        <v>84</v>
      </c>
      <c r="AC3" s="15"/>
      <c r="AD3" s="15"/>
      <c r="AE3" s="15"/>
      <c r="AF3" s="15"/>
    </row>
    <row r="4" spans="1:32" ht="15.75" customHeight="1" x14ac:dyDescent="0.35">
      <c r="A4" s="11">
        <v>1</v>
      </c>
      <c r="B4" s="12" t="s">
        <v>23</v>
      </c>
      <c r="C4" s="13">
        <v>2019</v>
      </c>
      <c r="D4" s="16">
        <f>Population!D2</f>
        <v>638111.04853012064</v>
      </c>
      <c r="E4" s="98">
        <f>'Household Information'!C2</f>
        <v>4.17</v>
      </c>
      <c r="F4" s="16">
        <f>D4/E4</f>
        <v>153024.23226141982</v>
      </c>
      <c r="G4" s="16" t="str">
        <f>IF(D4&lt;100000,"Small",IF(D4&lt;1000000,"Medium","Large"))</f>
        <v>Medium</v>
      </c>
      <c r="H4" s="17"/>
      <c r="I4" s="121">
        <f>Variables!$B$3*POWER(SUM(1,Variables!$B$2/100),C4-2017)</f>
        <v>31329.004327295999</v>
      </c>
      <c r="J4" s="42">
        <f>1647.41-417.73*LN(I4)+29.43*(LN(I4))^2</f>
        <v>476.96013796907846</v>
      </c>
      <c r="K4" s="43">
        <f>'Waste per capita'!F2</f>
        <v>334.56984462061013</v>
      </c>
      <c r="L4" s="219">
        <f>K4*D4/1000</f>
        <v>213492.71435741708</v>
      </c>
      <c r="M4" s="45">
        <f>1</f>
        <v>1</v>
      </c>
      <c r="N4" s="135">
        <f>L4*M4</f>
        <v>213492.71435741708</v>
      </c>
      <c r="P4" s="136">
        <f>Variables!$D$15</f>
        <v>10.755760368663594</v>
      </c>
      <c r="Q4" s="175">
        <f>P4*N4</f>
        <v>2296276.4760839236</v>
      </c>
      <c r="R4" s="172">
        <f>Variables!$D$14</f>
        <v>5.2703140174813869</v>
      </c>
      <c r="S4" s="175">
        <f>R4*F4</f>
        <v>806485.75630168838</v>
      </c>
      <c r="T4" s="217">
        <f>Variables!$D$18</f>
        <v>5.032</v>
      </c>
      <c r="U4" s="177">
        <f>T4*N4</f>
        <v>1074295.3386465227</v>
      </c>
      <c r="W4" s="43">
        <f>SUM(N4,N24,N44,N64,N84,N104,N124,N144,N164,N184,N204,N224)</f>
        <v>2984838.1492922604</v>
      </c>
      <c r="X4" s="43">
        <f>W4/Variables!$B$5</f>
        <v>18.655238433076626</v>
      </c>
      <c r="Y4" s="218">
        <f>'Existing landfills'!D2</f>
        <v>8.06</v>
      </c>
      <c r="Z4" s="43">
        <f>IF(X4-Y4&lt;0,0,X4-Y4)</f>
        <v>10.595238433076625</v>
      </c>
      <c r="AA4" s="226">
        <f>VLOOKUP(A4,'Land costs'!$A$2:$E$36,5,FALSE)</f>
        <v>106778.12728370349</v>
      </c>
      <c r="AB4" s="264">
        <f>Z4*AA4</f>
        <v>1131339.718008243</v>
      </c>
    </row>
    <row r="5" spans="1:32" ht="15.75" customHeight="1" x14ac:dyDescent="0.35">
      <c r="A5" s="11">
        <v>2</v>
      </c>
      <c r="B5" s="12" t="s">
        <v>26</v>
      </c>
      <c r="C5" s="13">
        <v>2019</v>
      </c>
      <c r="D5" s="16">
        <f>Population!D3</f>
        <v>442162.47147179494</v>
      </c>
      <c r="E5" s="98">
        <f>'Household Information'!C3</f>
        <v>4.29</v>
      </c>
      <c r="F5" s="16">
        <f t="shared" ref="F5:F68" si="0">D5/E5</f>
        <v>103068.17516825057</v>
      </c>
      <c r="G5" s="16" t="str">
        <f t="shared" ref="G5:G68" si="1">IF(D5&lt;100000,"Small",IF(D5&lt;1000000,"Medium","Large"))</f>
        <v>Medium</v>
      </c>
      <c r="H5" s="17"/>
      <c r="I5" s="121">
        <f>Variables!$B$3*POWER(SUM(1,Variables!$B$2/100),C5-2017)</f>
        <v>31329.004327295999</v>
      </c>
      <c r="J5" s="42">
        <f t="shared" ref="J5:J68" si="2">1647.41-417.73*LN(I5)+29.43*(LN(I5))^2</f>
        <v>476.96013796907846</v>
      </c>
      <c r="K5" s="43">
        <f>'Waste per capita'!F3</f>
        <v>334.56984462061013</v>
      </c>
      <c r="L5" s="219">
        <f t="shared" ref="L5:L68" si="3">K5*D5/1000</f>
        <v>147934.2293773834</v>
      </c>
      <c r="M5" s="45">
        <f>1</f>
        <v>1</v>
      </c>
      <c r="N5" s="135">
        <f t="shared" ref="N5:N68" si="4">L5*M5</f>
        <v>147934.2293773834</v>
      </c>
      <c r="P5" s="136">
        <f>Variables!$D$15</f>
        <v>10.755760368663594</v>
      </c>
      <c r="Q5" s="175">
        <f t="shared" ref="Q5:Q68" si="5">P5*N5</f>
        <v>1591145.12150605</v>
      </c>
      <c r="R5" s="172">
        <f>Variables!$D$14</f>
        <v>5.2703140174813869</v>
      </c>
      <c r="S5" s="175">
        <f t="shared" ref="S5:S68" si="6">R5*F5</f>
        <v>543201.64834545797</v>
      </c>
      <c r="T5" s="217">
        <f>Variables!$D$18</f>
        <v>5.032</v>
      </c>
      <c r="U5" s="177">
        <f t="shared" ref="U5:U68" si="7">T5*N5</f>
        <v>744405.04222699325</v>
      </c>
      <c r="W5" s="43">
        <f t="shared" ref="W5:W23" si="8">SUM(N5,N25,N45,N65,N85,N105,N125,N145,N165,N185,N205,N225)</f>
        <v>2068266.0425242067</v>
      </c>
      <c r="X5" s="43">
        <f>W5/Variables!$B$5</f>
        <v>12.926662765776292</v>
      </c>
      <c r="Y5" s="218">
        <f>'Existing landfills'!D3</f>
        <v>26</v>
      </c>
      <c r="Z5" s="43">
        <f>IF(X5-Y5&lt;0,0,X5-Y5)</f>
        <v>0</v>
      </c>
      <c r="AA5" s="226">
        <f>VLOOKUP(A5,'Land costs'!$A$2:$E$36,5,FALSE)</f>
        <v>203415.9831200029</v>
      </c>
      <c r="AB5" s="264">
        <f t="shared" ref="AB5:AB23" si="9">Z5*AA5</f>
        <v>0</v>
      </c>
    </row>
    <row r="6" spans="1:32" ht="15.75" customHeight="1" x14ac:dyDescent="0.35">
      <c r="A6" s="11">
        <v>3</v>
      </c>
      <c r="B6" s="12" t="s">
        <v>28</v>
      </c>
      <c r="C6" s="13">
        <v>2019</v>
      </c>
      <c r="D6" s="16">
        <f>Population!D4</f>
        <v>316636.58942829666</v>
      </c>
      <c r="E6" s="98">
        <f>'Household Information'!C4</f>
        <v>4.8600000000000003</v>
      </c>
      <c r="F6" s="16">
        <f t="shared" si="0"/>
        <v>65151.561610760626</v>
      </c>
      <c r="G6" s="16" t="str">
        <f t="shared" si="1"/>
        <v>Medium</v>
      </c>
      <c r="H6" s="17"/>
      <c r="I6" s="121">
        <f>Variables!$B$3*POWER(SUM(1,Variables!$B$2/100),C6-2017)</f>
        <v>31329.004327295999</v>
      </c>
      <c r="J6" s="42">
        <f t="shared" si="2"/>
        <v>476.96013796907846</v>
      </c>
      <c r="K6" s="43">
        <f>'Waste per capita'!F4</f>
        <v>290.96141744569019</v>
      </c>
      <c r="L6" s="219">
        <f t="shared" si="3"/>
        <v>92129.03087522625</v>
      </c>
      <c r="M6" s="45">
        <f>1</f>
        <v>1</v>
      </c>
      <c r="N6" s="135">
        <f t="shared" si="4"/>
        <v>92129.03087522625</v>
      </c>
      <c r="P6" s="136">
        <f>Variables!$D$15</f>
        <v>10.755760368663594</v>
      </c>
      <c r="Q6" s="175">
        <f t="shared" si="5"/>
        <v>990917.77909114317</v>
      </c>
      <c r="R6" s="172">
        <f>Variables!$D$14</f>
        <v>5.2703140174813869</v>
      </c>
      <c r="S6" s="175">
        <f t="shared" si="6"/>
        <v>343369.18841799395</v>
      </c>
      <c r="T6" s="217">
        <f>Variables!$D$18</f>
        <v>5.032</v>
      </c>
      <c r="U6" s="177">
        <f t="shared" si="7"/>
        <v>463593.28336413851</v>
      </c>
      <c r="W6" s="43">
        <f t="shared" si="8"/>
        <v>1288054.4745584487</v>
      </c>
      <c r="X6" s="43">
        <f>W6/Variables!$B$5</f>
        <v>8.0503404659903044</v>
      </c>
      <c r="Y6" s="218">
        <f>'Existing landfills'!D4</f>
        <v>0</v>
      </c>
      <c r="Z6" s="43">
        <f t="shared" ref="Z6:Z23" si="10">IF(X6-Y6&lt;0,0,X6-Y6)</f>
        <v>8.0503404659903044</v>
      </c>
      <c r="AA6" s="226">
        <f>VLOOKUP(A6,'Land costs'!$A$2:$E$36,5,FALSE)</f>
        <v>85799.36580561116</v>
      </c>
      <c r="AB6" s="264">
        <f t="shared" si="9"/>
        <v>690714.1065012163</v>
      </c>
    </row>
    <row r="7" spans="1:32" ht="15.75" customHeight="1" x14ac:dyDescent="0.35">
      <c r="A7" s="11">
        <v>4</v>
      </c>
      <c r="B7" s="12" t="s">
        <v>30</v>
      </c>
      <c r="C7" s="13">
        <v>2019</v>
      </c>
      <c r="D7" s="16">
        <f>Population!D5</f>
        <v>600258.55594889156</v>
      </c>
      <c r="E7" s="98">
        <f>'Household Information'!C5</f>
        <v>4.05</v>
      </c>
      <c r="F7" s="16">
        <f t="shared" si="0"/>
        <v>148211.9891231831</v>
      </c>
      <c r="G7" s="16" t="str">
        <f t="shared" si="1"/>
        <v>Medium</v>
      </c>
      <c r="H7" s="17"/>
      <c r="I7" s="121">
        <f>Variables!$B$3*POWER(SUM(1,Variables!$B$2/100),C7-2017)</f>
        <v>31329.004327295999</v>
      </c>
      <c r="J7" s="42">
        <f t="shared" si="2"/>
        <v>476.96013796907846</v>
      </c>
      <c r="K7" s="43">
        <f>'Waste per capita'!F5</f>
        <v>273.75</v>
      </c>
      <c r="L7" s="219">
        <f t="shared" si="3"/>
        <v>164320.77969100908</v>
      </c>
      <c r="M7" s="45">
        <f>1</f>
        <v>1</v>
      </c>
      <c r="N7" s="135">
        <f t="shared" si="4"/>
        <v>164320.77969100908</v>
      </c>
      <c r="P7" s="136">
        <f>Variables!$D$15</f>
        <v>10.755760368663594</v>
      </c>
      <c r="Q7" s="175">
        <f t="shared" si="5"/>
        <v>1767394.9299484571</v>
      </c>
      <c r="R7" s="172">
        <f>Variables!$D$14</f>
        <v>5.2703140174813869</v>
      </c>
      <c r="S7" s="175">
        <f t="shared" si="6"/>
        <v>781123.72383471078</v>
      </c>
      <c r="T7" s="217">
        <f>Variables!$D$18</f>
        <v>5.032</v>
      </c>
      <c r="U7" s="177">
        <f t="shared" si="7"/>
        <v>826862.16340515774</v>
      </c>
      <c r="W7" s="43">
        <f t="shared" si="8"/>
        <v>2297366.1345747611</v>
      </c>
      <c r="X7" s="43">
        <f>W7/Variables!$B$5</f>
        <v>14.358538341092258</v>
      </c>
      <c r="Y7" s="218">
        <f>'Existing landfills'!D5</f>
        <v>0</v>
      </c>
      <c r="Z7" s="43">
        <f t="shared" si="10"/>
        <v>14.358538341092258</v>
      </c>
      <c r="AA7" s="226">
        <f>VLOOKUP(A7,'Land costs'!$A$2:$E$36,5,FALSE)</f>
        <v>174382.13184708232</v>
      </c>
      <c r="AB7" s="264">
        <f t="shared" si="9"/>
        <v>2503872.5261277365</v>
      </c>
    </row>
    <row r="8" spans="1:32" ht="15.75" customHeight="1" x14ac:dyDescent="0.35">
      <c r="A8" s="11">
        <v>5</v>
      </c>
      <c r="B8" s="12" t="s">
        <v>31</v>
      </c>
      <c r="C8" s="13">
        <v>2019</v>
      </c>
      <c r="D8" s="16">
        <f>Population!D6</f>
        <v>382457.86131710035</v>
      </c>
      <c r="E8" s="98">
        <f>'Household Information'!C6</f>
        <v>4.2</v>
      </c>
      <c r="F8" s="16">
        <f t="shared" si="0"/>
        <v>91061.395551690555</v>
      </c>
      <c r="G8" s="16" t="str">
        <f t="shared" si="1"/>
        <v>Medium</v>
      </c>
      <c r="H8" s="17"/>
      <c r="I8" s="121">
        <f>Variables!$B$3*POWER(SUM(1,Variables!$B$2/100),C8-2017)</f>
        <v>31329.004327295999</v>
      </c>
      <c r="J8" s="42">
        <f t="shared" si="2"/>
        <v>476.96013796907846</v>
      </c>
      <c r="K8" s="43">
        <f>'Waste per capita'!F6</f>
        <v>334.56984462061013</v>
      </c>
      <c r="L8" s="219">
        <f t="shared" si="3"/>
        <v>127958.86723479313</v>
      </c>
      <c r="M8" s="45">
        <f>1</f>
        <v>1</v>
      </c>
      <c r="N8" s="135">
        <f t="shared" si="4"/>
        <v>127958.86723479313</v>
      </c>
      <c r="P8" s="136">
        <f>Variables!$D$15</f>
        <v>10.755760368663594</v>
      </c>
      <c r="Q8" s="175">
        <f t="shared" si="5"/>
        <v>1376294.9130230744</v>
      </c>
      <c r="R8" s="172">
        <f>Variables!$D$14</f>
        <v>5.2703140174813869</v>
      </c>
      <c r="S8" s="175">
        <f t="shared" si="6"/>
        <v>479922.14942749194</v>
      </c>
      <c r="T8" s="217">
        <f>Variables!$D$18</f>
        <v>5.032</v>
      </c>
      <c r="U8" s="177">
        <f t="shared" si="7"/>
        <v>643889.01992547908</v>
      </c>
      <c r="W8" s="43">
        <f t="shared" si="8"/>
        <v>1788990.8309621199</v>
      </c>
      <c r="X8" s="43">
        <f>W8/Variables!$B$5</f>
        <v>11.18119269351325</v>
      </c>
      <c r="Y8" s="218">
        <f>'Existing landfills'!D6</f>
        <v>0</v>
      </c>
      <c r="Z8" s="43">
        <f t="shared" si="10"/>
        <v>11.18119269351325</v>
      </c>
      <c r="AA8" s="226">
        <f>VLOOKUP(A8,'Land costs'!$A$2:$E$36,5,FALSE)</f>
        <v>174382.13184708232</v>
      </c>
      <c r="AB8" s="264">
        <f t="shared" si="9"/>
        <v>1949800.2184878609</v>
      </c>
    </row>
    <row r="9" spans="1:32" ht="15.75" customHeight="1" x14ac:dyDescent="0.35">
      <c r="A9" s="11">
        <v>6</v>
      </c>
      <c r="B9" s="12" t="s">
        <v>32</v>
      </c>
      <c r="C9" s="13">
        <v>2019</v>
      </c>
      <c r="D9" s="16">
        <f>Population!D7</f>
        <v>435629.86188448599</v>
      </c>
      <c r="E9" s="98">
        <f>'Household Information'!C7</f>
        <v>4.59</v>
      </c>
      <c r="F9" s="16">
        <f t="shared" si="0"/>
        <v>94908.466641500214</v>
      </c>
      <c r="G9" s="16" t="str">
        <f t="shared" si="1"/>
        <v>Medium</v>
      </c>
      <c r="H9" s="17"/>
      <c r="I9" s="121">
        <f>Variables!$B$3*POWER(SUM(1,Variables!$B$2/100),C9-2017)</f>
        <v>31329.004327295999</v>
      </c>
      <c r="J9" s="42">
        <f t="shared" si="2"/>
        <v>476.96013796907846</v>
      </c>
      <c r="K9" s="43">
        <f>'Waste per capita'!F7</f>
        <v>296.55682931964577</v>
      </c>
      <c r="L9" s="219">
        <f t="shared" si="3"/>
        <v>129189.01059741837</v>
      </c>
      <c r="M9" s="45">
        <f>1</f>
        <v>1</v>
      </c>
      <c r="N9" s="135">
        <f t="shared" si="4"/>
        <v>129189.01059741837</v>
      </c>
      <c r="P9" s="136">
        <f>Variables!$D$15</f>
        <v>10.755760368663594</v>
      </c>
      <c r="Q9" s="175">
        <f t="shared" si="5"/>
        <v>1389526.0402505735</v>
      </c>
      <c r="R9" s="172">
        <f>Variables!$D$14</f>
        <v>5.2703140174813869</v>
      </c>
      <c r="S9" s="175">
        <f t="shared" si="6"/>
        <v>500197.4221183632</v>
      </c>
      <c r="T9" s="217">
        <f>Variables!$D$18</f>
        <v>5.032</v>
      </c>
      <c r="U9" s="177">
        <f t="shared" si="7"/>
        <v>650079.10132620926</v>
      </c>
      <c r="W9" s="43">
        <f t="shared" si="8"/>
        <v>1806189.4452048307</v>
      </c>
      <c r="X9" s="43">
        <f>W9/Variables!$B$5</f>
        <v>11.288684032530192</v>
      </c>
      <c r="Y9" s="218">
        <f>'Existing landfills'!D7</f>
        <v>0</v>
      </c>
      <c r="Z9" s="43">
        <f t="shared" si="10"/>
        <v>11.288684032530192</v>
      </c>
      <c r="AA9" s="226">
        <f>VLOOKUP(A9,'Land costs'!$A$2:$E$36,5,FALSE)</f>
        <v>265554.3267970442</v>
      </c>
      <c r="AB9" s="264">
        <f t="shared" si="9"/>
        <v>2997758.8886830974</v>
      </c>
    </row>
    <row r="10" spans="1:32" ht="15.75" customHeight="1" x14ac:dyDescent="0.35">
      <c r="A10" s="11">
        <v>7</v>
      </c>
      <c r="B10" s="12" t="s">
        <v>33</v>
      </c>
      <c r="C10" s="13">
        <v>2019</v>
      </c>
      <c r="D10" s="16">
        <f>Population!D8</f>
        <v>245481.03391021231</v>
      </c>
      <c r="E10" s="98">
        <f>'Household Information'!C8</f>
        <v>3.94</v>
      </c>
      <c r="F10" s="16">
        <f t="shared" si="0"/>
        <v>62304.83094167825</v>
      </c>
      <c r="G10" s="16" t="str">
        <f t="shared" si="1"/>
        <v>Medium</v>
      </c>
      <c r="H10" s="17"/>
      <c r="I10" s="121">
        <f>Variables!$B$3*POWER(SUM(1,Variables!$B$2/100),C10-2017)</f>
        <v>31329.004327295999</v>
      </c>
      <c r="J10" s="42">
        <f t="shared" si="2"/>
        <v>476.96013796907846</v>
      </c>
      <c r="K10" s="43">
        <f>'Waste per capita'!F8</f>
        <v>408.46506679875733</v>
      </c>
      <c r="L10" s="219">
        <f t="shared" si="3"/>
        <v>100270.42691396289</v>
      </c>
      <c r="M10" s="45">
        <f>1</f>
        <v>1</v>
      </c>
      <c r="N10" s="135">
        <f t="shared" si="4"/>
        <v>100270.42691396289</v>
      </c>
      <c r="P10" s="136">
        <f>Variables!$D$15</f>
        <v>10.755760368663594</v>
      </c>
      <c r="Q10" s="175">
        <f t="shared" si="5"/>
        <v>1078484.6839501814</v>
      </c>
      <c r="R10" s="172">
        <f>Variables!$D$14</f>
        <v>5.2703140174813869</v>
      </c>
      <c r="S10" s="175">
        <f t="shared" si="6"/>
        <v>328366.02386873495</v>
      </c>
      <c r="T10" s="217">
        <f>Variables!$D$18</f>
        <v>5.032</v>
      </c>
      <c r="U10" s="177">
        <f t="shared" si="7"/>
        <v>504560.78823106125</v>
      </c>
      <c r="W10" s="43">
        <f t="shared" si="8"/>
        <v>1401879.199482013</v>
      </c>
      <c r="X10" s="43">
        <f>W10/Variables!$B$5</f>
        <v>8.761744996762582</v>
      </c>
      <c r="Y10" s="218">
        <f>'Existing landfills'!D8</f>
        <v>0</v>
      </c>
      <c r="Z10" s="43">
        <f t="shared" si="10"/>
        <v>8.761744996762582</v>
      </c>
      <c r="AA10" s="226">
        <f>VLOOKUP(A10,'Land costs'!$A$2:$E$36,5,FALSE)</f>
        <v>174382.13184708232</v>
      </c>
      <c r="AB10" s="264">
        <f t="shared" si="9"/>
        <v>1527891.7712359664</v>
      </c>
    </row>
    <row r="11" spans="1:32" ht="15.75" customHeight="1" x14ac:dyDescent="0.35">
      <c r="A11" s="11">
        <v>8</v>
      </c>
      <c r="B11" s="11" t="s">
        <v>36</v>
      </c>
      <c r="C11" s="13">
        <v>2019</v>
      </c>
      <c r="D11" s="16">
        <f>Population!D9</f>
        <v>814430.84832553728</v>
      </c>
      <c r="E11" s="98">
        <f>'Household Information'!C9</f>
        <v>4.04</v>
      </c>
      <c r="F11" s="16">
        <f t="shared" si="0"/>
        <v>201591.79413998447</v>
      </c>
      <c r="G11" s="16" t="str">
        <f t="shared" si="1"/>
        <v>Medium</v>
      </c>
      <c r="H11" s="17"/>
      <c r="I11" s="121">
        <f>Variables!$B$3*POWER(SUM(1,Variables!$B$2/100),C11-2017)</f>
        <v>31329.004327295999</v>
      </c>
      <c r="J11" s="42">
        <f t="shared" si="2"/>
        <v>476.96013796907846</v>
      </c>
      <c r="K11" s="43">
        <f>'Waste per capita'!F9</f>
        <v>302.15224119360136</v>
      </c>
      <c r="L11" s="219">
        <f t="shared" si="3"/>
        <v>246082.10611876711</v>
      </c>
      <c r="M11" s="45">
        <f>1</f>
        <v>1</v>
      </c>
      <c r="N11" s="135">
        <f t="shared" si="4"/>
        <v>246082.10611876711</v>
      </c>
      <c r="P11" s="136">
        <f>Variables!$D$15</f>
        <v>10.755760368663594</v>
      </c>
      <c r="Q11" s="175">
        <f t="shared" si="5"/>
        <v>2646800.1644295044</v>
      </c>
      <c r="R11" s="172">
        <f>Variables!$D$14</f>
        <v>5.2703140174813869</v>
      </c>
      <c r="S11" s="175">
        <f t="shared" si="6"/>
        <v>1062452.0584651823</v>
      </c>
      <c r="T11" s="217">
        <f>Variables!$D$18</f>
        <v>5.032</v>
      </c>
      <c r="U11" s="177">
        <f t="shared" si="7"/>
        <v>1238285.1579896361</v>
      </c>
      <c r="W11" s="43">
        <f t="shared" si="8"/>
        <v>3440469.9027424413</v>
      </c>
      <c r="X11" s="43">
        <f>W11/Variables!$B$5</f>
        <v>21.502936892140259</v>
      </c>
      <c r="Y11" s="218">
        <f>'Existing landfills'!D9</f>
        <v>0</v>
      </c>
      <c r="Z11" s="43">
        <f t="shared" si="10"/>
        <v>21.502936892140259</v>
      </c>
      <c r="AA11" s="226">
        <f>VLOOKUP(A11,'Land costs'!$A$2:$E$36,5,FALSE)</f>
        <v>174382.13184708232</v>
      </c>
      <c r="AB11" s="264">
        <f t="shared" si="9"/>
        <v>3749727.976224693</v>
      </c>
    </row>
    <row r="12" spans="1:32" ht="15.75" customHeight="1" x14ac:dyDescent="0.35">
      <c r="A12" s="11">
        <v>9</v>
      </c>
      <c r="B12" s="12" t="s">
        <v>38</v>
      </c>
      <c r="C12" s="13">
        <v>2019</v>
      </c>
      <c r="D12" s="16">
        <f>Population!D10</f>
        <v>14303.159213903282</v>
      </c>
      <c r="E12" s="98">
        <f>'Household Information'!C10</f>
        <v>4.26</v>
      </c>
      <c r="F12" s="16">
        <f t="shared" si="0"/>
        <v>3357.5491112449022</v>
      </c>
      <c r="G12" s="16" t="str">
        <f t="shared" si="1"/>
        <v>Small</v>
      </c>
      <c r="H12" s="17"/>
      <c r="I12" s="121">
        <f>Variables!$B$3*POWER(SUM(1,Variables!$B$2/100),C12-2017)</f>
        <v>31329.004327295999</v>
      </c>
      <c r="J12" s="42">
        <f t="shared" si="2"/>
        <v>476.96013796907846</v>
      </c>
      <c r="K12" s="43">
        <f>'Waste per capita'!F10</f>
        <v>275.58149229887863</v>
      </c>
      <c r="L12" s="219">
        <f t="shared" si="3"/>
        <v>3941.6859607559222</v>
      </c>
      <c r="M12" s="45">
        <f>1</f>
        <v>1</v>
      </c>
      <c r="N12" s="135">
        <f t="shared" si="4"/>
        <v>3941.6859607559222</v>
      </c>
      <c r="P12" s="136">
        <f>Variables!$D$15</f>
        <v>10.755760368663594</v>
      </c>
      <c r="Q12" s="175">
        <f t="shared" si="5"/>
        <v>42395.829642416233</v>
      </c>
      <c r="R12" s="172">
        <f>Variables!$D$14</f>
        <v>5.2703140174813869</v>
      </c>
      <c r="S12" s="175">
        <f t="shared" si="6"/>
        <v>17695.338145376179</v>
      </c>
      <c r="T12" s="217">
        <f>Variables!$D$18</f>
        <v>5.032</v>
      </c>
      <c r="U12" s="177">
        <f t="shared" si="7"/>
        <v>19834.563754523802</v>
      </c>
      <c r="W12" s="43">
        <f t="shared" si="8"/>
        <v>55108.646979386947</v>
      </c>
      <c r="X12" s="43">
        <f>W12/Variables!$B$5</f>
        <v>0.34442904362116844</v>
      </c>
      <c r="Y12" s="218">
        <f>'Existing landfills'!D10</f>
        <v>26</v>
      </c>
      <c r="Z12" s="43">
        <f t="shared" si="10"/>
        <v>0</v>
      </c>
      <c r="AA12" s="226">
        <f>VLOOKUP(A12,'Land costs'!$A$2:$E$36,5,FALSE)</f>
        <v>174382.13184708232</v>
      </c>
      <c r="AB12" s="264">
        <f t="shared" si="9"/>
        <v>0</v>
      </c>
    </row>
    <row r="13" spans="1:32" ht="15.75" customHeight="1" x14ac:dyDescent="0.35">
      <c r="A13" s="11">
        <v>10</v>
      </c>
      <c r="B13" s="12" t="s">
        <v>40</v>
      </c>
      <c r="C13" s="13">
        <v>2019</v>
      </c>
      <c r="D13" s="16">
        <f>Population!D11</f>
        <v>559620.69827927032</v>
      </c>
      <c r="E13" s="98">
        <f>'Household Information'!C11</f>
        <v>5.88</v>
      </c>
      <c r="F13" s="16">
        <f t="shared" si="0"/>
        <v>95173.588142733046</v>
      </c>
      <c r="G13" s="16" t="str">
        <f t="shared" si="1"/>
        <v>Medium</v>
      </c>
      <c r="H13" s="17"/>
      <c r="I13" s="121">
        <f>Variables!$B$3*POWER(SUM(1,Variables!$B$2/100),C13-2017)</f>
        <v>31329.004327295999</v>
      </c>
      <c r="J13" s="42">
        <f t="shared" si="2"/>
        <v>476.96013796907846</v>
      </c>
      <c r="K13" s="43">
        <f>'Waste per capita'!F11</f>
        <v>334.56984462061013</v>
      </c>
      <c r="L13" s="219">
        <f t="shared" si="3"/>
        <v>187232.21006977282</v>
      </c>
      <c r="M13" s="45">
        <f>1</f>
        <v>1</v>
      </c>
      <c r="N13" s="135">
        <f t="shared" si="4"/>
        <v>187232.21006977282</v>
      </c>
      <c r="P13" s="136">
        <f>Variables!$D$15</f>
        <v>10.755760368663594</v>
      </c>
      <c r="Q13" s="175">
        <f t="shared" si="5"/>
        <v>2013824.7848057591</v>
      </c>
      <c r="R13" s="172">
        <f>Variables!$D$14</f>
        <v>5.2703140174813869</v>
      </c>
      <c r="S13" s="175">
        <f t="shared" si="6"/>
        <v>501594.6956826463</v>
      </c>
      <c r="T13" s="217">
        <f>Variables!$D$18</f>
        <v>5.032</v>
      </c>
      <c r="U13" s="177">
        <f t="shared" si="7"/>
        <v>942152.48107109684</v>
      </c>
      <c r="W13" s="43">
        <f t="shared" si="8"/>
        <v>2617690.4681484979</v>
      </c>
      <c r="X13" s="43">
        <f>W13/Variables!$B$5</f>
        <v>16.360565425928112</v>
      </c>
      <c r="Y13" s="218">
        <f>'Existing landfills'!D11</f>
        <v>0</v>
      </c>
      <c r="Z13" s="43">
        <f t="shared" si="10"/>
        <v>16.360565425928112</v>
      </c>
      <c r="AA13" s="226">
        <f>VLOOKUP(A13,'Land costs'!$A$2:$E$36,5,FALSE)</f>
        <v>29718.720789904695</v>
      </c>
      <c r="AB13" s="264">
        <f t="shared" si="9"/>
        <v>486215.07585812575</v>
      </c>
    </row>
    <row r="14" spans="1:32" ht="15.75" customHeight="1" x14ac:dyDescent="0.35">
      <c r="A14" s="11">
        <v>11</v>
      </c>
      <c r="B14" s="12" t="s">
        <v>42</v>
      </c>
      <c r="C14" s="13">
        <v>2019</v>
      </c>
      <c r="D14" s="16">
        <f>Population!D12</f>
        <v>741051.95249689638</v>
      </c>
      <c r="E14" s="98">
        <f>'Household Information'!C12</f>
        <v>4.47</v>
      </c>
      <c r="F14" s="16">
        <f t="shared" si="0"/>
        <v>165783.43456306407</v>
      </c>
      <c r="G14" s="16" t="str">
        <f t="shared" si="1"/>
        <v>Medium</v>
      </c>
      <c r="H14" s="17"/>
      <c r="I14" s="121">
        <f>Variables!$B$3*POWER(SUM(1,Variables!$B$2/100),C14-2017)</f>
        <v>31329.004327295999</v>
      </c>
      <c r="J14" s="42">
        <f t="shared" si="2"/>
        <v>476.96013796907846</v>
      </c>
      <c r="K14" s="43">
        <f>'Waste per capita'!F12</f>
        <v>433.70202066708765</v>
      </c>
      <c r="L14" s="219">
        <f t="shared" si="3"/>
        <v>321395.7292171946</v>
      </c>
      <c r="M14" s="45">
        <f>1</f>
        <v>1</v>
      </c>
      <c r="N14" s="135">
        <f t="shared" si="4"/>
        <v>321395.7292171946</v>
      </c>
      <c r="P14" s="136">
        <f>Variables!$D$15</f>
        <v>10.755760368663594</v>
      </c>
      <c r="Q14" s="175">
        <f t="shared" si="5"/>
        <v>3456855.4469720377</v>
      </c>
      <c r="R14" s="172">
        <f>Variables!$D$14</f>
        <v>5.2703140174813869</v>
      </c>
      <c r="S14" s="175">
        <f t="shared" si="6"/>
        <v>873730.75904392486</v>
      </c>
      <c r="T14" s="217">
        <f>Variables!$D$18</f>
        <v>5.032</v>
      </c>
      <c r="U14" s="177">
        <f t="shared" si="7"/>
        <v>1617263.3094209232</v>
      </c>
      <c r="W14" s="43">
        <f t="shared" si="8"/>
        <v>4493428.4360685945</v>
      </c>
      <c r="X14" s="43">
        <f>W14/Variables!$B$5</f>
        <v>28.083927725428715</v>
      </c>
      <c r="Y14" s="218">
        <f>'Existing landfills'!D12</f>
        <v>96.225562499999995</v>
      </c>
      <c r="Z14" s="43">
        <f t="shared" si="10"/>
        <v>0</v>
      </c>
      <c r="AA14" s="226">
        <f>VLOOKUP(A14,'Land costs'!$A$2:$E$36,5,FALSE)</f>
        <v>118921.07651317226</v>
      </c>
      <c r="AB14" s="264">
        <f t="shared" si="9"/>
        <v>0</v>
      </c>
    </row>
    <row r="15" spans="1:32" ht="15.75" customHeight="1" x14ac:dyDescent="0.35">
      <c r="A15" s="11">
        <v>12</v>
      </c>
      <c r="B15" s="12" t="s">
        <v>44</v>
      </c>
      <c r="C15" s="13">
        <v>2019</v>
      </c>
      <c r="D15" s="16">
        <f>Population!D13</f>
        <v>548682.26009214472</v>
      </c>
      <c r="E15" s="98">
        <f>'Household Information'!C13</f>
        <v>3.93</v>
      </c>
      <c r="F15" s="16">
        <f t="shared" si="0"/>
        <v>139613.80663922257</v>
      </c>
      <c r="G15" s="16" t="str">
        <f t="shared" si="1"/>
        <v>Medium</v>
      </c>
      <c r="H15" s="17"/>
      <c r="I15" s="121">
        <f>Variables!$B$3*POWER(SUM(1,Variables!$B$2/100),C15-2017)</f>
        <v>31329.004327295999</v>
      </c>
      <c r="J15" s="42">
        <f t="shared" si="2"/>
        <v>476.96013796907846</v>
      </c>
      <c r="K15" s="43">
        <f>'Waste per capita'!F13</f>
        <v>275.58149229887863</v>
      </c>
      <c r="L15" s="219">
        <f t="shared" si="3"/>
        <v>151206.6760341147</v>
      </c>
      <c r="M15" s="45">
        <f>1</f>
        <v>1</v>
      </c>
      <c r="N15" s="135">
        <f t="shared" si="4"/>
        <v>151206.6760341147</v>
      </c>
      <c r="P15" s="136">
        <f>Variables!$D$15</f>
        <v>10.755760368663594</v>
      </c>
      <c r="Q15" s="175">
        <f t="shared" si="5"/>
        <v>1626342.7735650863</v>
      </c>
      <c r="R15" s="172">
        <f>Variables!$D$14</f>
        <v>5.2703140174813869</v>
      </c>
      <c r="S15" s="175">
        <f t="shared" si="6"/>
        <v>735808.60216463066</v>
      </c>
      <c r="T15" s="217">
        <f>Variables!$D$18</f>
        <v>5.032</v>
      </c>
      <c r="U15" s="177">
        <f t="shared" si="7"/>
        <v>760871.99380366516</v>
      </c>
      <c r="W15" s="43">
        <f t="shared" si="8"/>
        <v>2114018.0657346239</v>
      </c>
      <c r="X15" s="43">
        <f>W15/Variables!$B$5</f>
        <v>13.212612910841399</v>
      </c>
      <c r="Y15" s="218">
        <f>'Existing landfills'!D13</f>
        <v>4.2</v>
      </c>
      <c r="Z15" s="43">
        <f t="shared" si="10"/>
        <v>9.0126129108413977</v>
      </c>
      <c r="AA15" s="226">
        <f>VLOOKUP(A15,'Land costs'!$A$2:$E$36,5,FALSE)</f>
        <v>174382.13184708232</v>
      </c>
      <c r="AB15" s="264">
        <f t="shared" si="9"/>
        <v>1571638.6529050609</v>
      </c>
    </row>
    <row r="16" spans="1:32" ht="15.75" customHeight="1" x14ac:dyDescent="0.35">
      <c r="A16" s="11">
        <v>13</v>
      </c>
      <c r="B16" s="12" t="s">
        <v>45</v>
      </c>
      <c r="C16" s="13">
        <v>2019</v>
      </c>
      <c r="D16" s="16">
        <f>Population!D14</f>
        <v>417870.37408089789</v>
      </c>
      <c r="E16" s="98">
        <f>'Household Information'!C14</f>
        <v>4.78</v>
      </c>
      <c r="F16" s="16">
        <f t="shared" si="0"/>
        <v>87420.580351652272</v>
      </c>
      <c r="G16" s="16" t="str">
        <f t="shared" si="1"/>
        <v>Medium</v>
      </c>
      <c r="H16" s="17"/>
      <c r="I16" s="121">
        <f>Variables!$B$3*POWER(SUM(1,Variables!$B$2/100),C16-2017)</f>
        <v>31329.004327295999</v>
      </c>
      <c r="J16" s="42">
        <f t="shared" si="2"/>
        <v>476.96013796907846</v>
      </c>
      <c r="K16" s="43">
        <f>'Waste per capita'!F14</f>
        <v>334.56984462061013</v>
      </c>
      <c r="L16" s="219">
        <f t="shared" si="3"/>
        <v>139806.82612780223</v>
      </c>
      <c r="M16" s="45">
        <f>1</f>
        <v>1</v>
      </c>
      <c r="N16" s="135">
        <f t="shared" si="4"/>
        <v>139806.82612780223</v>
      </c>
      <c r="P16" s="136">
        <f>Variables!$D$15</f>
        <v>10.755760368663594</v>
      </c>
      <c r="Q16" s="175">
        <f t="shared" si="5"/>
        <v>1503728.7197340571</v>
      </c>
      <c r="R16" s="172">
        <f>Variables!$D$14</f>
        <v>5.2703140174813869</v>
      </c>
      <c r="S16" s="175">
        <f t="shared" si="6"/>
        <v>460733.91004367091</v>
      </c>
      <c r="T16" s="217">
        <f>Variables!$D$18</f>
        <v>5.032</v>
      </c>
      <c r="U16" s="177">
        <f t="shared" si="7"/>
        <v>703507.94907510083</v>
      </c>
      <c r="W16" s="43">
        <f t="shared" si="8"/>
        <v>1954636.950557074</v>
      </c>
      <c r="X16" s="43">
        <f>W16/Variables!$B$5</f>
        <v>12.216480940981713</v>
      </c>
      <c r="Y16" s="218">
        <f>'Existing landfills'!D14</f>
        <v>0</v>
      </c>
      <c r="Z16" s="43">
        <f t="shared" si="10"/>
        <v>12.216480940981713</v>
      </c>
      <c r="AA16" s="226">
        <f>VLOOKUP(A16,'Land costs'!$A$2:$E$36,5,FALSE)</f>
        <v>174382.13184708232</v>
      </c>
      <c r="AB16" s="264">
        <f t="shared" si="9"/>
        <v>2130335.9901576415</v>
      </c>
    </row>
    <row r="17" spans="1:28" ht="15.75" customHeight="1" x14ac:dyDescent="0.35">
      <c r="A17" s="11">
        <v>14</v>
      </c>
      <c r="B17" s="12" t="s">
        <v>46</v>
      </c>
      <c r="C17" s="13">
        <v>2019</v>
      </c>
      <c r="D17" s="16">
        <f>Population!D15</f>
        <v>1966777.2374146476</v>
      </c>
      <c r="E17" s="98">
        <f>'Household Information'!C15</f>
        <v>3.72</v>
      </c>
      <c r="F17" s="16">
        <f t="shared" si="0"/>
        <v>528703.55844479776</v>
      </c>
      <c r="G17" s="16" t="str">
        <f t="shared" si="1"/>
        <v>Large</v>
      </c>
      <c r="H17" s="17"/>
      <c r="I17" s="121">
        <f>Variables!$B$3*POWER(SUM(1,Variables!$B$2/100),C17-2017)</f>
        <v>31329.004327295999</v>
      </c>
      <c r="J17" s="42">
        <f t="shared" si="2"/>
        <v>476.96013796907846</v>
      </c>
      <c r="K17" s="43">
        <f>'Waste per capita'!F15</f>
        <v>721.8081317402698</v>
      </c>
      <c r="L17" s="219">
        <f t="shared" si="3"/>
        <v>1419635.8032875559</v>
      </c>
      <c r="M17" s="45">
        <f>1</f>
        <v>1</v>
      </c>
      <c r="N17" s="135">
        <f t="shared" si="4"/>
        <v>1419635.8032875559</v>
      </c>
      <c r="P17" s="136">
        <f>Variables!$D$15</f>
        <v>10.755760368663594</v>
      </c>
      <c r="Q17" s="175">
        <f t="shared" si="5"/>
        <v>15269262.510936201</v>
      </c>
      <c r="R17" s="172">
        <f>Variables!$D$14</f>
        <v>5.2703140174813869</v>
      </c>
      <c r="S17" s="175">
        <f t="shared" si="6"/>
        <v>2786433.7751639076</v>
      </c>
      <c r="T17" s="217">
        <f>Variables!$D$18</f>
        <v>5.032</v>
      </c>
      <c r="U17" s="177">
        <f t="shared" si="7"/>
        <v>7143607.362142981</v>
      </c>
      <c r="W17" s="43">
        <f t="shared" si="8"/>
        <v>19847904.957823902</v>
      </c>
      <c r="X17" s="43">
        <f>W17/Variables!$B$5</f>
        <v>124.04940598639939</v>
      </c>
      <c r="Y17" s="218">
        <f>'Existing landfills'!D15</f>
        <v>0</v>
      </c>
      <c r="Z17" s="43">
        <f t="shared" si="10"/>
        <v>124.04940598639939</v>
      </c>
      <c r="AA17" s="226">
        <f>VLOOKUP(A17,'Land costs'!$A$2:$E$36,5,FALSE)</f>
        <v>174382.13184708232</v>
      </c>
      <c r="AB17" s="264">
        <f t="shared" si="9"/>
        <v>21631999.87027254</v>
      </c>
    </row>
    <row r="18" spans="1:28" ht="15.75" customHeight="1" x14ac:dyDescent="0.35">
      <c r="A18" s="11">
        <v>15</v>
      </c>
      <c r="B18" s="12" t="s">
        <v>47</v>
      </c>
      <c r="C18" s="13">
        <v>2019</v>
      </c>
      <c r="D18" s="16">
        <f>Population!D16</f>
        <v>85078.667139927027</v>
      </c>
      <c r="E18" s="98">
        <f>'Household Information'!C16</f>
        <v>4.72</v>
      </c>
      <c r="F18" s="16">
        <f t="shared" si="0"/>
        <v>18025.141343204879</v>
      </c>
      <c r="G18" s="16" t="str">
        <f t="shared" si="1"/>
        <v>Small</v>
      </c>
      <c r="H18" s="17"/>
      <c r="I18" s="121">
        <f>Variables!$B$3*POWER(SUM(1,Variables!$B$2/100),C18-2017)</f>
        <v>31329.004327295999</v>
      </c>
      <c r="J18" s="42">
        <f t="shared" si="2"/>
        <v>476.96013796907846</v>
      </c>
      <c r="K18" s="43">
        <f>'Waste per capita'!F16</f>
        <v>275.58149229887863</v>
      </c>
      <c r="L18" s="219">
        <f t="shared" si="3"/>
        <v>23446.106053220661</v>
      </c>
      <c r="M18" s="45">
        <f>1</f>
        <v>1</v>
      </c>
      <c r="N18" s="135">
        <f t="shared" si="4"/>
        <v>23446.106053220661</v>
      </c>
      <c r="P18" s="136">
        <f>Variables!$D$15</f>
        <v>10.755760368663594</v>
      </c>
      <c r="Q18" s="175">
        <f t="shared" si="5"/>
        <v>252180.69828671438</v>
      </c>
      <c r="R18" s="172">
        <f>Variables!$D$14</f>
        <v>5.2703140174813869</v>
      </c>
      <c r="S18" s="175">
        <f t="shared" si="6"/>
        <v>94998.155088175947</v>
      </c>
      <c r="T18" s="217">
        <f>Variables!$D$18</f>
        <v>5.032</v>
      </c>
      <c r="U18" s="177">
        <f t="shared" si="7"/>
        <v>117980.80565980637</v>
      </c>
      <c r="W18" s="43">
        <f t="shared" si="8"/>
        <v>327799.62543754088</v>
      </c>
      <c r="X18" s="43">
        <f>W18/Variables!$B$5</f>
        <v>2.0487476589846305</v>
      </c>
      <c r="Y18" s="218">
        <f>'Existing landfills'!D16</f>
        <v>0</v>
      </c>
      <c r="Z18" s="43">
        <f t="shared" si="10"/>
        <v>2.0487476589846305</v>
      </c>
      <c r="AA18" s="226">
        <f>VLOOKUP(A18,'Land costs'!$A$2:$E$36,5,FALSE)</f>
        <v>174382.13184708232</v>
      </c>
      <c r="AB18" s="264">
        <f t="shared" si="9"/>
        <v>357264.98439045908</v>
      </c>
    </row>
    <row r="19" spans="1:28" ht="15.75" customHeight="1" x14ac:dyDescent="0.35">
      <c r="A19" s="11">
        <v>16</v>
      </c>
      <c r="B19" s="12" t="s">
        <v>48</v>
      </c>
      <c r="C19" s="13">
        <v>2019</v>
      </c>
      <c r="D19" s="16">
        <f>Population!D17</f>
        <v>84626.819025587873</v>
      </c>
      <c r="E19" s="98">
        <f>'Household Information'!C17</f>
        <v>3.45</v>
      </c>
      <c r="F19" s="16">
        <f t="shared" si="0"/>
        <v>24529.512761039961</v>
      </c>
      <c r="G19" s="16" t="str">
        <f t="shared" si="1"/>
        <v>Small</v>
      </c>
      <c r="H19" s="17"/>
      <c r="I19" s="121">
        <f>Variables!$B$3*POWER(SUM(1,Variables!$B$2/100),C19-2017)</f>
        <v>31329.004327295999</v>
      </c>
      <c r="J19" s="42">
        <f t="shared" si="2"/>
        <v>476.96013796907846</v>
      </c>
      <c r="K19" s="43">
        <f>'Waste per capita'!F17</f>
        <v>275.58149229887863</v>
      </c>
      <c r="L19" s="219">
        <f t="shared" si="3"/>
        <v>23321.585075578641</v>
      </c>
      <c r="M19" s="45">
        <f>1</f>
        <v>1</v>
      </c>
      <c r="N19" s="135">
        <f t="shared" si="4"/>
        <v>23321.585075578641</v>
      </c>
      <c r="P19" s="136">
        <f>Variables!$D$15</f>
        <v>10.755760368663594</v>
      </c>
      <c r="Q19" s="175">
        <f t="shared" si="5"/>
        <v>250841.3804903251</v>
      </c>
      <c r="R19" s="172">
        <f>Variables!$D$14</f>
        <v>5.2703140174813869</v>
      </c>
      <c r="S19" s="175">
        <f t="shared" si="6"/>
        <v>129278.23494649747</v>
      </c>
      <c r="T19" s="217">
        <f>Variables!$D$18</f>
        <v>5.032</v>
      </c>
      <c r="U19" s="177">
        <f t="shared" si="7"/>
        <v>117354.21610031172</v>
      </c>
      <c r="W19" s="43">
        <f t="shared" si="8"/>
        <v>326058.6996847734</v>
      </c>
      <c r="X19" s="43">
        <f>W19/Variables!$B$5</f>
        <v>2.0378668730298339</v>
      </c>
      <c r="Y19" s="218">
        <f>'Existing landfills'!D17</f>
        <v>5.25</v>
      </c>
      <c r="Z19" s="43">
        <f t="shared" si="10"/>
        <v>0</v>
      </c>
      <c r="AA19" s="226">
        <f>VLOOKUP(A19,'Land costs'!$A$2:$E$36,5,FALSE)</f>
        <v>174382.13184708232</v>
      </c>
      <c r="AB19" s="264">
        <f t="shared" si="9"/>
        <v>0</v>
      </c>
    </row>
    <row r="20" spans="1:28" ht="15.75" customHeight="1" x14ac:dyDescent="0.35">
      <c r="A20" s="11">
        <v>17</v>
      </c>
      <c r="B20" s="13" t="s">
        <v>49</v>
      </c>
      <c r="C20" s="13">
        <v>2019</v>
      </c>
      <c r="D20" s="16">
        <f>Population!D18</f>
        <v>21236.861373940697</v>
      </c>
      <c r="E20" s="98">
        <f>'Household Information'!C18</f>
        <v>4.78</v>
      </c>
      <c r="F20" s="16">
        <f t="shared" si="0"/>
        <v>4442.8580280210663</v>
      </c>
      <c r="G20" s="16" t="str">
        <f t="shared" si="1"/>
        <v>Small</v>
      </c>
      <c r="H20" s="17"/>
      <c r="I20" s="121">
        <f>Variables!$B$3*POWER(SUM(1,Variables!$B$2/100),C20-2017)</f>
        <v>31329.004327295999</v>
      </c>
      <c r="J20" s="42">
        <f t="shared" si="2"/>
        <v>476.96013796907846</v>
      </c>
      <c r="K20" s="43">
        <f>'Waste per capita'!F18</f>
        <v>275.58149229887863</v>
      </c>
      <c r="L20" s="219">
        <f t="shared" si="3"/>
        <v>5852.4859491749912</v>
      </c>
      <c r="M20" s="45">
        <f>1</f>
        <v>1</v>
      </c>
      <c r="N20" s="135">
        <f t="shared" si="4"/>
        <v>5852.4859491749912</v>
      </c>
      <c r="P20" s="136">
        <f>Variables!$D$15</f>
        <v>10.755760368663594</v>
      </c>
      <c r="Q20" s="175">
        <f t="shared" si="5"/>
        <v>62947.936430296912</v>
      </c>
      <c r="R20" s="172">
        <f>Variables!$D$14</f>
        <v>5.2703140174813869</v>
      </c>
      <c r="S20" s="175">
        <f t="shared" si="6"/>
        <v>23415.256942759137</v>
      </c>
      <c r="T20" s="217">
        <f>Variables!$D$18</f>
        <v>5.032</v>
      </c>
      <c r="U20" s="177">
        <f t="shared" si="7"/>
        <v>29449.709296248555</v>
      </c>
      <c r="W20" s="43">
        <f t="shared" si="8"/>
        <v>81823.510380074717</v>
      </c>
      <c r="X20" s="43">
        <f>W20/Variables!$B$5</f>
        <v>0.51139693987546697</v>
      </c>
      <c r="Y20" s="218">
        <f>'Existing landfills'!D18</f>
        <v>0</v>
      </c>
      <c r="Z20" s="43">
        <f t="shared" si="10"/>
        <v>0.51139693987546697</v>
      </c>
      <c r="AA20" s="226">
        <f>VLOOKUP(A20,'Land costs'!$A$2:$E$36,5,FALSE)</f>
        <v>174382.13184708232</v>
      </c>
      <c r="AB20" s="264">
        <f t="shared" si="9"/>
        <v>89178.488595558112</v>
      </c>
    </row>
    <row r="21" spans="1:28" ht="15.75" customHeight="1" x14ac:dyDescent="0.35">
      <c r="A21" s="11">
        <v>18</v>
      </c>
      <c r="B21" s="13" t="s">
        <v>51</v>
      </c>
      <c r="C21" s="13">
        <v>2019</v>
      </c>
      <c r="D21" s="16">
        <f>Population!D19</f>
        <v>1729.4022348816759</v>
      </c>
      <c r="E21" s="98">
        <f>'Household Information'!C19</f>
        <v>5.88</v>
      </c>
      <c r="F21" s="16">
        <f t="shared" si="0"/>
        <v>294.11602634042106</v>
      </c>
      <c r="G21" s="16" t="str">
        <f t="shared" si="1"/>
        <v>Small</v>
      </c>
      <c r="H21" s="17"/>
      <c r="I21" s="121">
        <f>Variables!$B$3*POWER(SUM(1,Variables!$B$2/100),C21-2017)</f>
        <v>31329.004327295999</v>
      </c>
      <c r="J21" s="42">
        <f t="shared" si="2"/>
        <v>476.96013796907846</v>
      </c>
      <c r="K21" s="43">
        <f>'Waste per capita'!F19</f>
        <v>275.58149229887863</v>
      </c>
      <c r="L21" s="219">
        <f t="shared" si="3"/>
        <v>476.59124867370804</v>
      </c>
      <c r="M21" s="45">
        <f>1</f>
        <v>1</v>
      </c>
      <c r="N21" s="135">
        <f t="shared" si="4"/>
        <v>476.59124867370804</v>
      </c>
      <c r="P21" s="136">
        <f>Variables!$D$15</f>
        <v>10.755760368663594</v>
      </c>
      <c r="Q21" s="175">
        <f t="shared" si="5"/>
        <v>5126.1012645365645</v>
      </c>
      <c r="R21" s="172">
        <f>Variables!$D$14</f>
        <v>5.2703140174813869</v>
      </c>
      <c r="S21" s="175">
        <f t="shared" si="6"/>
        <v>1550.0838163878459</v>
      </c>
      <c r="T21" s="217">
        <f>Variables!$D$18</f>
        <v>5.032</v>
      </c>
      <c r="U21" s="177">
        <f t="shared" si="7"/>
        <v>2398.2071633260989</v>
      </c>
      <c r="W21" s="43">
        <f t="shared" si="8"/>
        <v>6663.2144564829123</v>
      </c>
      <c r="X21" s="43">
        <f>W21/Variables!$B$5</f>
        <v>4.1645090353018201E-2</v>
      </c>
      <c r="Y21" s="218">
        <f>'Existing landfills'!D19</f>
        <v>0</v>
      </c>
      <c r="Z21" s="43">
        <f t="shared" si="10"/>
        <v>4.1645090353018201E-2</v>
      </c>
      <c r="AA21" s="226">
        <f>VLOOKUP(A21,'Land costs'!$A$2:$E$36,5,FALSE)</f>
        <v>174382.13184708232</v>
      </c>
      <c r="AB21" s="264">
        <f t="shared" si="9"/>
        <v>7262.1596367236762</v>
      </c>
    </row>
    <row r="22" spans="1:28" ht="15.75" customHeight="1" x14ac:dyDescent="0.35">
      <c r="A22" s="11">
        <v>19</v>
      </c>
      <c r="B22" s="13" t="s">
        <v>52</v>
      </c>
      <c r="C22" s="13">
        <v>2019</v>
      </c>
      <c r="D22" s="16">
        <f>Population!D20</f>
        <v>25338.156724093158</v>
      </c>
      <c r="E22" s="98">
        <f>'Household Information'!C20</f>
        <v>3.93</v>
      </c>
      <c r="F22" s="16">
        <f t="shared" si="0"/>
        <v>6447.3681231789205</v>
      </c>
      <c r="G22" s="16" t="str">
        <f t="shared" si="1"/>
        <v>Small</v>
      </c>
      <c r="H22" s="17"/>
      <c r="I22" s="121">
        <f>Variables!$B$3*POWER(SUM(1,Variables!$B$2/100),C22-2017)</f>
        <v>31329.004327295999</v>
      </c>
      <c r="J22" s="42">
        <f t="shared" si="2"/>
        <v>476.96013796907846</v>
      </c>
      <c r="K22" s="43">
        <f>'Waste per capita'!F20</f>
        <v>275.58149229887863</v>
      </c>
      <c r="L22" s="219">
        <f t="shared" si="3"/>
        <v>6982.7270421284584</v>
      </c>
      <c r="M22" s="45">
        <f>1</f>
        <v>1</v>
      </c>
      <c r="N22" s="135">
        <f t="shared" si="4"/>
        <v>6982.7270421284584</v>
      </c>
      <c r="P22" s="136">
        <f>Variables!$D$15</f>
        <v>10.755760368663594</v>
      </c>
      <c r="Q22" s="175">
        <f t="shared" si="5"/>
        <v>75104.538784920835</v>
      </c>
      <c r="R22" s="172">
        <f>Variables!$D$14</f>
        <v>5.2703140174813869</v>
      </c>
      <c r="S22" s="175">
        <f t="shared" si="6"/>
        <v>33979.654595452528</v>
      </c>
      <c r="T22" s="217">
        <f>Variables!$D$18</f>
        <v>5.032</v>
      </c>
      <c r="U22" s="177">
        <f t="shared" si="7"/>
        <v>35137.082475990406</v>
      </c>
      <c r="W22" s="43">
        <f t="shared" si="8"/>
        <v>97625.392623688109</v>
      </c>
      <c r="X22" s="43">
        <f>W22/Variables!$B$5</f>
        <v>0.61015870389805071</v>
      </c>
      <c r="Y22" s="218">
        <f>'Existing landfills'!D20</f>
        <v>0.61015870389805071</v>
      </c>
      <c r="Z22" s="43">
        <f t="shared" si="10"/>
        <v>0</v>
      </c>
      <c r="AA22" s="226">
        <f>VLOOKUP(A22,'Land costs'!$A$2:$E$36,5,FALSE)</f>
        <v>453095.46593235113</v>
      </c>
      <c r="AB22" s="264">
        <f t="shared" si="9"/>
        <v>0</v>
      </c>
    </row>
    <row r="23" spans="1:28" ht="15.75" customHeight="1" x14ac:dyDescent="0.35">
      <c r="A23" s="11">
        <v>20</v>
      </c>
      <c r="B23" s="13" t="s">
        <v>53</v>
      </c>
      <c r="C23" s="13">
        <v>2019</v>
      </c>
      <c r="D23" s="16">
        <f>Population!D21</f>
        <v>2945.0593534599193</v>
      </c>
      <c r="E23" s="98">
        <f>'Household Information'!C21</f>
        <v>3.94</v>
      </c>
      <c r="F23" s="16">
        <f t="shared" si="0"/>
        <v>747.47699326393888</v>
      </c>
      <c r="G23" s="16" t="str">
        <f t="shared" si="1"/>
        <v>Small</v>
      </c>
      <c r="H23" s="17"/>
      <c r="I23" s="121">
        <f>Variables!$B$3*POWER(SUM(1,Variables!$B$2/100),C23-2017)</f>
        <v>31329.004327295999</v>
      </c>
      <c r="J23" s="42">
        <f t="shared" si="2"/>
        <v>476.96013796907846</v>
      </c>
      <c r="K23" s="43">
        <f>'Waste per capita'!F21</f>
        <v>275.58149229887863</v>
      </c>
      <c r="L23" s="219">
        <f t="shared" si="3"/>
        <v>811.60385153525522</v>
      </c>
      <c r="M23" s="45">
        <f>1</f>
        <v>1</v>
      </c>
      <c r="N23" s="135">
        <f t="shared" si="4"/>
        <v>811.60385153525522</v>
      </c>
      <c r="P23" s="136">
        <f>Variables!$D$15</f>
        <v>10.755760368663594</v>
      </c>
      <c r="Q23" s="175">
        <f t="shared" si="5"/>
        <v>8729.4165413976298</v>
      </c>
      <c r="R23" s="172">
        <f>Variables!$D$14</f>
        <v>5.2703140174813869</v>
      </c>
      <c r="S23" s="175">
        <f t="shared" si="6"/>
        <v>3939.4384753437776</v>
      </c>
      <c r="T23" s="217">
        <f>Variables!$D$18</f>
        <v>5.032</v>
      </c>
      <c r="U23" s="177">
        <f t="shared" si="7"/>
        <v>4083.9905809254042</v>
      </c>
      <c r="W23" s="43">
        <f t="shared" si="8"/>
        <v>11347.020180367106</v>
      </c>
      <c r="X23" s="43">
        <f>W23/Variables!$B$5</f>
        <v>7.0918876127294417E-2</v>
      </c>
      <c r="Y23" s="218">
        <f>'Existing landfills'!D21</f>
        <v>0</v>
      </c>
      <c r="Z23" s="43">
        <f t="shared" si="10"/>
        <v>7.0918876127294417E-2</v>
      </c>
      <c r="AA23" s="226">
        <f>VLOOKUP(A23,'Land costs'!$A$2:$E$36,5,FALSE)</f>
        <v>174382.13184708232</v>
      </c>
      <c r="AB23" s="264">
        <f t="shared" si="9"/>
        <v>12366.984807276753</v>
      </c>
    </row>
    <row r="24" spans="1:28" ht="15.75" customHeight="1" x14ac:dyDescent="0.5">
      <c r="A24" s="11">
        <v>1</v>
      </c>
      <c r="B24" s="12" t="s">
        <v>23</v>
      </c>
      <c r="C24" s="13">
        <v>2020</v>
      </c>
      <c r="D24" s="16">
        <f>Population!E2</f>
        <v>653425.71369484358</v>
      </c>
      <c r="E24" s="98">
        <f>E4</f>
        <v>4.17</v>
      </c>
      <c r="F24" s="16">
        <f t="shared" si="0"/>
        <v>156696.8138356939</v>
      </c>
      <c r="G24" s="16" t="str">
        <f t="shared" si="1"/>
        <v>Medium</v>
      </c>
      <c r="H24" s="17"/>
      <c r="I24" s="121">
        <f>Variables!$B$3*POWER(SUM(1,Variables!$B$2/100),C24-2017)</f>
        <v>33020.770560969984</v>
      </c>
      <c r="J24" s="42">
        <f t="shared" si="2"/>
        <v>487.118587992225</v>
      </c>
      <c r="K24" s="43">
        <f>VLOOKUP(A24,'Waste per capita'!$A$2:$F$21,6,FALSE)*(J24/J4)</f>
        <v>341.69562049844819</v>
      </c>
      <c r="L24" s="219">
        <f t="shared" si="3"/>
        <v>223272.70469060092</v>
      </c>
      <c r="M24" s="45">
        <f>1</f>
        <v>1</v>
      </c>
      <c r="N24" s="135">
        <f t="shared" si="4"/>
        <v>223272.70469060092</v>
      </c>
      <c r="P24" s="136">
        <f>Variables!$D$15</f>
        <v>10.755760368663594</v>
      </c>
      <c r="Q24" s="175">
        <f t="shared" si="5"/>
        <v>2401467.7085154955</v>
      </c>
      <c r="R24" s="172">
        <f>Variables!$D$14</f>
        <v>5.2703140174813869</v>
      </c>
      <c r="S24" s="175">
        <f t="shared" si="6"/>
        <v>825841.41445292893</v>
      </c>
      <c r="T24" s="217">
        <f>Variables!$D$18</f>
        <v>5.032</v>
      </c>
      <c r="U24" s="177">
        <f t="shared" si="7"/>
        <v>1123508.2500031039</v>
      </c>
      <c r="AB24" s="227">
        <f>SUM(AB4:AB23)</f>
        <v>40837367.411892198</v>
      </c>
    </row>
    <row r="25" spans="1:28" ht="15.75" customHeight="1" x14ac:dyDescent="0.35">
      <c r="A25" s="11">
        <v>2</v>
      </c>
      <c r="B25" s="12" t="s">
        <v>26</v>
      </c>
      <c r="C25" s="13">
        <v>2020</v>
      </c>
      <c r="D25" s="16">
        <f>Population!E3</f>
        <v>452774.37078711804</v>
      </c>
      <c r="E25" s="98">
        <f t="shared" ref="E25:E88" si="11">E5</f>
        <v>4.29</v>
      </c>
      <c r="F25" s="16">
        <f t="shared" si="0"/>
        <v>105541.81137228859</v>
      </c>
      <c r="G25" s="16" t="str">
        <f t="shared" si="1"/>
        <v>Medium</v>
      </c>
      <c r="H25" s="17"/>
      <c r="I25" s="121">
        <f>Variables!$B$3*POWER(SUM(1,Variables!$B$2/100),C25-2017)</f>
        <v>33020.770560969984</v>
      </c>
      <c r="J25" s="42">
        <f t="shared" si="2"/>
        <v>487.118587992225</v>
      </c>
      <c r="K25" s="43">
        <f>VLOOKUP(A25,'Waste per capita'!$A$2:$F$21,6,FALSE)*(J25/J5)</f>
        <v>341.69562049844819</v>
      </c>
      <c r="L25" s="219">
        <f t="shared" si="3"/>
        <v>154711.01957189877</v>
      </c>
      <c r="M25" s="45">
        <f>1</f>
        <v>1</v>
      </c>
      <c r="N25" s="135">
        <f t="shared" si="4"/>
        <v>154711.01957189877</v>
      </c>
      <c r="P25" s="136">
        <f>Variables!$D$15</f>
        <v>10.755760368663594</v>
      </c>
      <c r="Q25" s="175">
        <f t="shared" si="5"/>
        <v>1664034.6529069664</v>
      </c>
      <c r="R25" s="172">
        <f>Variables!$D$14</f>
        <v>5.2703140174813869</v>
      </c>
      <c r="S25" s="175">
        <f t="shared" si="6"/>
        <v>556238.487905749</v>
      </c>
      <c r="T25" s="217">
        <f>Variables!$D$18</f>
        <v>5.032</v>
      </c>
      <c r="U25" s="177">
        <f t="shared" si="7"/>
        <v>778505.8504857946</v>
      </c>
    </row>
    <row r="26" spans="1:28" ht="15.75" customHeight="1" x14ac:dyDescent="0.35">
      <c r="A26" s="11">
        <v>3</v>
      </c>
      <c r="B26" s="12" t="s">
        <v>28</v>
      </c>
      <c r="C26" s="13">
        <v>2020</v>
      </c>
      <c r="D26" s="16">
        <f>Population!E4</f>
        <v>324235.86757457582</v>
      </c>
      <c r="E26" s="98">
        <f t="shared" si="11"/>
        <v>4.8600000000000003</v>
      </c>
      <c r="F26" s="16">
        <f t="shared" si="0"/>
        <v>66715.199089418893</v>
      </c>
      <c r="G26" s="16" t="str">
        <f t="shared" si="1"/>
        <v>Medium</v>
      </c>
      <c r="H26" s="17"/>
      <c r="I26" s="121">
        <f>Variables!$B$3*POWER(SUM(1,Variables!$B$2/100),C26-2017)</f>
        <v>33020.770560969984</v>
      </c>
      <c r="J26" s="42">
        <f t="shared" si="2"/>
        <v>487.118587992225</v>
      </c>
      <c r="K26" s="43">
        <f>VLOOKUP(A26,'Waste per capita'!$A$2:$F$21,6,FALSE)*(J26/J6)</f>
        <v>297.15840705235109</v>
      </c>
      <c r="L26" s="219">
        <f t="shared" si="3"/>
        <v>96349.41391769801</v>
      </c>
      <c r="M26" s="45">
        <f>1</f>
        <v>1</v>
      </c>
      <c r="N26" s="135">
        <f t="shared" si="4"/>
        <v>96349.41391769801</v>
      </c>
      <c r="P26" s="136">
        <f>Variables!$D$15</f>
        <v>10.755760368663594</v>
      </c>
      <c r="Q26" s="175">
        <f t="shared" si="5"/>
        <v>1036311.2077599408</v>
      </c>
      <c r="R26" s="172">
        <f>Variables!$D$14</f>
        <v>5.2703140174813869</v>
      </c>
      <c r="S26" s="175">
        <f t="shared" si="6"/>
        <v>351610.04894002585</v>
      </c>
      <c r="T26" s="217">
        <f>Variables!$D$18</f>
        <v>5.032</v>
      </c>
      <c r="U26" s="177">
        <f t="shared" si="7"/>
        <v>484830.25083385641</v>
      </c>
    </row>
    <row r="27" spans="1:28" ht="15.75" customHeight="1" x14ac:dyDescent="0.35">
      <c r="A27" s="11">
        <v>4</v>
      </c>
      <c r="B27" s="12" t="s">
        <v>30</v>
      </c>
      <c r="C27" s="13">
        <v>2020</v>
      </c>
      <c r="D27" s="16">
        <f>Population!E5</f>
        <v>614664.76129166491</v>
      </c>
      <c r="E27" s="98">
        <f t="shared" si="11"/>
        <v>4.05</v>
      </c>
      <c r="F27" s="16">
        <f t="shared" si="0"/>
        <v>151769.07686213948</v>
      </c>
      <c r="G27" s="16" t="str">
        <f t="shared" si="1"/>
        <v>Medium</v>
      </c>
      <c r="H27" s="17"/>
      <c r="I27" s="121">
        <f>Variables!$B$3*POWER(SUM(1,Variables!$B$2/100),C27-2017)</f>
        <v>33020.770560969984</v>
      </c>
      <c r="J27" s="42">
        <f t="shared" si="2"/>
        <v>487.118587992225</v>
      </c>
      <c r="K27" s="43">
        <f>VLOOKUP(A27,'Waste per capita'!$A$2:$F$21,6,FALSE)*(J27/J7)</f>
        <v>279.58041531662894</v>
      </c>
      <c r="L27" s="219">
        <f t="shared" si="3"/>
        <v>171848.22924242026</v>
      </c>
      <c r="M27" s="45">
        <f>1</f>
        <v>1</v>
      </c>
      <c r="N27" s="135">
        <f t="shared" si="4"/>
        <v>171848.22924242026</v>
      </c>
      <c r="P27" s="136">
        <f>Variables!$D$15</f>
        <v>10.755760368663594</v>
      </c>
      <c r="Q27" s="175">
        <f t="shared" si="5"/>
        <v>1848358.3735106401</v>
      </c>
      <c r="R27" s="172">
        <f>Variables!$D$14</f>
        <v>5.2703140174813869</v>
      </c>
      <c r="S27" s="175">
        <f t="shared" si="6"/>
        <v>799870.69320674369</v>
      </c>
      <c r="T27" s="217">
        <f>Variables!$D$18</f>
        <v>5.032</v>
      </c>
      <c r="U27" s="177">
        <f t="shared" si="7"/>
        <v>864740.28954785876</v>
      </c>
    </row>
    <row r="28" spans="1:28" ht="15.75" customHeight="1" x14ac:dyDescent="0.35">
      <c r="A28" s="11">
        <v>5</v>
      </c>
      <c r="B28" s="12" t="s">
        <v>31</v>
      </c>
      <c r="C28" s="13">
        <v>2020</v>
      </c>
      <c r="D28" s="16">
        <f>Population!E6</f>
        <v>391636.84998871078</v>
      </c>
      <c r="E28" s="98">
        <f t="shared" si="11"/>
        <v>4.2</v>
      </c>
      <c r="F28" s="16">
        <f t="shared" si="0"/>
        <v>93246.86904493114</v>
      </c>
      <c r="G28" s="16" t="str">
        <f t="shared" si="1"/>
        <v>Medium</v>
      </c>
      <c r="H28" s="17"/>
      <c r="I28" s="121">
        <f>Variables!$B$3*POWER(SUM(1,Variables!$B$2/100),C28-2017)</f>
        <v>33020.770560969984</v>
      </c>
      <c r="J28" s="42">
        <f t="shared" si="2"/>
        <v>487.118587992225</v>
      </c>
      <c r="K28" s="43">
        <f>VLOOKUP(A28,'Waste per capita'!$A$2:$F$21,6,FALSE)*(J28/J8)</f>
        <v>341.69562049844819</v>
      </c>
      <c r="L28" s="219">
        <f t="shared" si="3"/>
        <v>133820.5964669502</v>
      </c>
      <c r="M28" s="45">
        <f>1</f>
        <v>1</v>
      </c>
      <c r="N28" s="135">
        <f t="shared" si="4"/>
        <v>133820.5964669502</v>
      </c>
      <c r="P28" s="136">
        <f>Variables!$D$15</f>
        <v>10.755760368663594</v>
      </c>
      <c r="Q28" s="175">
        <f t="shared" si="5"/>
        <v>1439342.2679901463</v>
      </c>
      <c r="R28" s="172">
        <f>Variables!$D$14</f>
        <v>5.2703140174813869</v>
      </c>
      <c r="S28" s="175">
        <f t="shared" si="6"/>
        <v>491440.28101375181</v>
      </c>
      <c r="T28" s="217">
        <f>Variables!$D$18</f>
        <v>5.032</v>
      </c>
      <c r="U28" s="177">
        <f t="shared" si="7"/>
        <v>673385.24142169335</v>
      </c>
    </row>
    <row r="29" spans="1:28" ht="15.75" customHeight="1" x14ac:dyDescent="0.35">
      <c r="A29" s="11">
        <v>6</v>
      </c>
      <c r="B29" s="12" t="s">
        <v>32</v>
      </c>
      <c r="C29" s="13">
        <v>2020</v>
      </c>
      <c r="D29" s="16">
        <f>Population!E7</f>
        <v>446084.97856971365</v>
      </c>
      <c r="E29" s="98">
        <f t="shared" si="11"/>
        <v>4.59</v>
      </c>
      <c r="F29" s="16">
        <f t="shared" si="0"/>
        <v>97186.269840896217</v>
      </c>
      <c r="G29" s="16" t="str">
        <f t="shared" si="1"/>
        <v>Medium</v>
      </c>
      <c r="H29" s="17"/>
      <c r="I29" s="121">
        <f>Variables!$B$3*POWER(SUM(1,Variables!$B$2/100),C29-2017)</f>
        <v>33020.770560969984</v>
      </c>
      <c r="J29" s="42">
        <f t="shared" si="2"/>
        <v>487.118587992225</v>
      </c>
      <c r="K29" s="43">
        <f>VLOOKUP(A29,'Waste per capita'!$A$2:$F$21,6,FALSE)*(J29/J9)</f>
        <v>302.87299180335782</v>
      </c>
      <c r="L29" s="219">
        <f t="shared" si="3"/>
        <v>135107.09205794593</v>
      </c>
      <c r="M29" s="45">
        <f>1</f>
        <v>1</v>
      </c>
      <c r="N29" s="135">
        <f t="shared" si="4"/>
        <v>135107.09205794593</v>
      </c>
      <c r="P29" s="136">
        <f>Variables!$D$15</f>
        <v>10.755760368663594</v>
      </c>
      <c r="Q29" s="175">
        <f t="shared" si="5"/>
        <v>1453179.5062822388</v>
      </c>
      <c r="R29" s="172">
        <f>Variables!$D$14</f>
        <v>5.2703140174813869</v>
      </c>
      <c r="S29" s="175">
        <f t="shared" si="6"/>
        <v>512202.16024920391</v>
      </c>
      <c r="T29" s="217">
        <f>Variables!$D$18</f>
        <v>5.032</v>
      </c>
      <c r="U29" s="177">
        <f t="shared" si="7"/>
        <v>679858.88723558397</v>
      </c>
    </row>
    <row r="30" spans="1:28" ht="15.75" customHeight="1" x14ac:dyDescent="0.35">
      <c r="A30" s="11">
        <v>7</v>
      </c>
      <c r="B30" s="12" t="s">
        <v>33</v>
      </c>
      <c r="C30" s="13">
        <v>2020</v>
      </c>
      <c r="D30" s="16">
        <f>Population!E8</f>
        <v>251372.57872405741</v>
      </c>
      <c r="E30" s="98">
        <f t="shared" si="11"/>
        <v>3.94</v>
      </c>
      <c r="F30" s="16">
        <f t="shared" si="0"/>
        <v>63800.146884278533</v>
      </c>
      <c r="G30" s="16" t="str">
        <f t="shared" si="1"/>
        <v>Medium</v>
      </c>
      <c r="H30" s="17"/>
      <c r="I30" s="121">
        <f>Variables!$B$3*POWER(SUM(1,Variables!$B$2/100),C30-2017)</f>
        <v>33020.770560969984</v>
      </c>
      <c r="J30" s="42">
        <f t="shared" si="2"/>
        <v>487.118587992225</v>
      </c>
      <c r="K30" s="43">
        <f>VLOOKUP(A30,'Waste per capita'!$A$2:$F$21,6,FALSE)*(J30/J10)</f>
        <v>417.16468682349284</v>
      </c>
      <c r="L30" s="219">
        <f t="shared" si="3"/>
        <v>104863.76307943522</v>
      </c>
      <c r="M30" s="45">
        <f>1</f>
        <v>1</v>
      </c>
      <c r="N30" s="135">
        <f t="shared" si="4"/>
        <v>104863.76307943522</v>
      </c>
      <c r="P30" s="136">
        <f>Variables!$D$15</f>
        <v>10.755760368663594</v>
      </c>
      <c r="Q30" s="175">
        <f t="shared" si="5"/>
        <v>1127889.5070387179</v>
      </c>
      <c r="R30" s="172">
        <f>Variables!$D$14</f>
        <v>5.2703140174813869</v>
      </c>
      <c r="S30" s="175">
        <f t="shared" si="6"/>
        <v>336246.80844158458</v>
      </c>
      <c r="T30" s="217">
        <f>Variables!$D$18</f>
        <v>5.032</v>
      </c>
      <c r="U30" s="177">
        <f t="shared" si="7"/>
        <v>527674.45581571804</v>
      </c>
    </row>
    <row r="31" spans="1:28" ht="15.75" customHeight="1" x14ac:dyDescent="0.35">
      <c r="A31" s="11">
        <v>8</v>
      </c>
      <c r="B31" s="11" t="s">
        <v>36</v>
      </c>
      <c r="C31" s="13">
        <v>2020</v>
      </c>
      <c r="D31" s="16">
        <f>Population!E9</f>
        <v>833977.18868535024</v>
      </c>
      <c r="E31" s="98">
        <f t="shared" si="11"/>
        <v>4.04</v>
      </c>
      <c r="F31" s="16">
        <f t="shared" si="0"/>
        <v>206429.99719934413</v>
      </c>
      <c r="G31" s="16" t="str">
        <f t="shared" si="1"/>
        <v>Medium</v>
      </c>
      <c r="H31" s="17"/>
      <c r="I31" s="121">
        <f>Variables!$B$3*POWER(SUM(1,Variables!$B$2/100),C31-2017)</f>
        <v>33020.770560969984</v>
      </c>
      <c r="J31" s="42">
        <f t="shared" si="2"/>
        <v>487.118587992225</v>
      </c>
      <c r="K31" s="43">
        <f>VLOOKUP(A31,'Waste per capita'!$A$2:$F$21,6,FALSE)*(J31/J11)</f>
        <v>308.5875765543646</v>
      </c>
      <c r="L31" s="219">
        <f t="shared" si="3"/>
        <v>257354.99955803429</v>
      </c>
      <c r="M31" s="45">
        <f>1</f>
        <v>1</v>
      </c>
      <c r="N31" s="135">
        <f t="shared" si="4"/>
        <v>257354.99955803429</v>
      </c>
      <c r="P31" s="136">
        <f>Variables!$D$15</f>
        <v>10.755760368663594</v>
      </c>
      <c r="Q31" s="175">
        <f t="shared" si="5"/>
        <v>2768048.704923742</v>
      </c>
      <c r="R31" s="172">
        <f>Variables!$D$14</f>
        <v>5.2703140174813869</v>
      </c>
      <c r="S31" s="175">
        <f t="shared" si="6"/>
        <v>1087950.9078683469</v>
      </c>
      <c r="T31" s="217">
        <f>Variables!$D$18</f>
        <v>5.032</v>
      </c>
      <c r="U31" s="177">
        <f t="shared" si="7"/>
        <v>1295010.3577760286</v>
      </c>
    </row>
    <row r="32" spans="1:28" ht="15.75" customHeight="1" x14ac:dyDescent="0.35">
      <c r="A32" s="11">
        <v>9</v>
      </c>
      <c r="B32" s="12" t="s">
        <v>38</v>
      </c>
      <c r="C32" s="13">
        <v>2020</v>
      </c>
      <c r="D32" s="16">
        <f>Population!E10</f>
        <v>14646.43503503696</v>
      </c>
      <c r="E32" s="98">
        <f t="shared" si="11"/>
        <v>4.26</v>
      </c>
      <c r="F32" s="16">
        <f t="shared" si="0"/>
        <v>3438.1302899147795</v>
      </c>
      <c r="G32" s="16" t="str">
        <f t="shared" si="1"/>
        <v>Small</v>
      </c>
      <c r="H32" s="17"/>
      <c r="I32" s="121">
        <f>Variables!$B$3*POWER(SUM(1,Variables!$B$2/100),C32-2017)</f>
        <v>33020.770560969984</v>
      </c>
      <c r="J32" s="42">
        <f t="shared" si="2"/>
        <v>487.118587992225</v>
      </c>
      <c r="K32" s="43">
        <f>VLOOKUP(A32,'Waste per capita'!$A$2:$F$21,6,FALSE)*(J32/J12)</f>
        <v>281.45091532601595</v>
      </c>
      <c r="L32" s="219">
        <f t="shared" si="3"/>
        <v>4122.2525468741806</v>
      </c>
      <c r="M32" s="45">
        <f>1</f>
        <v>1</v>
      </c>
      <c r="N32" s="135">
        <f t="shared" si="4"/>
        <v>4122.2525468741806</v>
      </c>
      <c r="P32" s="136">
        <f>Variables!$D$15</f>
        <v>10.755760368663594</v>
      </c>
      <c r="Q32" s="175">
        <f t="shared" si="5"/>
        <v>44337.960573291879</v>
      </c>
      <c r="R32" s="172">
        <f>Variables!$D$14</f>
        <v>5.2703140174813869</v>
      </c>
      <c r="S32" s="175">
        <f t="shared" si="6"/>
        <v>18120.026260865208</v>
      </c>
      <c r="T32" s="217">
        <f>Variables!$D$18</f>
        <v>5.032</v>
      </c>
      <c r="U32" s="177">
        <f t="shared" si="7"/>
        <v>20743.174815870876</v>
      </c>
    </row>
    <row r="33" spans="1:21" ht="15.75" customHeight="1" x14ac:dyDescent="0.35">
      <c r="A33" s="11">
        <v>10</v>
      </c>
      <c r="B33" s="12" t="s">
        <v>40</v>
      </c>
      <c r="C33" s="13">
        <v>2020</v>
      </c>
      <c r="D33" s="16">
        <f>Population!E11</f>
        <v>573051.5950379729</v>
      </c>
      <c r="E33" s="98">
        <f t="shared" si="11"/>
        <v>5.88</v>
      </c>
      <c r="F33" s="16">
        <f t="shared" si="0"/>
        <v>97457.75425815866</v>
      </c>
      <c r="G33" s="16" t="str">
        <f t="shared" si="1"/>
        <v>Medium</v>
      </c>
      <c r="H33" s="17"/>
      <c r="I33" s="121">
        <f>Variables!$B$3*POWER(SUM(1,Variables!$B$2/100),C33-2017)</f>
        <v>33020.770560969984</v>
      </c>
      <c r="J33" s="42">
        <f t="shared" si="2"/>
        <v>487.118587992225</v>
      </c>
      <c r="K33" s="43">
        <f>VLOOKUP(A33,'Waste per capita'!$A$2:$F$21,6,FALSE)*(J33/J13)</f>
        <v>341.69562049844819</v>
      </c>
      <c r="L33" s="219">
        <f t="shared" si="3"/>
        <v>195809.22034412558</v>
      </c>
      <c r="M33" s="45">
        <f>1</f>
        <v>1</v>
      </c>
      <c r="N33" s="135">
        <f t="shared" si="4"/>
        <v>195809.22034412558</v>
      </c>
      <c r="P33" s="136">
        <f>Variables!$D$15</f>
        <v>10.755760368663594</v>
      </c>
      <c r="Q33" s="175">
        <f t="shared" si="5"/>
        <v>2106077.0519962632</v>
      </c>
      <c r="R33" s="172">
        <f>Variables!$D$14</f>
        <v>5.2703140174813869</v>
      </c>
      <c r="S33" s="175">
        <f t="shared" si="6"/>
        <v>513632.96837902989</v>
      </c>
      <c r="T33" s="217">
        <f>Variables!$D$18</f>
        <v>5.032</v>
      </c>
      <c r="U33" s="177">
        <f t="shared" si="7"/>
        <v>985311.99677163991</v>
      </c>
    </row>
    <row r="34" spans="1:21" ht="15.75" customHeight="1" x14ac:dyDescent="0.35">
      <c r="A34" s="11">
        <v>11</v>
      </c>
      <c r="B34" s="12" t="s">
        <v>42</v>
      </c>
      <c r="C34" s="13">
        <v>2020</v>
      </c>
      <c r="D34" s="16">
        <f>Population!E12</f>
        <v>758837.19935682195</v>
      </c>
      <c r="E34" s="98">
        <f t="shared" si="11"/>
        <v>4.47</v>
      </c>
      <c r="F34" s="16">
        <f t="shared" si="0"/>
        <v>169762.23699257761</v>
      </c>
      <c r="G34" s="16" t="str">
        <f t="shared" si="1"/>
        <v>Medium</v>
      </c>
      <c r="H34" s="17"/>
      <c r="I34" s="121">
        <f>Variables!$B$3*POWER(SUM(1,Variables!$B$2/100),C34-2017)</f>
        <v>33020.770560969984</v>
      </c>
      <c r="J34" s="42">
        <f t="shared" si="2"/>
        <v>487.118587992225</v>
      </c>
      <c r="K34" s="43">
        <f>VLOOKUP(A34,'Waste per capita'!$A$2:$F$21,6,FALSE)*(J34/J14)</f>
        <v>442.93914543110708</v>
      </c>
      <c r="L34" s="219">
        <f t="shared" si="3"/>
        <v>336118.70060444536</v>
      </c>
      <c r="M34" s="45">
        <f>1</f>
        <v>1</v>
      </c>
      <c r="N34" s="135">
        <f t="shared" si="4"/>
        <v>336118.70060444536</v>
      </c>
      <c r="P34" s="136">
        <f>Variables!$D$15</f>
        <v>10.755760368663594</v>
      </c>
      <c r="Q34" s="175">
        <f t="shared" si="5"/>
        <v>3615212.1991279973</v>
      </c>
      <c r="R34" s="172">
        <f>Variables!$D$14</f>
        <v>5.2703140174813869</v>
      </c>
      <c r="S34" s="175">
        <f t="shared" si="6"/>
        <v>894700.29726097907</v>
      </c>
      <c r="T34" s="217">
        <f>Variables!$D$18</f>
        <v>5.032</v>
      </c>
      <c r="U34" s="177">
        <f t="shared" si="7"/>
        <v>1691349.3014415691</v>
      </c>
    </row>
    <row r="35" spans="1:21" ht="15.75" customHeight="1" x14ac:dyDescent="0.35">
      <c r="A35" s="11">
        <v>12</v>
      </c>
      <c r="B35" s="12" t="s">
        <v>44</v>
      </c>
      <c r="C35" s="13">
        <v>2020</v>
      </c>
      <c r="D35" s="16">
        <f>Population!E13</f>
        <v>561850.63433435629</v>
      </c>
      <c r="E35" s="98">
        <f t="shared" si="11"/>
        <v>3.93</v>
      </c>
      <c r="F35" s="16">
        <f t="shared" si="0"/>
        <v>142964.53799856393</v>
      </c>
      <c r="G35" s="16" t="str">
        <f t="shared" si="1"/>
        <v>Medium</v>
      </c>
      <c r="H35" s="17"/>
      <c r="I35" s="121">
        <f>Variables!$B$3*POWER(SUM(1,Variables!$B$2/100),C35-2017)</f>
        <v>33020.770560969984</v>
      </c>
      <c r="J35" s="42">
        <f t="shared" si="2"/>
        <v>487.118587992225</v>
      </c>
      <c r="K35" s="43">
        <f>VLOOKUP(A35,'Waste per capita'!$A$2:$F$21,6,FALSE)*(J35/J15)</f>
        <v>281.45091532601595</v>
      </c>
      <c r="L35" s="219">
        <f t="shared" si="3"/>
        <v>158133.37530990725</v>
      </c>
      <c r="M35" s="45">
        <f>1</f>
        <v>1</v>
      </c>
      <c r="N35" s="135">
        <f t="shared" si="4"/>
        <v>158133.37530990725</v>
      </c>
      <c r="P35" s="136">
        <f>Variables!$D$15</f>
        <v>10.755760368663594</v>
      </c>
      <c r="Q35" s="175">
        <f t="shared" si="5"/>
        <v>1700844.6911213065</v>
      </c>
      <c r="R35" s="172">
        <f>Variables!$D$14</f>
        <v>5.2703140174813869</v>
      </c>
      <c r="S35" s="175">
        <f t="shared" si="6"/>
        <v>753468.00861658191</v>
      </c>
      <c r="T35" s="217">
        <f>Variables!$D$18</f>
        <v>5.032</v>
      </c>
      <c r="U35" s="177">
        <f t="shared" si="7"/>
        <v>795727.14455945324</v>
      </c>
    </row>
    <row r="36" spans="1:21" ht="15.75" customHeight="1" x14ac:dyDescent="0.35">
      <c r="A36" s="11">
        <v>13</v>
      </c>
      <c r="B36" s="12" t="s">
        <v>45</v>
      </c>
      <c r="C36" s="13">
        <v>2020</v>
      </c>
      <c r="D36" s="16">
        <f>Population!E14</f>
        <v>427899.26305883948</v>
      </c>
      <c r="E36" s="98">
        <f t="shared" si="11"/>
        <v>4.78</v>
      </c>
      <c r="F36" s="16">
        <f t="shared" si="0"/>
        <v>89518.674280091931</v>
      </c>
      <c r="G36" s="16" t="str">
        <f t="shared" si="1"/>
        <v>Medium</v>
      </c>
      <c r="H36" s="17"/>
      <c r="I36" s="121">
        <f>Variables!$B$3*POWER(SUM(1,Variables!$B$2/100),C36-2017)</f>
        <v>33020.770560969984</v>
      </c>
      <c r="J36" s="42">
        <f t="shared" si="2"/>
        <v>487.118587992225</v>
      </c>
      <c r="K36" s="43">
        <f>VLOOKUP(A36,'Waste per capita'!$A$2:$F$21,6,FALSE)*(J36/J16)</f>
        <v>341.69562049844819</v>
      </c>
      <c r="L36" s="219">
        <f t="shared" si="3"/>
        <v>146211.30420171886</v>
      </c>
      <c r="M36" s="45">
        <f>1</f>
        <v>1</v>
      </c>
      <c r="N36" s="135">
        <f t="shared" si="4"/>
        <v>146211.30420171886</v>
      </c>
      <c r="P36" s="136">
        <f>Variables!$D$15</f>
        <v>10.755760368663594</v>
      </c>
      <c r="Q36" s="175">
        <f t="shared" si="5"/>
        <v>1572613.7511834647</v>
      </c>
      <c r="R36" s="172">
        <f>Variables!$D$14</f>
        <v>5.2703140174813869</v>
      </c>
      <c r="S36" s="175">
        <f t="shared" si="6"/>
        <v>471791.523884719</v>
      </c>
      <c r="T36" s="217">
        <f>Variables!$D$18</f>
        <v>5.032</v>
      </c>
      <c r="U36" s="177">
        <f t="shared" si="7"/>
        <v>735735.28274304932</v>
      </c>
    </row>
    <row r="37" spans="1:21" ht="15.75" customHeight="1" x14ac:dyDescent="0.35">
      <c r="A37" s="11">
        <v>14</v>
      </c>
      <c r="B37" s="12" t="s">
        <v>46</v>
      </c>
      <c r="C37" s="13">
        <v>2020</v>
      </c>
      <c r="D37" s="16">
        <f>Population!E15</f>
        <v>2013979.8911125993</v>
      </c>
      <c r="E37" s="98">
        <f t="shared" si="11"/>
        <v>3.72</v>
      </c>
      <c r="F37" s="16">
        <f t="shared" si="0"/>
        <v>541392.4438474729</v>
      </c>
      <c r="G37" s="16" t="str">
        <f t="shared" si="1"/>
        <v>Large</v>
      </c>
      <c r="H37" s="17"/>
      <c r="I37" s="121">
        <f>Variables!$B$3*POWER(SUM(1,Variables!$B$2/100),C37-2017)</f>
        <v>33020.770560969984</v>
      </c>
      <c r="J37" s="42">
        <f t="shared" si="2"/>
        <v>487.118587992225</v>
      </c>
      <c r="K37" s="43">
        <f>VLOOKUP(A37,'Waste per capita'!$A$2:$F$21,6,FALSE)*(J37/J17)</f>
        <v>737.18143287987084</v>
      </c>
      <c r="L37" s="219">
        <f t="shared" si="3"/>
        <v>1484668.5819216324</v>
      </c>
      <c r="M37" s="45">
        <f>1</f>
        <v>1</v>
      </c>
      <c r="N37" s="135">
        <f t="shared" si="4"/>
        <v>1484668.5819216324</v>
      </c>
      <c r="P37" s="136">
        <f>Variables!$D$15</f>
        <v>10.755760368663594</v>
      </c>
      <c r="Q37" s="175">
        <f t="shared" si="5"/>
        <v>15968739.494032674</v>
      </c>
      <c r="R37" s="172">
        <f>Variables!$D$14</f>
        <v>5.2703140174813869</v>
      </c>
      <c r="S37" s="175">
        <f t="shared" si="6"/>
        <v>2853308.1857678411</v>
      </c>
      <c r="T37" s="217">
        <f>Variables!$D$18</f>
        <v>5.032</v>
      </c>
      <c r="U37" s="177">
        <f t="shared" si="7"/>
        <v>7470852.3042296544</v>
      </c>
    </row>
    <row r="38" spans="1:21" ht="15.75" customHeight="1" x14ac:dyDescent="0.35">
      <c r="A38" s="11">
        <v>15</v>
      </c>
      <c r="B38" s="12" t="s">
        <v>47</v>
      </c>
      <c r="C38" s="13">
        <v>2020</v>
      </c>
      <c r="D38" s="16">
        <f>Population!E16</f>
        <v>87120.555151285284</v>
      </c>
      <c r="E38" s="98">
        <f t="shared" si="11"/>
        <v>4.72</v>
      </c>
      <c r="F38" s="16">
        <f t="shared" si="0"/>
        <v>18457.7447354418</v>
      </c>
      <c r="G38" s="16" t="str">
        <f t="shared" si="1"/>
        <v>Small</v>
      </c>
      <c r="H38" s="17"/>
      <c r="I38" s="121">
        <f>Variables!$B$3*POWER(SUM(1,Variables!$B$2/100),C38-2017)</f>
        <v>33020.770560969984</v>
      </c>
      <c r="J38" s="42">
        <f t="shared" si="2"/>
        <v>487.118587992225</v>
      </c>
      <c r="K38" s="43">
        <f>VLOOKUP(A38,'Waste per capita'!$A$2:$F$21,6,FALSE)*(J38/J18)</f>
        <v>281.45091532601595</v>
      </c>
      <c r="L38" s="219">
        <f t="shared" si="3"/>
        <v>24520.159991039898</v>
      </c>
      <c r="M38" s="45">
        <f>1</f>
        <v>1</v>
      </c>
      <c r="N38" s="135">
        <f t="shared" si="4"/>
        <v>24520.159991039898</v>
      </c>
      <c r="P38" s="136">
        <f>Variables!$D$15</f>
        <v>10.755760368663594</v>
      </c>
      <c r="Q38" s="175">
        <f t="shared" si="5"/>
        <v>263732.96506491763</v>
      </c>
      <c r="R38" s="172">
        <f>Variables!$D$14</f>
        <v>5.2703140174813869</v>
      </c>
      <c r="S38" s="175">
        <f t="shared" si="6"/>
        <v>97278.110810292186</v>
      </c>
      <c r="T38" s="217">
        <f>Variables!$D$18</f>
        <v>5.032</v>
      </c>
      <c r="U38" s="177">
        <f t="shared" si="7"/>
        <v>123385.44507491277</v>
      </c>
    </row>
    <row r="39" spans="1:21" ht="15.75" customHeight="1" x14ac:dyDescent="0.35">
      <c r="A39" s="11">
        <v>16</v>
      </c>
      <c r="B39" s="12" t="s">
        <v>48</v>
      </c>
      <c r="C39" s="13">
        <v>2020</v>
      </c>
      <c r="D39" s="16">
        <f>Population!E17</f>
        <v>86657.862682201987</v>
      </c>
      <c r="E39" s="98">
        <f t="shared" si="11"/>
        <v>3.45</v>
      </c>
      <c r="F39" s="16">
        <f t="shared" si="0"/>
        <v>25118.221067304923</v>
      </c>
      <c r="G39" s="16" t="str">
        <f t="shared" si="1"/>
        <v>Small</v>
      </c>
      <c r="H39" s="17"/>
      <c r="I39" s="121">
        <f>Variables!$B$3*POWER(SUM(1,Variables!$B$2/100),C39-2017)</f>
        <v>33020.770560969984</v>
      </c>
      <c r="J39" s="42">
        <f t="shared" si="2"/>
        <v>487.118587992225</v>
      </c>
      <c r="K39" s="43">
        <f>VLOOKUP(A39,'Waste per capita'!$A$2:$F$21,6,FALSE)*(J39/J19)</f>
        <v>281.45091532601595</v>
      </c>
      <c r="L39" s="219">
        <f t="shared" si="3"/>
        <v>24389.934772101951</v>
      </c>
      <c r="M39" s="45">
        <f>1</f>
        <v>1</v>
      </c>
      <c r="N39" s="135">
        <f t="shared" si="4"/>
        <v>24389.934772101951</v>
      </c>
      <c r="P39" s="136">
        <f>Variables!$D$15</f>
        <v>10.755760368663594</v>
      </c>
      <c r="Q39" s="175">
        <f t="shared" si="5"/>
        <v>262332.29381606431</v>
      </c>
      <c r="R39" s="172">
        <f>Variables!$D$14</f>
        <v>5.2703140174813869</v>
      </c>
      <c r="S39" s="175">
        <f t="shared" si="6"/>
        <v>132380.91258521343</v>
      </c>
      <c r="T39" s="217">
        <f>Variables!$D$18</f>
        <v>5.032</v>
      </c>
      <c r="U39" s="177">
        <f t="shared" si="7"/>
        <v>122730.15177321702</v>
      </c>
    </row>
    <row r="40" spans="1:21" ht="15.75" customHeight="1" x14ac:dyDescent="0.35">
      <c r="A40" s="11">
        <v>17</v>
      </c>
      <c r="B40" s="13" t="s">
        <v>49</v>
      </c>
      <c r="C40" s="13">
        <v>2020</v>
      </c>
      <c r="D40" s="16">
        <f>Population!E18</f>
        <v>21746.546046915275</v>
      </c>
      <c r="E40" s="98">
        <f t="shared" si="11"/>
        <v>4.78</v>
      </c>
      <c r="F40" s="16">
        <f t="shared" si="0"/>
        <v>4549.4866206935721</v>
      </c>
      <c r="G40" s="16" t="str">
        <f t="shared" si="1"/>
        <v>Small</v>
      </c>
      <c r="H40" s="17"/>
      <c r="I40" s="121">
        <f>Variables!$B$3*POWER(SUM(1,Variables!$B$2/100),C40-2017)</f>
        <v>33020.770560969984</v>
      </c>
      <c r="J40" s="42">
        <f t="shared" si="2"/>
        <v>487.118587992225</v>
      </c>
      <c r="K40" s="43">
        <f>VLOOKUP(A40,'Waste per capita'!$A$2:$F$21,6,FALSE)*(J40/J20)</f>
        <v>281.45091532601595</v>
      </c>
      <c r="L40" s="219">
        <f t="shared" si="3"/>
        <v>6120.585290083658</v>
      </c>
      <c r="M40" s="45">
        <f>1</f>
        <v>1</v>
      </c>
      <c r="N40" s="135">
        <f t="shared" si="4"/>
        <v>6120.585290083658</v>
      </c>
      <c r="P40" s="136">
        <f>Variables!$D$15</f>
        <v>10.755760368663594</v>
      </c>
      <c r="Q40" s="175">
        <f t="shared" si="5"/>
        <v>65831.548696107173</v>
      </c>
      <c r="R40" s="172">
        <f>Variables!$D$14</f>
        <v>5.2703140174813869</v>
      </c>
      <c r="S40" s="175">
        <f t="shared" si="6"/>
        <v>23977.223109385359</v>
      </c>
      <c r="T40" s="217">
        <f>Variables!$D$18</f>
        <v>5.032</v>
      </c>
      <c r="U40" s="177">
        <f t="shared" si="7"/>
        <v>30798.785179700968</v>
      </c>
    </row>
    <row r="41" spans="1:21" ht="15.75" customHeight="1" x14ac:dyDescent="0.35">
      <c r="A41" s="11">
        <v>18</v>
      </c>
      <c r="B41" s="13" t="s">
        <v>51</v>
      </c>
      <c r="C41" s="13">
        <v>2020</v>
      </c>
      <c r="D41" s="16">
        <f>Population!E19</f>
        <v>1770.9078885188362</v>
      </c>
      <c r="E41" s="98">
        <f t="shared" si="11"/>
        <v>5.88</v>
      </c>
      <c r="F41" s="16">
        <f t="shared" si="0"/>
        <v>301.17481097259122</v>
      </c>
      <c r="G41" s="16" t="str">
        <f t="shared" si="1"/>
        <v>Small</v>
      </c>
      <c r="H41" s="17"/>
      <c r="I41" s="121">
        <f>Variables!$B$3*POWER(SUM(1,Variables!$B$2/100),C41-2017)</f>
        <v>33020.770560969984</v>
      </c>
      <c r="J41" s="42">
        <f t="shared" si="2"/>
        <v>487.118587992225</v>
      </c>
      <c r="K41" s="43">
        <f>VLOOKUP(A41,'Waste per capita'!$A$2:$F$21,6,FALSE)*(J41/J21)</f>
        <v>281.45091532601595</v>
      </c>
      <c r="L41" s="219">
        <f t="shared" si="3"/>
        <v>498.42364618168864</v>
      </c>
      <c r="M41" s="45">
        <f>1</f>
        <v>1</v>
      </c>
      <c r="N41" s="135">
        <f t="shared" si="4"/>
        <v>498.42364618168864</v>
      </c>
      <c r="P41" s="136">
        <f>Variables!$D$15</f>
        <v>10.755760368663594</v>
      </c>
      <c r="Q41" s="175">
        <f t="shared" si="5"/>
        <v>5360.9253004058119</v>
      </c>
      <c r="R41" s="172">
        <f>Variables!$D$14</f>
        <v>5.2703140174813869</v>
      </c>
      <c r="S41" s="175">
        <f t="shared" si="6"/>
        <v>1587.2858279811546</v>
      </c>
      <c r="T41" s="217">
        <f>Variables!$D$18</f>
        <v>5.032</v>
      </c>
      <c r="U41" s="177">
        <f t="shared" si="7"/>
        <v>2508.0677875862571</v>
      </c>
    </row>
    <row r="42" spans="1:21" ht="15.75" customHeight="1" x14ac:dyDescent="0.35">
      <c r="A42" s="11">
        <v>19</v>
      </c>
      <c r="B42" s="13" t="s">
        <v>52</v>
      </c>
      <c r="C42" s="13">
        <v>2020</v>
      </c>
      <c r="D42" s="16">
        <f>Population!E20</f>
        <v>25946.272485471396</v>
      </c>
      <c r="E42" s="98">
        <f t="shared" si="11"/>
        <v>3.93</v>
      </c>
      <c r="F42" s="16">
        <f t="shared" si="0"/>
        <v>6602.1049581352154</v>
      </c>
      <c r="G42" s="16" t="str">
        <f t="shared" si="1"/>
        <v>Small</v>
      </c>
      <c r="H42" s="17"/>
      <c r="I42" s="121">
        <f>Variables!$B$3*POWER(SUM(1,Variables!$B$2/100),C42-2017)</f>
        <v>33020.770560969984</v>
      </c>
      <c r="J42" s="42">
        <f t="shared" si="2"/>
        <v>487.118587992225</v>
      </c>
      <c r="K42" s="43">
        <f>VLOOKUP(A42,'Waste per capita'!$A$2:$F$21,6,FALSE)*(J42/J22)</f>
        <v>281.45091532601595</v>
      </c>
      <c r="L42" s="219">
        <f t="shared" si="3"/>
        <v>7302.6021403341474</v>
      </c>
      <c r="M42" s="45">
        <f>1</f>
        <v>1</v>
      </c>
      <c r="N42" s="135">
        <f t="shared" si="4"/>
        <v>7302.6021403341474</v>
      </c>
      <c r="P42" s="136">
        <f>Variables!$D$15</f>
        <v>10.755760368663594</v>
      </c>
      <c r="Q42" s="175">
        <f t="shared" si="5"/>
        <v>78545.038689123961</v>
      </c>
      <c r="R42" s="172">
        <f>Variables!$D$14</f>
        <v>5.2703140174813869</v>
      </c>
      <c r="S42" s="175">
        <f t="shared" si="6"/>
        <v>34795.166305743391</v>
      </c>
      <c r="T42" s="217">
        <f>Variables!$D$18</f>
        <v>5.032</v>
      </c>
      <c r="U42" s="177">
        <f t="shared" si="7"/>
        <v>36746.693970161432</v>
      </c>
    </row>
    <row r="43" spans="1:21" ht="15.75" customHeight="1" x14ac:dyDescent="0.35">
      <c r="A43" s="11">
        <v>20</v>
      </c>
      <c r="B43" s="13" t="s">
        <v>53</v>
      </c>
      <c r="C43" s="13">
        <v>2020</v>
      </c>
      <c r="D43" s="16">
        <f>Population!E21</f>
        <v>3015.7407779429573</v>
      </c>
      <c r="E43" s="98">
        <f t="shared" si="11"/>
        <v>3.94</v>
      </c>
      <c r="F43" s="16">
        <f t="shared" si="0"/>
        <v>765.41644110227344</v>
      </c>
      <c r="G43" s="16" t="str">
        <f t="shared" si="1"/>
        <v>Small</v>
      </c>
      <c r="H43" s="17"/>
      <c r="I43" s="121">
        <f>Variables!$B$3*POWER(SUM(1,Variables!$B$2/100),C43-2017)</f>
        <v>33020.770560969984</v>
      </c>
      <c r="J43" s="42">
        <f t="shared" si="2"/>
        <v>487.118587992225</v>
      </c>
      <c r="K43" s="43">
        <f>VLOOKUP(A43,'Waste per capita'!$A$2:$F$21,6,FALSE)*(J43/J23)</f>
        <v>281.45091532601595</v>
      </c>
      <c r="L43" s="219">
        <f t="shared" si="3"/>
        <v>848.78300233803668</v>
      </c>
      <c r="M43" s="45">
        <f>1</f>
        <v>1</v>
      </c>
      <c r="N43" s="135">
        <f t="shared" si="4"/>
        <v>848.78300233803668</v>
      </c>
      <c r="P43" s="136">
        <f>Variables!$D$15</f>
        <v>10.755760368663594</v>
      </c>
      <c r="Q43" s="175">
        <f t="shared" si="5"/>
        <v>9129.306578142754</v>
      </c>
      <c r="R43" s="172">
        <f>Variables!$D$14</f>
        <v>5.2703140174813869</v>
      </c>
      <c r="S43" s="175">
        <f t="shared" si="6"/>
        <v>4033.9849987520283</v>
      </c>
      <c r="T43" s="217">
        <f>Variables!$D$18</f>
        <v>5.032</v>
      </c>
      <c r="U43" s="177">
        <f t="shared" si="7"/>
        <v>4271.0760677650005</v>
      </c>
    </row>
    <row r="44" spans="1:21" ht="15.75" customHeight="1" x14ac:dyDescent="0.35">
      <c r="A44" s="11">
        <v>1</v>
      </c>
      <c r="B44" s="12" t="s">
        <v>23</v>
      </c>
      <c r="C44" s="13">
        <v>2021</v>
      </c>
      <c r="D44" s="16">
        <f>Population!F2</f>
        <v>669107.93082351983</v>
      </c>
      <c r="E44" s="98">
        <f t="shared" si="11"/>
        <v>4.17</v>
      </c>
      <c r="F44" s="16">
        <f t="shared" si="0"/>
        <v>160457.53736775057</v>
      </c>
      <c r="G44" s="16" t="str">
        <f t="shared" si="1"/>
        <v>Medium</v>
      </c>
      <c r="H44" s="17"/>
      <c r="I44" s="121">
        <f>Variables!$B$3*POWER(SUM(1,Variables!$B$2/100),C44-2017)</f>
        <v>34803.892171262363</v>
      </c>
      <c r="J44" s="42">
        <f t="shared" si="2"/>
        <v>497.43984276292031</v>
      </c>
      <c r="K44" s="43">
        <f>VLOOKUP(A44,'Waste per capita'!$A$2:$F$21,6,FALSE)*(J44/J24)</f>
        <v>341.65883832777774</v>
      </c>
      <c r="L44" s="219">
        <f t="shared" si="3"/>
        <v>228606.63836106684</v>
      </c>
      <c r="M44" s="45">
        <f>1</f>
        <v>1</v>
      </c>
      <c r="N44" s="135">
        <f t="shared" si="4"/>
        <v>228606.63836106684</v>
      </c>
      <c r="P44" s="136">
        <f>Variables!$D$15</f>
        <v>10.755760368663594</v>
      </c>
      <c r="Q44" s="175">
        <f t="shared" si="5"/>
        <v>2458838.2208973733</v>
      </c>
      <c r="R44" s="172">
        <f>Variables!$D$14</f>
        <v>5.2703140174813869</v>
      </c>
      <c r="S44" s="175">
        <f t="shared" si="6"/>
        <v>845661.60839979933</v>
      </c>
      <c r="T44" s="217">
        <f>Variables!$D$18</f>
        <v>5.032</v>
      </c>
      <c r="U44" s="177">
        <f t="shared" si="7"/>
        <v>1150348.6042328884</v>
      </c>
    </row>
    <row r="45" spans="1:21" ht="15.75" customHeight="1" x14ac:dyDescent="0.35">
      <c r="A45" s="11">
        <v>2</v>
      </c>
      <c r="B45" s="12" t="s">
        <v>26</v>
      </c>
      <c r="C45" s="13">
        <v>2021</v>
      </c>
      <c r="D45" s="16">
        <f>Population!F3</f>
        <v>463640.95568600891</v>
      </c>
      <c r="E45" s="98">
        <f t="shared" si="11"/>
        <v>4.29</v>
      </c>
      <c r="F45" s="16">
        <f t="shared" si="0"/>
        <v>108074.81484522352</v>
      </c>
      <c r="G45" s="16" t="str">
        <f t="shared" si="1"/>
        <v>Medium</v>
      </c>
      <c r="H45" s="17"/>
      <c r="I45" s="121">
        <f>Variables!$B$3*POWER(SUM(1,Variables!$B$2/100),C45-2017)</f>
        <v>34803.892171262363</v>
      </c>
      <c r="J45" s="42">
        <f t="shared" si="2"/>
        <v>497.43984276292031</v>
      </c>
      <c r="K45" s="43">
        <f>VLOOKUP(A45,'Waste per capita'!$A$2:$F$21,6,FALSE)*(J45/J25)</f>
        <v>341.65883832777774</v>
      </c>
      <c r="L45" s="219">
        <f t="shared" si="3"/>
        <v>158407.03032086248</v>
      </c>
      <c r="M45" s="45">
        <f>1</f>
        <v>1</v>
      </c>
      <c r="N45" s="135">
        <f t="shared" si="4"/>
        <v>158407.03032086248</v>
      </c>
      <c r="P45" s="136">
        <f>Variables!$D$15</f>
        <v>10.755760368663594</v>
      </c>
      <c r="Q45" s="175">
        <f t="shared" si="5"/>
        <v>1703788.058842825</v>
      </c>
      <c r="R45" s="172">
        <f>Variables!$D$14</f>
        <v>5.2703140174813869</v>
      </c>
      <c r="S45" s="175">
        <f t="shared" si="6"/>
        <v>569588.211615487</v>
      </c>
      <c r="T45" s="217">
        <f>Variables!$D$18</f>
        <v>5.032</v>
      </c>
      <c r="U45" s="177">
        <f t="shared" si="7"/>
        <v>797104.17657458002</v>
      </c>
    </row>
    <row r="46" spans="1:21" ht="15.75" customHeight="1" x14ac:dyDescent="0.35">
      <c r="A46" s="11">
        <v>3</v>
      </c>
      <c r="B46" s="12" t="s">
        <v>28</v>
      </c>
      <c r="C46" s="13">
        <v>2021</v>
      </c>
      <c r="D46" s="16">
        <f>Population!F4</f>
        <v>332017.5283963657</v>
      </c>
      <c r="E46" s="98">
        <f t="shared" si="11"/>
        <v>4.8600000000000003</v>
      </c>
      <c r="F46" s="16">
        <f t="shared" si="0"/>
        <v>68316.363867564956</v>
      </c>
      <c r="G46" s="16" t="str">
        <f t="shared" si="1"/>
        <v>Medium</v>
      </c>
      <c r="H46" s="17"/>
      <c r="I46" s="121">
        <f>Variables!$B$3*POWER(SUM(1,Variables!$B$2/100),C46-2017)</f>
        <v>34803.892171262363</v>
      </c>
      <c r="J46" s="42">
        <f t="shared" si="2"/>
        <v>497.43984276292031</v>
      </c>
      <c r="K46" s="43">
        <f>VLOOKUP(A46,'Waste per capita'!$A$2:$F$21,6,FALSE)*(J46/J26)</f>
        <v>297.12641913506837</v>
      </c>
      <c r="L46" s="219">
        <f t="shared" si="3"/>
        <v>98651.179302488017</v>
      </c>
      <c r="M46" s="45">
        <f>1</f>
        <v>1</v>
      </c>
      <c r="N46" s="135">
        <f t="shared" si="4"/>
        <v>98651.179302488017</v>
      </c>
      <c r="P46" s="136">
        <f>Variables!$D$15</f>
        <v>10.755760368663594</v>
      </c>
      <c r="Q46" s="175">
        <f t="shared" si="5"/>
        <v>1061068.4446636268</v>
      </c>
      <c r="R46" s="172">
        <f>Variables!$D$14</f>
        <v>5.2703140174813869</v>
      </c>
      <c r="S46" s="175">
        <f t="shared" si="6"/>
        <v>360048.69011458656</v>
      </c>
      <c r="T46" s="217">
        <f>Variables!$D$18</f>
        <v>5.032</v>
      </c>
      <c r="U46" s="177">
        <f t="shared" si="7"/>
        <v>496412.73425011971</v>
      </c>
    </row>
    <row r="47" spans="1:21" ht="15.75" customHeight="1" x14ac:dyDescent="0.35">
      <c r="A47" s="11">
        <v>4</v>
      </c>
      <c r="B47" s="12" t="s">
        <v>30</v>
      </c>
      <c r="C47" s="13">
        <v>2021</v>
      </c>
      <c r="D47" s="16">
        <f>Population!F5</f>
        <v>629416.71556266502</v>
      </c>
      <c r="E47" s="98">
        <f t="shared" si="11"/>
        <v>4.05</v>
      </c>
      <c r="F47" s="16">
        <f t="shared" si="0"/>
        <v>155411.53470683086</v>
      </c>
      <c r="G47" s="16" t="str">
        <f t="shared" si="1"/>
        <v>Medium</v>
      </c>
      <c r="H47" s="17"/>
      <c r="I47" s="121">
        <f>Variables!$B$3*POWER(SUM(1,Variables!$B$2/100),C47-2017)</f>
        <v>34803.892171262363</v>
      </c>
      <c r="J47" s="42">
        <f t="shared" si="2"/>
        <v>497.43984276292031</v>
      </c>
      <c r="K47" s="43">
        <f>VLOOKUP(A47,'Waste per capita'!$A$2:$F$21,6,FALSE)*(J47/J27)</f>
        <v>279.55031960004555</v>
      </c>
      <c r="L47" s="219">
        <f t="shared" si="3"/>
        <v>175953.64399715397</v>
      </c>
      <c r="M47" s="45">
        <f>1</f>
        <v>1</v>
      </c>
      <c r="N47" s="135">
        <f t="shared" si="4"/>
        <v>175953.64399715397</v>
      </c>
      <c r="P47" s="136">
        <f>Variables!$D$15</f>
        <v>10.755760368663594</v>
      </c>
      <c r="Q47" s="175">
        <f t="shared" si="5"/>
        <v>1892515.2308265315</v>
      </c>
      <c r="R47" s="172">
        <f>Variables!$D$14</f>
        <v>5.2703140174813869</v>
      </c>
      <c r="S47" s="175">
        <f t="shared" si="6"/>
        <v>819067.58984370576</v>
      </c>
      <c r="T47" s="217">
        <f>Variables!$D$18</f>
        <v>5.032</v>
      </c>
      <c r="U47" s="177">
        <f t="shared" si="7"/>
        <v>885398.73659367871</v>
      </c>
    </row>
    <row r="48" spans="1:21" ht="15.75" customHeight="1" x14ac:dyDescent="0.35">
      <c r="A48" s="11">
        <v>5</v>
      </c>
      <c r="B48" s="12" t="s">
        <v>31</v>
      </c>
      <c r="C48" s="13">
        <v>2021</v>
      </c>
      <c r="D48" s="16">
        <f>Population!F6</f>
        <v>401036.13438843988</v>
      </c>
      <c r="E48" s="98">
        <f t="shared" si="11"/>
        <v>4.2</v>
      </c>
      <c r="F48" s="16">
        <f t="shared" si="0"/>
        <v>95484.793902009493</v>
      </c>
      <c r="G48" s="16" t="str">
        <f t="shared" si="1"/>
        <v>Medium</v>
      </c>
      <c r="H48" s="17"/>
      <c r="I48" s="121">
        <f>Variables!$B$3*POWER(SUM(1,Variables!$B$2/100),C48-2017)</f>
        <v>34803.892171262363</v>
      </c>
      <c r="J48" s="42">
        <f t="shared" si="2"/>
        <v>497.43984276292031</v>
      </c>
      <c r="K48" s="43">
        <f>VLOOKUP(A48,'Waste per capita'!$A$2:$F$21,6,FALSE)*(J48/J28)</f>
        <v>341.65883832777774</v>
      </c>
      <c r="L48" s="219">
        <f t="shared" si="3"/>
        <v>137017.53980261693</v>
      </c>
      <c r="M48" s="45">
        <f>1</f>
        <v>1</v>
      </c>
      <c r="N48" s="135">
        <f t="shared" si="4"/>
        <v>137017.53980261693</v>
      </c>
      <c r="P48" s="136">
        <f>Variables!$D$15</f>
        <v>10.755760368663594</v>
      </c>
      <c r="Q48" s="175">
        <f t="shared" si="5"/>
        <v>1473727.8244207737</v>
      </c>
      <c r="R48" s="172">
        <f>Variables!$D$14</f>
        <v>5.2703140174813869</v>
      </c>
      <c r="S48" s="175">
        <f t="shared" si="6"/>
        <v>503234.84775808192</v>
      </c>
      <c r="T48" s="217">
        <f>Variables!$D$18</f>
        <v>5.032</v>
      </c>
      <c r="U48" s="177">
        <f t="shared" si="7"/>
        <v>689472.26028676843</v>
      </c>
    </row>
    <row r="49" spans="1:21" ht="15.75" customHeight="1" x14ac:dyDescent="0.35">
      <c r="A49" s="11">
        <v>6</v>
      </c>
      <c r="B49" s="12" t="s">
        <v>32</v>
      </c>
      <c r="C49" s="13">
        <v>2021</v>
      </c>
      <c r="D49" s="16">
        <f>Population!F7</f>
        <v>456791.01805538684</v>
      </c>
      <c r="E49" s="98">
        <f t="shared" si="11"/>
        <v>4.59</v>
      </c>
      <c r="F49" s="16">
        <f t="shared" si="0"/>
        <v>99518.74031707774</v>
      </c>
      <c r="G49" s="16" t="str">
        <f t="shared" si="1"/>
        <v>Medium</v>
      </c>
      <c r="H49" s="17"/>
      <c r="I49" s="121">
        <f>Variables!$B$3*POWER(SUM(1,Variables!$B$2/100),C49-2017)</f>
        <v>34803.892171262363</v>
      </c>
      <c r="J49" s="42">
        <f t="shared" si="2"/>
        <v>497.43984276292031</v>
      </c>
      <c r="K49" s="43">
        <f>VLOOKUP(A49,'Waste per capita'!$A$2:$F$21,6,FALSE)*(J49/J29)</f>
        <v>302.84038873381968</v>
      </c>
      <c r="L49" s="219">
        <f t="shared" si="3"/>
        <v>138334.7694780106</v>
      </c>
      <c r="M49" s="45">
        <f>1</f>
        <v>1</v>
      </c>
      <c r="N49" s="135">
        <f t="shared" si="4"/>
        <v>138334.7694780106</v>
      </c>
      <c r="P49" s="136">
        <f>Variables!$D$15</f>
        <v>10.755760368663594</v>
      </c>
      <c r="Q49" s="175">
        <f t="shared" si="5"/>
        <v>1487895.6311598006</v>
      </c>
      <c r="R49" s="172">
        <f>Variables!$D$14</f>
        <v>5.2703140174813869</v>
      </c>
      <c r="S49" s="175">
        <f t="shared" si="6"/>
        <v>524495.01209518488</v>
      </c>
      <c r="T49" s="217">
        <f>Variables!$D$18</f>
        <v>5.032</v>
      </c>
      <c r="U49" s="177">
        <f t="shared" si="7"/>
        <v>696100.56001334928</v>
      </c>
    </row>
    <row r="50" spans="1:21" ht="15.75" customHeight="1" x14ac:dyDescent="0.35">
      <c r="A50" s="11">
        <v>7</v>
      </c>
      <c r="B50" s="12" t="s">
        <v>33</v>
      </c>
      <c r="C50" s="13">
        <v>2021</v>
      </c>
      <c r="D50" s="16">
        <f>Population!F8</f>
        <v>257405.52061343484</v>
      </c>
      <c r="E50" s="98">
        <f t="shared" si="11"/>
        <v>3.94</v>
      </c>
      <c r="F50" s="16">
        <f t="shared" si="0"/>
        <v>65331.350409501232</v>
      </c>
      <c r="G50" s="16" t="str">
        <f t="shared" si="1"/>
        <v>Medium</v>
      </c>
      <c r="H50" s="17"/>
      <c r="I50" s="121">
        <f>Variables!$B$3*POWER(SUM(1,Variables!$B$2/100),C50-2017)</f>
        <v>34803.892171262363</v>
      </c>
      <c r="J50" s="42">
        <f t="shared" si="2"/>
        <v>497.43984276292031</v>
      </c>
      <c r="K50" s="43">
        <f>VLOOKUP(A50,'Waste per capita'!$A$2:$F$21,6,FALSE)*(J50/J30)</f>
        <v>417.11978070884595</v>
      </c>
      <c r="L50" s="219">
        <f t="shared" si="3"/>
        <v>107368.93431152226</v>
      </c>
      <c r="M50" s="45">
        <f>1</f>
        <v>1</v>
      </c>
      <c r="N50" s="135">
        <f t="shared" si="4"/>
        <v>107368.93431152226</v>
      </c>
      <c r="P50" s="136">
        <f>Variables!$D$15</f>
        <v>10.755760368663594</v>
      </c>
      <c r="Q50" s="175">
        <f t="shared" si="5"/>
        <v>1154834.5284935159</v>
      </c>
      <c r="R50" s="172">
        <f>Variables!$D$14</f>
        <v>5.2703140174813869</v>
      </c>
      <c r="S50" s="175">
        <f t="shared" si="6"/>
        <v>344316.73184418271</v>
      </c>
      <c r="T50" s="217">
        <f>Variables!$D$18</f>
        <v>5.032</v>
      </c>
      <c r="U50" s="177">
        <f t="shared" si="7"/>
        <v>540280.47745558002</v>
      </c>
    </row>
    <row r="51" spans="1:21" ht="15.75" customHeight="1" x14ac:dyDescent="0.35">
      <c r="A51" s="11">
        <v>8</v>
      </c>
      <c r="B51" s="11" t="s">
        <v>36</v>
      </c>
      <c r="C51" s="13">
        <v>2021</v>
      </c>
      <c r="D51" s="16">
        <f>Population!F9</f>
        <v>853992.64121379878</v>
      </c>
      <c r="E51" s="98">
        <f t="shared" si="11"/>
        <v>4.04</v>
      </c>
      <c r="F51" s="16">
        <f t="shared" si="0"/>
        <v>211384.3171321284</v>
      </c>
      <c r="G51" s="16" t="str">
        <f t="shared" si="1"/>
        <v>Medium</v>
      </c>
      <c r="H51" s="17"/>
      <c r="I51" s="121">
        <f>Variables!$B$3*POWER(SUM(1,Variables!$B$2/100),C51-2017)</f>
        <v>34803.892171262363</v>
      </c>
      <c r="J51" s="42">
        <f t="shared" si="2"/>
        <v>497.43984276292031</v>
      </c>
      <c r="K51" s="43">
        <f>VLOOKUP(A51,'Waste per capita'!$A$2:$F$21,6,FALSE)*(J51/J31)</f>
        <v>308.55435833257104</v>
      </c>
      <c r="L51" s="219">
        <f t="shared" si="3"/>
        <v>263503.15143046126</v>
      </c>
      <c r="M51" s="45">
        <f>1</f>
        <v>1</v>
      </c>
      <c r="N51" s="135">
        <f t="shared" si="4"/>
        <v>263503.15143046126</v>
      </c>
      <c r="P51" s="136">
        <f>Variables!$D$15</f>
        <v>10.755760368663594</v>
      </c>
      <c r="Q51" s="175">
        <f t="shared" si="5"/>
        <v>2834176.7531737168</v>
      </c>
      <c r="R51" s="172">
        <f>Variables!$D$14</f>
        <v>5.2703140174813869</v>
      </c>
      <c r="S51" s="175">
        <f t="shared" si="6"/>
        <v>1114061.7296571871</v>
      </c>
      <c r="T51" s="217">
        <f>Variables!$D$18</f>
        <v>5.032</v>
      </c>
      <c r="U51" s="177">
        <f t="shared" si="7"/>
        <v>1325947.857998081</v>
      </c>
    </row>
    <row r="52" spans="1:21" ht="15.75" customHeight="1" x14ac:dyDescent="0.35">
      <c r="A52" s="11">
        <v>9</v>
      </c>
      <c r="B52" s="12" t="s">
        <v>38</v>
      </c>
      <c r="C52" s="13">
        <v>2021</v>
      </c>
      <c r="D52" s="16">
        <f>Population!F10</f>
        <v>14997.949475877851</v>
      </c>
      <c r="E52" s="98">
        <f t="shared" si="11"/>
        <v>4.26</v>
      </c>
      <c r="F52" s="16">
        <f t="shared" si="0"/>
        <v>3520.645416872735</v>
      </c>
      <c r="G52" s="16" t="str">
        <f t="shared" si="1"/>
        <v>Small</v>
      </c>
      <c r="H52" s="17"/>
      <c r="I52" s="121">
        <f>Variables!$B$3*POWER(SUM(1,Variables!$B$2/100),C52-2017)</f>
        <v>34803.892171262363</v>
      </c>
      <c r="J52" s="42">
        <f t="shared" si="2"/>
        <v>497.43984276292031</v>
      </c>
      <c r="K52" s="43">
        <f>VLOOKUP(A52,'Waste per capita'!$A$2:$F$21,6,FALSE)*(J52/J32)</f>
        <v>281.42061825756718</v>
      </c>
      <c r="L52" s="219">
        <f t="shared" si="3"/>
        <v>4220.7322140973001</v>
      </c>
      <c r="M52" s="45">
        <f>1</f>
        <v>1</v>
      </c>
      <c r="N52" s="135">
        <f t="shared" si="4"/>
        <v>4220.7322140973001</v>
      </c>
      <c r="P52" s="136">
        <f>Variables!$D$15</f>
        <v>10.755760368663594</v>
      </c>
      <c r="Q52" s="175">
        <f t="shared" si="5"/>
        <v>45397.184275129483</v>
      </c>
      <c r="R52" s="172">
        <f>Variables!$D$14</f>
        <v>5.2703140174813869</v>
      </c>
      <c r="S52" s="175">
        <f t="shared" si="6"/>
        <v>18554.906891125978</v>
      </c>
      <c r="T52" s="217">
        <f>Variables!$D$18</f>
        <v>5.032</v>
      </c>
      <c r="U52" s="177">
        <f t="shared" si="7"/>
        <v>21238.724501337616</v>
      </c>
    </row>
    <row r="53" spans="1:21" ht="15.75" customHeight="1" x14ac:dyDescent="0.35">
      <c r="A53" s="11">
        <v>10</v>
      </c>
      <c r="B53" s="12" t="s">
        <v>40</v>
      </c>
      <c r="C53" s="13">
        <v>2021</v>
      </c>
      <c r="D53" s="16">
        <f>Population!F11</f>
        <v>586804.83331888425</v>
      </c>
      <c r="E53" s="98">
        <f t="shared" si="11"/>
        <v>5.88</v>
      </c>
      <c r="F53" s="16">
        <f t="shared" si="0"/>
        <v>99796.740360354466</v>
      </c>
      <c r="G53" s="16" t="str">
        <f t="shared" si="1"/>
        <v>Medium</v>
      </c>
      <c r="H53" s="17"/>
      <c r="I53" s="121">
        <f>Variables!$B$3*POWER(SUM(1,Variables!$B$2/100),C53-2017)</f>
        <v>34803.892171262363</v>
      </c>
      <c r="J53" s="42">
        <f t="shared" si="2"/>
        <v>497.43984276292031</v>
      </c>
      <c r="K53" s="43">
        <f>VLOOKUP(A53,'Waste per capita'!$A$2:$F$21,6,FALSE)*(J53/J33)</f>
        <v>341.65883832777774</v>
      </c>
      <c r="L53" s="219">
        <f t="shared" si="3"/>
        <v>200487.05767685524</v>
      </c>
      <c r="M53" s="45">
        <f>1</f>
        <v>1</v>
      </c>
      <c r="N53" s="135">
        <f t="shared" si="4"/>
        <v>200487.05767685524</v>
      </c>
      <c r="P53" s="136">
        <f>Variables!$D$15</f>
        <v>10.755760368663594</v>
      </c>
      <c r="Q53" s="175">
        <f t="shared" si="5"/>
        <v>2156390.749390692</v>
      </c>
      <c r="R53" s="172">
        <f>Variables!$D$14</f>
        <v>5.2703140174813869</v>
      </c>
      <c r="S53" s="175">
        <f t="shared" si="6"/>
        <v>525960.15962012659</v>
      </c>
      <c r="T53" s="217">
        <f>Variables!$D$18</f>
        <v>5.032</v>
      </c>
      <c r="U53" s="177">
        <f t="shared" si="7"/>
        <v>1008850.8742299356</v>
      </c>
    </row>
    <row r="54" spans="1:21" ht="15.75" customHeight="1" x14ac:dyDescent="0.35">
      <c r="A54" s="11">
        <v>11</v>
      </c>
      <c r="B54" s="12" t="s">
        <v>42</v>
      </c>
      <c r="C54" s="13">
        <v>2021</v>
      </c>
      <c r="D54" s="16">
        <f>Population!F12</f>
        <v>777049.29214138573</v>
      </c>
      <c r="E54" s="98">
        <f t="shared" si="11"/>
        <v>4.47</v>
      </c>
      <c r="F54" s="16">
        <f t="shared" si="0"/>
        <v>173836.5306803995</v>
      </c>
      <c r="G54" s="16" t="str">
        <f t="shared" si="1"/>
        <v>Medium</v>
      </c>
      <c r="H54" s="17"/>
      <c r="I54" s="121">
        <f>Variables!$B$3*POWER(SUM(1,Variables!$B$2/100),C54-2017)</f>
        <v>34803.892171262363</v>
      </c>
      <c r="J54" s="42">
        <f t="shared" si="2"/>
        <v>497.43984276292031</v>
      </c>
      <c r="K54" s="43">
        <f>VLOOKUP(A54,'Waste per capita'!$A$2:$F$21,6,FALSE)*(J54/J34)</f>
        <v>442.89146479879423</v>
      </c>
      <c r="L54" s="219">
        <f t="shared" si="3"/>
        <v>344148.49921736447</v>
      </c>
      <c r="M54" s="45">
        <f>1</f>
        <v>1</v>
      </c>
      <c r="N54" s="135">
        <f t="shared" si="4"/>
        <v>344148.49921736447</v>
      </c>
      <c r="P54" s="136">
        <f>Variables!$D$15</f>
        <v>10.755760368663594</v>
      </c>
      <c r="Q54" s="175">
        <f t="shared" si="5"/>
        <v>3701578.7888171826</v>
      </c>
      <c r="R54" s="172">
        <f>Variables!$D$14</f>
        <v>5.2703140174813869</v>
      </c>
      <c r="S54" s="175">
        <f t="shared" si="6"/>
        <v>916173.10439524264</v>
      </c>
      <c r="T54" s="217">
        <f>Variables!$D$18</f>
        <v>5.032</v>
      </c>
      <c r="U54" s="177">
        <f t="shared" si="7"/>
        <v>1731755.248061778</v>
      </c>
    </row>
    <row r="55" spans="1:21" ht="15.75" customHeight="1" x14ac:dyDescent="0.35">
      <c r="A55" s="11">
        <v>12</v>
      </c>
      <c r="B55" s="12" t="s">
        <v>44</v>
      </c>
      <c r="C55" s="13">
        <v>2021</v>
      </c>
      <c r="D55" s="16">
        <f>Population!F13</f>
        <v>575335.04955838085</v>
      </c>
      <c r="E55" s="98">
        <f t="shared" si="11"/>
        <v>3.93</v>
      </c>
      <c r="F55" s="16">
        <f t="shared" si="0"/>
        <v>146395.68691052948</v>
      </c>
      <c r="G55" s="16" t="str">
        <f t="shared" si="1"/>
        <v>Medium</v>
      </c>
      <c r="H55" s="17"/>
      <c r="I55" s="121">
        <f>Variables!$B$3*POWER(SUM(1,Variables!$B$2/100),C55-2017)</f>
        <v>34803.892171262363</v>
      </c>
      <c r="J55" s="42">
        <f t="shared" si="2"/>
        <v>497.43984276292031</v>
      </c>
      <c r="K55" s="43">
        <f>VLOOKUP(A55,'Waste per capita'!$A$2:$F$21,6,FALSE)*(J55/J35)</f>
        <v>281.42061825756718</v>
      </c>
      <c r="L55" s="219">
        <f t="shared" si="3"/>
        <v>161911.1453519676</v>
      </c>
      <c r="M55" s="45">
        <f>1</f>
        <v>1</v>
      </c>
      <c r="N55" s="135">
        <f t="shared" si="4"/>
        <v>161911.1453519676</v>
      </c>
      <c r="P55" s="136">
        <f>Variables!$D$15</f>
        <v>10.755760368663594</v>
      </c>
      <c r="Q55" s="175">
        <f t="shared" si="5"/>
        <v>1741477.4804216239</v>
      </c>
      <c r="R55" s="172">
        <f>Variables!$D$14</f>
        <v>5.2703140174813869</v>
      </c>
      <c r="S55" s="175">
        <f t="shared" si="6"/>
        <v>771551.24082337983</v>
      </c>
      <c r="T55" s="217">
        <f>Variables!$D$18</f>
        <v>5.032</v>
      </c>
      <c r="U55" s="177">
        <f t="shared" si="7"/>
        <v>814736.88341110095</v>
      </c>
    </row>
    <row r="56" spans="1:21" ht="15.75" customHeight="1" x14ac:dyDescent="0.35">
      <c r="A56" s="11">
        <v>13</v>
      </c>
      <c r="B56" s="12" t="s">
        <v>45</v>
      </c>
      <c r="C56" s="13">
        <v>2021</v>
      </c>
      <c r="D56" s="16">
        <f>Population!F14</f>
        <v>438168.8453722517</v>
      </c>
      <c r="E56" s="98">
        <f t="shared" si="11"/>
        <v>4.78</v>
      </c>
      <c r="F56" s="16">
        <f t="shared" si="0"/>
        <v>91667.122462814164</v>
      </c>
      <c r="G56" s="16" t="str">
        <f t="shared" si="1"/>
        <v>Medium</v>
      </c>
      <c r="H56" s="17"/>
      <c r="I56" s="121">
        <f>Variables!$B$3*POWER(SUM(1,Variables!$B$2/100),C56-2017)</f>
        <v>34803.892171262363</v>
      </c>
      <c r="J56" s="42">
        <f t="shared" si="2"/>
        <v>497.43984276292031</v>
      </c>
      <c r="K56" s="43">
        <f>VLOOKUP(A56,'Waste per capita'!$A$2:$F$21,6,FALSE)*(J56/J36)</f>
        <v>341.65883832777774</v>
      </c>
      <c r="L56" s="219">
        <f t="shared" si="3"/>
        <v>149704.25870130718</v>
      </c>
      <c r="M56" s="45">
        <f>1</f>
        <v>1</v>
      </c>
      <c r="N56" s="135">
        <f t="shared" si="4"/>
        <v>149704.25870130718</v>
      </c>
      <c r="P56" s="136">
        <f>Variables!$D$15</f>
        <v>10.755760368663594</v>
      </c>
      <c r="Q56" s="175">
        <f t="shared" si="5"/>
        <v>1610183.1327596817</v>
      </c>
      <c r="R56" s="172">
        <f>Variables!$D$14</f>
        <v>5.2703140174813869</v>
      </c>
      <c r="S56" s="175">
        <f t="shared" si="6"/>
        <v>483114.5204579524</v>
      </c>
      <c r="T56" s="217">
        <f>Variables!$D$18</f>
        <v>5.032</v>
      </c>
      <c r="U56" s="177">
        <f t="shared" si="7"/>
        <v>753311.82978497772</v>
      </c>
    </row>
    <row r="57" spans="1:21" ht="15.75" customHeight="1" x14ac:dyDescent="0.35">
      <c r="A57" s="11">
        <v>14</v>
      </c>
      <c r="B57" s="12" t="s">
        <v>46</v>
      </c>
      <c r="C57" s="13">
        <v>2021</v>
      </c>
      <c r="D57" s="16">
        <f>Population!F15</f>
        <v>2062315.4084993019</v>
      </c>
      <c r="E57" s="98">
        <f t="shared" si="11"/>
        <v>3.72</v>
      </c>
      <c r="F57" s="16">
        <f t="shared" si="0"/>
        <v>554385.86249981227</v>
      </c>
      <c r="G57" s="16" t="str">
        <f t="shared" si="1"/>
        <v>Large</v>
      </c>
      <c r="H57" s="17"/>
      <c r="I57" s="121">
        <f>Variables!$B$3*POWER(SUM(1,Variables!$B$2/100),C57-2017)</f>
        <v>34803.892171262363</v>
      </c>
      <c r="J57" s="42">
        <f t="shared" si="2"/>
        <v>497.43984276292031</v>
      </c>
      <c r="K57" s="43">
        <f>VLOOKUP(A57,'Waste per capita'!$A$2:$F$21,6,FALSE)*(J57/J37)</f>
        <v>737.1020782389196</v>
      </c>
      <c r="L57" s="219">
        <f t="shared" si="3"/>
        <v>1520136.9735889819</v>
      </c>
      <c r="M57" s="45">
        <f>1</f>
        <v>1</v>
      </c>
      <c r="N57" s="135">
        <f t="shared" si="4"/>
        <v>1520136.9735889819</v>
      </c>
      <c r="P57" s="136">
        <f>Variables!$D$15</f>
        <v>10.755760368663594</v>
      </c>
      <c r="Q57" s="175">
        <f t="shared" si="5"/>
        <v>16350229.015468588</v>
      </c>
      <c r="R57" s="172">
        <f>Variables!$D$14</f>
        <v>5.2703140174813869</v>
      </c>
      <c r="S57" s="175">
        <f t="shared" si="6"/>
        <v>2921787.5822262694</v>
      </c>
      <c r="T57" s="217">
        <f>Variables!$D$18</f>
        <v>5.032</v>
      </c>
      <c r="U57" s="177">
        <f t="shared" si="7"/>
        <v>7649329.2510997569</v>
      </c>
    </row>
    <row r="58" spans="1:21" ht="15.75" customHeight="1" x14ac:dyDescent="0.35">
      <c r="A58" s="11">
        <v>15</v>
      </c>
      <c r="B58" s="12" t="s">
        <v>47</v>
      </c>
      <c r="C58" s="13">
        <v>2021</v>
      </c>
      <c r="D58" s="16">
        <f>Population!F16</f>
        <v>89211.448474916149</v>
      </c>
      <c r="E58" s="98">
        <f t="shared" si="11"/>
        <v>4.72</v>
      </c>
      <c r="F58" s="16">
        <f t="shared" si="0"/>
        <v>18900.730609092407</v>
      </c>
      <c r="G58" s="16" t="str">
        <f t="shared" si="1"/>
        <v>Small</v>
      </c>
      <c r="H58" s="17"/>
      <c r="I58" s="121">
        <f>Variables!$B$3*POWER(SUM(1,Variables!$B$2/100),C58-2017)</f>
        <v>34803.892171262363</v>
      </c>
      <c r="J58" s="42">
        <f t="shared" si="2"/>
        <v>497.43984276292031</v>
      </c>
      <c r="K58" s="43">
        <f>VLOOKUP(A58,'Waste per capita'!$A$2:$F$21,6,FALSE)*(J58/J38)</f>
        <v>281.42061825756718</v>
      </c>
      <c r="L58" s="219">
        <f t="shared" si="3"/>
        <v>25105.940985464003</v>
      </c>
      <c r="M58" s="45">
        <f>1</f>
        <v>1</v>
      </c>
      <c r="N58" s="135">
        <f t="shared" si="4"/>
        <v>25105.940985464003</v>
      </c>
      <c r="P58" s="136">
        <f>Variables!$D$15</f>
        <v>10.755760368663594</v>
      </c>
      <c r="Q58" s="175">
        <f t="shared" si="5"/>
        <v>270033.48506946076</v>
      </c>
      <c r="R58" s="172">
        <f>Variables!$D$14</f>
        <v>5.2703140174813869</v>
      </c>
      <c r="S58" s="175">
        <f t="shared" si="6"/>
        <v>99612.785469739218</v>
      </c>
      <c r="T58" s="217">
        <f>Variables!$D$18</f>
        <v>5.032</v>
      </c>
      <c r="U58" s="177">
        <f t="shared" si="7"/>
        <v>126333.09503885487</v>
      </c>
    </row>
    <row r="59" spans="1:21" ht="15.75" customHeight="1" x14ac:dyDescent="0.35">
      <c r="A59" s="11">
        <v>16</v>
      </c>
      <c r="B59" s="12" t="s">
        <v>48</v>
      </c>
      <c r="C59" s="13">
        <v>2021</v>
      </c>
      <c r="D59" s="16">
        <f>Population!F17</f>
        <v>88737.651386574842</v>
      </c>
      <c r="E59" s="98">
        <f t="shared" si="11"/>
        <v>3.45</v>
      </c>
      <c r="F59" s="16">
        <f t="shared" si="0"/>
        <v>25721.058372920244</v>
      </c>
      <c r="G59" s="16" t="str">
        <f t="shared" si="1"/>
        <v>Small</v>
      </c>
      <c r="H59" s="17"/>
      <c r="I59" s="121">
        <f>Variables!$B$3*POWER(SUM(1,Variables!$B$2/100),C59-2017)</f>
        <v>34803.892171262363</v>
      </c>
      <c r="J59" s="42">
        <f t="shared" si="2"/>
        <v>497.43984276292031</v>
      </c>
      <c r="K59" s="43">
        <f>VLOOKUP(A59,'Waste per capita'!$A$2:$F$21,6,FALSE)*(J59/J39)</f>
        <v>281.42061825756718</v>
      </c>
      <c r="L59" s="219">
        <f t="shared" si="3"/>
        <v>24972.604715934354</v>
      </c>
      <c r="M59" s="45">
        <f>1</f>
        <v>1</v>
      </c>
      <c r="N59" s="135">
        <f t="shared" si="4"/>
        <v>24972.604715934354</v>
      </c>
      <c r="P59" s="136">
        <f>Variables!$D$15</f>
        <v>10.755760368663594</v>
      </c>
      <c r="Q59" s="175">
        <f t="shared" si="5"/>
        <v>268599.35210594832</v>
      </c>
      <c r="R59" s="172">
        <f>Variables!$D$14</f>
        <v>5.2703140174813869</v>
      </c>
      <c r="S59" s="175">
        <f t="shared" si="6"/>
        <v>135558.05448725855</v>
      </c>
      <c r="T59" s="217">
        <f>Variables!$D$18</f>
        <v>5.032</v>
      </c>
      <c r="U59" s="177">
        <f t="shared" si="7"/>
        <v>125662.14693058167</v>
      </c>
    </row>
    <row r="60" spans="1:21" ht="15.75" customHeight="1" x14ac:dyDescent="0.35">
      <c r="A60" s="11">
        <v>17</v>
      </c>
      <c r="B60" s="13" t="s">
        <v>49</v>
      </c>
      <c r="C60" s="13">
        <v>2021</v>
      </c>
      <c r="D60" s="16">
        <f>Population!F18</f>
        <v>22268.463152041244</v>
      </c>
      <c r="E60" s="98">
        <f t="shared" si="11"/>
        <v>4.78</v>
      </c>
      <c r="F60" s="16">
        <f t="shared" si="0"/>
        <v>4658.6742995902177</v>
      </c>
      <c r="G60" s="16" t="str">
        <f t="shared" si="1"/>
        <v>Small</v>
      </c>
      <c r="H60" s="17"/>
      <c r="I60" s="121">
        <f>Variables!$B$3*POWER(SUM(1,Variables!$B$2/100),C60-2017)</f>
        <v>34803.892171262363</v>
      </c>
      <c r="J60" s="42">
        <f t="shared" si="2"/>
        <v>497.43984276292031</v>
      </c>
      <c r="K60" s="43">
        <f>VLOOKUP(A60,'Waste per capita'!$A$2:$F$21,6,FALSE)*(J60/J40)</f>
        <v>281.42061825756718</v>
      </c>
      <c r="L60" s="219">
        <f t="shared" si="3"/>
        <v>6266.8046678932997</v>
      </c>
      <c r="M60" s="45">
        <f>1</f>
        <v>1</v>
      </c>
      <c r="N60" s="135">
        <f t="shared" si="4"/>
        <v>6266.8046678932997</v>
      </c>
      <c r="P60" s="136">
        <f>Variables!$D$15</f>
        <v>10.755760368663594</v>
      </c>
      <c r="Q60" s="175">
        <f t="shared" si="5"/>
        <v>67404.249285082769</v>
      </c>
      <c r="R60" s="172">
        <f>Variables!$D$14</f>
        <v>5.2703140174813869</v>
      </c>
      <c r="S60" s="175">
        <f t="shared" si="6"/>
        <v>24552.676464010608</v>
      </c>
      <c r="T60" s="217">
        <f>Variables!$D$18</f>
        <v>5.032</v>
      </c>
      <c r="U60" s="177">
        <f t="shared" si="7"/>
        <v>31534.561088839084</v>
      </c>
    </row>
    <row r="61" spans="1:21" ht="15.75" customHeight="1" x14ac:dyDescent="0.35">
      <c r="A61" s="11">
        <v>18</v>
      </c>
      <c r="B61" s="13" t="s">
        <v>51</v>
      </c>
      <c r="C61" s="13">
        <v>2021</v>
      </c>
      <c r="D61" s="16">
        <f>Population!F19</f>
        <v>1813.4096778432886</v>
      </c>
      <c r="E61" s="98">
        <f t="shared" si="11"/>
        <v>5.88</v>
      </c>
      <c r="F61" s="16">
        <f t="shared" si="0"/>
        <v>308.40300643593343</v>
      </c>
      <c r="G61" s="16" t="str">
        <f t="shared" si="1"/>
        <v>Small</v>
      </c>
      <c r="H61" s="17"/>
      <c r="I61" s="121">
        <f>Variables!$B$3*POWER(SUM(1,Variables!$B$2/100),C61-2017)</f>
        <v>34803.892171262363</v>
      </c>
      <c r="J61" s="42">
        <f t="shared" si="2"/>
        <v>497.43984276292031</v>
      </c>
      <c r="K61" s="43">
        <f>VLOOKUP(A61,'Waste per capita'!$A$2:$F$21,6,FALSE)*(J61/J41)</f>
        <v>281.42061825756718</v>
      </c>
      <c r="L61" s="219">
        <f t="shared" si="3"/>
        <v>510.330872692914</v>
      </c>
      <c r="M61" s="45">
        <f>1</f>
        <v>1</v>
      </c>
      <c r="N61" s="135">
        <f t="shared" si="4"/>
        <v>510.330872692914</v>
      </c>
      <c r="P61" s="136">
        <f>Variables!$D$15</f>
        <v>10.755760368663594</v>
      </c>
      <c r="Q61" s="175">
        <f t="shared" si="5"/>
        <v>5488.9965754159502</v>
      </c>
      <c r="R61" s="172">
        <f>Variables!$D$14</f>
        <v>5.2703140174813869</v>
      </c>
      <c r="S61" s="175">
        <f t="shared" si="6"/>
        <v>1625.3806878527023</v>
      </c>
      <c r="T61" s="217">
        <f>Variables!$D$18</f>
        <v>5.032</v>
      </c>
      <c r="U61" s="177">
        <f t="shared" si="7"/>
        <v>2567.9849513907434</v>
      </c>
    </row>
    <row r="62" spans="1:21" ht="15.75" customHeight="1" x14ac:dyDescent="0.35">
      <c r="A62" s="11">
        <v>19</v>
      </c>
      <c r="B62" s="13" t="s">
        <v>52</v>
      </c>
      <c r="C62" s="13">
        <v>2021</v>
      </c>
      <c r="D62" s="16">
        <f>Population!F20</f>
        <v>26568.983025122714</v>
      </c>
      <c r="E62" s="98">
        <f t="shared" si="11"/>
        <v>3.93</v>
      </c>
      <c r="F62" s="16">
        <f t="shared" si="0"/>
        <v>6760.5554771304614</v>
      </c>
      <c r="G62" s="16" t="str">
        <f t="shared" si="1"/>
        <v>Small</v>
      </c>
      <c r="H62" s="17"/>
      <c r="I62" s="121">
        <f>Variables!$B$3*POWER(SUM(1,Variables!$B$2/100),C62-2017)</f>
        <v>34803.892171262363</v>
      </c>
      <c r="J62" s="42">
        <f t="shared" si="2"/>
        <v>497.43984276292031</v>
      </c>
      <c r="K62" s="43">
        <f>VLOOKUP(A62,'Waste per capita'!$A$2:$F$21,6,FALSE)*(J62/J42)</f>
        <v>281.42061825756718</v>
      </c>
      <c r="L62" s="219">
        <f t="shared" si="3"/>
        <v>7477.0596294048419</v>
      </c>
      <c r="M62" s="45">
        <f>1</f>
        <v>1</v>
      </c>
      <c r="N62" s="135">
        <f t="shared" si="4"/>
        <v>7477.0596294048419</v>
      </c>
      <c r="P62" s="136">
        <f>Variables!$D$15</f>
        <v>10.755760368663594</v>
      </c>
      <c r="Q62" s="175">
        <f t="shared" si="5"/>
        <v>80421.4616360871</v>
      </c>
      <c r="R62" s="172">
        <f>Variables!$D$14</f>
        <v>5.2703140174813869</v>
      </c>
      <c r="S62" s="175">
        <f t="shared" si="6"/>
        <v>35630.250297081235</v>
      </c>
      <c r="T62" s="217">
        <f>Variables!$D$18</f>
        <v>5.032</v>
      </c>
      <c r="U62" s="177">
        <f t="shared" si="7"/>
        <v>37624.564055165167</v>
      </c>
    </row>
    <row r="63" spans="1:21" ht="15.75" customHeight="1" x14ac:dyDescent="0.35">
      <c r="A63" s="11">
        <v>20</v>
      </c>
      <c r="B63" s="13" t="s">
        <v>53</v>
      </c>
      <c r="C63" s="13">
        <v>2021</v>
      </c>
      <c r="D63" s="16">
        <f>Population!F21</f>
        <v>3088.1185566135887</v>
      </c>
      <c r="E63" s="98">
        <f t="shared" si="11"/>
        <v>3.94</v>
      </c>
      <c r="F63" s="16">
        <f t="shared" si="0"/>
        <v>783.78643568872815</v>
      </c>
      <c r="G63" s="16" t="str">
        <f t="shared" si="1"/>
        <v>Small</v>
      </c>
      <c r="H63" s="17"/>
      <c r="I63" s="121">
        <f>Variables!$B$3*POWER(SUM(1,Variables!$B$2/100),C63-2017)</f>
        <v>34803.892171262363</v>
      </c>
      <c r="J63" s="42">
        <f t="shared" si="2"/>
        <v>497.43984276292031</v>
      </c>
      <c r="K63" s="43">
        <f>VLOOKUP(A63,'Waste per capita'!$A$2:$F$21,6,FALSE)*(J63/J43)</f>
        <v>281.42061825756718</v>
      </c>
      <c r="L63" s="219">
        <f t="shared" si="3"/>
        <v>869.0602334548621</v>
      </c>
      <c r="M63" s="45">
        <f>1</f>
        <v>1</v>
      </c>
      <c r="N63" s="135">
        <f t="shared" si="4"/>
        <v>869.0602334548621</v>
      </c>
      <c r="P63" s="136">
        <f>Variables!$D$15</f>
        <v>10.755760368663594</v>
      </c>
      <c r="Q63" s="175">
        <f t="shared" si="5"/>
        <v>9347.4036169753363</v>
      </c>
      <c r="R63" s="172">
        <f>Variables!$D$14</f>
        <v>5.2703140174813869</v>
      </c>
      <c r="S63" s="175">
        <f t="shared" si="6"/>
        <v>4130.8006387220776</v>
      </c>
      <c r="T63" s="217">
        <f>Variables!$D$18</f>
        <v>5.032</v>
      </c>
      <c r="U63" s="177">
        <f t="shared" si="7"/>
        <v>4373.111094744866</v>
      </c>
    </row>
    <row r="64" spans="1:21" ht="15.75" customHeight="1" x14ac:dyDescent="0.35">
      <c r="A64" s="11">
        <v>1</v>
      </c>
      <c r="B64" s="12" t="s">
        <v>23</v>
      </c>
      <c r="C64" s="13">
        <v>2022</v>
      </c>
      <c r="D64" s="16">
        <f>Population!G2</f>
        <v>685166.52116328431</v>
      </c>
      <c r="E64" s="98">
        <f t="shared" si="11"/>
        <v>4.17</v>
      </c>
      <c r="F64" s="16">
        <f t="shared" si="0"/>
        <v>164308.51826457659</v>
      </c>
      <c r="G64" s="16" t="str">
        <f t="shared" si="1"/>
        <v>Medium</v>
      </c>
      <c r="H64" s="17"/>
      <c r="I64" s="121">
        <f>Variables!$B$3*POWER(SUM(1,Variables!$B$2/100),C64-2017)</f>
        <v>36683.302348510537</v>
      </c>
      <c r="J64" s="42">
        <f t="shared" si="2"/>
        <v>507.92390228116574</v>
      </c>
      <c r="K64" s="43">
        <f>VLOOKUP(A64,'Waste per capita'!$A$2:$F$21,6,FALSE)*(J64/J44)</f>
        <v>341.62125036352393</v>
      </c>
      <c r="L64" s="219">
        <f t="shared" si="3"/>
        <v>234067.44366702705</v>
      </c>
      <c r="M64" s="45">
        <f>1</f>
        <v>1</v>
      </c>
      <c r="N64" s="135">
        <f t="shared" si="4"/>
        <v>234067.44366702705</v>
      </c>
      <c r="P64" s="136">
        <f>Variables!$D$15</f>
        <v>10.755760368663594</v>
      </c>
      <c r="Q64" s="175">
        <f t="shared" si="5"/>
        <v>2517573.334188208</v>
      </c>
      <c r="R64" s="172">
        <f>Variables!$D$14</f>
        <v>5.2703140174813869</v>
      </c>
      <c r="S64" s="175">
        <f t="shared" si="6"/>
        <v>865957.4870013945</v>
      </c>
      <c r="T64" s="217">
        <f>Variables!$D$18</f>
        <v>5.032</v>
      </c>
      <c r="U64" s="177">
        <f t="shared" si="7"/>
        <v>1177827.3765324801</v>
      </c>
    </row>
    <row r="65" spans="1:21" ht="15.75" customHeight="1" x14ac:dyDescent="0.35">
      <c r="A65" s="11">
        <v>2</v>
      </c>
      <c r="B65" s="12" t="s">
        <v>26</v>
      </c>
      <c r="C65" s="13">
        <v>2022</v>
      </c>
      <c r="D65" s="16">
        <f>Population!G3</f>
        <v>474768.33862247306</v>
      </c>
      <c r="E65" s="98">
        <f t="shared" si="11"/>
        <v>4.29</v>
      </c>
      <c r="F65" s="16">
        <f t="shared" si="0"/>
        <v>110668.61040150888</v>
      </c>
      <c r="G65" s="16" t="str">
        <f t="shared" si="1"/>
        <v>Medium</v>
      </c>
      <c r="H65" s="17"/>
      <c r="I65" s="121">
        <f>Variables!$B$3*POWER(SUM(1,Variables!$B$2/100),C65-2017)</f>
        <v>36683.302348510537</v>
      </c>
      <c r="J65" s="42">
        <f t="shared" si="2"/>
        <v>507.92390228116574</v>
      </c>
      <c r="K65" s="43">
        <f>VLOOKUP(A65,'Waste per capita'!$A$2:$F$21,6,FALSE)*(J65/J45)</f>
        <v>341.62125036352393</v>
      </c>
      <c r="L65" s="219">
        <f t="shared" si="3"/>
        <v>162190.95347322218</v>
      </c>
      <c r="M65" s="45">
        <f>1</f>
        <v>1</v>
      </c>
      <c r="N65" s="135">
        <f t="shared" si="4"/>
        <v>162190.95347322218</v>
      </c>
      <c r="P65" s="136">
        <f>Variables!$D$15</f>
        <v>10.755760368663594</v>
      </c>
      <c r="Q65" s="175">
        <f t="shared" si="5"/>
        <v>1744487.0295230441</v>
      </c>
      <c r="R65" s="172">
        <f>Variables!$D$14</f>
        <v>5.2703140174813869</v>
      </c>
      <c r="S65" s="175">
        <f t="shared" si="6"/>
        <v>583258.3286942587</v>
      </c>
      <c r="T65" s="217">
        <f>Variables!$D$18</f>
        <v>5.032</v>
      </c>
      <c r="U65" s="177">
        <f t="shared" si="7"/>
        <v>816144.87787725404</v>
      </c>
    </row>
    <row r="66" spans="1:21" ht="15.75" customHeight="1" x14ac:dyDescent="0.35">
      <c r="A66" s="11">
        <v>3</v>
      </c>
      <c r="B66" s="12" t="s">
        <v>28</v>
      </c>
      <c r="C66" s="13">
        <v>2022</v>
      </c>
      <c r="D66" s="16">
        <f>Population!G4</f>
        <v>339985.94907787838</v>
      </c>
      <c r="E66" s="98">
        <f t="shared" si="11"/>
        <v>4.8600000000000003</v>
      </c>
      <c r="F66" s="16">
        <f t="shared" si="0"/>
        <v>69955.956600386489</v>
      </c>
      <c r="G66" s="16" t="str">
        <f t="shared" si="1"/>
        <v>Medium</v>
      </c>
      <c r="H66" s="17"/>
      <c r="I66" s="121">
        <f>Variables!$B$3*POWER(SUM(1,Variables!$B$2/100),C66-2017)</f>
        <v>36683.302348510537</v>
      </c>
      <c r="J66" s="42">
        <f t="shared" si="2"/>
        <v>507.92390228116574</v>
      </c>
      <c r="K66" s="43">
        <f>VLOOKUP(A66,'Waste per capita'!$A$2:$F$21,6,FALSE)*(J66/J46)</f>
        <v>297.09373045276772</v>
      </c>
      <c r="L66" s="219">
        <f t="shared" si="3"/>
        <v>101007.69391307161</v>
      </c>
      <c r="M66" s="45">
        <f>1</f>
        <v>1</v>
      </c>
      <c r="N66" s="135">
        <f t="shared" si="4"/>
        <v>101007.69391307161</v>
      </c>
      <c r="P66" s="136">
        <f>Variables!$D$15</f>
        <v>10.755760368663594</v>
      </c>
      <c r="Q66" s="175">
        <f t="shared" si="5"/>
        <v>1086414.5511203185</v>
      </c>
      <c r="R66" s="172">
        <f>Variables!$D$14</f>
        <v>5.2703140174813869</v>
      </c>
      <c r="S66" s="175">
        <f t="shared" si="6"/>
        <v>368689.85867733648</v>
      </c>
      <c r="T66" s="217">
        <f>Variables!$D$18</f>
        <v>5.032</v>
      </c>
      <c r="U66" s="177">
        <f t="shared" si="7"/>
        <v>508270.71577057632</v>
      </c>
    </row>
    <row r="67" spans="1:21" ht="15.75" customHeight="1" x14ac:dyDescent="0.35">
      <c r="A67" s="11">
        <v>4</v>
      </c>
      <c r="B67" s="12" t="s">
        <v>30</v>
      </c>
      <c r="C67" s="13">
        <v>2022</v>
      </c>
      <c r="D67" s="16">
        <f>Population!G5</f>
        <v>644522.71673616895</v>
      </c>
      <c r="E67" s="98">
        <f t="shared" si="11"/>
        <v>4.05</v>
      </c>
      <c r="F67" s="16">
        <f t="shared" si="0"/>
        <v>159141.41153979482</v>
      </c>
      <c r="G67" s="16" t="str">
        <f t="shared" si="1"/>
        <v>Medium</v>
      </c>
      <c r="H67" s="17"/>
      <c r="I67" s="121">
        <f>Variables!$B$3*POWER(SUM(1,Variables!$B$2/100),C67-2017)</f>
        <v>36683.302348510537</v>
      </c>
      <c r="J67" s="42">
        <f t="shared" si="2"/>
        <v>507.92390228116574</v>
      </c>
      <c r="K67" s="43">
        <f>VLOOKUP(A67,'Waste per capita'!$A$2:$F$21,6,FALSE)*(J67/J47)</f>
        <v>279.51956457122299</v>
      </c>
      <c r="L67" s="219">
        <f t="shared" si="3"/>
        <v>180156.70913835565</v>
      </c>
      <c r="M67" s="45">
        <f>1</f>
        <v>1</v>
      </c>
      <c r="N67" s="135">
        <f t="shared" si="4"/>
        <v>180156.70913835565</v>
      </c>
      <c r="P67" s="136">
        <f>Variables!$D$15</f>
        <v>10.755760368663594</v>
      </c>
      <c r="Q67" s="175">
        <f t="shared" si="5"/>
        <v>1937722.3922991802</v>
      </c>
      <c r="R67" s="172">
        <f>Variables!$D$14</f>
        <v>5.2703140174813869</v>
      </c>
      <c r="S67" s="175">
        <f t="shared" si="6"/>
        <v>838725.21199995477</v>
      </c>
      <c r="T67" s="217">
        <f>Variables!$D$18</f>
        <v>5.032</v>
      </c>
      <c r="U67" s="177">
        <f t="shared" si="7"/>
        <v>906548.56038420566</v>
      </c>
    </row>
    <row r="68" spans="1:21" ht="15.75" customHeight="1" x14ac:dyDescent="0.35">
      <c r="A68" s="11">
        <v>5</v>
      </c>
      <c r="B68" s="12" t="s">
        <v>31</v>
      </c>
      <c r="C68" s="13">
        <v>2022</v>
      </c>
      <c r="D68" s="16">
        <f>Population!G6</f>
        <v>410661.0016137624</v>
      </c>
      <c r="E68" s="98">
        <f t="shared" si="11"/>
        <v>4.2</v>
      </c>
      <c r="F68" s="16">
        <f t="shared" si="0"/>
        <v>97776.428955657713</v>
      </c>
      <c r="G68" s="16" t="str">
        <f t="shared" si="1"/>
        <v>Medium</v>
      </c>
      <c r="H68" s="17"/>
      <c r="I68" s="121">
        <f>Variables!$B$3*POWER(SUM(1,Variables!$B$2/100),C68-2017)</f>
        <v>36683.302348510537</v>
      </c>
      <c r="J68" s="42">
        <f t="shared" si="2"/>
        <v>507.92390228116574</v>
      </c>
      <c r="K68" s="43">
        <f>VLOOKUP(A68,'Waste per capita'!$A$2:$F$21,6,FALSE)*(J68/J48)</f>
        <v>341.62125036352393</v>
      </c>
      <c r="L68" s="219">
        <f t="shared" si="3"/>
        <v>140290.52484683064</v>
      </c>
      <c r="M68" s="45">
        <f>1</f>
        <v>1</v>
      </c>
      <c r="N68" s="135">
        <f t="shared" si="4"/>
        <v>140290.52484683064</v>
      </c>
      <c r="P68" s="136">
        <f>Variables!$D$15</f>
        <v>10.755760368663594</v>
      </c>
      <c r="Q68" s="175">
        <f t="shared" si="5"/>
        <v>1508931.2672465562</v>
      </c>
      <c r="R68" s="172">
        <f>Variables!$D$14</f>
        <v>5.2703140174813869</v>
      </c>
      <c r="S68" s="175">
        <f t="shared" si="6"/>
        <v>515312.48410427582</v>
      </c>
      <c r="T68" s="217">
        <f>Variables!$D$18</f>
        <v>5.032</v>
      </c>
      <c r="U68" s="177">
        <f t="shared" si="7"/>
        <v>705941.92102925177</v>
      </c>
    </row>
    <row r="69" spans="1:21" ht="15.75" customHeight="1" x14ac:dyDescent="0.35">
      <c r="A69" s="11">
        <v>6</v>
      </c>
      <c r="B69" s="12" t="s">
        <v>32</v>
      </c>
      <c r="C69" s="13">
        <v>2022</v>
      </c>
      <c r="D69" s="16">
        <f>Population!G7</f>
        <v>467754.0024887161</v>
      </c>
      <c r="E69" s="98">
        <f t="shared" si="11"/>
        <v>4.59</v>
      </c>
      <c r="F69" s="16">
        <f t="shared" ref="F69:F132" si="12">D69/E69</f>
        <v>101907.19008468761</v>
      </c>
      <c r="G69" s="16" t="str">
        <f t="shared" ref="G69:G132" si="13">IF(D69&lt;100000,"Small",IF(D69&lt;1000000,"Medium","Large"))</f>
        <v>Medium</v>
      </c>
      <c r="H69" s="17"/>
      <c r="I69" s="121">
        <f>Variables!$B$3*POWER(SUM(1,Variables!$B$2/100),C69-2017)</f>
        <v>36683.302348510537</v>
      </c>
      <c r="J69" s="42">
        <f t="shared" ref="J69:J132" si="14">1647.41-417.73*LN(I69)+29.43*(LN(I69))^2</f>
        <v>507.92390228116574</v>
      </c>
      <c r="K69" s="43">
        <f>VLOOKUP(A69,'Waste per capita'!$A$2:$F$21,6,FALSE)*(J69/J49)</f>
        <v>302.80707142301327</v>
      </c>
      <c r="L69" s="219">
        <f t="shared" ref="L69:L132" si="15">K69*D69/1000</f>
        <v>141639.21964000096</v>
      </c>
      <c r="M69" s="45">
        <f>1</f>
        <v>1</v>
      </c>
      <c r="N69" s="135">
        <f t="shared" ref="N69:N132" si="16">L69*M69</f>
        <v>141639.21964000096</v>
      </c>
      <c r="P69" s="136">
        <f>Variables!$D$15</f>
        <v>10.755760368663594</v>
      </c>
      <c r="Q69" s="175">
        <f t="shared" ref="Q69:Q132" si="17">P69*N69</f>
        <v>1523437.5052523606</v>
      </c>
      <c r="R69" s="172">
        <f>Variables!$D$14</f>
        <v>5.2703140174813869</v>
      </c>
      <c r="S69" s="175">
        <f t="shared" ref="S69:S132" si="18">R69*F69</f>
        <v>537082.89238546928</v>
      </c>
      <c r="T69" s="217">
        <f>Variables!$D$18</f>
        <v>5.032</v>
      </c>
      <c r="U69" s="177">
        <f t="shared" ref="U69:U132" si="19">T69*N69</f>
        <v>712728.55322848482</v>
      </c>
    </row>
    <row r="70" spans="1:21" ht="15.75" customHeight="1" x14ac:dyDescent="0.35">
      <c r="A70" s="11">
        <v>7</v>
      </c>
      <c r="B70" s="12" t="s">
        <v>33</v>
      </c>
      <c r="C70" s="13">
        <v>2022</v>
      </c>
      <c r="D70" s="16">
        <f>Population!G8</f>
        <v>263583.25310815725</v>
      </c>
      <c r="E70" s="98">
        <f t="shared" si="11"/>
        <v>3.94</v>
      </c>
      <c r="F70" s="16">
        <f t="shared" si="12"/>
        <v>66899.302819329256</v>
      </c>
      <c r="G70" s="16" t="str">
        <f t="shared" si="13"/>
        <v>Medium</v>
      </c>
      <c r="H70" s="17"/>
      <c r="I70" s="121">
        <f>Variables!$B$3*POWER(SUM(1,Variables!$B$2/100),C70-2017)</f>
        <v>36683.302348510537</v>
      </c>
      <c r="J70" s="42">
        <f t="shared" si="14"/>
        <v>507.92390228116574</v>
      </c>
      <c r="K70" s="43">
        <f>VLOOKUP(A70,'Waste per capita'!$A$2:$F$21,6,FALSE)*(J70/J50)</f>
        <v>417.07389082792389</v>
      </c>
      <c r="L70" s="219">
        <f t="shared" si="15"/>
        <v>109933.69293090061</v>
      </c>
      <c r="M70" s="45">
        <f>1</f>
        <v>1</v>
      </c>
      <c r="N70" s="135">
        <f t="shared" si="16"/>
        <v>109933.69293090061</v>
      </c>
      <c r="P70" s="136">
        <f>Variables!$D$15</f>
        <v>10.755760368663594</v>
      </c>
      <c r="Q70" s="175">
        <f t="shared" si="17"/>
        <v>1182420.4576070139</v>
      </c>
      <c r="R70" s="172">
        <f>Variables!$D$14</f>
        <v>5.2703140174813869</v>
      </c>
      <c r="S70" s="175">
        <f t="shared" si="18"/>
        <v>352580.33340844302</v>
      </c>
      <c r="T70" s="217">
        <f>Variables!$D$18</f>
        <v>5.032</v>
      </c>
      <c r="U70" s="177">
        <f t="shared" si="19"/>
        <v>553186.34282829182</v>
      </c>
    </row>
    <row r="71" spans="1:21" ht="15.75" customHeight="1" x14ac:dyDescent="0.35">
      <c r="A71" s="11">
        <v>8</v>
      </c>
      <c r="B71" s="11" t="s">
        <v>36</v>
      </c>
      <c r="C71" s="13">
        <v>2022</v>
      </c>
      <c r="D71" s="16">
        <f>Population!G9</f>
        <v>874488.46460292977</v>
      </c>
      <c r="E71" s="98">
        <f t="shared" si="11"/>
        <v>4.04</v>
      </c>
      <c r="F71" s="16">
        <f t="shared" si="12"/>
        <v>216457.54074329944</v>
      </c>
      <c r="G71" s="16" t="str">
        <f t="shared" si="13"/>
        <v>Medium</v>
      </c>
      <c r="H71" s="17"/>
      <c r="I71" s="121">
        <f>Variables!$B$3*POWER(SUM(1,Variables!$B$2/100),C71-2017)</f>
        <v>36683.302348510537</v>
      </c>
      <c r="J71" s="42">
        <f t="shared" si="14"/>
        <v>507.92390228116574</v>
      </c>
      <c r="K71" s="43">
        <f>VLOOKUP(A71,'Waste per capita'!$A$2:$F$21,6,FALSE)*(J71/J51)</f>
        <v>308.52041239325877</v>
      </c>
      <c r="L71" s="219">
        <f t="shared" si="15"/>
        <v>269797.54173244355</v>
      </c>
      <c r="M71" s="45">
        <f>1</f>
        <v>1</v>
      </c>
      <c r="N71" s="135">
        <f t="shared" si="16"/>
        <v>269797.54173244355</v>
      </c>
      <c r="P71" s="136">
        <f>Variables!$D$15</f>
        <v>10.755760368663594</v>
      </c>
      <c r="Q71" s="175">
        <f t="shared" si="17"/>
        <v>2901877.7069286788</v>
      </c>
      <c r="R71" s="172">
        <f>Variables!$D$14</f>
        <v>5.2703140174813869</v>
      </c>
      <c r="S71" s="175">
        <f t="shared" si="18"/>
        <v>1140799.2111689595</v>
      </c>
      <c r="T71" s="217">
        <f>Variables!$D$18</f>
        <v>5.032</v>
      </c>
      <c r="U71" s="177">
        <f t="shared" si="19"/>
        <v>1357621.2299976561</v>
      </c>
    </row>
    <row r="72" spans="1:21" ht="15.75" customHeight="1" x14ac:dyDescent="0.35">
      <c r="A72" s="11">
        <v>9</v>
      </c>
      <c r="B72" s="12" t="s">
        <v>38</v>
      </c>
      <c r="C72" s="13">
        <v>2022</v>
      </c>
      <c r="D72" s="16">
        <f>Population!G10</f>
        <v>15357.900263298918</v>
      </c>
      <c r="E72" s="98">
        <f t="shared" si="11"/>
        <v>4.26</v>
      </c>
      <c r="F72" s="16">
        <f t="shared" si="12"/>
        <v>3605.1409068776802</v>
      </c>
      <c r="G72" s="16" t="str">
        <f t="shared" si="13"/>
        <v>Small</v>
      </c>
      <c r="H72" s="17"/>
      <c r="I72" s="121">
        <f>Variables!$B$3*POWER(SUM(1,Variables!$B$2/100),C72-2017)</f>
        <v>36683.302348510537</v>
      </c>
      <c r="J72" s="42">
        <f t="shared" si="14"/>
        <v>507.92390228116574</v>
      </c>
      <c r="K72" s="43">
        <f>VLOOKUP(A72,'Waste per capita'!$A$2:$F$21,6,FALSE)*(J72/J52)</f>
        <v>281.38965746582795</v>
      </c>
      <c r="L72" s="219">
        <f t="shared" si="15"/>
        <v>4321.5542944840317</v>
      </c>
      <c r="M72" s="45">
        <f>1</f>
        <v>1</v>
      </c>
      <c r="N72" s="135">
        <f t="shared" si="16"/>
        <v>4321.5542944840317</v>
      </c>
      <c r="P72" s="136">
        <f>Variables!$D$15</f>
        <v>10.755760368663594</v>
      </c>
      <c r="Q72" s="175">
        <f t="shared" si="17"/>
        <v>46481.602411639309</v>
      </c>
      <c r="R72" s="172">
        <f>Variables!$D$14</f>
        <v>5.2703140174813869</v>
      </c>
      <c r="S72" s="175">
        <f t="shared" si="18"/>
        <v>19000.224656512997</v>
      </c>
      <c r="T72" s="217">
        <f>Variables!$D$18</f>
        <v>5.032</v>
      </c>
      <c r="U72" s="177">
        <f t="shared" si="19"/>
        <v>21746.061209843647</v>
      </c>
    </row>
    <row r="73" spans="1:21" ht="15.75" customHeight="1" x14ac:dyDescent="0.35">
      <c r="A73" s="11">
        <v>10</v>
      </c>
      <c r="B73" s="12" t="s">
        <v>40</v>
      </c>
      <c r="C73" s="13">
        <v>2022</v>
      </c>
      <c r="D73" s="16">
        <f>Population!G11</f>
        <v>600888.14931853744</v>
      </c>
      <c r="E73" s="98">
        <f t="shared" si="11"/>
        <v>5.88</v>
      </c>
      <c r="F73" s="16">
        <f t="shared" si="12"/>
        <v>102191.86212900297</v>
      </c>
      <c r="G73" s="16" t="str">
        <f t="shared" si="13"/>
        <v>Medium</v>
      </c>
      <c r="H73" s="17"/>
      <c r="I73" s="121">
        <f>Variables!$B$3*POWER(SUM(1,Variables!$B$2/100),C73-2017)</f>
        <v>36683.302348510537</v>
      </c>
      <c r="J73" s="42">
        <f t="shared" si="14"/>
        <v>507.92390228116574</v>
      </c>
      <c r="K73" s="43">
        <f>VLOOKUP(A73,'Waste per capita'!$A$2:$F$21,6,FALSE)*(J73/J53)</f>
        <v>341.62125036352393</v>
      </c>
      <c r="L73" s="219">
        <f t="shared" si="15"/>
        <v>205276.16089882262</v>
      </c>
      <c r="M73" s="45">
        <f>1</f>
        <v>1</v>
      </c>
      <c r="N73" s="135">
        <f t="shared" si="16"/>
        <v>205276.16089882262</v>
      </c>
      <c r="P73" s="136">
        <f>Variables!$D$15</f>
        <v>10.755760368663594</v>
      </c>
      <c r="Q73" s="175">
        <f t="shared" si="17"/>
        <v>2207901.1960269678</v>
      </c>
      <c r="R73" s="172">
        <f>Variables!$D$14</f>
        <v>5.2703140174813869</v>
      </c>
      <c r="S73" s="175">
        <f t="shared" si="18"/>
        <v>538583.20345100958</v>
      </c>
      <c r="T73" s="217">
        <f>Variables!$D$18</f>
        <v>5.032</v>
      </c>
      <c r="U73" s="177">
        <f t="shared" si="19"/>
        <v>1032949.6416428754</v>
      </c>
    </row>
    <row r="74" spans="1:21" ht="15.75" customHeight="1" x14ac:dyDescent="0.35">
      <c r="A74" s="11">
        <v>11</v>
      </c>
      <c r="B74" s="12" t="s">
        <v>42</v>
      </c>
      <c r="C74" s="13">
        <v>2022</v>
      </c>
      <c r="D74" s="16">
        <f>Population!G12</f>
        <v>795698.4751527789</v>
      </c>
      <c r="E74" s="98">
        <f t="shared" si="11"/>
        <v>4.47</v>
      </c>
      <c r="F74" s="16">
        <f t="shared" si="12"/>
        <v>178008.60741672906</v>
      </c>
      <c r="G74" s="16" t="str">
        <f t="shared" si="13"/>
        <v>Medium</v>
      </c>
      <c r="H74" s="17"/>
      <c r="I74" s="121">
        <f>Variables!$B$3*POWER(SUM(1,Variables!$B$2/100),C74-2017)</f>
        <v>36683.302348510537</v>
      </c>
      <c r="J74" s="42">
        <f t="shared" si="14"/>
        <v>507.92390228116574</v>
      </c>
      <c r="K74" s="43">
        <f>VLOOKUP(A74,'Waste per capita'!$A$2:$F$21,6,FALSE)*(J74/J54)</f>
        <v>442.84273961835214</v>
      </c>
      <c r="L74" s="219">
        <f t="shared" si="15"/>
        <v>352369.29264680191</v>
      </c>
      <c r="M74" s="45">
        <f>1</f>
        <v>1</v>
      </c>
      <c r="N74" s="135">
        <f t="shared" si="16"/>
        <v>352369.29264680191</v>
      </c>
      <c r="P74" s="136">
        <f>Variables!$D$15</f>
        <v>10.755760368663594</v>
      </c>
      <c r="Q74" s="175">
        <f t="shared" si="17"/>
        <v>3789999.6729844962</v>
      </c>
      <c r="R74" s="172">
        <f>Variables!$D$14</f>
        <v>5.2703140174813869</v>
      </c>
      <c r="S74" s="175">
        <f t="shared" si="18"/>
        <v>938161.25890072843</v>
      </c>
      <c r="T74" s="217">
        <f>Variables!$D$18</f>
        <v>5.032</v>
      </c>
      <c r="U74" s="177">
        <f t="shared" si="19"/>
        <v>1773122.2805987073</v>
      </c>
    </row>
    <row r="75" spans="1:21" ht="15.75" customHeight="1" x14ac:dyDescent="0.35">
      <c r="A75" s="11">
        <v>12</v>
      </c>
      <c r="B75" s="12" t="s">
        <v>44</v>
      </c>
      <c r="C75" s="13">
        <v>2022</v>
      </c>
      <c r="D75" s="16">
        <f>Population!G13</f>
        <v>589143.09074778191</v>
      </c>
      <c r="E75" s="98">
        <f t="shared" si="11"/>
        <v>3.93</v>
      </c>
      <c r="F75" s="16">
        <f t="shared" si="12"/>
        <v>149909.18339638217</v>
      </c>
      <c r="G75" s="16" t="str">
        <f t="shared" si="13"/>
        <v>Medium</v>
      </c>
      <c r="H75" s="17"/>
      <c r="I75" s="121">
        <f>Variables!$B$3*POWER(SUM(1,Variables!$B$2/100),C75-2017)</f>
        <v>36683.302348510537</v>
      </c>
      <c r="J75" s="42">
        <f t="shared" si="14"/>
        <v>507.92390228116574</v>
      </c>
      <c r="K75" s="43">
        <f>VLOOKUP(A75,'Waste per capita'!$A$2:$F$21,6,FALSE)*(J75/J55)</f>
        <v>281.38965746582795</v>
      </c>
      <c r="L75" s="219">
        <f t="shared" si="15"/>
        <v>165778.77250387755</v>
      </c>
      <c r="M75" s="45">
        <f>1</f>
        <v>1</v>
      </c>
      <c r="N75" s="135">
        <f t="shared" si="16"/>
        <v>165778.77250387755</v>
      </c>
      <c r="P75" s="136">
        <f>Variables!$D$15</f>
        <v>10.755760368663594</v>
      </c>
      <c r="Q75" s="175">
        <f t="shared" si="17"/>
        <v>1783076.7512629041</v>
      </c>
      <c r="R75" s="172">
        <f>Variables!$D$14</f>
        <v>5.2703140174813869</v>
      </c>
      <c r="S75" s="175">
        <f t="shared" si="18"/>
        <v>790068.47060314089</v>
      </c>
      <c r="T75" s="217">
        <f>Variables!$D$18</f>
        <v>5.032</v>
      </c>
      <c r="U75" s="177">
        <f t="shared" si="19"/>
        <v>834198.78323951189</v>
      </c>
    </row>
    <row r="76" spans="1:21" ht="15.75" customHeight="1" x14ac:dyDescent="0.35">
      <c r="A76" s="11">
        <v>13</v>
      </c>
      <c r="B76" s="12" t="s">
        <v>45</v>
      </c>
      <c r="C76" s="13">
        <v>2022</v>
      </c>
      <c r="D76" s="16">
        <f>Population!G14</f>
        <v>448684.89766118571</v>
      </c>
      <c r="E76" s="98">
        <f t="shared" si="11"/>
        <v>4.78</v>
      </c>
      <c r="F76" s="16">
        <f t="shared" si="12"/>
        <v>93867.133401921688</v>
      </c>
      <c r="G76" s="16" t="str">
        <f t="shared" si="13"/>
        <v>Medium</v>
      </c>
      <c r="H76" s="17"/>
      <c r="I76" s="121">
        <f>Variables!$B$3*POWER(SUM(1,Variables!$B$2/100),C76-2017)</f>
        <v>36683.302348510537</v>
      </c>
      <c r="J76" s="42">
        <f t="shared" si="14"/>
        <v>507.92390228116574</v>
      </c>
      <c r="K76" s="43">
        <f>VLOOKUP(A76,'Waste per capita'!$A$2:$F$21,6,FALSE)*(J76/J56)</f>
        <v>341.62125036352393</v>
      </c>
      <c r="L76" s="219">
        <f t="shared" si="15"/>
        <v>153280.29575824403</v>
      </c>
      <c r="M76" s="45">
        <f>1</f>
        <v>1</v>
      </c>
      <c r="N76" s="135">
        <f t="shared" si="16"/>
        <v>153280.29575824403</v>
      </c>
      <c r="P76" s="136">
        <f>Variables!$D$15</f>
        <v>10.755760368663594</v>
      </c>
      <c r="Q76" s="175">
        <f t="shared" si="17"/>
        <v>1648646.1304135555</v>
      </c>
      <c r="R76" s="172">
        <f>Variables!$D$14</f>
        <v>5.2703140174813869</v>
      </c>
      <c r="S76" s="175">
        <f t="shared" si="18"/>
        <v>494709.26894894318</v>
      </c>
      <c r="T76" s="217">
        <f>Variables!$D$18</f>
        <v>5.032</v>
      </c>
      <c r="U76" s="177">
        <f t="shared" si="19"/>
        <v>771306.44825548399</v>
      </c>
    </row>
    <row r="77" spans="1:21" ht="15.75" customHeight="1" x14ac:dyDescent="0.35">
      <c r="A77" s="11">
        <v>14</v>
      </c>
      <c r="B77" s="12" t="s">
        <v>46</v>
      </c>
      <c r="C77" s="13">
        <v>2022</v>
      </c>
      <c r="D77" s="16">
        <f>Population!G15</f>
        <v>2111810.9783032848</v>
      </c>
      <c r="E77" s="98">
        <f t="shared" si="11"/>
        <v>3.72</v>
      </c>
      <c r="F77" s="16">
        <f t="shared" si="12"/>
        <v>567691.12319980771</v>
      </c>
      <c r="G77" s="16" t="str">
        <f t="shared" si="13"/>
        <v>Large</v>
      </c>
      <c r="H77" s="17"/>
      <c r="I77" s="121">
        <f>Variables!$B$3*POWER(SUM(1,Variables!$B$2/100),C77-2017)</f>
        <v>36683.302348510537</v>
      </c>
      <c r="J77" s="42">
        <f t="shared" si="14"/>
        <v>507.92390228116574</v>
      </c>
      <c r="K77" s="43">
        <f>VLOOKUP(A77,'Waste per capita'!$A$2:$F$21,6,FALSE)*(J77/J57)</f>
        <v>737.02098516167371</v>
      </c>
      <c r="L77" s="219">
        <f t="shared" si="15"/>
        <v>1556449.007704325</v>
      </c>
      <c r="M77" s="45">
        <f>1</f>
        <v>1</v>
      </c>
      <c r="N77" s="135">
        <f t="shared" si="16"/>
        <v>1556449.007704325</v>
      </c>
      <c r="P77" s="136">
        <f>Variables!$D$15</f>
        <v>10.755760368663594</v>
      </c>
      <c r="Q77" s="175">
        <f t="shared" si="17"/>
        <v>16740792.552911956</v>
      </c>
      <c r="R77" s="172">
        <f>Variables!$D$14</f>
        <v>5.2703140174813869</v>
      </c>
      <c r="S77" s="175">
        <f t="shared" si="18"/>
        <v>2991910.4841996995</v>
      </c>
      <c r="T77" s="217">
        <f>Variables!$D$18</f>
        <v>5.032</v>
      </c>
      <c r="U77" s="177">
        <f t="shared" si="19"/>
        <v>7832051.4067681637</v>
      </c>
    </row>
    <row r="78" spans="1:21" ht="15.75" customHeight="1" x14ac:dyDescent="0.35">
      <c r="A78" s="11">
        <v>15</v>
      </c>
      <c r="B78" s="12" t="s">
        <v>47</v>
      </c>
      <c r="C78" s="13">
        <v>2022</v>
      </c>
      <c r="D78" s="16">
        <f>Population!G16</f>
        <v>91352.523238314127</v>
      </c>
      <c r="E78" s="98">
        <f t="shared" si="11"/>
        <v>4.72</v>
      </c>
      <c r="F78" s="16">
        <f t="shared" si="12"/>
        <v>19354.34814371062</v>
      </c>
      <c r="G78" s="16" t="str">
        <f t="shared" si="13"/>
        <v>Small</v>
      </c>
      <c r="H78" s="17"/>
      <c r="I78" s="121">
        <f>Variables!$B$3*POWER(SUM(1,Variables!$B$2/100),C78-2017)</f>
        <v>36683.302348510537</v>
      </c>
      <c r="J78" s="42">
        <f t="shared" si="14"/>
        <v>507.92390228116574</v>
      </c>
      <c r="K78" s="43">
        <f>VLOOKUP(A78,'Waste per capita'!$A$2:$F$21,6,FALSE)*(J78/J58)</f>
        <v>281.38965746582795</v>
      </c>
      <c r="L78" s="219">
        <f t="shared" si="15"/>
        <v>25705.655222668302</v>
      </c>
      <c r="M78" s="45">
        <f>1</f>
        <v>1</v>
      </c>
      <c r="N78" s="135">
        <f t="shared" si="16"/>
        <v>25705.655222668302</v>
      </c>
      <c r="P78" s="136">
        <f>Variables!$D$15</f>
        <v>10.755760368663594</v>
      </c>
      <c r="Q78" s="175">
        <f t="shared" si="17"/>
        <v>276483.86769450607</v>
      </c>
      <c r="R78" s="172">
        <f>Variables!$D$14</f>
        <v>5.2703140174813869</v>
      </c>
      <c r="S78" s="175">
        <f t="shared" si="18"/>
        <v>102003.49232101295</v>
      </c>
      <c r="T78" s="217">
        <f>Variables!$D$18</f>
        <v>5.032</v>
      </c>
      <c r="U78" s="177">
        <f t="shared" si="19"/>
        <v>129350.8570804669</v>
      </c>
    </row>
    <row r="79" spans="1:21" ht="15.75" customHeight="1" x14ac:dyDescent="0.35">
      <c r="A79" s="11">
        <v>16</v>
      </c>
      <c r="B79" s="12" t="s">
        <v>48</v>
      </c>
      <c r="C79" s="13">
        <v>2022</v>
      </c>
      <c r="D79" s="16">
        <f>Population!G17</f>
        <v>90867.355019852635</v>
      </c>
      <c r="E79" s="98">
        <f t="shared" si="11"/>
        <v>3.45</v>
      </c>
      <c r="F79" s="16">
        <f t="shared" si="12"/>
        <v>26338.363773870329</v>
      </c>
      <c r="G79" s="16" t="str">
        <f t="shared" si="13"/>
        <v>Small</v>
      </c>
      <c r="H79" s="17"/>
      <c r="I79" s="121">
        <f>Variables!$B$3*POWER(SUM(1,Variables!$B$2/100),C79-2017)</f>
        <v>36683.302348510537</v>
      </c>
      <c r="J79" s="42">
        <f t="shared" si="14"/>
        <v>507.92390228116574</v>
      </c>
      <c r="K79" s="43">
        <f>VLOOKUP(A79,'Waste per capita'!$A$2:$F$21,6,FALSE)*(J79/J59)</f>
        <v>281.38965746582795</v>
      </c>
      <c r="L79" s="219">
        <f t="shared" si="15"/>
        <v>25569.133903862115</v>
      </c>
      <c r="M79" s="45">
        <f>1</f>
        <v>1</v>
      </c>
      <c r="N79" s="135">
        <f t="shared" si="16"/>
        <v>25569.133903862115</v>
      </c>
      <c r="P79" s="136">
        <f>Variables!$D$15</f>
        <v>10.755760368663594</v>
      </c>
      <c r="Q79" s="175">
        <f t="shared" si="17"/>
        <v>275015.4771042128</v>
      </c>
      <c r="R79" s="172">
        <f>Variables!$D$14</f>
        <v>5.2703140174813869</v>
      </c>
      <c r="S79" s="175">
        <f t="shared" si="18"/>
        <v>138811.44779495275</v>
      </c>
      <c r="T79" s="217">
        <f>Variables!$D$18</f>
        <v>5.032</v>
      </c>
      <c r="U79" s="177">
        <f t="shared" si="19"/>
        <v>128663.88180423416</v>
      </c>
    </row>
    <row r="80" spans="1:21" ht="15.75" customHeight="1" x14ac:dyDescent="0.35">
      <c r="A80" s="11">
        <v>17</v>
      </c>
      <c r="B80" s="13" t="s">
        <v>49</v>
      </c>
      <c r="C80" s="13">
        <v>2022</v>
      </c>
      <c r="D80" s="16">
        <f>Population!G18</f>
        <v>22802.906267690232</v>
      </c>
      <c r="E80" s="98">
        <f t="shared" si="11"/>
        <v>4.78</v>
      </c>
      <c r="F80" s="16">
        <f t="shared" si="12"/>
        <v>4770.4824827803832</v>
      </c>
      <c r="G80" s="16" t="str">
        <f t="shared" si="13"/>
        <v>Small</v>
      </c>
      <c r="H80" s="17"/>
      <c r="I80" s="121">
        <f>Variables!$B$3*POWER(SUM(1,Variables!$B$2/100),C80-2017)</f>
        <v>36683.302348510537</v>
      </c>
      <c r="J80" s="42">
        <f t="shared" si="14"/>
        <v>507.92390228116574</v>
      </c>
      <c r="K80" s="43">
        <f>VLOOKUP(A80,'Waste per capita'!$A$2:$F$21,6,FALSE)*(J80/J60)</f>
        <v>281.38965746582795</v>
      </c>
      <c r="L80" s="219">
        <f t="shared" si="15"/>
        <v>6416.5019838907356</v>
      </c>
      <c r="M80" s="45">
        <f>1</f>
        <v>1</v>
      </c>
      <c r="N80" s="135">
        <f t="shared" si="16"/>
        <v>6416.5019838907356</v>
      </c>
      <c r="P80" s="136">
        <f>Variables!$D$15</f>
        <v>10.755760368663594</v>
      </c>
      <c r="Q80" s="175">
        <f t="shared" si="17"/>
        <v>69014.357743783301</v>
      </c>
      <c r="R80" s="172">
        <f>Variables!$D$14</f>
        <v>5.2703140174813869</v>
      </c>
      <c r="S80" s="175">
        <f t="shared" si="18"/>
        <v>25141.940699146864</v>
      </c>
      <c r="T80" s="217">
        <f>Variables!$D$18</f>
        <v>5.032</v>
      </c>
      <c r="U80" s="177">
        <f t="shared" si="19"/>
        <v>32287.837982938181</v>
      </c>
    </row>
    <row r="81" spans="1:21" ht="15.75" customHeight="1" x14ac:dyDescent="0.35">
      <c r="A81" s="11">
        <v>18</v>
      </c>
      <c r="B81" s="13" t="s">
        <v>51</v>
      </c>
      <c r="C81" s="13">
        <v>2022</v>
      </c>
      <c r="D81" s="16">
        <f>Population!G19</f>
        <v>1856.9315101115274</v>
      </c>
      <c r="E81" s="98">
        <f t="shared" si="11"/>
        <v>5.88</v>
      </c>
      <c r="F81" s="16">
        <f t="shared" si="12"/>
        <v>315.80467859039584</v>
      </c>
      <c r="G81" s="16" t="str">
        <f t="shared" si="13"/>
        <v>Small</v>
      </c>
      <c r="H81" s="17"/>
      <c r="I81" s="121">
        <f>Variables!$B$3*POWER(SUM(1,Variables!$B$2/100),C81-2017)</f>
        <v>36683.302348510537</v>
      </c>
      <c r="J81" s="42">
        <f t="shared" si="14"/>
        <v>507.92390228116574</v>
      </c>
      <c r="K81" s="43">
        <f>VLOOKUP(A81,'Waste per capita'!$A$2:$F$21,6,FALSE)*(J81/J61)</f>
        <v>281.38965746582795</v>
      </c>
      <c r="L81" s="219">
        <f t="shared" si="15"/>
        <v>522.52132156778532</v>
      </c>
      <c r="M81" s="45">
        <f>1</f>
        <v>1</v>
      </c>
      <c r="N81" s="135">
        <f t="shared" si="16"/>
        <v>522.52132156778532</v>
      </c>
      <c r="P81" s="136">
        <f>Variables!$D$15</f>
        <v>10.755760368663594</v>
      </c>
      <c r="Q81" s="175">
        <f t="shared" si="17"/>
        <v>5620.1141223005116</v>
      </c>
      <c r="R81" s="172">
        <f>Variables!$D$14</f>
        <v>5.2703140174813869</v>
      </c>
      <c r="S81" s="175">
        <f t="shared" si="18"/>
        <v>1664.3898243611673</v>
      </c>
      <c r="T81" s="217">
        <f>Variables!$D$18</f>
        <v>5.032</v>
      </c>
      <c r="U81" s="177">
        <f t="shared" si="19"/>
        <v>2629.3272901290957</v>
      </c>
    </row>
    <row r="82" spans="1:21" ht="15.75" customHeight="1" x14ac:dyDescent="0.35">
      <c r="A82" s="11">
        <v>19</v>
      </c>
      <c r="B82" s="13" t="s">
        <v>52</v>
      </c>
      <c r="C82" s="13">
        <v>2022</v>
      </c>
      <c r="D82" s="16">
        <f>Population!G20</f>
        <v>27206.638617725657</v>
      </c>
      <c r="E82" s="98">
        <f t="shared" si="11"/>
        <v>3.93</v>
      </c>
      <c r="F82" s="16">
        <f t="shared" si="12"/>
        <v>6922.8088085815916</v>
      </c>
      <c r="G82" s="16" t="str">
        <f t="shared" si="13"/>
        <v>Small</v>
      </c>
      <c r="H82" s="17"/>
      <c r="I82" s="121">
        <f>Variables!$B$3*POWER(SUM(1,Variables!$B$2/100),C82-2017)</f>
        <v>36683.302348510537</v>
      </c>
      <c r="J82" s="42">
        <f t="shared" si="14"/>
        <v>507.92390228116574</v>
      </c>
      <c r="K82" s="43">
        <f>VLOOKUP(A82,'Waste per capita'!$A$2:$F$21,6,FALSE)*(J82/J62)</f>
        <v>281.38965746582795</v>
      </c>
      <c r="L82" s="219">
        <f t="shared" si="15"/>
        <v>7655.6667214383897</v>
      </c>
      <c r="M82" s="45">
        <f>1</f>
        <v>1</v>
      </c>
      <c r="N82" s="135">
        <f t="shared" si="16"/>
        <v>7655.6667214383897</v>
      </c>
      <c r="P82" s="136">
        <f>Variables!$D$15</f>
        <v>10.755760368663594</v>
      </c>
      <c r="Q82" s="175">
        <f t="shared" si="17"/>
        <v>82342.516718143786</v>
      </c>
      <c r="R82" s="172">
        <f>Variables!$D$14</f>
        <v>5.2703140174813869</v>
      </c>
      <c r="S82" s="175">
        <f t="shared" si="18"/>
        <v>36485.376304211182</v>
      </c>
      <c r="T82" s="217">
        <f>Variables!$D$18</f>
        <v>5.032</v>
      </c>
      <c r="U82" s="177">
        <f t="shared" si="19"/>
        <v>38523.314942277975</v>
      </c>
    </row>
    <row r="83" spans="1:21" ht="15.75" customHeight="1" x14ac:dyDescent="0.35">
      <c r="A83" s="11">
        <v>20</v>
      </c>
      <c r="B83" s="13" t="s">
        <v>53</v>
      </c>
      <c r="C83" s="13">
        <v>2022</v>
      </c>
      <c r="D83" s="16">
        <f>Population!G21</f>
        <v>3162.2334019723148</v>
      </c>
      <c r="E83" s="98">
        <f t="shared" si="11"/>
        <v>3.94</v>
      </c>
      <c r="F83" s="16">
        <f t="shared" si="12"/>
        <v>802.59731014525755</v>
      </c>
      <c r="G83" s="16" t="str">
        <f t="shared" si="13"/>
        <v>Small</v>
      </c>
      <c r="H83" s="17"/>
      <c r="I83" s="121">
        <f>Variables!$B$3*POWER(SUM(1,Variables!$B$2/100),C83-2017)</f>
        <v>36683.302348510537</v>
      </c>
      <c r="J83" s="42">
        <f t="shared" si="14"/>
        <v>507.92390228116574</v>
      </c>
      <c r="K83" s="43">
        <f>VLOOKUP(A83,'Waste per capita'!$A$2:$F$21,6,FALSE)*(J83/J63)</f>
        <v>281.38965746582795</v>
      </c>
      <c r="L83" s="219">
        <f t="shared" si="15"/>
        <v>889.81977380798958</v>
      </c>
      <c r="M83" s="45">
        <f>1</f>
        <v>1</v>
      </c>
      <c r="N83" s="135">
        <f t="shared" si="16"/>
        <v>889.81977380798958</v>
      </c>
      <c r="P83" s="136">
        <f>Variables!$D$15</f>
        <v>10.755760368663594</v>
      </c>
      <c r="Q83" s="175">
        <f t="shared" si="17"/>
        <v>9570.6882583771785</v>
      </c>
      <c r="R83" s="172">
        <f>Variables!$D$14</f>
        <v>5.2703140174813869</v>
      </c>
      <c r="S83" s="175">
        <f t="shared" si="18"/>
        <v>4229.9398540514067</v>
      </c>
      <c r="T83" s="217">
        <f>Variables!$D$18</f>
        <v>5.032</v>
      </c>
      <c r="U83" s="177">
        <f t="shared" si="19"/>
        <v>4477.5731018018032</v>
      </c>
    </row>
    <row r="84" spans="1:21" ht="15.75" customHeight="1" x14ac:dyDescent="0.35">
      <c r="A84" s="11">
        <v>1</v>
      </c>
      <c r="B84" s="12" t="s">
        <v>23</v>
      </c>
      <c r="C84" s="13">
        <v>2023</v>
      </c>
      <c r="D84" s="16">
        <f>Population!H2</f>
        <v>701610.51767120312</v>
      </c>
      <c r="E84" s="98">
        <f t="shared" si="11"/>
        <v>4.17</v>
      </c>
      <c r="F84" s="16">
        <f t="shared" si="12"/>
        <v>168251.92270292641</v>
      </c>
      <c r="G84" s="16" t="str">
        <f t="shared" si="13"/>
        <v>Medium</v>
      </c>
      <c r="H84" s="17"/>
      <c r="I84" s="121">
        <f>Variables!$B$3*POWER(SUM(1,Variables!$B$2/100),C84-2017)</f>
        <v>38664.200675330103</v>
      </c>
      <c r="J84" s="42">
        <f t="shared" si="14"/>
        <v>518.57076654696084</v>
      </c>
      <c r="K84" s="43">
        <f>VLOOKUP(A84,'Waste per capita'!$A$2:$F$21,6,FALSE)*(J84/J64)</f>
        <v>341.58294187219792</v>
      </c>
      <c r="L84" s="219">
        <f t="shared" si="15"/>
        <v>239658.18467460529</v>
      </c>
      <c r="M84" s="45">
        <f>1</f>
        <v>1</v>
      </c>
      <c r="N84" s="135">
        <f t="shared" si="16"/>
        <v>239658.18467460529</v>
      </c>
      <c r="P84" s="136">
        <f>Variables!$D$15</f>
        <v>10.755760368663594</v>
      </c>
      <c r="Q84" s="175">
        <f t="shared" si="17"/>
        <v>2577706.0047489805</v>
      </c>
      <c r="R84" s="172">
        <f>Variables!$D$14</f>
        <v>5.2703140174813869</v>
      </c>
      <c r="S84" s="175">
        <f t="shared" si="18"/>
        <v>886740.46668942785</v>
      </c>
      <c r="T84" s="217">
        <f>Variables!$D$18</f>
        <v>5.032</v>
      </c>
      <c r="U84" s="177">
        <f t="shared" si="19"/>
        <v>1205959.9852826139</v>
      </c>
    </row>
    <row r="85" spans="1:21" ht="15.75" customHeight="1" x14ac:dyDescent="0.35">
      <c r="A85" s="11">
        <v>2</v>
      </c>
      <c r="B85" s="12" t="s">
        <v>26</v>
      </c>
      <c r="C85" s="13">
        <v>2023</v>
      </c>
      <c r="D85" s="16">
        <f>Population!H3</f>
        <v>486162.77874941245</v>
      </c>
      <c r="E85" s="98">
        <f t="shared" si="11"/>
        <v>4.29</v>
      </c>
      <c r="F85" s="16">
        <f t="shared" si="12"/>
        <v>113324.6570511451</v>
      </c>
      <c r="G85" s="16" t="str">
        <f t="shared" si="13"/>
        <v>Medium</v>
      </c>
      <c r="H85" s="17"/>
      <c r="I85" s="121">
        <f>Variables!$B$3*POWER(SUM(1,Variables!$B$2/100),C85-2017)</f>
        <v>38664.200675330103</v>
      </c>
      <c r="J85" s="42">
        <f t="shared" si="14"/>
        <v>518.57076654696084</v>
      </c>
      <c r="K85" s="43">
        <f>VLOOKUP(A85,'Waste per capita'!$A$2:$F$21,6,FALSE)*(J85/J65)</f>
        <v>341.58294187219792</v>
      </c>
      <c r="L85" s="219">
        <f t="shared" si="15"/>
        <v>166064.91219398676</v>
      </c>
      <c r="M85" s="45">
        <f>1</f>
        <v>1</v>
      </c>
      <c r="N85" s="135">
        <f t="shared" si="16"/>
        <v>166064.91219398676</v>
      </c>
      <c r="P85" s="136">
        <f>Variables!$D$15</f>
        <v>10.755760368663594</v>
      </c>
      <c r="Q85" s="175">
        <f t="shared" si="17"/>
        <v>1786154.4012016824</v>
      </c>
      <c r="R85" s="172">
        <f>Variables!$D$14</f>
        <v>5.2703140174813869</v>
      </c>
      <c r="S85" s="175">
        <f t="shared" si="18"/>
        <v>597256.5285829209</v>
      </c>
      <c r="T85" s="217">
        <f>Variables!$D$18</f>
        <v>5.032</v>
      </c>
      <c r="U85" s="177">
        <f t="shared" si="19"/>
        <v>835638.63816014142</v>
      </c>
    </row>
    <row r="86" spans="1:21" ht="15.75" customHeight="1" x14ac:dyDescent="0.35">
      <c r="A86" s="11">
        <v>3</v>
      </c>
      <c r="B86" s="12" t="s">
        <v>28</v>
      </c>
      <c r="C86" s="13">
        <v>2023</v>
      </c>
      <c r="D86" s="16">
        <f>Population!H4</f>
        <v>348145.61185574747</v>
      </c>
      <c r="E86" s="98">
        <f t="shared" si="11"/>
        <v>4.8600000000000003</v>
      </c>
      <c r="F86" s="16">
        <f t="shared" si="12"/>
        <v>71634.899558795776</v>
      </c>
      <c r="G86" s="16" t="str">
        <f t="shared" si="13"/>
        <v>Medium</v>
      </c>
      <c r="H86" s="17"/>
      <c r="I86" s="121">
        <f>Variables!$B$3*POWER(SUM(1,Variables!$B$2/100),C86-2017)</f>
        <v>38664.200675330103</v>
      </c>
      <c r="J86" s="42">
        <f t="shared" si="14"/>
        <v>518.57076654696084</v>
      </c>
      <c r="K86" s="43">
        <f>VLOOKUP(A86,'Waste per capita'!$A$2:$F$21,6,FALSE)*(J86/J66)</f>
        <v>297.06041515817191</v>
      </c>
      <c r="L86" s="219">
        <f t="shared" si="15"/>
        <v>103420.27999336412</v>
      </c>
      <c r="M86" s="45">
        <f>1</f>
        <v>1</v>
      </c>
      <c r="N86" s="135">
        <f t="shared" si="16"/>
        <v>103420.27999336412</v>
      </c>
      <c r="P86" s="136">
        <f>Variables!$D$15</f>
        <v>10.755760368663594</v>
      </c>
      <c r="Q86" s="175">
        <f t="shared" si="17"/>
        <v>1112363.7488687183</v>
      </c>
      <c r="R86" s="172">
        <f>Variables!$D$14</f>
        <v>5.2703140174813869</v>
      </c>
      <c r="S86" s="175">
        <f t="shared" si="18"/>
        <v>377538.41528559261</v>
      </c>
      <c r="T86" s="217">
        <f>Variables!$D$18</f>
        <v>5.032</v>
      </c>
      <c r="U86" s="177">
        <f t="shared" si="19"/>
        <v>520410.84892660828</v>
      </c>
    </row>
    <row r="87" spans="1:21" ht="15.75" customHeight="1" x14ac:dyDescent="0.35">
      <c r="A87" s="11">
        <v>4</v>
      </c>
      <c r="B87" s="12" t="s">
        <v>30</v>
      </c>
      <c r="C87" s="13">
        <v>2023</v>
      </c>
      <c r="D87" s="16">
        <f>Population!H5</f>
        <v>659991.26193783688</v>
      </c>
      <c r="E87" s="98">
        <f t="shared" si="11"/>
        <v>4.05</v>
      </c>
      <c r="F87" s="16">
        <f t="shared" si="12"/>
        <v>162960.80541674985</v>
      </c>
      <c r="G87" s="16" t="str">
        <f t="shared" si="13"/>
        <v>Medium</v>
      </c>
      <c r="H87" s="17"/>
      <c r="I87" s="121">
        <f>Variables!$B$3*POWER(SUM(1,Variables!$B$2/100),C87-2017)</f>
        <v>38664.200675330103</v>
      </c>
      <c r="J87" s="42">
        <f t="shared" si="14"/>
        <v>518.57076654696084</v>
      </c>
      <c r="K87" s="43">
        <f>VLOOKUP(A87,'Waste per capita'!$A$2:$F$21,6,FALSE)*(J87/J67)</f>
        <v>279.48821999648288</v>
      </c>
      <c r="L87" s="219">
        <f t="shared" si="15"/>
        <v>184459.78301223851</v>
      </c>
      <c r="M87" s="45">
        <f>1</f>
        <v>1</v>
      </c>
      <c r="N87" s="135">
        <f t="shared" si="16"/>
        <v>184459.78301223851</v>
      </c>
      <c r="P87" s="136">
        <f>Variables!$D$15</f>
        <v>10.755760368663594</v>
      </c>
      <c r="Q87" s="175">
        <f t="shared" si="17"/>
        <v>1984005.2237353211</v>
      </c>
      <c r="R87" s="172">
        <f>Variables!$D$14</f>
        <v>5.2703140174813869</v>
      </c>
      <c r="S87" s="175">
        <f t="shared" si="18"/>
        <v>858854.61708795349</v>
      </c>
      <c r="T87" s="217">
        <f>Variables!$D$18</f>
        <v>5.032</v>
      </c>
      <c r="U87" s="177">
        <f t="shared" si="19"/>
        <v>928201.62811758416</v>
      </c>
    </row>
    <row r="88" spans="1:21" ht="15.75" customHeight="1" x14ac:dyDescent="0.35">
      <c r="A88" s="11">
        <v>5</v>
      </c>
      <c r="B88" s="12" t="s">
        <v>31</v>
      </c>
      <c r="C88" s="13">
        <v>2023</v>
      </c>
      <c r="D88" s="16">
        <f>Population!H6</f>
        <v>420516.86565249268</v>
      </c>
      <c r="E88" s="98">
        <f t="shared" si="11"/>
        <v>4.2</v>
      </c>
      <c r="F88" s="16">
        <f t="shared" si="12"/>
        <v>100123.06325059349</v>
      </c>
      <c r="G88" s="16" t="str">
        <f t="shared" si="13"/>
        <v>Medium</v>
      </c>
      <c r="H88" s="17"/>
      <c r="I88" s="121">
        <f>Variables!$B$3*POWER(SUM(1,Variables!$B$2/100),C88-2017)</f>
        <v>38664.200675330103</v>
      </c>
      <c r="J88" s="42">
        <f t="shared" si="14"/>
        <v>518.57076654696084</v>
      </c>
      <c r="K88" s="43">
        <f>VLOOKUP(A88,'Waste per capita'!$A$2:$F$21,6,FALSE)*(J88/J68)</f>
        <v>341.58294187219792</v>
      </c>
      <c r="L88" s="219">
        <f t="shared" si="15"/>
        <v>143641.38807645428</v>
      </c>
      <c r="M88" s="45">
        <f>1</f>
        <v>1</v>
      </c>
      <c r="N88" s="135">
        <f t="shared" si="16"/>
        <v>143641.38807645428</v>
      </c>
      <c r="P88" s="136">
        <f>Variables!$D$15</f>
        <v>10.755760368663594</v>
      </c>
      <c r="Q88" s="175">
        <f t="shared" si="17"/>
        <v>1544972.3491725544</v>
      </c>
      <c r="R88" s="172">
        <f>Variables!$D$14</f>
        <v>5.2703140174813869</v>
      </c>
      <c r="S88" s="175">
        <f t="shared" si="18"/>
        <v>527679.98372277839</v>
      </c>
      <c r="T88" s="217">
        <f>Variables!$D$18</f>
        <v>5.032</v>
      </c>
      <c r="U88" s="177">
        <f t="shared" si="19"/>
        <v>722803.46480071801</v>
      </c>
    </row>
    <row r="89" spans="1:21" ht="15.75" customHeight="1" x14ac:dyDescent="0.35">
      <c r="A89" s="11">
        <v>6</v>
      </c>
      <c r="B89" s="12" t="s">
        <v>32</v>
      </c>
      <c r="C89" s="13">
        <v>2023</v>
      </c>
      <c r="D89" s="16">
        <f>Population!H7</f>
        <v>478980.09854844527</v>
      </c>
      <c r="E89" s="98">
        <f t="shared" ref="E89:E152" si="20">E69</f>
        <v>4.59</v>
      </c>
      <c r="F89" s="16">
        <f t="shared" si="12"/>
        <v>104352.9626467201</v>
      </c>
      <c r="G89" s="16" t="str">
        <f t="shared" si="13"/>
        <v>Medium</v>
      </c>
      <c r="H89" s="17"/>
      <c r="I89" s="121">
        <f>Variables!$B$3*POWER(SUM(1,Variables!$B$2/100),C89-2017)</f>
        <v>38664.200675330103</v>
      </c>
      <c r="J89" s="42">
        <f t="shared" si="14"/>
        <v>518.57076654696084</v>
      </c>
      <c r="K89" s="43">
        <f>VLOOKUP(A89,'Waste per capita'!$A$2:$F$21,6,FALSE)*(J89/J69)</f>
        <v>302.77311544967523</v>
      </c>
      <c r="L89" s="219">
        <f t="shared" si="15"/>
        <v>145022.29667590524</v>
      </c>
      <c r="M89" s="45">
        <f>1</f>
        <v>1</v>
      </c>
      <c r="N89" s="135">
        <f t="shared" si="16"/>
        <v>145022.29667590524</v>
      </c>
      <c r="P89" s="136">
        <f>Variables!$D$15</f>
        <v>10.755760368663594</v>
      </c>
      <c r="Q89" s="175">
        <f t="shared" si="17"/>
        <v>1559825.0711592757</v>
      </c>
      <c r="R89" s="172">
        <f>Variables!$D$14</f>
        <v>5.2703140174813869</v>
      </c>
      <c r="S89" s="175">
        <f t="shared" si="18"/>
        <v>549972.88180272048</v>
      </c>
      <c r="T89" s="217">
        <f>Variables!$D$18</f>
        <v>5.032</v>
      </c>
      <c r="U89" s="177">
        <f t="shared" si="19"/>
        <v>729752.19687315519</v>
      </c>
    </row>
    <row r="90" spans="1:21" ht="15.75" customHeight="1" x14ac:dyDescent="0.35">
      <c r="A90" s="11">
        <v>7</v>
      </c>
      <c r="B90" s="12" t="s">
        <v>33</v>
      </c>
      <c r="C90" s="13">
        <v>2023</v>
      </c>
      <c r="D90" s="16">
        <f>Population!H8</f>
        <v>269909.25118275301</v>
      </c>
      <c r="E90" s="98">
        <f t="shared" si="20"/>
        <v>3.94</v>
      </c>
      <c r="F90" s="16">
        <f t="shared" si="12"/>
        <v>68504.886086993152</v>
      </c>
      <c r="G90" s="16" t="str">
        <f t="shared" si="13"/>
        <v>Medium</v>
      </c>
      <c r="H90" s="17"/>
      <c r="I90" s="121">
        <f>Variables!$B$3*POWER(SUM(1,Variables!$B$2/100),C90-2017)</f>
        <v>38664.200675330103</v>
      </c>
      <c r="J90" s="42">
        <f t="shared" si="14"/>
        <v>518.57076654696084</v>
      </c>
      <c r="K90" s="43">
        <f>VLOOKUP(A90,'Waste per capita'!$A$2:$F$21,6,FALSE)*(J90/J70)</f>
        <v>417.02712127974127</v>
      </c>
      <c r="L90" s="219">
        <f t="shared" si="15"/>
        <v>112559.47802751408</v>
      </c>
      <c r="M90" s="45">
        <f>1</f>
        <v>1</v>
      </c>
      <c r="N90" s="135">
        <f t="shared" si="16"/>
        <v>112559.47802751408</v>
      </c>
      <c r="P90" s="136">
        <f>Variables!$D$15</f>
        <v>10.755760368663594</v>
      </c>
      <c r="Q90" s="175">
        <f t="shared" si="17"/>
        <v>1210662.7728857966</v>
      </c>
      <c r="R90" s="172">
        <f>Variables!$D$14</f>
        <v>5.2703140174813869</v>
      </c>
      <c r="S90" s="175">
        <f t="shared" si="18"/>
        <v>361042.26141024567</v>
      </c>
      <c r="T90" s="217">
        <f>Variables!$D$18</f>
        <v>5.032</v>
      </c>
      <c r="U90" s="177">
        <f t="shared" si="19"/>
        <v>566399.29343445087</v>
      </c>
    </row>
    <row r="91" spans="1:21" ht="15.75" customHeight="1" x14ac:dyDescent="0.35">
      <c r="A91" s="11">
        <v>8</v>
      </c>
      <c r="B91" s="11" t="s">
        <v>36</v>
      </c>
      <c r="C91" s="13">
        <v>2023</v>
      </c>
      <c r="D91" s="16">
        <f>Population!H9</f>
        <v>895476.18775340018</v>
      </c>
      <c r="E91" s="98">
        <f t="shared" si="20"/>
        <v>4.04</v>
      </c>
      <c r="F91" s="16">
        <f t="shared" si="12"/>
        <v>221652.52172113865</v>
      </c>
      <c r="G91" s="16" t="str">
        <f t="shared" si="13"/>
        <v>Medium</v>
      </c>
      <c r="H91" s="17"/>
      <c r="I91" s="121">
        <f>Variables!$B$3*POWER(SUM(1,Variables!$B$2/100),C91-2017)</f>
        <v>38664.200675330103</v>
      </c>
      <c r="J91" s="42">
        <f t="shared" si="14"/>
        <v>518.57076654696084</v>
      </c>
      <c r="K91" s="43">
        <f>VLOOKUP(A91,'Waste per capita'!$A$2:$F$21,6,FALSE)*(J91/J71)</f>
        <v>308.4858157411785</v>
      </c>
      <c r="L91" s="219">
        <f t="shared" si="15"/>
        <v>276241.70225590834</v>
      </c>
      <c r="M91" s="45">
        <f>1</f>
        <v>1</v>
      </c>
      <c r="N91" s="135">
        <f t="shared" si="16"/>
        <v>276241.70225590834</v>
      </c>
      <c r="P91" s="136">
        <f>Variables!$D$15</f>
        <v>10.755760368663594</v>
      </c>
      <c r="Q91" s="175">
        <f t="shared" si="17"/>
        <v>2971189.5532962675</v>
      </c>
      <c r="R91" s="172">
        <f>Variables!$D$14</f>
        <v>5.2703140174813869</v>
      </c>
      <c r="S91" s="175">
        <f t="shared" si="18"/>
        <v>1168178.3922370146</v>
      </c>
      <c r="T91" s="217">
        <f>Variables!$D$18</f>
        <v>5.032</v>
      </c>
      <c r="U91" s="177">
        <f t="shared" si="19"/>
        <v>1390048.2457517309</v>
      </c>
    </row>
    <row r="92" spans="1:21" ht="15.75" customHeight="1" x14ac:dyDescent="0.35">
      <c r="A92" s="11">
        <v>9</v>
      </c>
      <c r="B92" s="12" t="s">
        <v>38</v>
      </c>
      <c r="C92" s="13">
        <v>2023</v>
      </c>
      <c r="D92" s="16">
        <f>Population!H10</f>
        <v>15726.489869618092</v>
      </c>
      <c r="E92" s="98">
        <f t="shared" si="20"/>
        <v>4.26</v>
      </c>
      <c r="F92" s="16">
        <f t="shared" si="12"/>
        <v>3691.6642886427449</v>
      </c>
      <c r="G92" s="16" t="str">
        <f t="shared" si="13"/>
        <v>Small</v>
      </c>
      <c r="H92" s="17"/>
      <c r="I92" s="121">
        <f>Variables!$B$3*POWER(SUM(1,Variables!$B$2/100),C92-2017)</f>
        <v>38664.200675330103</v>
      </c>
      <c r="J92" s="42">
        <f t="shared" si="14"/>
        <v>518.57076654696084</v>
      </c>
      <c r="K92" s="43">
        <f>VLOOKUP(A92,'Waste per capita'!$A$2:$F$21,6,FALSE)*(J92/J72)</f>
        <v>281.35810318388326</v>
      </c>
      <c r="L92" s="219">
        <f t="shared" si="15"/>
        <v>4424.7753594563019</v>
      </c>
      <c r="M92" s="45">
        <f>1</f>
        <v>1</v>
      </c>
      <c r="N92" s="135">
        <f t="shared" si="16"/>
        <v>4424.7753594563019</v>
      </c>
      <c r="P92" s="136">
        <f>Variables!$D$15</f>
        <v>10.755760368663594</v>
      </c>
      <c r="Q92" s="175">
        <f t="shared" si="17"/>
        <v>47591.8234514793</v>
      </c>
      <c r="R92" s="172">
        <f>Variables!$D$14</f>
        <v>5.2703140174813869</v>
      </c>
      <c r="S92" s="175">
        <f t="shared" si="18"/>
        <v>19456.23004826931</v>
      </c>
      <c r="T92" s="217">
        <f>Variables!$D$18</f>
        <v>5.032</v>
      </c>
      <c r="U92" s="177">
        <f t="shared" si="19"/>
        <v>22265.469608784111</v>
      </c>
    </row>
    <row r="93" spans="1:21" ht="15.75" customHeight="1" x14ac:dyDescent="0.35">
      <c r="A93" s="11">
        <v>10</v>
      </c>
      <c r="B93" s="12" t="s">
        <v>40</v>
      </c>
      <c r="C93" s="13">
        <v>2023</v>
      </c>
      <c r="D93" s="16">
        <f>Population!H11</f>
        <v>615309.46490218234</v>
      </c>
      <c r="E93" s="98">
        <f t="shared" si="20"/>
        <v>5.88</v>
      </c>
      <c r="F93" s="16">
        <f t="shared" si="12"/>
        <v>104644.46682009904</v>
      </c>
      <c r="G93" s="16" t="str">
        <f t="shared" si="13"/>
        <v>Medium</v>
      </c>
      <c r="H93" s="17"/>
      <c r="I93" s="121">
        <f>Variables!$B$3*POWER(SUM(1,Variables!$B$2/100),C93-2017)</f>
        <v>38664.200675330103</v>
      </c>
      <c r="J93" s="42">
        <f t="shared" si="14"/>
        <v>518.57076654696084</v>
      </c>
      <c r="K93" s="43">
        <f>VLOOKUP(A93,'Waste per capita'!$A$2:$F$21,6,FALSE)*(J93/J73)</f>
        <v>341.58294187219792</v>
      </c>
      <c r="L93" s="219">
        <f t="shared" si="15"/>
        <v>210179.21718309537</v>
      </c>
      <c r="M93" s="45">
        <f>1</f>
        <v>1</v>
      </c>
      <c r="N93" s="135">
        <f t="shared" si="16"/>
        <v>210179.21718309537</v>
      </c>
      <c r="P93" s="136">
        <f>Variables!$D$15</f>
        <v>10.755760368663594</v>
      </c>
      <c r="Q93" s="175">
        <f t="shared" si="17"/>
        <v>2260637.2944946755</v>
      </c>
      <c r="R93" s="172">
        <f>Variables!$D$14</f>
        <v>5.2703140174813869</v>
      </c>
      <c r="S93" s="175">
        <f t="shared" si="18"/>
        <v>551509.20033383393</v>
      </c>
      <c r="T93" s="217">
        <f>Variables!$D$18</f>
        <v>5.032</v>
      </c>
      <c r="U93" s="177">
        <f t="shared" si="19"/>
        <v>1057621.8208653359</v>
      </c>
    </row>
    <row r="94" spans="1:21" ht="15.75" customHeight="1" x14ac:dyDescent="0.35">
      <c r="A94" s="11">
        <v>11</v>
      </c>
      <c r="B94" s="12" t="s">
        <v>42</v>
      </c>
      <c r="C94" s="13">
        <v>2023</v>
      </c>
      <c r="D94" s="16">
        <f>Population!H12</f>
        <v>814795.23855644558</v>
      </c>
      <c r="E94" s="98">
        <f t="shared" si="20"/>
        <v>4.47</v>
      </c>
      <c r="F94" s="16">
        <f t="shared" si="12"/>
        <v>182280.81399473056</v>
      </c>
      <c r="G94" s="16" t="str">
        <f t="shared" si="13"/>
        <v>Medium</v>
      </c>
      <c r="H94" s="17"/>
      <c r="I94" s="121">
        <f>Variables!$B$3*POWER(SUM(1,Variables!$B$2/100),C94-2017)</f>
        <v>38664.200675330103</v>
      </c>
      <c r="J94" s="42">
        <f t="shared" si="14"/>
        <v>518.57076654696084</v>
      </c>
      <c r="K94" s="43">
        <f>VLOOKUP(A94,'Waste per capita'!$A$2:$F$21,6,FALSE)*(J94/J74)</f>
        <v>442.79308042053759</v>
      </c>
      <c r="L94" s="219">
        <f t="shared" si="15"/>
        <v>360785.69359239528</v>
      </c>
      <c r="M94" s="45">
        <f>1</f>
        <v>1</v>
      </c>
      <c r="N94" s="135">
        <f t="shared" si="16"/>
        <v>360785.69359239528</v>
      </c>
      <c r="P94" s="136">
        <f>Variables!$D$15</f>
        <v>10.755760368663594</v>
      </c>
      <c r="Q94" s="175">
        <f t="shared" si="17"/>
        <v>3880524.464721892</v>
      </c>
      <c r="R94" s="172">
        <f>Variables!$D$14</f>
        <v>5.2703140174813869</v>
      </c>
      <c r="S94" s="175">
        <f t="shared" si="18"/>
        <v>960677.12911434588</v>
      </c>
      <c r="T94" s="217">
        <f>Variables!$D$18</f>
        <v>5.032</v>
      </c>
      <c r="U94" s="177">
        <f t="shared" si="19"/>
        <v>1815473.6101569331</v>
      </c>
    </row>
    <row r="95" spans="1:21" ht="15.75" customHeight="1" x14ac:dyDescent="0.35">
      <c r="A95" s="11">
        <v>12</v>
      </c>
      <c r="B95" s="12" t="s">
        <v>44</v>
      </c>
      <c r="C95" s="13">
        <v>2023</v>
      </c>
      <c r="D95" s="16">
        <f>Population!H13</f>
        <v>603282.52492572868</v>
      </c>
      <c r="E95" s="98">
        <f t="shared" si="20"/>
        <v>3.93</v>
      </c>
      <c r="F95" s="16">
        <f t="shared" si="12"/>
        <v>153507.00379789533</v>
      </c>
      <c r="G95" s="16" t="str">
        <f t="shared" si="13"/>
        <v>Medium</v>
      </c>
      <c r="H95" s="17"/>
      <c r="I95" s="121">
        <f>Variables!$B$3*POWER(SUM(1,Variables!$B$2/100),C95-2017)</f>
        <v>38664.200675330103</v>
      </c>
      <c r="J95" s="42">
        <f t="shared" si="14"/>
        <v>518.57076654696084</v>
      </c>
      <c r="K95" s="43">
        <f>VLOOKUP(A95,'Waste per capita'!$A$2:$F$21,6,FALSE)*(J95/J75)</f>
        <v>281.35810318388326</v>
      </c>
      <c r="L95" s="219">
        <f t="shared" si="15"/>
        <v>169738.42689708679</v>
      </c>
      <c r="M95" s="45">
        <f>1</f>
        <v>1</v>
      </c>
      <c r="N95" s="135">
        <f t="shared" si="16"/>
        <v>169738.42689708679</v>
      </c>
      <c r="P95" s="136">
        <f>Variables!$D$15</f>
        <v>10.755760368663594</v>
      </c>
      <c r="Q95" s="175">
        <f t="shared" si="17"/>
        <v>1825665.8450589888</v>
      </c>
      <c r="R95" s="172">
        <f>Variables!$D$14</f>
        <v>5.2703140174813869</v>
      </c>
      <c r="S95" s="175">
        <f t="shared" si="18"/>
        <v>809030.11389761628</v>
      </c>
      <c r="T95" s="217">
        <f>Variables!$D$18</f>
        <v>5.032</v>
      </c>
      <c r="U95" s="177">
        <f t="shared" si="19"/>
        <v>854123.76414614066</v>
      </c>
    </row>
    <row r="96" spans="1:21" ht="15.75" customHeight="1" x14ac:dyDescent="0.35">
      <c r="A96" s="11">
        <v>13</v>
      </c>
      <c r="B96" s="12" t="s">
        <v>45</v>
      </c>
      <c r="C96" s="13">
        <v>2023</v>
      </c>
      <c r="D96" s="16">
        <f>Population!H14</f>
        <v>459453.33520505414</v>
      </c>
      <c r="E96" s="98">
        <f t="shared" si="20"/>
        <v>4.78</v>
      </c>
      <c r="F96" s="16">
        <f t="shared" si="12"/>
        <v>96119.944603567812</v>
      </c>
      <c r="G96" s="16" t="str">
        <f t="shared" si="13"/>
        <v>Medium</v>
      </c>
      <c r="H96" s="17"/>
      <c r="I96" s="121">
        <f>Variables!$B$3*POWER(SUM(1,Variables!$B$2/100),C96-2017)</f>
        <v>38664.200675330103</v>
      </c>
      <c r="J96" s="42">
        <f t="shared" si="14"/>
        <v>518.57076654696084</v>
      </c>
      <c r="K96" s="43">
        <f>VLOOKUP(A96,'Waste per capita'!$A$2:$F$21,6,FALSE)*(J96/J76)</f>
        <v>341.58294187219792</v>
      </c>
      <c r="L96" s="219">
        <f t="shared" si="15"/>
        <v>156941.42189233546</v>
      </c>
      <c r="M96" s="45">
        <f>1</f>
        <v>1</v>
      </c>
      <c r="N96" s="135">
        <f t="shared" si="16"/>
        <v>156941.42189233546</v>
      </c>
      <c r="P96" s="136">
        <f>Variables!$D$15</f>
        <v>10.755760368663594</v>
      </c>
      <c r="Q96" s="175">
        <f t="shared" si="17"/>
        <v>1688024.3257912947</v>
      </c>
      <c r="R96" s="172">
        <f>Variables!$D$14</f>
        <v>5.2703140174813869</v>
      </c>
      <c r="S96" s="175">
        <f t="shared" si="18"/>
        <v>506582.29140371783</v>
      </c>
      <c r="T96" s="217">
        <f>Variables!$D$18</f>
        <v>5.032</v>
      </c>
      <c r="U96" s="177">
        <f t="shared" si="19"/>
        <v>789729.23496223206</v>
      </c>
    </row>
    <row r="97" spans="1:21" ht="15.75" customHeight="1" x14ac:dyDescent="0.35">
      <c r="A97" s="11">
        <v>14</v>
      </c>
      <c r="B97" s="12" t="s">
        <v>46</v>
      </c>
      <c r="C97" s="13">
        <v>2023</v>
      </c>
      <c r="D97" s="16">
        <f>Population!H15</f>
        <v>2162494.4417825639</v>
      </c>
      <c r="E97" s="98">
        <f t="shared" si="20"/>
        <v>3.72</v>
      </c>
      <c r="F97" s="16">
        <f t="shared" si="12"/>
        <v>581315.71015660313</v>
      </c>
      <c r="G97" s="16" t="str">
        <f t="shared" si="13"/>
        <v>Large</v>
      </c>
      <c r="H97" s="17"/>
      <c r="I97" s="121">
        <f>Variables!$B$3*POWER(SUM(1,Variables!$B$2/100),C97-2017)</f>
        <v>38664.200675330103</v>
      </c>
      <c r="J97" s="42">
        <f t="shared" si="14"/>
        <v>518.57076654696084</v>
      </c>
      <c r="K97" s="43">
        <f>VLOOKUP(A97,'Waste per capita'!$A$2:$F$21,6,FALSE)*(J97/J77)</f>
        <v>736.93833760392636</v>
      </c>
      <c r="L97" s="219">
        <f t="shared" si="15"/>
        <v>1593625.0590049734</v>
      </c>
      <c r="M97" s="45">
        <f>1</f>
        <v>1</v>
      </c>
      <c r="N97" s="135">
        <f t="shared" si="16"/>
        <v>1593625.0590049734</v>
      </c>
      <c r="P97" s="136">
        <f>Variables!$D$15</f>
        <v>10.755760368663594</v>
      </c>
      <c r="Q97" s="175">
        <f t="shared" si="17"/>
        <v>17140649.252154876</v>
      </c>
      <c r="R97" s="172">
        <f>Variables!$D$14</f>
        <v>5.2703140174813869</v>
      </c>
      <c r="S97" s="175">
        <f t="shared" si="18"/>
        <v>3063716.3358204924</v>
      </c>
      <c r="T97" s="217">
        <f>Variables!$D$18</f>
        <v>5.032</v>
      </c>
      <c r="U97" s="177">
        <f t="shared" si="19"/>
        <v>8019121.2969130259</v>
      </c>
    </row>
    <row r="98" spans="1:21" ht="15.75" customHeight="1" x14ac:dyDescent="0.35">
      <c r="A98" s="11">
        <v>15</v>
      </c>
      <c r="B98" s="12" t="s">
        <v>47</v>
      </c>
      <c r="C98" s="13">
        <v>2023</v>
      </c>
      <c r="D98" s="16">
        <f>Population!H16</f>
        <v>93544.983796033659</v>
      </c>
      <c r="E98" s="98">
        <f t="shared" si="20"/>
        <v>4.72</v>
      </c>
      <c r="F98" s="16">
        <f t="shared" si="12"/>
        <v>19818.852499159675</v>
      </c>
      <c r="G98" s="16" t="str">
        <f t="shared" si="13"/>
        <v>Small</v>
      </c>
      <c r="H98" s="17"/>
      <c r="I98" s="121">
        <f>Variables!$B$3*POWER(SUM(1,Variables!$B$2/100),C98-2017)</f>
        <v>38664.200675330103</v>
      </c>
      <c r="J98" s="42">
        <f t="shared" si="14"/>
        <v>518.57076654696084</v>
      </c>
      <c r="K98" s="43">
        <f>VLOOKUP(A98,'Waste per capita'!$A$2:$F$21,6,FALSE)*(J98/J78)</f>
        <v>281.35810318388326</v>
      </c>
      <c r="L98" s="219">
        <f t="shared" si="15"/>
        <v>26319.639203219125</v>
      </c>
      <c r="M98" s="45">
        <f>1</f>
        <v>1</v>
      </c>
      <c r="N98" s="135">
        <f t="shared" si="16"/>
        <v>26319.639203219125</v>
      </c>
      <c r="P98" s="136">
        <f>Variables!$D$15</f>
        <v>10.755760368663594</v>
      </c>
      <c r="Q98" s="175">
        <f t="shared" si="17"/>
        <v>283087.73225950892</v>
      </c>
      <c r="R98" s="172">
        <f>Variables!$D$14</f>
        <v>5.2703140174813869</v>
      </c>
      <c r="S98" s="175">
        <f t="shared" si="18"/>
        <v>104451.57613671725</v>
      </c>
      <c r="T98" s="217">
        <f>Variables!$D$18</f>
        <v>5.032</v>
      </c>
      <c r="U98" s="177">
        <f t="shared" si="19"/>
        <v>132440.42447059863</v>
      </c>
    </row>
    <row r="99" spans="1:21" ht="15.75" customHeight="1" x14ac:dyDescent="0.35">
      <c r="A99" s="11">
        <v>16</v>
      </c>
      <c r="B99" s="12" t="s">
        <v>48</v>
      </c>
      <c r="C99" s="13">
        <v>2023</v>
      </c>
      <c r="D99" s="16">
        <f>Population!H17</f>
        <v>93048.171540329087</v>
      </c>
      <c r="E99" s="98">
        <f t="shared" si="20"/>
        <v>3.45</v>
      </c>
      <c r="F99" s="16">
        <f t="shared" si="12"/>
        <v>26970.484504443211</v>
      </c>
      <c r="G99" s="16" t="str">
        <f t="shared" si="13"/>
        <v>Small</v>
      </c>
      <c r="H99" s="17"/>
      <c r="I99" s="121">
        <f>Variables!$B$3*POWER(SUM(1,Variables!$B$2/100),C99-2017)</f>
        <v>38664.200675330103</v>
      </c>
      <c r="J99" s="42">
        <f t="shared" si="14"/>
        <v>518.57076654696084</v>
      </c>
      <c r="K99" s="43">
        <f>VLOOKUP(A99,'Waste per capita'!$A$2:$F$21,6,FALSE)*(J99/J79)</f>
        <v>281.35810318388326</v>
      </c>
      <c r="L99" s="219">
        <f t="shared" si="15"/>
        <v>26179.857049315578</v>
      </c>
      <c r="M99" s="45">
        <f>1</f>
        <v>1</v>
      </c>
      <c r="N99" s="135">
        <f t="shared" si="16"/>
        <v>26179.857049315578</v>
      </c>
      <c r="P99" s="136">
        <f>Variables!$D$15</f>
        <v>10.755760368663594</v>
      </c>
      <c r="Q99" s="175">
        <f t="shared" si="17"/>
        <v>281584.26890830672</v>
      </c>
      <c r="R99" s="172">
        <f>Variables!$D$14</f>
        <v>5.2703140174813869</v>
      </c>
      <c r="S99" s="175">
        <f t="shared" si="18"/>
        <v>142142.92254203159</v>
      </c>
      <c r="T99" s="217">
        <f>Variables!$D$18</f>
        <v>5.032</v>
      </c>
      <c r="U99" s="177">
        <f t="shared" si="19"/>
        <v>131737.040672156</v>
      </c>
    </row>
    <row r="100" spans="1:21" ht="15.75" customHeight="1" x14ac:dyDescent="0.35">
      <c r="A100" s="11">
        <v>17</v>
      </c>
      <c r="B100" s="13" t="s">
        <v>49</v>
      </c>
      <c r="C100" s="13">
        <v>2023</v>
      </c>
      <c r="D100" s="16">
        <f>Population!H18</f>
        <v>23350.176018114795</v>
      </c>
      <c r="E100" s="98">
        <f t="shared" si="20"/>
        <v>4.78</v>
      </c>
      <c r="F100" s="16">
        <f t="shared" si="12"/>
        <v>4884.9740623671114</v>
      </c>
      <c r="G100" s="16" t="str">
        <f t="shared" si="13"/>
        <v>Small</v>
      </c>
      <c r="H100" s="17"/>
      <c r="I100" s="121">
        <f>Variables!$B$3*POWER(SUM(1,Variables!$B$2/100),C100-2017)</f>
        <v>38664.200675330103</v>
      </c>
      <c r="J100" s="42">
        <f t="shared" si="14"/>
        <v>518.57076654696084</v>
      </c>
      <c r="K100" s="43">
        <f>VLOOKUP(A100,'Waste per capita'!$A$2:$F$21,6,FALSE)*(J100/J80)</f>
        <v>281.35810318388326</v>
      </c>
      <c r="L100" s="219">
        <f t="shared" si="15"/>
        <v>6569.7612334665782</v>
      </c>
      <c r="M100" s="45">
        <f>1</f>
        <v>1</v>
      </c>
      <c r="N100" s="135">
        <f t="shared" si="16"/>
        <v>6569.7612334665782</v>
      </c>
      <c r="P100" s="136">
        <f>Variables!$D$15</f>
        <v>10.755760368663594</v>
      </c>
      <c r="Q100" s="175">
        <f t="shared" si="17"/>
        <v>70662.777506502272</v>
      </c>
      <c r="R100" s="172">
        <f>Variables!$D$14</f>
        <v>5.2703140174813869</v>
      </c>
      <c r="S100" s="175">
        <f t="shared" si="18"/>
        <v>25745.347275926382</v>
      </c>
      <c r="T100" s="217">
        <f>Variables!$D$18</f>
        <v>5.032</v>
      </c>
      <c r="U100" s="177">
        <f t="shared" si="19"/>
        <v>33059.038526803823</v>
      </c>
    </row>
    <row r="101" spans="1:21" ht="15.75" customHeight="1" x14ac:dyDescent="0.35">
      <c r="A101" s="11">
        <v>18</v>
      </c>
      <c r="B101" s="13" t="s">
        <v>51</v>
      </c>
      <c r="C101" s="13">
        <v>2023</v>
      </c>
      <c r="D101" s="16">
        <f>Population!H19</f>
        <v>1901.497866354204</v>
      </c>
      <c r="E101" s="98">
        <f t="shared" si="20"/>
        <v>5.88</v>
      </c>
      <c r="F101" s="16">
        <f t="shared" si="12"/>
        <v>323.38399087656529</v>
      </c>
      <c r="G101" s="16" t="str">
        <f t="shared" si="13"/>
        <v>Small</v>
      </c>
      <c r="H101" s="17"/>
      <c r="I101" s="121">
        <f>Variables!$B$3*POWER(SUM(1,Variables!$B$2/100),C101-2017)</f>
        <v>38664.200675330103</v>
      </c>
      <c r="J101" s="42">
        <f t="shared" si="14"/>
        <v>518.57076654696084</v>
      </c>
      <c r="K101" s="43">
        <f>VLOOKUP(A101,'Waste per capita'!$A$2:$F$21,6,FALSE)*(J101/J81)</f>
        <v>281.35810318388326</v>
      </c>
      <c r="L101" s="219">
        <f t="shared" si="15"/>
        <v>535.00183288561993</v>
      </c>
      <c r="M101" s="45">
        <f>1</f>
        <v>1</v>
      </c>
      <c r="N101" s="135">
        <f t="shared" si="16"/>
        <v>535.00183288561993</v>
      </c>
      <c r="P101" s="136">
        <f>Variables!$D$15</f>
        <v>10.755760368663594</v>
      </c>
      <c r="Q101" s="175">
        <f t="shared" si="17"/>
        <v>5754.3515113135345</v>
      </c>
      <c r="R101" s="172">
        <f>Variables!$D$14</f>
        <v>5.2703140174813869</v>
      </c>
      <c r="S101" s="175">
        <f t="shared" si="18"/>
        <v>1704.335180145835</v>
      </c>
      <c r="T101" s="217">
        <f>Variables!$D$18</f>
        <v>5.032</v>
      </c>
      <c r="U101" s="177">
        <f t="shared" si="19"/>
        <v>2692.1292230804397</v>
      </c>
    </row>
    <row r="102" spans="1:21" ht="15.75" customHeight="1" x14ac:dyDescent="0.35">
      <c r="A102" s="11">
        <v>19</v>
      </c>
      <c r="B102" s="13" t="s">
        <v>52</v>
      </c>
      <c r="C102" s="13">
        <v>2023</v>
      </c>
      <c r="D102" s="16">
        <f>Population!H20</f>
        <v>27859.597944551071</v>
      </c>
      <c r="E102" s="98">
        <f t="shared" si="20"/>
        <v>3.93</v>
      </c>
      <c r="F102" s="16">
        <f t="shared" si="12"/>
        <v>7088.95621998755</v>
      </c>
      <c r="G102" s="16" t="str">
        <f t="shared" si="13"/>
        <v>Small</v>
      </c>
      <c r="H102" s="17"/>
      <c r="I102" s="121">
        <f>Variables!$B$3*POWER(SUM(1,Variables!$B$2/100),C102-2017)</f>
        <v>38664.200675330103</v>
      </c>
      <c r="J102" s="42">
        <f t="shared" si="14"/>
        <v>518.57076654696084</v>
      </c>
      <c r="K102" s="43">
        <f>VLOOKUP(A102,'Waste per capita'!$A$2:$F$21,6,FALSE)*(J102/J82)</f>
        <v>281.35810318388326</v>
      </c>
      <c r="L102" s="219">
        <f t="shared" si="15"/>
        <v>7838.5236331445021</v>
      </c>
      <c r="M102" s="45">
        <f>1</f>
        <v>1</v>
      </c>
      <c r="N102" s="135">
        <f t="shared" si="16"/>
        <v>7838.5236331445021</v>
      </c>
      <c r="P102" s="136">
        <f>Variables!$D$15</f>
        <v>10.755760368663594</v>
      </c>
      <c r="Q102" s="175">
        <f t="shared" si="17"/>
        <v>84309.281842208613</v>
      </c>
      <c r="R102" s="172">
        <f>Variables!$D$14</f>
        <v>5.2703140174813869</v>
      </c>
      <c r="S102" s="175">
        <f t="shared" si="18"/>
        <v>37361.025335512248</v>
      </c>
      <c r="T102" s="217">
        <f>Variables!$D$18</f>
        <v>5.032</v>
      </c>
      <c r="U102" s="177">
        <f t="shared" si="19"/>
        <v>39443.450921983138</v>
      </c>
    </row>
    <row r="103" spans="1:21" ht="15.75" customHeight="1" x14ac:dyDescent="0.35">
      <c r="A103" s="11">
        <v>20</v>
      </c>
      <c r="B103" s="13" t="s">
        <v>53</v>
      </c>
      <c r="C103" s="13">
        <v>2023</v>
      </c>
      <c r="D103" s="16">
        <f>Population!H21</f>
        <v>3238.1270036196502</v>
      </c>
      <c r="E103" s="98">
        <f t="shared" si="20"/>
        <v>3.94</v>
      </c>
      <c r="F103" s="16">
        <f t="shared" si="12"/>
        <v>821.85964558874366</v>
      </c>
      <c r="G103" s="16" t="str">
        <f t="shared" si="13"/>
        <v>Small</v>
      </c>
      <c r="H103" s="17"/>
      <c r="I103" s="121">
        <f>Variables!$B$3*POWER(SUM(1,Variables!$B$2/100),C103-2017)</f>
        <v>38664.200675330103</v>
      </c>
      <c r="J103" s="42">
        <f t="shared" si="14"/>
        <v>518.57076654696084</v>
      </c>
      <c r="K103" s="43">
        <f>VLOOKUP(A103,'Waste per capita'!$A$2:$F$21,6,FALSE)*(J103/J83)</f>
        <v>281.35810318388326</v>
      </c>
      <c r="L103" s="219">
        <f t="shared" si="15"/>
        <v>911.07327160693626</v>
      </c>
      <c r="M103" s="45">
        <f>1</f>
        <v>1</v>
      </c>
      <c r="N103" s="135">
        <f t="shared" si="16"/>
        <v>911.07327160693626</v>
      </c>
      <c r="P103" s="136">
        <f>Variables!$D$15</f>
        <v>10.755760368663594</v>
      </c>
      <c r="Q103" s="175">
        <f t="shared" si="17"/>
        <v>9799.2857876985672</v>
      </c>
      <c r="R103" s="172">
        <f>Variables!$D$14</f>
        <v>5.2703140174813869</v>
      </c>
      <c r="S103" s="175">
        <f t="shared" si="18"/>
        <v>4331.4584105486401</v>
      </c>
      <c r="T103" s="217">
        <f>Variables!$D$18</f>
        <v>5.032</v>
      </c>
      <c r="U103" s="177">
        <f t="shared" si="19"/>
        <v>4584.5207027261031</v>
      </c>
    </row>
    <row r="104" spans="1:21" ht="15.75" customHeight="1" x14ac:dyDescent="0.35">
      <c r="A104" s="11">
        <v>1</v>
      </c>
      <c r="B104" s="12" t="s">
        <v>23</v>
      </c>
      <c r="C104" s="13">
        <v>2024</v>
      </c>
      <c r="D104" s="16">
        <f>Population!I2</f>
        <v>718449.17009531194</v>
      </c>
      <c r="E104" s="98">
        <f t="shared" si="20"/>
        <v>4.17</v>
      </c>
      <c r="F104" s="16">
        <f t="shared" si="12"/>
        <v>172289.96884779664</v>
      </c>
      <c r="G104" s="16" t="str">
        <f t="shared" si="13"/>
        <v>Medium</v>
      </c>
      <c r="H104" s="17"/>
      <c r="I104" s="121">
        <f>Variables!$B$3*POWER(SUM(1,Variables!$B$2/100),C104-2017)</f>
        <v>40752.067511797934</v>
      </c>
      <c r="J104" s="42">
        <f t="shared" si="14"/>
        <v>529.38043556030516</v>
      </c>
      <c r="K104" s="43">
        <f>VLOOKUP(A104,'Waste per capita'!$A$2:$F$21,6,FALSE)*(J104/J84)</f>
        <v>341.54399263569559</v>
      </c>
      <c r="L104" s="219">
        <f t="shared" si="15"/>
        <v>245381.99806015482</v>
      </c>
      <c r="M104" s="45">
        <f>1</f>
        <v>1</v>
      </c>
      <c r="N104" s="135">
        <f t="shared" si="16"/>
        <v>245381.99806015482</v>
      </c>
      <c r="P104" s="136">
        <f>Variables!$D$15</f>
        <v>10.755760368663594</v>
      </c>
      <c r="Q104" s="175">
        <f t="shared" si="17"/>
        <v>2639269.9699189002</v>
      </c>
      <c r="R104" s="172">
        <f>Variables!$D$14</f>
        <v>5.2703140174813869</v>
      </c>
      <c r="S104" s="175">
        <f t="shared" si="18"/>
        <v>908022.23788997415</v>
      </c>
      <c r="T104" s="217">
        <f>Variables!$D$18</f>
        <v>5.032</v>
      </c>
      <c r="U104" s="177">
        <f t="shared" si="19"/>
        <v>1234762.2142386991</v>
      </c>
    </row>
    <row r="105" spans="1:21" ht="15.75" customHeight="1" x14ac:dyDescent="0.35">
      <c r="A105" s="11">
        <v>2</v>
      </c>
      <c r="B105" s="12" t="s">
        <v>26</v>
      </c>
      <c r="C105" s="13">
        <v>2024</v>
      </c>
      <c r="D105" s="16">
        <f>Population!I3</f>
        <v>497830.68543939828</v>
      </c>
      <c r="E105" s="98">
        <f t="shared" si="20"/>
        <v>4.29</v>
      </c>
      <c r="F105" s="16">
        <f t="shared" si="12"/>
        <v>116044.44882037256</v>
      </c>
      <c r="G105" s="16" t="str">
        <f t="shared" si="13"/>
        <v>Medium</v>
      </c>
      <c r="H105" s="17"/>
      <c r="I105" s="121">
        <f>Variables!$B$3*POWER(SUM(1,Variables!$B$2/100),C105-2017)</f>
        <v>40752.067511797934</v>
      </c>
      <c r="J105" s="42">
        <f t="shared" si="14"/>
        <v>529.38043556030516</v>
      </c>
      <c r="K105" s="43">
        <f>VLOOKUP(A105,'Waste per capita'!$A$2:$F$21,6,FALSE)*(J105/J85)</f>
        <v>341.54399263569559</v>
      </c>
      <c r="L105" s="219">
        <f t="shared" si="15"/>
        <v>170031.07996153712</v>
      </c>
      <c r="M105" s="45">
        <f>1</f>
        <v>1</v>
      </c>
      <c r="N105" s="135">
        <f t="shared" si="16"/>
        <v>170031.07996153712</v>
      </c>
      <c r="P105" s="136">
        <f>Variables!$D$15</f>
        <v>10.755760368663594</v>
      </c>
      <c r="Q105" s="175">
        <f t="shared" si="17"/>
        <v>1828813.5512913717</v>
      </c>
      <c r="R105" s="172">
        <f>Variables!$D$14</f>
        <v>5.2703140174813869</v>
      </c>
      <c r="S105" s="175">
        <f t="shared" si="18"/>
        <v>611590.68526891095</v>
      </c>
      <c r="T105" s="217">
        <f>Variables!$D$18</f>
        <v>5.032</v>
      </c>
      <c r="U105" s="177">
        <f t="shared" si="19"/>
        <v>855596.3943664548</v>
      </c>
    </row>
    <row r="106" spans="1:21" ht="15.75" customHeight="1" x14ac:dyDescent="0.35">
      <c r="A106" s="11">
        <v>3</v>
      </c>
      <c r="B106" s="12" t="s">
        <v>28</v>
      </c>
      <c r="C106" s="13">
        <v>2024</v>
      </c>
      <c r="D106" s="16">
        <f>Population!I4</f>
        <v>356501.1065402854</v>
      </c>
      <c r="E106" s="98">
        <f t="shared" si="20"/>
        <v>4.8600000000000003</v>
      </c>
      <c r="F106" s="16">
        <f t="shared" si="12"/>
        <v>73354.137148206864</v>
      </c>
      <c r="G106" s="16" t="str">
        <f t="shared" si="13"/>
        <v>Medium</v>
      </c>
      <c r="H106" s="17"/>
      <c r="I106" s="121">
        <f>Variables!$B$3*POWER(SUM(1,Variables!$B$2/100),C106-2017)</f>
        <v>40752.067511797934</v>
      </c>
      <c r="J106" s="42">
        <f t="shared" si="14"/>
        <v>529.38043556030516</v>
      </c>
      <c r="K106" s="43">
        <f>VLOOKUP(A106,'Waste per capita'!$A$2:$F$21,6,FALSE)*(J106/J86)</f>
        <v>297.02654263426291</v>
      </c>
      <c r="L106" s="219">
        <f t="shared" si="15"/>
        <v>105890.29112094999</v>
      </c>
      <c r="M106" s="45">
        <f>1</f>
        <v>1</v>
      </c>
      <c r="N106" s="135">
        <f t="shared" si="16"/>
        <v>105890.29112094999</v>
      </c>
      <c r="P106" s="136">
        <f>Variables!$D$15</f>
        <v>10.755760368663594</v>
      </c>
      <c r="Q106" s="175">
        <f t="shared" si="17"/>
        <v>1138930.5966649645</v>
      </c>
      <c r="R106" s="172">
        <f>Variables!$D$14</f>
        <v>5.2703140174813869</v>
      </c>
      <c r="S106" s="175">
        <f t="shared" si="18"/>
        <v>386599.33725244674</v>
      </c>
      <c r="T106" s="217">
        <f>Variables!$D$18</f>
        <v>5.032</v>
      </c>
      <c r="U106" s="177">
        <f t="shared" si="19"/>
        <v>532839.9449206203</v>
      </c>
    </row>
    <row r="107" spans="1:21" ht="15.75" customHeight="1" x14ac:dyDescent="0.35">
      <c r="A107" s="11">
        <v>4</v>
      </c>
      <c r="B107" s="12" t="s">
        <v>30</v>
      </c>
      <c r="C107" s="13">
        <v>2024</v>
      </c>
      <c r="D107" s="16">
        <f>Population!I5</f>
        <v>675831.05222434504</v>
      </c>
      <c r="E107" s="98">
        <f t="shared" si="20"/>
        <v>4.05</v>
      </c>
      <c r="F107" s="16">
        <f t="shared" si="12"/>
        <v>166871.86474675187</v>
      </c>
      <c r="G107" s="16" t="str">
        <f t="shared" si="13"/>
        <v>Medium</v>
      </c>
      <c r="H107" s="17"/>
      <c r="I107" s="121">
        <f>Variables!$B$3*POWER(SUM(1,Variables!$B$2/100),C107-2017)</f>
        <v>40752.067511797934</v>
      </c>
      <c r="J107" s="42">
        <f t="shared" si="14"/>
        <v>529.38043556030516</v>
      </c>
      <c r="K107" s="43">
        <f>VLOOKUP(A107,'Waste per capita'!$A$2:$F$21,6,FALSE)*(J107/J87)</f>
        <v>279.45635115455366</v>
      </c>
      <c r="L107" s="219">
        <f t="shared" si="15"/>
        <v>188865.27985155807</v>
      </c>
      <c r="M107" s="45">
        <f>1</f>
        <v>1</v>
      </c>
      <c r="N107" s="135">
        <f t="shared" si="16"/>
        <v>188865.27985155807</v>
      </c>
      <c r="P107" s="136">
        <f>Variables!$D$15</f>
        <v>10.755760368663594</v>
      </c>
      <c r="Q107" s="175">
        <f t="shared" si="17"/>
        <v>2031389.6920439471</v>
      </c>
      <c r="R107" s="172">
        <f>Variables!$D$14</f>
        <v>5.2703140174813869</v>
      </c>
      <c r="S107" s="175">
        <f t="shared" si="18"/>
        <v>879467.12789806444</v>
      </c>
      <c r="T107" s="217">
        <f>Variables!$D$18</f>
        <v>5.032</v>
      </c>
      <c r="U107" s="177">
        <f t="shared" si="19"/>
        <v>950370.08821304014</v>
      </c>
    </row>
    <row r="108" spans="1:21" ht="15.75" customHeight="1" x14ac:dyDescent="0.35">
      <c r="A108" s="11">
        <v>5</v>
      </c>
      <c r="B108" s="12" t="s">
        <v>31</v>
      </c>
      <c r="C108" s="13">
        <v>2024</v>
      </c>
      <c r="D108" s="16">
        <f>Population!I6</f>
        <v>430609.27042815246</v>
      </c>
      <c r="E108" s="98">
        <f t="shared" si="20"/>
        <v>4.2</v>
      </c>
      <c r="F108" s="16">
        <f t="shared" si="12"/>
        <v>102526.01676860772</v>
      </c>
      <c r="G108" s="16" t="str">
        <f t="shared" si="13"/>
        <v>Medium</v>
      </c>
      <c r="H108" s="17"/>
      <c r="I108" s="121">
        <f>Variables!$B$3*POWER(SUM(1,Variables!$B$2/100),C108-2017)</f>
        <v>40752.067511797934</v>
      </c>
      <c r="J108" s="42">
        <f t="shared" si="14"/>
        <v>529.38043556030516</v>
      </c>
      <c r="K108" s="43">
        <f>VLOOKUP(A108,'Waste per capita'!$A$2:$F$21,6,FALSE)*(J108/J88)</f>
        <v>341.54399263569559</v>
      </c>
      <c r="L108" s="219">
        <f t="shared" si="15"/>
        <v>147072.00948797516</v>
      </c>
      <c r="M108" s="45">
        <f>1</f>
        <v>1</v>
      </c>
      <c r="N108" s="135">
        <f t="shared" si="16"/>
        <v>147072.00948797516</v>
      </c>
      <c r="P108" s="136">
        <f>Variables!$D$15</f>
        <v>10.755760368663594</v>
      </c>
      <c r="Q108" s="175">
        <f t="shared" si="17"/>
        <v>1581871.2909904793</v>
      </c>
      <c r="R108" s="172">
        <f>Variables!$D$14</f>
        <v>5.2703140174813869</v>
      </c>
      <c r="S108" s="175">
        <f t="shared" si="18"/>
        <v>540344.30333212495</v>
      </c>
      <c r="T108" s="217">
        <f>Variables!$D$18</f>
        <v>5.032</v>
      </c>
      <c r="U108" s="177">
        <f t="shared" si="19"/>
        <v>740066.35174349102</v>
      </c>
    </row>
    <row r="109" spans="1:21" ht="15.75" customHeight="1" x14ac:dyDescent="0.35">
      <c r="A109" s="11">
        <v>6</v>
      </c>
      <c r="B109" s="12" t="s">
        <v>32</v>
      </c>
      <c r="C109" s="13">
        <v>2024</v>
      </c>
      <c r="D109" s="16">
        <f>Population!I7</f>
        <v>490475.62091360794</v>
      </c>
      <c r="E109" s="98">
        <f t="shared" si="20"/>
        <v>4.59</v>
      </c>
      <c r="F109" s="16">
        <f t="shared" si="12"/>
        <v>106857.43375024138</v>
      </c>
      <c r="G109" s="16" t="str">
        <f t="shared" si="13"/>
        <v>Medium</v>
      </c>
      <c r="H109" s="17"/>
      <c r="I109" s="121">
        <f>Variables!$B$3*POWER(SUM(1,Variables!$B$2/100),C109-2017)</f>
        <v>40752.067511797934</v>
      </c>
      <c r="J109" s="42">
        <f t="shared" si="14"/>
        <v>529.38043556030516</v>
      </c>
      <c r="K109" s="43">
        <f>VLOOKUP(A109,'Waste per capita'!$A$2:$F$21,6,FALSE)*(J109/J89)</f>
        <v>302.73859153107566</v>
      </c>
      <c r="L109" s="219">
        <f t="shared" si="15"/>
        <v>148485.89865571546</v>
      </c>
      <c r="M109" s="45">
        <f>1</f>
        <v>1</v>
      </c>
      <c r="N109" s="135">
        <f t="shared" si="16"/>
        <v>148485.89865571546</v>
      </c>
      <c r="P109" s="136">
        <f>Variables!$D$15</f>
        <v>10.755760368663594</v>
      </c>
      <c r="Q109" s="175">
        <f t="shared" si="17"/>
        <v>1597078.7440665432</v>
      </c>
      <c r="R109" s="172">
        <f>Variables!$D$14</f>
        <v>5.2703140174813869</v>
      </c>
      <c r="S109" s="175">
        <f t="shared" si="18"/>
        <v>563172.2309659858</v>
      </c>
      <c r="T109" s="217">
        <f>Variables!$D$18</f>
        <v>5.032</v>
      </c>
      <c r="U109" s="177">
        <f t="shared" si="19"/>
        <v>747181.04203556024</v>
      </c>
    </row>
    <row r="110" spans="1:21" ht="15.75" customHeight="1" x14ac:dyDescent="0.35">
      <c r="A110" s="11">
        <v>7</v>
      </c>
      <c r="B110" s="12" t="s">
        <v>33</v>
      </c>
      <c r="C110" s="13">
        <v>2024</v>
      </c>
      <c r="D110" s="16">
        <f>Population!I8</f>
        <v>276387.07321113907</v>
      </c>
      <c r="E110" s="98">
        <f t="shared" si="20"/>
        <v>3.94</v>
      </c>
      <c r="F110" s="16">
        <f t="shared" si="12"/>
        <v>70149.003353080989</v>
      </c>
      <c r="G110" s="16" t="str">
        <f t="shared" si="13"/>
        <v>Medium</v>
      </c>
      <c r="H110" s="17"/>
      <c r="I110" s="121">
        <f>Variables!$B$3*POWER(SUM(1,Variables!$B$2/100),C110-2017)</f>
        <v>40752.067511797934</v>
      </c>
      <c r="J110" s="42">
        <f t="shared" si="14"/>
        <v>529.38043556030516</v>
      </c>
      <c r="K110" s="43">
        <f>VLOOKUP(A110,'Waste per capita'!$A$2:$F$21,6,FALSE)*(J110/J90)</f>
        <v>416.97956946733058</v>
      </c>
      <c r="L110" s="219">
        <f t="shared" si="15"/>
        <v>115247.76279391635</v>
      </c>
      <c r="M110" s="45">
        <f>1</f>
        <v>1</v>
      </c>
      <c r="N110" s="135">
        <f t="shared" si="16"/>
        <v>115247.76279391635</v>
      </c>
      <c r="P110" s="136">
        <f>Variables!$D$15</f>
        <v>10.755760368663594</v>
      </c>
      <c r="Q110" s="175">
        <f t="shared" si="17"/>
        <v>1239577.3196359482</v>
      </c>
      <c r="R110" s="172">
        <f>Variables!$D$14</f>
        <v>5.2703140174813869</v>
      </c>
      <c r="S110" s="175">
        <f t="shared" si="18"/>
        <v>369707.27568409155</v>
      </c>
      <c r="T110" s="217">
        <f>Variables!$D$18</f>
        <v>5.032</v>
      </c>
      <c r="U110" s="177">
        <f t="shared" si="19"/>
        <v>579926.74237898702</v>
      </c>
    </row>
    <row r="111" spans="1:21" ht="15.75" customHeight="1" x14ac:dyDescent="0.35">
      <c r="A111" s="11">
        <v>8</v>
      </c>
      <c r="B111" s="11" t="s">
        <v>36</v>
      </c>
      <c r="C111" s="13">
        <v>2024</v>
      </c>
      <c r="D111" s="16">
        <f>Population!I9</f>
        <v>916967.61625948164</v>
      </c>
      <c r="E111" s="98">
        <f t="shared" si="20"/>
        <v>4.04</v>
      </c>
      <c r="F111" s="16">
        <f t="shared" si="12"/>
        <v>226972.18224244594</v>
      </c>
      <c r="G111" s="16" t="str">
        <f t="shared" si="13"/>
        <v>Medium</v>
      </c>
      <c r="H111" s="17"/>
      <c r="I111" s="121">
        <f>Variables!$B$3*POWER(SUM(1,Variables!$B$2/100),C111-2017)</f>
        <v>40752.067511797934</v>
      </c>
      <c r="J111" s="42">
        <f t="shared" si="14"/>
        <v>529.38043556030516</v>
      </c>
      <c r="K111" s="43">
        <f>VLOOKUP(A111,'Waste per capita'!$A$2:$F$21,6,FALSE)*(J111/J91)</f>
        <v>308.4506404278884</v>
      </c>
      <c r="L111" s="219">
        <f t="shared" si="15"/>
        <v>282839.24848687131</v>
      </c>
      <c r="M111" s="45">
        <f>1</f>
        <v>1</v>
      </c>
      <c r="N111" s="135">
        <f t="shared" si="16"/>
        <v>282839.24848687131</v>
      </c>
      <c r="P111" s="136">
        <f>Variables!$D$15</f>
        <v>10.755760368663594</v>
      </c>
      <c r="Q111" s="175">
        <f t="shared" si="17"/>
        <v>3042151.179577685</v>
      </c>
      <c r="R111" s="172">
        <f>Variables!$D$14</f>
        <v>5.2703140174813869</v>
      </c>
      <c r="S111" s="175">
        <f t="shared" si="18"/>
        <v>1196214.6736507027</v>
      </c>
      <c r="T111" s="217">
        <f>Variables!$D$18</f>
        <v>5.032</v>
      </c>
      <c r="U111" s="177">
        <f t="shared" si="19"/>
        <v>1423247.0983859363</v>
      </c>
    </row>
    <row r="112" spans="1:21" ht="15.75" customHeight="1" x14ac:dyDescent="0.35">
      <c r="A112" s="11">
        <v>9</v>
      </c>
      <c r="B112" s="12" t="s">
        <v>38</v>
      </c>
      <c r="C112" s="13">
        <v>2024</v>
      </c>
      <c r="D112" s="16">
        <f>Population!I10</f>
        <v>16103.925626488925</v>
      </c>
      <c r="E112" s="98">
        <f t="shared" si="20"/>
        <v>4.26</v>
      </c>
      <c r="F112" s="16">
        <f t="shared" si="12"/>
        <v>3780.2642315701701</v>
      </c>
      <c r="G112" s="16" t="str">
        <f t="shared" si="13"/>
        <v>Small</v>
      </c>
      <c r="H112" s="17"/>
      <c r="I112" s="121">
        <f>Variables!$B$3*POWER(SUM(1,Variables!$B$2/100),C112-2017)</f>
        <v>40752.067511797934</v>
      </c>
      <c r="J112" s="42">
        <f t="shared" si="14"/>
        <v>529.38043556030516</v>
      </c>
      <c r="K112" s="43">
        <f>VLOOKUP(A112,'Waste per capita'!$A$2:$F$21,6,FALSE)*(J112/J92)</f>
        <v>281.32602112720127</v>
      </c>
      <c r="L112" s="219">
        <f t="shared" si="15"/>
        <v>4530.4533210285008</v>
      </c>
      <c r="M112" s="45">
        <f>1</f>
        <v>1</v>
      </c>
      <c r="N112" s="135">
        <f t="shared" si="16"/>
        <v>4530.4533210285008</v>
      </c>
      <c r="P112" s="136">
        <f>Variables!$D$15</f>
        <v>10.755760368663594</v>
      </c>
      <c r="Q112" s="175">
        <f t="shared" si="17"/>
        <v>48728.47028239871</v>
      </c>
      <c r="R112" s="172">
        <f>Variables!$D$14</f>
        <v>5.2703140174813869</v>
      </c>
      <c r="S112" s="175">
        <f t="shared" si="18"/>
        <v>19923.179569427772</v>
      </c>
      <c r="T112" s="217">
        <f>Variables!$D$18</f>
        <v>5.032</v>
      </c>
      <c r="U112" s="177">
        <f t="shared" si="19"/>
        <v>22797.241111415417</v>
      </c>
    </row>
    <row r="113" spans="1:21" ht="15.75" customHeight="1" x14ac:dyDescent="0.35">
      <c r="A113" s="11">
        <v>10</v>
      </c>
      <c r="B113" s="12" t="s">
        <v>40</v>
      </c>
      <c r="C113" s="13">
        <v>2024</v>
      </c>
      <c r="D113" s="16">
        <f>Population!I11</f>
        <v>630076.89205983467</v>
      </c>
      <c r="E113" s="98">
        <f t="shared" si="20"/>
        <v>5.88</v>
      </c>
      <c r="F113" s="16">
        <f t="shared" si="12"/>
        <v>107155.9340237814</v>
      </c>
      <c r="G113" s="16" t="str">
        <f t="shared" si="13"/>
        <v>Medium</v>
      </c>
      <c r="H113" s="17"/>
      <c r="I113" s="121">
        <f>Variables!$B$3*POWER(SUM(1,Variables!$B$2/100),C113-2017)</f>
        <v>40752.067511797934</v>
      </c>
      <c r="J113" s="42">
        <f t="shared" si="14"/>
        <v>529.38043556030516</v>
      </c>
      <c r="K113" s="43">
        <f>VLOOKUP(A113,'Waste per capita'!$A$2:$F$21,6,FALSE)*(J113/J93)</f>
        <v>341.54399263569559</v>
      </c>
      <c r="L113" s="219">
        <f t="shared" si="15"/>
        <v>215198.97738160612</v>
      </c>
      <c r="M113" s="45">
        <f>1</f>
        <v>1</v>
      </c>
      <c r="N113" s="135">
        <f t="shared" si="16"/>
        <v>215198.97738160612</v>
      </c>
      <c r="P113" s="136">
        <f>Variables!$D$15</f>
        <v>10.755760368663594</v>
      </c>
      <c r="Q113" s="175">
        <f t="shared" si="17"/>
        <v>2314628.6322980123</v>
      </c>
      <c r="R113" s="172">
        <f>Variables!$D$14</f>
        <v>5.2703140174813869</v>
      </c>
      <c r="S113" s="175">
        <f t="shared" si="18"/>
        <v>564745.42114184576</v>
      </c>
      <c r="T113" s="217">
        <f>Variables!$D$18</f>
        <v>5.032</v>
      </c>
      <c r="U113" s="177">
        <f t="shared" si="19"/>
        <v>1082881.2541842421</v>
      </c>
    </row>
    <row r="114" spans="1:21" ht="15.75" customHeight="1" x14ac:dyDescent="0.35">
      <c r="A114" s="11">
        <v>11</v>
      </c>
      <c r="B114" s="12" t="s">
        <v>42</v>
      </c>
      <c r="C114" s="13">
        <v>2024</v>
      </c>
      <c r="D114" s="16">
        <f>Population!I12</f>
        <v>834350.32428180031</v>
      </c>
      <c r="E114" s="98">
        <f t="shared" si="20"/>
        <v>4.47</v>
      </c>
      <c r="F114" s="16">
        <f t="shared" si="12"/>
        <v>186655.55353060411</v>
      </c>
      <c r="G114" s="16" t="str">
        <f t="shared" si="13"/>
        <v>Medium</v>
      </c>
      <c r="H114" s="17"/>
      <c r="I114" s="121">
        <f>Variables!$B$3*POWER(SUM(1,Variables!$B$2/100),C114-2017)</f>
        <v>40752.067511797934</v>
      </c>
      <c r="J114" s="42">
        <f t="shared" si="14"/>
        <v>529.38043556030516</v>
      </c>
      <c r="K114" s="43">
        <f>VLOOKUP(A114,'Waste per capita'!$A$2:$F$21,6,FALSE)*(J114/J94)</f>
        <v>442.74259062641505</v>
      </c>
      <c r="L114" s="219">
        <f t="shared" si="15"/>
        <v>369402.42406251375</v>
      </c>
      <c r="M114" s="45">
        <f>1</f>
        <v>1</v>
      </c>
      <c r="N114" s="135">
        <f t="shared" si="16"/>
        <v>369402.42406251375</v>
      </c>
      <c r="P114" s="136">
        <f>Variables!$D$15</f>
        <v>10.755760368663594</v>
      </c>
      <c r="Q114" s="175">
        <f t="shared" si="17"/>
        <v>3973203.9528198484</v>
      </c>
      <c r="R114" s="172">
        <f>Variables!$D$14</f>
        <v>5.2703140174813869</v>
      </c>
      <c r="S114" s="175">
        <f t="shared" si="18"/>
        <v>983733.38021309022</v>
      </c>
      <c r="T114" s="217">
        <f>Variables!$D$18</f>
        <v>5.032</v>
      </c>
      <c r="U114" s="177">
        <f t="shared" si="19"/>
        <v>1858832.9978825692</v>
      </c>
    </row>
    <row r="115" spans="1:21" ht="15.75" customHeight="1" x14ac:dyDescent="0.35">
      <c r="A115" s="11">
        <v>12</v>
      </c>
      <c r="B115" s="12" t="s">
        <v>44</v>
      </c>
      <c r="C115" s="13">
        <v>2024</v>
      </c>
      <c r="D115" s="16">
        <f>Population!I13</f>
        <v>617761.30552394618</v>
      </c>
      <c r="E115" s="98">
        <f t="shared" si="20"/>
        <v>3.93</v>
      </c>
      <c r="F115" s="16">
        <f t="shared" si="12"/>
        <v>157191.17188904481</v>
      </c>
      <c r="G115" s="16" t="str">
        <f t="shared" si="13"/>
        <v>Medium</v>
      </c>
      <c r="H115" s="17"/>
      <c r="I115" s="121">
        <f>Variables!$B$3*POWER(SUM(1,Variables!$B$2/100),C115-2017)</f>
        <v>40752.067511797934</v>
      </c>
      <c r="J115" s="42">
        <f t="shared" si="14"/>
        <v>529.38043556030516</v>
      </c>
      <c r="K115" s="43">
        <f>VLOOKUP(A115,'Waste per capita'!$A$2:$F$21,6,FALSE)*(J115/J95)</f>
        <v>281.32602112720127</v>
      </c>
      <c r="L115" s="219">
        <f t="shared" si="15"/>
        <v>173792.33008939715</v>
      </c>
      <c r="M115" s="45">
        <f>1</f>
        <v>1</v>
      </c>
      <c r="N115" s="135">
        <f t="shared" si="16"/>
        <v>173792.33008939715</v>
      </c>
      <c r="P115" s="136">
        <f>Variables!$D$15</f>
        <v>10.755760368663594</v>
      </c>
      <c r="Q115" s="175">
        <f t="shared" si="17"/>
        <v>1869268.6563532394</v>
      </c>
      <c r="R115" s="172">
        <f>Variables!$D$14</f>
        <v>5.2703140174813869</v>
      </c>
      <c r="S115" s="175">
        <f t="shared" si="18"/>
        <v>828446.83663115907</v>
      </c>
      <c r="T115" s="217">
        <f>Variables!$D$18</f>
        <v>5.032</v>
      </c>
      <c r="U115" s="177">
        <f t="shared" si="19"/>
        <v>874523.00500984641</v>
      </c>
    </row>
    <row r="116" spans="1:21" ht="15.75" customHeight="1" x14ac:dyDescent="0.35">
      <c r="A116" s="11">
        <v>13</v>
      </c>
      <c r="B116" s="12" t="s">
        <v>45</v>
      </c>
      <c r="C116" s="13">
        <v>2024</v>
      </c>
      <c r="D116" s="16">
        <f>Population!I14</f>
        <v>470480.21524997539</v>
      </c>
      <c r="E116" s="98">
        <f t="shared" si="20"/>
        <v>4.78</v>
      </c>
      <c r="F116" s="16">
        <f t="shared" si="12"/>
        <v>98426.823274053429</v>
      </c>
      <c r="G116" s="16" t="str">
        <f t="shared" si="13"/>
        <v>Medium</v>
      </c>
      <c r="H116" s="17"/>
      <c r="I116" s="121">
        <f>Variables!$B$3*POWER(SUM(1,Variables!$B$2/100),C116-2017)</f>
        <v>40752.067511797934</v>
      </c>
      <c r="J116" s="42">
        <f t="shared" si="14"/>
        <v>529.38043556030516</v>
      </c>
      <c r="K116" s="43">
        <f>VLOOKUP(A116,'Waste per capita'!$A$2:$F$21,6,FALSE)*(J116/J96)</f>
        <v>341.54399263569559</v>
      </c>
      <c r="L116" s="219">
        <f t="shared" si="15"/>
        <v>160689.69117257808</v>
      </c>
      <c r="M116" s="45">
        <f>1</f>
        <v>1</v>
      </c>
      <c r="N116" s="135">
        <f t="shared" si="16"/>
        <v>160689.69117257808</v>
      </c>
      <c r="P116" s="136">
        <f>Variables!$D$15</f>
        <v>10.755760368663594</v>
      </c>
      <c r="Q116" s="175">
        <f t="shared" si="17"/>
        <v>1728339.8119668076</v>
      </c>
      <c r="R116" s="172">
        <f>Variables!$D$14</f>
        <v>5.2703140174813869</v>
      </c>
      <c r="S116" s="175">
        <f t="shared" si="18"/>
        <v>518740.26639740699</v>
      </c>
      <c r="T116" s="217">
        <f>Variables!$D$18</f>
        <v>5.032</v>
      </c>
      <c r="U116" s="177">
        <f t="shared" si="19"/>
        <v>808590.52598041296</v>
      </c>
    </row>
    <row r="117" spans="1:21" ht="15.75" customHeight="1" x14ac:dyDescent="0.35">
      <c r="A117" s="11">
        <v>14</v>
      </c>
      <c r="B117" s="12" t="s">
        <v>46</v>
      </c>
      <c r="C117" s="13">
        <v>2024</v>
      </c>
      <c r="D117" s="16">
        <f>Population!I15</f>
        <v>2214394.3083853452</v>
      </c>
      <c r="E117" s="98">
        <f t="shared" si="20"/>
        <v>3.72</v>
      </c>
      <c r="F117" s="16">
        <f t="shared" si="12"/>
        <v>595267.28720036161</v>
      </c>
      <c r="G117" s="16" t="str">
        <f t="shared" si="13"/>
        <v>Large</v>
      </c>
      <c r="H117" s="17"/>
      <c r="I117" s="121">
        <f>Variables!$B$3*POWER(SUM(1,Variables!$B$2/100),C117-2017)</f>
        <v>40752.067511797934</v>
      </c>
      <c r="J117" s="42">
        <f t="shared" si="14"/>
        <v>529.38043556030516</v>
      </c>
      <c r="K117" s="43">
        <f>VLOOKUP(A117,'Waste per capita'!$A$2:$F$21,6,FALSE)*(J117/J97)</f>
        <v>736.85430768884441</v>
      </c>
      <c r="L117" s="219">
        <f t="shared" si="15"/>
        <v>1631685.9850554008</v>
      </c>
      <c r="M117" s="45">
        <f>1</f>
        <v>1</v>
      </c>
      <c r="N117" s="135">
        <f t="shared" si="16"/>
        <v>1631685.9850554008</v>
      </c>
      <c r="P117" s="136">
        <f>Variables!$D$15</f>
        <v>10.755760368663594</v>
      </c>
      <c r="Q117" s="175">
        <f t="shared" si="17"/>
        <v>17550023.452162698</v>
      </c>
      <c r="R117" s="172">
        <f>Variables!$D$14</f>
        <v>5.2703140174813869</v>
      </c>
      <c r="S117" s="175">
        <f t="shared" si="18"/>
        <v>3137245.5278801844</v>
      </c>
      <c r="T117" s="217">
        <f>Variables!$D$18</f>
        <v>5.032</v>
      </c>
      <c r="U117" s="177">
        <f t="shared" si="19"/>
        <v>8210643.8767987769</v>
      </c>
    </row>
    <row r="118" spans="1:21" ht="15.75" customHeight="1" x14ac:dyDescent="0.35">
      <c r="A118" s="11">
        <v>15</v>
      </c>
      <c r="B118" s="12" t="s">
        <v>47</v>
      </c>
      <c r="C118" s="13">
        <v>2024</v>
      </c>
      <c r="D118" s="16">
        <f>Population!I16</f>
        <v>95790.06340713847</v>
      </c>
      <c r="E118" s="98">
        <f t="shared" si="20"/>
        <v>4.72</v>
      </c>
      <c r="F118" s="16">
        <f t="shared" si="12"/>
        <v>20294.504959139507</v>
      </c>
      <c r="G118" s="16" t="str">
        <f t="shared" si="13"/>
        <v>Small</v>
      </c>
      <c r="H118" s="17"/>
      <c r="I118" s="121">
        <f>Variables!$B$3*POWER(SUM(1,Variables!$B$2/100),C118-2017)</f>
        <v>40752.067511797934</v>
      </c>
      <c r="J118" s="42">
        <f t="shared" si="14"/>
        <v>529.38043556030516</v>
      </c>
      <c r="K118" s="43">
        <f>VLOOKUP(A118,'Waste per capita'!$A$2:$F$21,6,FALSE)*(J118/J98)</f>
        <v>281.32602112720127</v>
      </c>
      <c r="L118" s="219">
        <f t="shared" si="15"/>
        <v>26948.237401852584</v>
      </c>
      <c r="M118" s="45">
        <f>1</f>
        <v>1</v>
      </c>
      <c r="N118" s="135">
        <f t="shared" si="16"/>
        <v>26948.237401852584</v>
      </c>
      <c r="P118" s="136">
        <f>Variables!$D$15</f>
        <v>10.755760368663594</v>
      </c>
      <c r="Q118" s="175">
        <f t="shared" si="17"/>
        <v>289848.78385218402</v>
      </c>
      <c r="R118" s="172">
        <f>Variables!$D$14</f>
        <v>5.2703140174813869</v>
      </c>
      <c r="S118" s="175">
        <f t="shared" si="18"/>
        <v>106958.41396399846</v>
      </c>
      <c r="T118" s="217">
        <f>Variables!$D$18</f>
        <v>5.032</v>
      </c>
      <c r="U118" s="177">
        <f t="shared" si="19"/>
        <v>135603.53060612219</v>
      </c>
    </row>
    <row r="119" spans="1:21" ht="15.75" customHeight="1" x14ac:dyDescent="0.35">
      <c r="A119" s="11">
        <v>16</v>
      </c>
      <c r="B119" s="12" t="s">
        <v>48</v>
      </c>
      <c r="C119" s="13">
        <v>2024</v>
      </c>
      <c r="D119" s="16">
        <f>Population!I17</f>
        <v>95281.327657296977</v>
      </c>
      <c r="E119" s="98">
        <f t="shared" si="20"/>
        <v>3.45</v>
      </c>
      <c r="F119" s="16">
        <f t="shared" si="12"/>
        <v>27617.776132549847</v>
      </c>
      <c r="G119" s="16" t="str">
        <f t="shared" si="13"/>
        <v>Small</v>
      </c>
      <c r="H119" s="17"/>
      <c r="I119" s="121">
        <f>Variables!$B$3*POWER(SUM(1,Variables!$B$2/100),C119-2017)</f>
        <v>40752.067511797934</v>
      </c>
      <c r="J119" s="42">
        <f t="shared" si="14"/>
        <v>529.38043556030516</v>
      </c>
      <c r="K119" s="43">
        <f>VLOOKUP(A119,'Waste per capita'!$A$2:$F$21,6,FALSE)*(J119/J99)</f>
        <v>281.32602112720127</v>
      </c>
      <c r="L119" s="219">
        <f t="shared" si="15"/>
        <v>26805.116797544517</v>
      </c>
      <c r="M119" s="45">
        <f>1</f>
        <v>1</v>
      </c>
      <c r="N119" s="135">
        <f t="shared" si="16"/>
        <v>26805.116797544517</v>
      </c>
      <c r="P119" s="136">
        <f>Variables!$D$15</f>
        <v>10.755760368663594</v>
      </c>
      <c r="Q119" s="175">
        <f t="shared" si="17"/>
        <v>288309.41292842809</v>
      </c>
      <c r="R119" s="172">
        <f>Variables!$D$14</f>
        <v>5.2703140174813869</v>
      </c>
      <c r="S119" s="175">
        <f t="shared" si="18"/>
        <v>145554.35268304034</v>
      </c>
      <c r="T119" s="217">
        <f>Variables!$D$18</f>
        <v>5.032</v>
      </c>
      <c r="U119" s="177">
        <f t="shared" si="19"/>
        <v>134883.34772524401</v>
      </c>
    </row>
    <row r="120" spans="1:21" ht="15.75" customHeight="1" x14ac:dyDescent="0.35">
      <c r="A120" s="11">
        <v>17</v>
      </c>
      <c r="B120" s="13" t="s">
        <v>49</v>
      </c>
      <c r="C120" s="13">
        <v>2024</v>
      </c>
      <c r="D120" s="16">
        <f>Population!I18</f>
        <v>23910.580242549549</v>
      </c>
      <c r="E120" s="98">
        <f t="shared" si="20"/>
        <v>4.78</v>
      </c>
      <c r="F120" s="16">
        <f t="shared" si="12"/>
        <v>5002.2134398639218</v>
      </c>
      <c r="G120" s="16" t="str">
        <f t="shared" si="13"/>
        <v>Small</v>
      </c>
      <c r="H120" s="17"/>
      <c r="I120" s="121">
        <f>Variables!$B$3*POWER(SUM(1,Variables!$B$2/100),C120-2017)</f>
        <v>40752.067511797934</v>
      </c>
      <c r="J120" s="42">
        <f t="shared" si="14"/>
        <v>529.38043556030516</v>
      </c>
      <c r="K120" s="43">
        <f>VLOOKUP(A120,'Waste per capita'!$A$2:$F$21,6,FALSE)*(J120/J100)</f>
        <v>281.32602112720127</v>
      </c>
      <c r="L120" s="219">
        <f t="shared" si="15"/>
        <v>6726.6684024791357</v>
      </c>
      <c r="M120" s="45">
        <f>1</f>
        <v>1</v>
      </c>
      <c r="N120" s="135">
        <f t="shared" si="16"/>
        <v>6726.6684024791357</v>
      </c>
      <c r="P120" s="136">
        <f>Variables!$D$15</f>
        <v>10.755760368663594</v>
      </c>
      <c r="Q120" s="175">
        <f t="shared" si="17"/>
        <v>72350.433416526736</v>
      </c>
      <c r="R120" s="172">
        <f>Variables!$D$14</f>
        <v>5.2703140174813869</v>
      </c>
      <c r="S120" s="175">
        <f t="shared" si="18"/>
        <v>26363.235610548614</v>
      </c>
      <c r="T120" s="217">
        <f>Variables!$D$18</f>
        <v>5.032</v>
      </c>
      <c r="U120" s="177">
        <f t="shared" si="19"/>
        <v>33848.595401275008</v>
      </c>
    </row>
    <row r="121" spans="1:21" ht="15.75" customHeight="1" x14ac:dyDescent="0.35">
      <c r="A121" s="11">
        <v>18</v>
      </c>
      <c r="B121" s="13" t="s">
        <v>51</v>
      </c>
      <c r="C121" s="13">
        <v>2024</v>
      </c>
      <c r="D121" s="16">
        <f>Population!I19</f>
        <v>1947.1338151467048</v>
      </c>
      <c r="E121" s="98">
        <f t="shared" si="20"/>
        <v>5.88</v>
      </c>
      <c r="F121" s="16">
        <f t="shared" si="12"/>
        <v>331.14520665760284</v>
      </c>
      <c r="G121" s="16" t="str">
        <f t="shared" si="13"/>
        <v>Small</v>
      </c>
      <c r="H121" s="17"/>
      <c r="I121" s="121">
        <f>Variables!$B$3*POWER(SUM(1,Variables!$B$2/100),C121-2017)</f>
        <v>40752.067511797934</v>
      </c>
      <c r="J121" s="42">
        <f t="shared" si="14"/>
        <v>529.38043556030516</v>
      </c>
      <c r="K121" s="43">
        <f>VLOOKUP(A121,'Waste per capita'!$A$2:$F$21,6,FALSE)*(J121/J101)</f>
        <v>281.32602112720127</v>
      </c>
      <c r="L121" s="219">
        <f t="shared" si="15"/>
        <v>547.77940881744996</v>
      </c>
      <c r="M121" s="45">
        <f>1</f>
        <v>1</v>
      </c>
      <c r="N121" s="135">
        <f t="shared" si="16"/>
        <v>547.77940881744996</v>
      </c>
      <c r="P121" s="136">
        <f>Variables!$D$15</f>
        <v>10.755760368663594</v>
      </c>
      <c r="Q121" s="175">
        <f t="shared" si="17"/>
        <v>5891.7840561287012</v>
      </c>
      <c r="R121" s="172">
        <f>Variables!$D$14</f>
        <v>5.2703140174813869</v>
      </c>
      <c r="S121" s="175">
        <f t="shared" si="18"/>
        <v>1745.2392244693349</v>
      </c>
      <c r="T121" s="217">
        <f>Variables!$D$18</f>
        <v>5.032</v>
      </c>
      <c r="U121" s="177">
        <f t="shared" si="19"/>
        <v>2756.4259851694082</v>
      </c>
    </row>
    <row r="122" spans="1:21" ht="15.75" customHeight="1" x14ac:dyDescent="0.35">
      <c r="A122" s="11">
        <v>19</v>
      </c>
      <c r="B122" s="13" t="s">
        <v>52</v>
      </c>
      <c r="C122" s="13">
        <v>2024</v>
      </c>
      <c r="D122" s="16">
        <f>Population!I20</f>
        <v>28528.228295220295</v>
      </c>
      <c r="E122" s="98">
        <f t="shared" si="20"/>
        <v>3.93</v>
      </c>
      <c r="F122" s="16">
        <f t="shared" si="12"/>
        <v>7259.0911692672507</v>
      </c>
      <c r="G122" s="16" t="str">
        <f t="shared" si="13"/>
        <v>Small</v>
      </c>
      <c r="H122" s="17"/>
      <c r="I122" s="121">
        <f>Variables!$B$3*POWER(SUM(1,Variables!$B$2/100),C122-2017)</f>
        <v>40752.067511797934</v>
      </c>
      <c r="J122" s="42">
        <f t="shared" si="14"/>
        <v>529.38043556030516</v>
      </c>
      <c r="K122" s="43">
        <f>VLOOKUP(A122,'Waste per capita'!$A$2:$F$21,6,FALSE)*(J122/J102)</f>
        <v>281.32602112720127</v>
      </c>
      <c r="L122" s="219">
        <f t="shared" si="15"/>
        <v>8025.7329561027664</v>
      </c>
      <c r="M122" s="45">
        <f>1</f>
        <v>1</v>
      </c>
      <c r="N122" s="135">
        <f t="shared" si="16"/>
        <v>8025.7329561027664</v>
      </c>
      <c r="P122" s="136">
        <f>Variables!$D$15</f>
        <v>10.755760368663594</v>
      </c>
      <c r="Q122" s="175">
        <f t="shared" si="17"/>
        <v>86322.860458727446</v>
      </c>
      <c r="R122" s="172">
        <f>Variables!$D$14</f>
        <v>5.2703140174813869</v>
      </c>
      <c r="S122" s="175">
        <f t="shared" si="18"/>
        <v>38257.689943564546</v>
      </c>
      <c r="T122" s="217">
        <f>Variables!$D$18</f>
        <v>5.032</v>
      </c>
      <c r="U122" s="177">
        <f t="shared" si="19"/>
        <v>40385.488235109122</v>
      </c>
    </row>
    <row r="123" spans="1:21" ht="15.75" customHeight="1" x14ac:dyDescent="0.35">
      <c r="A123" s="11">
        <v>20</v>
      </c>
      <c r="B123" s="13" t="s">
        <v>53</v>
      </c>
      <c r="C123" s="13">
        <v>2024</v>
      </c>
      <c r="D123" s="16">
        <f>Population!I21</f>
        <v>3315.8420517065215</v>
      </c>
      <c r="E123" s="98">
        <f t="shared" si="20"/>
        <v>3.94</v>
      </c>
      <c r="F123" s="16">
        <f t="shared" si="12"/>
        <v>841.58427708287354</v>
      </c>
      <c r="G123" s="16" t="str">
        <f t="shared" si="13"/>
        <v>Small</v>
      </c>
      <c r="H123" s="17"/>
      <c r="I123" s="121">
        <f>Variables!$B$3*POWER(SUM(1,Variables!$B$2/100),C123-2017)</f>
        <v>40752.067511797934</v>
      </c>
      <c r="J123" s="42">
        <f t="shared" si="14"/>
        <v>529.38043556030516</v>
      </c>
      <c r="K123" s="43">
        <f>VLOOKUP(A123,'Waste per capita'!$A$2:$F$21,6,FALSE)*(J123/J103)</f>
        <v>281.32602112720127</v>
      </c>
      <c r="L123" s="219">
        <f t="shared" si="15"/>
        <v>932.83265109285128</v>
      </c>
      <c r="M123" s="45">
        <f>1</f>
        <v>1</v>
      </c>
      <c r="N123" s="135">
        <f t="shared" si="16"/>
        <v>932.83265109285128</v>
      </c>
      <c r="P123" s="136">
        <f>Variables!$D$15</f>
        <v>10.755760368663594</v>
      </c>
      <c r="Q123" s="175">
        <f t="shared" si="17"/>
        <v>10033.324459219884</v>
      </c>
      <c r="R123" s="172">
        <f>Variables!$D$14</f>
        <v>5.2703140174813869</v>
      </c>
      <c r="S123" s="175">
        <f t="shared" si="18"/>
        <v>4435.4134124018083</v>
      </c>
      <c r="T123" s="217">
        <f>Variables!$D$18</f>
        <v>5.032</v>
      </c>
      <c r="U123" s="177">
        <f t="shared" si="19"/>
        <v>4694.0139002992273</v>
      </c>
    </row>
    <row r="124" spans="1:21" ht="15.75" customHeight="1" x14ac:dyDescent="0.35">
      <c r="A124" s="11">
        <v>1</v>
      </c>
      <c r="B124" s="12" t="s">
        <v>23</v>
      </c>
      <c r="C124" s="13">
        <v>2025</v>
      </c>
      <c r="D124" s="16">
        <f>Population!J2</f>
        <v>735691.95017759944</v>
      </c>
      <c r="E124" s="98">
        <f t="shared" si="20"/>
        <v>4.17</v>
      </c>
      <c r="F124" s="16">
        <f t="shared" si="12"/>
        <v>176424.92810014376</v>
      </c>
      <c r="G124" s="16" t="str">
        <f t="shared" si="13"/>
        <v>Medium</v>
      </c>
      <c r="H124" s="17"/>
      <c r="I124" s="121">
        <f>Variables!$B$3*POWER(SUM(1,Variables!$B$2/100),C124-2017)</f>
        <v>42952.679157435021</v>
      </c>
      <c r="J124" s="42">
        <f t="shared" si="14"/>
        <v>540.35290932119733</v>
      </c>
      <c r="K124" s="43">
        <f>VLOOKUP(A124,'Waste per capita'!$A$2:$F$21,6,FALSE)*(J124/J104)</f>
        <v>341.50447724903341</v>
      </c>
      <c r="L124" s="219">
        <f t="shared" si="15"/>
        <v>251242.09486172305</v>
      </c>
      <c r="M124" s="45">
        <f>1</f>
        <v>1</v>
      </c>
      <c r="N124" s="135">
        <f t="shared" si="16"/>
        <v>251242.09486172305</v>
      </c>
      <c r="P124" s="136">
        <f>Variables!$D$15</f>
        <v>10.755760368663594</v>
      </c>
      <c r="Q124" s="175">
        <f t="shared" si="17"/>
        <v>2702299.76685374</v>
      </c>
      <c r="R124" s="172">
        <f>Variables!$D$14</f>
        <v>5.2703140174813869</v>
      </c>
      <c r="S124" s="175">
        <f t="shared" si="18"/>
        <v>929814.7715993335</v>
      </c>
      <c r="T124" s="217">
        <f>Variables!$D$18</f>
        <v>5.032</v>
      </c>
      <c r="U124" s="177">
        <f t="shared" si="19"/>
        <v>1264250.2213441904</v>
      </c>
    </row>
    <row r="125" spans="1:21" ht="15.75" customHeight="1" x14ac:dyDescent="0.35">
      <c r="A125" s="11">
        <v>2</v>
      </c>
      <c r="B125" s="12" t="s">
        <v>26</v>
      </c>
      <c r="C125" s="13">
        <v>2025</v>
      </c>
      <c r="D125" s="16">
        <f>Population!J3</f>
        <v>509778.6218899439</v>
      </c>
      <c r="E125" s="98">
        <f t="shared" si="20"/>
        <v>4.29</v>
      </c>
      <c r="F125" s="16">
        <f t="shared" si="12"/>
        <v>118829.51559206151</v>
      </c>
      <c r="G125" s="16" t="str">
        <f t="shared" si="13"/>
        <v>Medium</v>
      </c>
      <c r="H125" s="17"/>
      <c r="I125" s="121">
        <f>Variables!$B$3*POWER(SUM(1,Variables!$B$2/100),C125-2017)</f>
        <v>42952.679157435021</v>
      </c>
      <c r="J125" s="42">
        <f t="shared" si="14"/>
        <v>540.35290932119733</v>
      </c>
      <c r="K125" s="43">
        <f>VLOOKUP(A125,'Waste per capita'!$A$2:$F$21,6,FALSE)*(J125/J105)</f>
        <v>341.50447724903341</v>
      </c>
      <c r="L125" s="219">
        <f t="shared" si="15"/>
        <v>174091.68178125797</v>
      </c>
      <c r="M125" s="45">
        <f>1</f>
        <v>1</v>
      </c>
      <c r="N125" s="135">
        <f t="shared" si="16"/>
        <v>174091.68178125797</v>
      </c>
      <c r="P125" s="136">
        <f>Variables!$D$15</f>
        <v>10.755760368663594</v>
      </c>
      <c r="Q125" s="175">
        <f t="shared" si="17"/>
        <v>1872488.4114168484</v>
      </c>
      <c r="R125" s="172">
        <f>Variables!$D$14</f>
        <v>5.2703140174813869</v>
      </c>
      <c r="S125" s="175">
        <f t="shared" si="18"/>
        <v>626268.86171536474</v>
      </c>
      <c r="T125" s="217">
        <f>Variables!$D$18</f>
        <v>5.032</v>
      </c>
      <c r="U125" s="177">
        <f t="shared" si="19"/>
        <v>876029.34272329009</v>
      </c>
    </row>
    <row r="126" spans="1:21" ht="15.75" customHeight="1" x14ac:dyDescent="0.35">
      <c r="A126" s="11">
        <v>3</v>
      </c>
      <c r="B126" s="12" t="s">
        <v>28</v>
      </c>
      <c r="C126" s="13">
        <v>2025</v>
      </c>
      <c r="D126" s="16">
        <f>Population!J4</f>
        <v>365057.13309725228</v>
      </c>
      <c r="E126" s="98">
        <f t="shared" si="20"/>
        <v>4.8600000000000003</v>
      </c>
      <c r="F126" s="16">
        <f t="shared" si="12"/>
        <v>75114.636439763839</v>
      </c>
      <c r="G126" s="16" t="str">
        <f t="shared" si="13"/>
        <v>Medium</v>
      </c>
      <c r="H126" s="17"/>
      <c r="I126" s="121">
        <f>Variables!$B$3*POWER(SUM(1,Variables!$B$2/100),C126-2017)</f>
        <v>42952.679157435021</v>
      </c>
      <c r="J126" s="42">
        <f t="shared" si="14"/>
        <v>540.35290932119733</v>
      </c>
      <c r="K126" s="43">
        <f>VLOOKUP(A126,'Waste per capita'!$A$2:$F$21,6,FALSE)*(J126/J106)</f>
        <v>296.99217775321034</v>
      </c>
      <c r="L126" s="219">
        <f t="shared" si="15"/>
        <v>108419.11296289651</v>
      </c>
      <c r="M126" s="45">
        <f>1</f>
        <v>1</v>
      </c>
      <c r="N126" s="135">
        <f t="shared" si="16"/>
        <v>108419.11296289651</v>
      </c>
      <c r="P126" s="136">
        <f>Variables!$D$15</f>
        <v>10.755760368663594</v>
      </c>
      <c r="Q126" s="175">
        <f t="shared" si="17"/>
        <v>1166129.9984119837</v>
      </c>
      <c r="R126" s="172">
        <f>Variables!$D$14</f>
        <v>5.2703140174813869</v>
      </c>
      <c r="S126" s="175">
        <f t="shared" si="18"/>
        <v>395877.72134650557</v>
      </c>
      <c r="T126" s="217">
        <f>Variables!$D$18</f>
        <v>5.032</v>
      </c>
      <c r="U126" s="177">
        <f t="shared" si="19"/>
        <v>545564.97642929526</v>
      </c>
    </row>
    <row r="127" spans="1:21" ht="15.75" customHeight="1" x14ac:dyDescent="0.35">
      <c r="A127" s="11">
        <v>4</v>
      </c>
      <c r="B127" s="12" t="s">
        <v>30</v>
      </c>
      <c r="C127" s="13">
        <v>2025</v>
      </c>
      <c r="D127" s="16">
        <f>Population!J5</f>
        <v>692050.99747772934</v>
      </c>
      <c r="E127" s="98">
        <f t="shared" si="20"/>
        <v>4.05</v>
      </c>
      <c r="F127" s="16">
        <f t="shared" si="12"/>
        <v>170876.78950067391</v>
      </c>
      <c r="G127" s="16" t="str">
        <f t="shared" si="13"/>
        <v>Medium</v>
      </c>
      <c r="H127" s="17"/>
      <c r="I127" s="121">
        <f>Variables!$B$3*POWER(SUM(1,Variables!$B$2/100),C127-2017)</f>
        <v>42952.679157435021</v>
      </c>
      <c r="J127" s="42">
        <f t="shared" si="14"/>
        <v>540.35290932119733</v>
      </c>
      <c r="K127" s="43">
        <f>VLOOKUP(A127,'Waste per capita'!$A$2:$F$21,6,FALSE)*(J127/J107)</f>
        <v>279.42401908018201</v>
      </c>
      <c r="L127" s="219">
        <f t="shared" si="15"/>
        <v>193375.67112367603</v>
      </c>
      <c r="M127" s="45">
        <f>1</f>
        <v>1</v>
      </c>
      <c r="N127" s="135">
        <f t="shared" si="16"/>
        <v>193375.67112367603</v>
      </c>
      <c r="P127" s="136">
        <f>Variables!$D$15</f>
        <v>10.755760368663594</v>
      </c>
      <c r="Q127" s="175">
        <f t="shared" si="17"/>
        <v>2079902.3797357597</v>
      </c>
      <c r="R127" s="172">
        <f>Variables!$D$14</f>
        <v>5.2703140174813869</v>
      </c>
      <c r="S127" s="175">
        <f t="shared" si="18"/>
        <v>900574.33896761807</v>
      </c>
      <c r="T127" s="217">
        <f>Variables!$D$18</f>
        <v>5.032</v>
      </c>
      <c r="U127" s="177">
        <f t="shared" si="19"/>
        <v>973066.37709433783</v>
      </c>
    </row>
    <row r="128" spans="1:21" ht="15.75" customHeight="1" x14ac:dyDescent="0.35">
      <c r="A128" s="11">
        <v>5</v>
      </c>
      <c r="B128" s="12" t="s">
        <v>31</v>
      </c>
      <c r="C128" s="13">
        <v>2025</v>
      </c>
      <c r="D128" s="16">
        <f>Population!J6</f>
        <v>440943.89291842817</v>
      </c>
      <c r="E128" s="98">
        <f t="shared" si="20"/>
        <v>4.2</v>
      </c>
      <c r="F128" s="16">
        <f t="shared" si="12"/>
        <v>104986.64117105432</v>
      </c>
      <c r="G128" s="16" t="str">
        <f t="shared" si="13"/>
        <v>Medium</v>
      </c>
      <c r="H128" s="17"/>
      <c r="I128" s="121">
        <f>Variables!$B$3*POWER(SUM(1,Variables!$B$2/100),C128-2017)</f>
        <v>42952.679157435021</v>
      </c>
      <c r="J128" s="42">
        <f t="shared" si="14"/>
        <v>540.35290932119733</v>
      </c>
      <c r="K128" s="43">
        <f>VLOOKUP(A128,'Waste per capita'!$A$2:$F$21,6,FALSE)*(J128/J108)</f>
        <v>341.50447724903341</v>
      </c>
      <c r="L128" s="219">
        <f t="shared" si="15"/>
        <v>150584.31364726159</v>
      </c>
      <c r="M128" s="45">
        <f>1</f>
        <v>1</v>
      </c>
      <c r="N128" s="135">
        <f t="shared" si="16"/>
        <v>150584.31364726159</v>
      </c>
      <c r="P128" s="136">
        <f>Variables!$D$15</f>
        <v>10.755760368663594</v>
      </c>
      <c r="Q128" s="175">
        <f t="shared" si="17"/>
        <v>1619648.7928696247</v>
      </c>
      <c r="R128" s="172">
        <f>Variables!$D$14</f>
        <v>5.2703140174813869</v>
      </c>
      <c r="S128" s="175">
        <f t="shared" si="18"/>
        <v>553312.56661209604</v>
      </c>
      <c r="T128" s="217">
        <f>Variables!$D$18</f>
        <v>5.032</v>
      </c>
      <c r="U128" s="177">
        <f t="shared" si="19"/>
        <v>757740.2662730203</v>
      </c>
    </row>
    <row r="129" spans="1:21" ht="15.75" customHeight="1" x14ac:dyDescent="0.35">
      <c r="A129" s="11">
        <v>6</v>
      </c>
      <c r="B129" s="12" t="s">
        <v>32</v>
      </c>
      <c r="C129" s="13">
        <v>2025</v>
      </c>
      <c r="D129" s="16">
        <f>Population!J7</f>
        <v>502247.03581553459</v>
      </c>
      <c r="E129" s="98">
        <f t="shared" si="20"/>
        <v>4.59</v>
      </c>
      <c r="F129" s="16">
        <f t="shared" si="12"/>
        <v>109422.01216024719</v>
      </c>
      <c r="G129" s="16" t="str">
        <f t="shared" si="13"/>
        <v>Medium</v>
      </c>
      <c r="H129" s="17"/>
      <c r="I129" s="121">
        <f>Variables!$B$3*POWER(SUM(1,Variables!$B$2/100),C129-2017)</f>
        <v>42952.679157435021</v>
      </c>
      <c r="J129" s="42">
        <f t="shared" si="14"/>
        <v>540.35290932119733</v>
      </c>
      <c r="K129" s="43">
        <f>VLOOKUP(A129,'Waste per capita'!$A$2:$F$21,6,FALSE)*(J129/J109)</f>
        <v>302.70356578692594</v>
      </c>
      <c r="L129" s="219">
        <f t="shared" si="15"/>
        <v>152031.96864727623</v>
      </c>
      <c r="M129" s="45">
        <f>1</f>
        <v>1</v>
      </c>
      <c r="N129" s="135">
        <f t="shared" si="16"/>
        <v>152031.96864727623</v>
      </c>
      <c r="P129" s="136">
        <f>Variables!$D$15</f>
        <v>10.755760368663594</v>
      </c>
      <c r="Q129" s="175">
        <f t="shared" si="17"/>
        <v>1635219.4231462798</v>
      </c>
      <c r="R129" s="172">
        <f>Variables!$D$14</f>
        <v>5.2703140174813869</v>
      </c>
      <c r="S129" s="175">
        <f t="shared" si="18"/>
        <v>576688.36450916959</v>
      </c>
      <c r="T129" s="217">
        <f>Variables!$D$18</f>
        <v>5.032</v>
      </c>
      <c r="U129" s="177">
        <f t="shared" si="19"/>
        <v>765024.86623309401</v>
      </c>
    </row>
    <row r="130" spans="1:21" ht="15.75" customHeight="1" x14ac:dyDescent="0.35">
      <c r="A130" s="11">
        <v>7</v>
      </c>
      <c r="B130" s="12" t="s">
        <v>33</v>
      </c>
      <c r="C130" s="13">
        <v>2025</v>
      </c>
      <c r="D130" s="16">
        <f>Population!J8</f>
        <v>283020.36296820641</v>
      </c>
      <c r="E130" s="98">
        <f t="shared" si="20"/>
        <v>3.94</v>
      </c>
      <c r="F130" s="16">
        <f t="shared" si="12"/>
        <v>71832.579433554929</v>
      </c>
      <c r="G130" s="16" t="str">
        <f t="shared" si="13"/>
        <v>Medium</v>
      </c>
      <c r="H130" s="17"/>
      <c r="I130" s="121">
        <f>Variables!$B$3*POWER(SUM(1,Variables!$B$2/100),C130-2017)</f>
        <v>42952.679157435021</v>
      </c>
      <c r="J130" s="42">
        <f t="shared" si="14"/>
        <v>540.35290932119733</v>
      </c>
      <c r="K130" s="43">
        <f>VLOOKUP(A130,'Waste per capita'!$A$2:$F$21,6,FALSE)*(J130/J110)</f>
        <v>416.93132646123757</v>
      </c>
      <c r="L130" s="219">
        <f t="shared" si="15"/>
        <v>118000.05534787523</v>
      </c>
      <c r="M130" s="45">
        <f>1</f>
        <v>1</v>
      </c>
      <c r="N130" s="135">
        <f t="shared" si="16"/>
        <v>118000.05534787523</v>
      </c>
      <c r="P130" s="136">
        <f>Variables!$D$15</f>
        <v>10.755760368663594</v>
      </c>
      <c r="Q130" s="175">
        <f t="shared" si="17"/>
        <v>1269180.3188107871</v>
      </c>
      <c r="R130" s="172">
        <f>Variables!$D$14</f>
        <v>5.2703140174813869</v>
      </c>
      <c r="S130" s="175">
        <f t="shared" si="18"/>
        <v>378580.25030050974</v>
      </c>
      <c r="T130" s="217">
        <f>Variables!$D$18</f>
        <v>5.032</v>
      </c>
      <c r="U130" s="177">
        <f t="shared" si="19"/>
        <v>593776.27851050813</v>
      </c>
    </row>
    <row r="131" spans="1:21" ht="15.75" customHeight="1" x14ac:dyDescent="0.35">
      <c r="A131" s="11">
        <v>8</v>
      </c>
      <c r="B131" s="11" t="s">
        <v>36</v>
      </c>
      <c r="C131" s="13">
        <v>2025</v>
      </c>
      <c r="D131" s="16">
        <f>Population!J9</f>
        <v>938974.83904970938</v>
      </c>
      <c r="E131" s="98">
        <f t="shared" si="20"/>
        <v>4.04</v>
      </c>
      <c r="F131" s="16">
        <f t="shared" si="12"/>
        <v>232419.5146162647</v>
      </c>
      <c r="G131" s="16" t="str">
        <f t="shared" si="13"/>
        <v>Medium</v>
      </c>
      <c r="H131" s="17"/>
      <c r="I131" s="121">
        <f>Variables!$B$3*POWER(SUM(1,Variables!$B$2/100),C131-2017)</f>
        <v>42952.679157435021</v>
      </c>
      <c r="J131" s="42">
        <f t="shared" si="14"/>
        <v>540.35290932119733</v>
      </c>
      <c r="K131" s="43">
        <f>VLOOKUP(A131,'Waste per capita'!$A$2:$F$21,6,FALSE)*(J131/J111)</f>
        <v>308.41495382064153</v>
      </c>
      <c r="L131" s="219">
        <f t="shared" si="15"/>
        <v>289593.88162426045</v>
      </c>
      <c r="M131" s="45">
        <f>1</f>
        <v>1</v>
      </c>
      <c r="N131" s="135">
        <f t="shared" si="16"/>
        <v>289593.88162426045</v>
      </c>
      <c r="P131" s="136">
        <f>Variables!$D$15</f>
        <v>10.755760368663594</v>
      </c>
      <c r="Q131" s="175">
        <f t="shared" si="17"/>
        <v>3114802.3949816767</v>
      </c>
      <c r="R131" s="172">
        <f>Variables!$D$14</f>
        <v>5.2703140174813869</v>
      </c>
      <c r="S131" s="175">
        <f t="shared" si="18"/>
        <v>1224923.82581832</v>
      </c>
      <c r="T131" s="217">
        <f>Variables!$D$18</f>
        <v>5.032</v>
      </c>
      <c r="U131" s="177">
        <f t="shared" si="19"/>
        <v>1457236.4123332787</v>
      </c>
    </row>
    <row r="132" spans="1:21" ht="15.75" customHeight="1" x14ac:dyDescent="0.35">
      <c r="A132" s="11">
        <v>9</v>
      </c>
      <c r="B132" s="12" t="s">
        <v>38</v>
      </c>
      <c r="C132" s="13">
        <v>2025</v>
      </c>
      <c r="D132" s="16">
        <f>Population!J10</f>
        <v>16490.419841524661</v>
      </c>
      <c r="E132" s="98">
        <f t="shared" si="20"/>
        <v>4.26</v>
      </c>
      <c r="F132" s="16">
        <f t="shared" si="12"/>
        <v>3870.990573127855</v>
      </c>
      <c r="G132" s="16" t="str">
        <f t="shared" si="13"/>
        <v>Small</v>
      </c>
      <c r="H132" s="17"/>
      <c r="I132" s="121">
        <f>Variables!$B$3*POWER(SUM(1,Variables!$B$2/100),C132-2017)</f>
        <v>42952.679157435021</v>
      </c>
      <c r="J132" s="42">
        <f t="shared" si="14"/>
        <v>540.35290932119733</v>
      </c>
      <c r="K132" s="43">
        <f>VLOOKUP(A132,'Waste per capita'!$A$2:$F$21,6,FALSE)*(J132/J112)</f>
        <v>281.29347273887447</v>
      </c>
      <c r="L132" s="219">
        <f t="shared" si="15"/>
        <v>4638.647464144512</v>
      </c>
      <c r="M132" s="45">
        <f>1</f>
        <v>1</v>
      </c>
      <c r="N132" s="135">
        <f t="shared" si="16"/>
        <v>4638.647464144512</v>
      </c>
      <c r="P132" s="136">
        <f>Variables!$D$15</f>
        <v>10.755760368663594</v>
      </c>
      <c r="Q132" s="175">
        <f t="shared" si="17"/>
        <v>49892.180559047425</v>
      </c>
      <c r="R132" s="172">
        <f>Variables!$D$14</f>
        <v>5.2703140174813869</v>
      </c>
      <c r="S132" s="175">
        <f t="shared" si="18"/>
        <v>20401.335879094044</v>
      </c>
      <c r="T132" s="217">
        <f>Variables!$D$18</f>
        <v>5.032</v>
      </c>
      <c r="U132" s="177">
        <f t="shared" si="19"/>
        <v>23341.674039575184</v>
      </c>
    </row>
    <row r="133" spans="1:21" ht="15.75" customHeight="1" x14ac:dyDescent="0.35">
      <c r="A133" s="11">
        <v>10</v>
      </c>
      <c r="B133" s="12" t="s">
        <v>40</v>
      </c>
      <c r="C133" s="13">
        <v>2025</v>
      </c>
      <c r="D133" s="16">
        <f>Population!J11</f>
        <v>645198.73746927083</v>
      </c>
      <c r="E133" s="98">
        <f t="shared" si="20"/>
        <v>5.88</v>
      </c>
      <c r="F133" s="16">
        <f t="shared" ref="F133:F196" si="21">D133/E133</f>
        <v>109727.67644035218</v>
      </c>
      <c r="G133" s="16" t="str">
        <f t="shared" ref="G133:G196" si="22">IF(D133&lt;100000,"Small",IF(D133&lt;1000000,"Medium","Large"))</f>
        <v>Medium</v>
      </c>
      <c r="H133" s="17"/>
      <c r="I133" s="121">
        <f>Variables!$B$3*POWER(SUM(1,Variables!$B$2/100),C133-2017)</f>
        <v>42952.679157435021</v>
      </c>
      <c r="J133" s="42">
        <f t="shared" ref="J133:J196" si="23">1647.41-417.73*LN(I133)+29.43*(LN(I133))^2</f>
        <v>540.35290932119733</v>
      </c>
      <c r="K133" s="43">
        <f>VLOOKUP(A133,'Waste per capita'!$A$2:$F$21,6,FALSE)*(J133/J113)</f>
        <v>341.50447724903341</v>
      </c>
      <c r="L133" s="219">
        <f t="shared" ref="L133:L196" si="24">K133*D133/1000</f>
        <v>220338.25756117966</v>
      </c>
      <c r="M133" s="45">
        <f>1</f>
        <v>1</v>
      </c>
      <c r="N133" s="135">
        <f t="shared" ref="N133:N196" si="25">L133*M133</f>
        <v>220338.25756117966</v>
      </c>
      <c r="P133" s="136">
        <f>Variables!$D$15</f>
        <v>10.755760368663594</v>
      </c>
      <c r="Q133" s="175">
        <f t="shared" ref="Q133:Q196" si="26">P133*N133</f>
        <v>2369905.4983769278</v>
      </c>
      <c r="R133" s="172">
        <f>Variables!$D$14</f>
        <v>5.2703140174813869</v>
      </c>
      <c r="S133" s="175">
        <f t="shared" ref="S133:S196" si="27">R133*F133</f>
        <v>578299.3112492502</v>
      </c>
      <c r="T133" s="217">
        <f>Variables!$D$18</f>
        <v>5.032</v>
      </c>
      <c r="U133" s="177">
        <f t="shared" ref="U133:U196" si="28">T133*N133</f>
        <v>1108742.112047856</v>
      </c>
    </row>
    <row r="134" spans="1:21" ht="15.75" customHeight="1" x14ac:dyDescent="0.35">
      <c r="A134" s="11">
        <v>11</v>
      </c>
      <c r="B134" s="12" t="s">
        <v>42</v>
      </c>
      <c r="C134" s="13">
        <v>2025</v>
      </c>
      <c r="D134" s="16">
        <f>Population!J12</f>
        <v>854374.73206456355</v>
      </c>
      <c r="E134" s="98">
        <f t="shared" si="20"/>
        <v>4.47</v>
      </c>
      <c r="F134" s="16">
        <f t="shared" si="21"/>
        <v>191135.28681533862</v>
      </c>
      <c r="G134" s="16" t="str">
        <f t="shared" si="22"/>
        <v>Medium</v>
      </c>
      <c r="H134" s="17"/>
      <c r="I134" s="121">
        <f>Variables!$B$3*POWER(SUM(1,Variables!$B$2/100),C134-2017)</f>
        <v>42952.679157435021</v>
      </c>
      <c r="J134" s="42">
        <f t="shared" si="23"/>
        <v>540.35290932119733</v>
      </c>
      <c r="K134" s="43">
        <f>VLOOKUP(A134,'Waste per capita'!$A$2:$F$21,6,FALSE)*(J134/J114)</f>
        <v>442.69136693331063</v>
      </c>
      <c r="L134" s="219">
        <f t="shared" si="24"/>
        <v>378224.31801094266</v>
      </c>
      <c r="M134" s="45">
        <f>1</f>
        <v>1</v>
      </c>
      <c r="N134" s="135">
        <f t="shared" si="25"/>
        <v>378224.31801094266</v>
      </c>
      <c r="P134" s="136">
        <f>Variables!$D$15</f>
        <v>10.755760368663594</v>
      </c>
      <c r="Q134" s="175">
        <f t="shared" si="26"/>
        <v>4068090.1301269131</v>
      </c>
      <c r="R134" s="172">
        <f>Variables!$D$14</f>
        <v>5.2703140174813869</v>
      </c>
      <c r="S134" s="175">
        <f t="shared" si="27"/>
        <v>1007342.9813382045</v>
      </c>
      <c r="T134" s="217">
        <f>Variables!$D$18</f>
        <v>5.032</v>
      </c>
      <c r="U134" s="177">
        <f t="shared" si="28"/>
        <v>1903224.7682310634</v>
      </c>
    </row>
    <row r="135" spans="1:21" ht="15.75" customHeight="1" x14ac:dyDescent="0.35">
      <c r="A135" s="11">
        <v>12</v>
      </c>
      <c r="B135" s="12" t="s">
        <v>44</v>
      </c>
      <c r="C135" s="13">
        <v>2025</v>
      </c>
      <c r="D135" s="16">
        <f>Population!J13</f>
        <v>632587.57685652096</v>
      </c>
      <c r="E135" s="98">
        <f t="shared" si="20"/>
        <v>3.93</v>
      </c>
      <c r="F135" s="16">
        <f t="shared" si="21"/>
        <v>160963.76001438193</v>
      </c>
      <c r="G135" s="16" t="str">
        <f t="shared" si="22"/>
        <v>Medium</v>
      </c>
      <c r="H135" s="17"/>
      <c r="I135" s="121">
        <f>Variables!$B$3*POWER(SUM(1,Variables!$B$2/100),C135-2017)</f>
        <v>42952.679157435021</v>
      </c>
      <c r="J135" s="42">
        <f t="shared" si="23"/>
        <v>540.35290932119733</v>
      </c>
      <c r="K135" s="43">
        <f>VLOOKUP(A135,'Waste per capita'!$A$2:$F$21,6,FALSE)*(J135/J115)</f>
        <v>281.29347273887447</v>
      </c>
      <c r="L135" s="219">
        <f t="shared" si="24"/>
        <v>177942.75630544042</v>
      </c>
      <c r="M135" s="45">
        <f>1</f>
        <v>1</v>
      </c>
      <c r="N135" s="135">
        <f t="shared" si="25"/>
        <v>177942.75630544042</v>
      </c>
      <c r="P135" s="136">
        <f>Variables!$D$15</f>
        <v>10.755760368663594</v>
      </c>
      <c r="Q135" s="175">
        <f t="shared" si="26"/>
        <v>1913909.64616082</v>
      </c>
      <c r="R135" s="172">
        <f>Variables!$D$14</f>
        <v>5.2703140174813869</v>
      </c>
      <c r="S135" s="175">
        <f t="shared" si="27"/>
        <v>848329.56071030709</v>
      </c>
      <c r="T135" s="217">
        <f>Variables!$D$18</f>
        <v>5.032</v>
      </c>
      <c r="U135" s="177">
        <f t="shared" si="28"/>
        <v>895407.94972897624</v>
      </c>
    </row>
    <row r="136" spans="1:21" ht="15.75" customHeight="1" x14ac:dyDescent="0.35">
      <c r="A136" s="11">
        <v>13</v>
      </c>
      <c r="B136" s="12" t="s">
        <v>45</v>
      </c>
      <c r="C136" s="13">
        <v>2025</v>
      </c>
      <c r="D136" s="16">
        <f>Population!J14</f>
        <v>481771.74041597487</v>
      </c>
      <c r="E136" s="98">
        <f t="shared" si="20"/>
        <v>4.78</v>
      </c>
      <c r="F136" s="16">
        <f t="shared" si="21"/>
        <v>100789.06703263072</v>
      </c>
      <c r="G136" s="16" t="str">
        <f t="shared" si="22"/>
        <v>Medium</v>
      </c>
      <c r="H136" s="17"/>
      <c r="I136" s="121">
        <f>Variables!$B$3*POWER(SUM(1,Variables!$B$2/100),C136-2017)</f>
        <v>42952.679157435021</v>
      </c>
      <c r="J136" s="42">
        <f t="shared" si="23"/>
        <v>540.35290932119733</v>
      </c>
      <c r="K136" s="43">
        <f>VLOOKUP(A136,'Waste per capita'!$A$2:$F$21,6,FALSE)*(J136/J116)</f>
        <v>341.50447724903341</v>
      </c>
      <c r="L136" s="219">
        <f t="shared" si="24"/>
        <v>164527.20636411454</v>
      </c>
      <c r="M136" s="45">
        <f>1</f>
        <v>1</v>
      </c>
      <c r="N136" s="135">
        <f t="shared" si="25"/>
        <v>164527.20636411454</v>
      </c>
      <c r="P136" s="136">
        <f>Variables!$D$15</f>
        <v>10.755760368663594</v>
      </c>
      <c r="Q136" s="175">
        <f t="shared" si="26"/>
        <v>1769615.2057780798</v>
      </c>
      <c r="R136" s="172">
        <f>Variables!$D$14</f>
        <v>5.2703140174813869</v>
      </c>
      <c r="S136" s="175">
        <f t="shared" si="27"/>
        <v>531190.0327909448</v>
      </c>
      <c r="T136" s="217">
        <f>Variables!$D$18</f>
        <v>5.032</v>
      </c>
      <c r="U136" s="177">
        <f t="shared" si="28"/>
        <v>827900.9024242243</v>
      </c>
    </row>
    <row r="137" spans="1:21" ht="15.75" customHeight="1" x14ac:dyDescent="0.35">
      <c r="A137" s="11">
        <v>14</v>
      </c>
      <c r="B137" s="12" t="s">
        <v>46</v>
      </c>
      <c r="C137" s="13">
        <v>2025</v>
      </c>
      <c r="D137" s="16">
        <f>Population!J15</f>
        <v>2267539.7717865938</v>
      </c>
      <c r="E137" s="98">
        <f t="shared" si="20"/>
        <v>3.72</v>
      </c>
      <c r="F137" s="16">
        <f t="shared" si="21"/>
        <v>609553.70209317037</v>
      </c>
      <c r="G137" s="16" t="str">
        <f t="shared" si="22"/>
        <v>Large</v>
      </c>
      <c r="H137" s="17"/>
      <c r="I137" s="121">
        <f>Variables!$B$3*POWER(SUM(1,Variables!$B$2/100),C137-2017)</f>
        <v>42952.679157435021</v>
      </c>
      <c r="J137" s="42">
        <f t="shared" si="23"/>
        <v>540.35290932119733</v>
      </c>
      <c r="K137" s="43">
        <f>VLOOKUP(A137,'Waste per capita'!$A$2:$F$21,6,FALSE)*(J137/J117)</f>
        <v>736.76905634931018</v>
      </c>
      <c r="L137" s="219">
        <f t="shared" si="24"/>
        <v>1670653.1378937389</v>
      </c>
      <c r="M137" s="45">
        <f>1</f>
        <v>1</v>
      </c>
      <c r="N137" s="135">
        <f t="shared" si="25"/>
        <v>1670653.1378937389</v>
      </c>
      <c r="P137" s="136">
        <f>Variables!$D$15</f>
        <v>10.755760368663594</v>
      </c>
      <c r="Q137" s="175">
        <f t="shared" si="26"/>
        <v>17969144.810340952</v>
      </c>
      <c r="R137" s="172">
        <f>Variables!$D$14</f>
        <v>5.2703140174813869</v>
      </c>
      <c r="S137" s="175">
        <f t="shared" si="27"/>
        <v>3212539.4205493093</v>
      </c>
      <c r="T137" s="217">
        <f>Variables!$D$18</f>
        <v>5.032</v>
      </c>
      <c r="U137" s="177">
        <f t="shared" si="28"/>
        <v>8406726.5898812935</v>
      </c>
    </row>
    <row r="138" spans="1:21" ht="15.75" customHeight="1" x14ac:dyDescent="0.35">
      <c r="A138" s="11">
        <v>15</v>
      </c>
      <c r="B138" s="12" t="s">
        <v>47</v>
      </c>
      <c r="C138" s="13">
        <v>2025</v>
      </c>
      <c r="D138" s="16">
        <f>Population!J16</f>
        <v>98089.024928909799</v>
      </c>
      <c r="E138" s="98">
        <f t="shared" si="20"/>
        <v>4.72</v>
      </c>
      <c r="F138" s="16">
        <f t="shared" si="21"/>
        <v>20781.573078158857</v>
      </c>
      <c r="G138" s="16" t="str">
        <f t="shared" si="22"/>
        <v>Small</v>
      </c>
      <c r="H138" s="17"/>
      <c r="I138" s="121">
        <f>Variables!$B$3*POWER(SUM(1,Variables!$B$2/100),C138-2017)</f>
        <v>42952.679157435021</v>
      </c>
      <c r="J138" s="42">
        <f t="shared" si="23"/>
        <v>540.35290932119733</v>
      </c>
      <c r="K138" s="43">
        <f>VLOOKUP(A138,'Waste per capita'!$A$2:$F$21,6,FALSE)*(J138/J118)</f>
        <v>281.29347273887447</v>
      </c>
      <c r="L138" s="219">
        <f t="shared" si="24"/>
        <v>27591.80245982307</v>
      </c>
      <c r="M138" s="45">
        <f>1</f>
        <v>1</v>
      </c>
      <c r="N138" s="135">
        <f t="shared" si="25"/>
        <v>27591.80245982307</v>
      </c>
      <c r="P138" s="136">
        <f>Variables!$D$15</f>
        <v>10.755760368663594</v>
      </c>
      <c r="Q138" s="175">
        <f t="shared" si="26"/>
        <v>296770.81539735966</v>
      </c>
      <c r="R138" s="172">
        <f>Variables!$D$14</f>
        <v>5.2703140174813869</v>
      </c>
      <c r="S138" s="175">
        <f t="shared" si="27"/>
        <v>109525.41589913444</v>
      </c>
      <c r="T138" s="217">
        <f>Variables!$D$18</f>
        <v>5.032</v>
      </c>
      <c r="U138" s="177">
        <f t="shared" si="28"/>
        <v>138841.94997782967</v>
      </c>
    </row>
    <row r="139" spans="1:21" ht="15.75" customHeight="1" x14ac:dyDescent="0.35">
      <c r="A139" s="11">
        <v>16</v>
      </c>
      <c r="B139" s="12" t="s">
        <v>48</v>
      </c>
      <c r="C139" s="13">
        <v>2025</v>
      </c>
      <c r="D139" s="16">
        <f>Population!J17</f>
        <v>97568.079521072126</v>
      </c>
      <c r="E139" s="98">
        <f t="shared" si="20"/>
        <v>3.45</v>
      </c>
      <c r="F139" s="16">
        <f t="shared" si="21"/>
        <v>28280.602759731049</v>
      </c>
      <c r="G139" s="16" t="str">
        <f t="shared" si="22"/>
        <v>Small</v>
      </c>
      <c r="H139" s="17"/>
      <c r="I139" s="121">
        <f>Variables!$B$3*POWER(SUM(1,Variables!$B$2/100),C139-2017)</f>
        <v>42952.679157435021</v>
      </c>
      <c r="J139" s="42">
        <f t="shared" si="23"/>
        <v>540.35290932119733</v>
      </c>
      <c r="K139" s="43">
        <f>VLOOKUP(A139,'Waste per capita'!$A$2:$F$21,6,FALSE)*(J139/J119)</f>
        <v>281.29347273887447</v>
      </c>
      <c r="L139" s="219">
        <f t="shared" si="24"/>
        <v>27445.263916945041</v>
      </c>
      <c r="M139" s="45">
        <f>1</f>
        <v>1</v>
      </c>
      <c r="N139" s="135">
        <f t="shared" si="25"/>
        <v>27445.263916945041</v>
      </c>
      <c r="P139" s="136">
        <f>Variables!$D$15</f>
        <v>10.755760368663594</v>
      </c>
      <c r="Q139" s="175">
        <f t="shared" si="26"/>
        <v>295194.68194539042</v>
      </c>
      <c r="R139" s="172">
        <f>Variables!$D$14</f>
        <v>5.2703140174813869</v>
      </c>
      <c r="S139" s="175">
        <f t="shared" si="27"/>
        <v>149047.65714743335</v>
      </c>
      <c r="T139" s="217">
        <f>Variables!$D$18</f>
        <v>5.032</v>
      </c>
      <c r="U139" s="177">
        <f t="shared" si="28"/>
        <v>138104.56803006746</v>
      </c>
    </row>
    <row r="140" spans="1:21" ht="15.75" customHeight="1" x14ac:dyDescent="0.35">
      <c r="A140" s="11">
        <v>17</v>
      </c>
      <c r="B140" s="13" t="s">
        <v>49</v>
      </c>
      <c r="C140" s="13">
        <v>2025</v>
      </c>
      <c r="D140" s="16">
        <f>Population!J18</f>
        <v>24484.434168370743</v>
      </c>
      <c r="E140" s="98">
        <f t="shared" si="20"/>
        <v>4.78</v>
      </c>
      <c r="F140" s="16">
        <f t="shared" si="21"/>
        <v>5122.2665624206575</v>
      </c>
      <c r="G140" s="16" t="str">
        <f t="shared" si="22"/>
        <v>Small</v>
      </c>
      <c r="H140" s="17"/>
      <c r="I140" s="121">
        <f>Variables!$B$3*POWER(SUM(1,Variables!$B$2/100),C140-2017)</f>
        <v>42952.679157435021</v>
      </c>
      <c r="J140" s="42">
        <f t="shared" si="23"/>
        <v>540.35290932119733</v>
      </c>
      <c r="K140" s="43">
        <f>VLOOKUP(A140,'Waste per capita'!$A$2:$F$21,6,FALSE)*(J140/J120)</f>
        <v>281.29347273887447</v>
      </c>
      <c r="L140" s="219">
        <f t="shared" si="24"/>
        <v>6887.3115152673618</v>
      </c>
      <c r="M140" s="45">
        <f>1</f>
        <v>1</v>
      </c>
      <c r="N140" s="135">
        <f t="shared" si="25"/>
        <v>6887.3115152673618</v>
      </c>
      <c r="P140" s="136">
        <f>Variables!$D$15</f>
        <v>10.755760368663594</v>
      </c>
      <c r="Q140" s="175">
        <f t="shared" si="26"/>
        <v>74078.272242553096</v>
      </c>
      <c r="R140" s="172">
        <f>Variables!$D$14</f>
        <v>5.2703140174813869</v>
      </c>
      <c r="S140" s="175">
        <f t="shared" si="27"/>
        <v>26995.953265201788</v>
      </c>
      <c r="T140" s="217">
        <f>Variables!$D$18</f>
        <v>5.032</v>
      </c>
      <c r="U140" s="177">
        <f t="shared" si="28"/>
        <v>34656.951544825366</v>
      </c>
    </row>
    <row r="141" spans="1:21" ht="15.75" customHeight="1" x14ac:dyDescent="0.35">
      <c r="A141" s="11">
        <v>18</v>
      </c>
      <c r="B141" s="13" t="s">
        <v>51</v>
      </c>
      <c r="C141" s="13">
        <v>2025</v>
      </c>
      <c r="D141" s="16">
        <f>Population!J19</f>
        <v>1993.8650267102259</v>
      </c>
      <c r="E141" s="98">
        <f t="shared" si="20"/>
        <v>5.88</v>
      </c>
      <c r="F141" s="16">
        <f t="shared" si="21"/>
        <v>339.09269161738536</v>
      </c>
      <c r="G141" s="16" t="str">
        <f t="shared" si="22"/>
        <v>Small</v>
      </c>
      <c r="H141" s="17"/>
      <c r="I141" s="121">
        <f>Variables!$B$3*POWER(SUM(1,Variables!$B$2/100),C141-2017)</f>
        <v>42952.679157435021</v>
      </c>
      <c r="J141" s="42">
        <f t="shared" si="23"/>
        <v>540.35290932119733</v>
      </c>
      <c r="K141" s="43">
        <f>VLOOKUP(A141,'Waste per capita'!$A$2:$F$21,6,FALSE)*(J141/J121)</f>
        <v>281.29347273887447</v>
      </c>
      <c r="L141" s="219">
        <f t="shared" si="24"/>
        <v>560.86121753590817</v>
      </c>
      <c r="M141" s="45">
        <f>1</f>
        <v>1</v>
      </c>
      <c r="N141" s="135">
        <f t="shared" si="25"/>
        <v>560.86121753590817</v>
      </c>
      <c r="P141" s="136">
        <f>Variables!$D$15</f>
        <v>10.755760368663594</v>
      </c>
      <c r="Q141" s="175">
        <f t="shared" si="26"/>
        <v>6032.4888558931316</v>
      </c>
      <c r="R141" s="172">
        <f>Variables!$D$14</f>
        <v>5.2703140174813869</v>
      </c>
      <c r="S141" s="175">
        <f t="shared" si="27"/>
        <v>1787.1249658565991</v>
      </c>
      <c r="T141" s="217">
        <f>Variables!$D$18</f>
        <v>5.032</v>
      </c>
      <c r="U141" s="177">
        <f t="shared" si="28"/>
        <v>2822.25364664069</v>
      </c>
    </row>
    <row r="142" spans="1:21" ht="15.75" customHeight="1" x14ac:dyDescent="0.35">
      <c r="A142" s="11">
        <v>19</v>
      </c>
      <c r="B142" s="13" t="s">
        <v>52</v>
      </c>
      <c r="C142" s="13">
        <v>2025</v>
      </c>
      <c r="D142" s="16">
        <f>Population!J20</f>
        <v>29212.905774305586</v>
      </c>
      <c r="E142" s="98">
        <f t="shared" si="20"/>
        <v>3.93</v>
      </c>
      <c r="F142" s="16">
        <f t="shared" si="21"/>
        <v>7433.3093573296655</v>
      </c>
      <c r="G142" s="16" t="str">
        <f t="shared" si="22"/>
        <v>Small</v>
      </c>
      <c r="H142" s="17"/>
      <c r="I142" s="121">
        <f>Variables!$B$3*POWER(SUM(1,Variables!$B$2/100),C142-2017)</f>
        <v>42952.679157435021</v>
      </c>
      <c r="J142" s="42">
        <f t="shared" si="23"/>
        <v>540.35290932119733</v>
      </c>
      <c r="K142" s="43">
        <f>VLOOKUP(A142,'Waste per capita'!$A$2:$F$21,6,FALSE)*(J142/J122)</f>
        <v>281.29347273887447</v>
      </c>
      <c r="L142" s="219">
        <f t="shared" si="24"/>
        <v>8217.3997140479369</v>
      </c>
      <c r="M142" s="45">
        <f>1</f>
        <v>1</v>
      </c>
      <c r="N142" s="135">
        <f t="shared" si="25"/>
        <v>8217.3997140479369</v>
      </c>
      <c r="P142" s="136">
        <f>Variables!$D$15</f>
        <v>10.755760368663594</v>
      </c>
      <c r="Q142" s="175">
        <f t="shared" si="26"/>
        <v>88384.382177824358</v>
      </c>
      <c r="R142" s="172">
        <f>Variables!$D$14</f>
        <v>5.2703140174813869</v>
      </c>
      <c r="S142" s="175">
        <f t="shared" si="27"/>
        <v>39175.874502210099</v>
      </c>
      <c r="T142" s="217">
        <f>Variables!$D$18</f>
        <v>5.032</v>
      </c>
      <c r="U142" s="177">
        <f t="shared" si="28"/>
        <v>41349.955361089218</v>
      </c>
    </row>
    <row r="143" spans="1:21" ht="15.75" customHeight="1" x14ac:dyDescent="0.35">
      <c r="A143" s="11">
        <v>20</v>
      </c>
      <c r="B143" s="13" t="s">
        <v>53</v>
      </c>
      <c r="C143" s="13">
        <v>2025</v>
      </c>
      <c r="D143" s="16">
        <f>Population!J21</f>
        <v>3395.4222609474787</v>
      </c>
      <c r="E143" s="98">
        <f t="shared" si="20"/>
        <v>3.94</v>
      </c>
      <c r="F143" s="16">
        <f t="shared" si="21"/>
        <v>861.78229973286261</v>
      </c>
      <c r="G143" s="16" t="str">
        <f t="shared" si="22"/>
        <v>Small</v>
      </c>
      <c r="H143" s="17"/>
      <c r="I143" s="121">
        <f>Variables!$B$3*POWER(SUM(1,Variables!$B$2/100),C143-2017)</f>
        <v>42952.679157435021</v>
      </c>
      <c r="J143" s="42">
        <f t="shared" si="23"/>
        <v>540.35290932119733</v>
      </c>
      <c r="K143" s="43">
        <f>VLOOKUP(A143,'Waste per capita'!$A$2:$F$21,6,FALSE)*(J143/J123)</f>
        <v>281.29347273887447</v>
      </c>
      <c r="L143" s="219">
        <f t="shared" si="24"/>
        <v>955.11011919679709</v>
      </c>
      <c r="M143" s="45">
        <f>1</f>
        <v>1</v>
      </c>
      <c r="N143" s="135">
        <f t="shared" si="25"/>
        <v>955.11011919679709</v>
      </c>
      <c r="P143" s="136">
        <f>Variables!$D$15</f>
        <v>10.755760368663594</v>
      </c>
      <c r="Q143" s="175">
        <f t="shared" si="26"/>
        <v>10272.935567766472</v>
      </c>
      <c r="R143" s="172">
        <f>Variables!$D$14</f>
        <v>5.2703140174813869</v>
      </c>
      <c r="S143" s="175">
        <f t="shared" si="27"/>
        <v>4541.8633342994517</v>
      </c>
      <c r="T143" s="217">
        <f>Variables!$D$18</f>
        <v>5.032</v>
      </c>
      <c r="U143" s="177">
        <f t="shared" si="28"/>
        <v>4806.1141197982834</v>
      </c>
    </row>
    <row r="144" spans="1:21" ht="15.75" customHeight="1" x14ac:dyDescent="0.35">
      <c r="A144" s="11">
        <v>1</v>
      </c>
      <c r="B144" s="12" t="s">
        <v>23</v>
      </c>
      <c r="C144" s="13">
        <v>2026</v>
      </c>
      <c r="D144" s="16">
        <f>Population!K2</f>
        <v>753348.55698186171</v>
      </c>
      <c r="E144" s="98">
        <f t="shared" si="20"/>
        <v>4.17</v>
      </c>
      <c r="F144" s="16">
        <f t="shared" si="21"/>
        <v>180659.12637454717</v>
      </c>
      <c r="G144" s="16" t="str">
        <f t="shared" si="22"/>
        <v>Medium</v>
      </c>
      <c r="H144" s="17"/>
      <c r="I144" s="121">
        <f>Variables!$B$3*POWER(SUM(1,Variables!$B$2/100),C144-2017)</f>
        <v>45272.123831936515</v>
      </c>
      <c r="J144" s="42">
        <f t="shared" si="23"/>
        <v>551.48818782964054</v>
      </c>
      <c r="K144" s="43">
        <f>VLOOKUP(A144,'Waste per capita'!$A$2:$F$21,6,FALSE)*(J144/J124)</f>
        <v>341.4644654066019</v>
      </c>
      <c r="L144" s="219">
        <f t="shared" si="24"/>
        <v>257241.76227464637</v>
      </c>
      <c r="M144" s="45">
        <f>1</f>
        <v>1</v>
      </c>
      <c r="N144" s="135">
        <f t="shared" si="25"/>
        <v>257241.76227464637</v>
      </c>
      <c r="P144" s="136">
        <f>Variables!$D$15</f>
        <v>10.755760368663594</v>
      </c>
      <c r="Q144" s="175">
        <f t="shared" si="26"/>
        <v>2766830.7518388233</v>
      </c>
      <c r="R144" s="172">
        <f>Variables!$D$14</f>
        <v>5.2703140174813869</v>
      </c>
      <c r="S144" s="175">
        <f t="shared" si="27"/>
        <v>952130.32611771731</v>
      </c>
      <c r="T144" s="217">
        <f>Variables!$D$18</f>
        <v>5.032</v>
      </c>
      <c r="U144" s="177">
        <f t="shared" si="28"/>
        <v>1294440.5477660205</v>
      </c>
    </row>
    <row r="145" spans="1:21" ht="15.75" customHeight="1" x14ac:dyDescent="0.35">
      <c r="A145" s="11">
        <v>2</v>
      </c>
      <c r="B145" s="12" t="s">
        <v>26</v>
      </c>
      <c r="C145" s="13">
        <v>2026</v>
      </c>
      <c r="D145" s="16">
        <f>Population!K3</f>
        <v>522013.3088153025</v>
      </c>
      <c r="E145" s="98">
        <f t="shared" si="20"/>
        <v>4.29</v>
      </c>
      <c r="F145" s="16">
        <f t="shared" si="21"/>
        <v>121681.42396627097</v>
      </c>
      <c r="G145" s="16" t="str">
        <f t="shared" si="22"/>
        <v>Medium</v>
      </c>
      <c r="H145" s="17"/>
      <c r="I145" s="121">
        <f>Variables!$B$3*POWER(SUM(1,Variables!$B$2/100),C145-2017)</f>
        <v>45272.123831936515</v>
      </c>
      <c r="J145" s="42">
        <f t="shared" si="23"/>
        <v>551.48818782964054</v>
      </c>
      <c r="K145" s="43">
        <f>VLOOKUP(A145,'Waste per capita'!$A$2:$F$21,6,FALSE)*(J145/J125)</f>
        <v>341.4644654066019</v>
      </c>
      <c r="L145" s="219">
        <f t="shared" si="24"/>
        <v>178248.99542974864</v>
      </c>
      <c r="M145" s="45">
        <f>1</f>
        <v>1</v>
      </c>
      <c r="N145" s="135">
        <f t="shared" si="25"/>
        <v>178248.99542974864</v>
      </c>
      <c r="P145" s="136">
        <f>Variables!$D$15</f>
        <v>10.755760368663594</v>
      </c>
      <c r="Q145" s="175">
        <f t="shared" si="26"/>
        <v>1917203.4807973886</v>
      </c>
      <c r="R145" s="172">
        <f>Variables!$D$14</f>
        <v>5.2703140174813869</v>
      </c>
      <c r="S145" s="175">
        <f t="shared" si="27"/>
        <v>641299.31439653353</v>
      </c>
      <c r="T145" s="217">
        <f>Variables!$D$18</f>
        <v>5.032</v>
      </c>
      <c r="U145" s="177">
        <f t="shared" si="28"/>
        <v>896948.94500249519</v>
      </c>
    </row>
    <row r="146" spans="1:21" ht="15.75" customHeight="1" x14ac:dyDescent="0.35">
      <c r="A146" s="11">
        <v>3</v>
      </c>
      <c r="B146" s="12" t="s">
        <v>28</v>
      </c>
      <c r="C146" s="13">
        <v>2026</v>
      </c>
      <c r="D146" s="16">
        <f>Population!K4</f>
        <v>373818.50429158629</v>
      </c>
      <c r="E146" s="98">
        <f t="shared" si="20"/>
        <v>4.8600000000000003</v>
      </c>
      <c r="F146" s="16">
        <f t="shared" si="21"/>
        <v>76917.38771431816</v>
      </c>
      <c r="G146" s="16" t="str">
        <f t="shared" si="22"/>
        <v>Medium</v>
      </c>
      <c r="H146" s="17"/>
      <c r="I146" s="121">
        <f>Variables!$B$3*POWER(SUM(1,Variables!$B$2/100),C146-2017)</f>
        <v>45272.123831936515</v>
      </c>
      <c r="J146" s="42">
        <f t="shared" si="23"/>
        <v>551.48818782964054</v>
      </c>
      <c r="K146" s="43">
        <f>VLOOKUP(A146,'Waste per capita'!$A$2:$F$21,6,FALSE)*(J146/J126)</f>
        <v>296.95738112531433</v>
      </c>
      <c r="L146" s="219">
        <f t="shared" si="24"/>
        <v>111008.16405061154</v>
      </c>
      <c r="M146" s="45">
        <f>1</f>
        <v>1</v>
      </c>
      <c r="N146" s="135">
        <f t="shared" si="25"/>
        <v>111008.16405061154</v>
      </c>
      <c r="P146" s="136">
        <f>Variables!$D$15</f>
        <v>10.755760368663594</v>
      </c>
      <c r="Q146" s="175">
        <f t="shared" si="26"/>
        <v>1193977.2114936742</v>
      </c>
      <c r="R146" s="172">
        <f>Variables!$D$14</f>
        <v>5.2703140174813869</v>
      </c>
      <c r="S146" s="175">
        <f t="shared" si="27"/>
        <v>405378.78665882163</v>
      </c>
      <c r="T146" s="217">
        <f>Variables!$D$18</f>
        <v>5.032</v>
      </c>
      <c r="U146" s="177">
        <f t="shared" si="28"/>
        <v>558593.08150267729</v>
      </c>
    </row>
    <row r="147" spans="1:21" ht="15.75" customHeight="1" x14ac:dyDescent="0.35">
      <c r="A147" s="11">
        <v>4</v>
      </c>
      <c r="B147" s="12" t="s">
        <v>30</v>
      </c>
      <c r="C147" s="13">
        <v>2026</v>
      </c>
      <c r="D147" s="16">
        <f>Population!K5</f>
        <v>708660.2214171947</v>
      </c>
      <c r="E147" s="98">
        <f t="shared" si="20"/>
        <v>4.05</v>
      </c>
      <c r="F147" s="16">
        <f t="shared" si="21"/>
        <v>174977.83244869005</v>
      </c>
      <c r="G147" s="16" t="str">
        <f t="shared" si="22"/>
        <v>Medium</v>
      </c>
      <c r="H147" s="17"/>
      <c r="I147" s="121">
        <f>Variables!$B$3*POWER(SUM(1,Variables!$B$2/100),C147-2017)</f>
        <v>45272.123831936515</v>
      </c>
      <c r="J147" s="42">
        <f t="shared" si="23"/>
        <v>551.48818782964054</v>
      </c>
      <c r="K147" s="43">
        <f>VLOOKUP(A147,'Waste per capita'!$A$2:$F$21,6,FALSE)*(J147/J127)</f>
        <v>279.39128079835018</v>
      </c>
      <c r="L147" s="219">
        <f t="shared" si="24"/>
        <v>197993.48691259246</v>
      </c>
      <c r="M147" s="45">
        <f>1</f>
        <v>1</v>
      </c>
      <c r="N147" s="135">
        <f t="shared" si="25"/>
        <v>197993.48691259246</v>
      </c>
      <c r="P147" s="136">
        <f>Variables!$D$15</f>
        <v>10.755760368663594</v>
      </c>
      <c r="Q147" s="175">
        <f t="shared" si="26"/>
        <v>2129570.499787976</v>
      </c>
      <c r="R147" s="172">
        <f>Variables!$D$14</f>
        <v>5.2703140174813869</v>
      </c>
      <c r="S147" s="175">
        <f t="shared" si="27"/>
        <v>922188.12310284062</v>
      </c>
      <c r="T147" s="217">
        <f>Variables!$D$18</f>
        <v>5.032</v>
      </c>
      <c r="U147" s="177">
        <f t="shared" si="28"/>
        <v>996303.22614416527</v>
      </c>
    </row>
    <row r="148" spans="1:21" ht="15.75" customHeight="1" x14ac:dyDescent="0.35">
      <c r="A148" s="11">
        <v>5</v>
      </c>
      <c r="B148" s="12" t="s">
        <v>31</v>
      </c>
      <c r="C148" s="13">
        <v>2026</v>
      </c>
      <c r="D148" s="16">
        <f>Population!K6</f>
        <v>451526.54634847038</v>
      </c>
      <c r="E148" s="98">
        <f t="shared" si="20"/>
        <v>4.2</v>
      </c>
      <c r="F148" s="16">
        <f t="shared" si="21"/>
        <v>107506.32055915961</v>
      </c>
      <c r="G148" s="16" t="str">
        <f t="shared" si="22"/>
        <v>Medium</v>
      </c>
      <c r="H148" s="17"/>
      <c r="I148" s="121">
        <f>Variables!$B$3*POWER(SUM(1,Variables!$B$2/100),C148-2017)</f>
        <v>45272.123831936515</v>
      </c>
      <c r="J148" s="42">
        <f t="shared" si="23"/>
        <v>551.48818782964054</v>
      </c>
      <c r="K148" s="43">
        <f>VLOOKUP(A148,'Waste per capita'!$A$2:$F$21,6,FALSE)*(J148/J128)</f>
        <v>341.4644654066019</v>
      </c>
      <c r="L148" s="219">
        <f t="shared" si="24"/>
        <v>154180.2707657697</v>
      </c>
      <c r="M148" s="45">
        <f>1</f>
        <v>1</v>
      </c>
      <c r="N148" s="135">
        <f t="shared" si="25"/>
        <v>154180.2707657697</v>
      </c>
      <c r="P148" s="136">
        <f>Variables!$D$15</f>
        <v>10.755760368663594</v>
      </c>
      <c r="Q148" s="175">
        <f t="shared" si="26"/>
        <v>1658326.0459322878</v>
      </c>
      <c r="R148" s="172">
        <f>Variables!$D$14</f>
        <v>5.2703140174813869</v>
      </c>
      <c r="S148" s="175">
        <f t="shared" si="27"/>
        <v>566592.06821078632</v>
      </c>
      <c r="T148" s="217">
        <f>Variables!$D$18</f>
        <v>5.032</v>
      </c>
      <c r="U148" s="177">
        <f t="shared" si="28"/>
        <v>775835.12249335321</v>
      </c>
    </row>
    <row r="149" spans="1:21" ht="15.75" customHeight="1" x14ac:dyDescent="0.35">
      <c r="A149" s="11">
        <v>6</v>
      </c>
      <c r="B149" s="12" t="s">
        <v>32</v>
      </c>
      <c r="C149" s="13">
        <v>2026</v>
      </c>
      <c r="D149" s="16">
        <f>Population!K7</f>
        <v>514300.96467510733</v>
      </c>
      <c r="E149" s="98">
        <f t="shared" si="20"/>
        <v>4.59</v>
      </c>
      <c r="F149" s="16">
        <f t="shared" si="21"/>
        <v>112048.14045209311</v>
      </c>
      <c r="G149" s="16" t="str">
        <f t="shared" si="22"/>
        <v>Medium</v>
      </c>
      <c r="H149" s="17"/>
      <c r="I149" s="121">
        <f>Variables!$B$3*POWER(SUM(1,Variables!$B$2/100),C149-2017)</f>
        <v>45272.123831936515</v>
      </c>
      <c r="J149" s="42">
        <f t="shared" si="23"/>
        <v>551.48818782964054</v>
      </c>
      <c r="K149" s="43">
        <f>VLOOKUP(A149,'Waste per capita'!$A$2:$F$21,6,FALSE)*(J149/J129)</f>
        <v>302.66809999310885</v>
      </c>
      <c r="L149" s="219">
        <f t="shared" si="24"/>
        <v>155662.49580283772</v>
      </c>
      <c r="M149" s="45">
        <f>1</f>
        <v>1</v>
      </c>
      <c r="N149" s="135">
        <f t="shared" si="25"/>
        <v>155662.49580283772</v>
      </c>
      <c r="P149" s="136">
        <f>Variables!$D$15</f>
        <v>10.755760368663594</v>
      </c>
      <c r="Q149" s="175">
        <f t="shared" si="26"/>
        <v>1674268.5032434249</v>
      </c>
      <c r="R149" s="172">
        <f>Variables!$D$14</f>
        <v>5.2703140174813869</v>
      </c>
      <c r="S149" s="175">
        <f t="shared" si="27"/>
        <v>590528.88525738951</v>
      </c>
      <c r="T149" s="217">
        <f>Variables!$D$18</f>
        <v>5.032</v>
      </c>
      <c r="U149" s="177">
        <f t="shared" si="28"/>
        <v>783293.67887987942</v>
      </c>
    </row>
    <row r="150" spans="1:21" ht="15.75" customHeight="1" x14ac:dyDescent="0.35">
      <c r="A150" s="11">
        <v>7</v>
      </c>
      <c r="B150" s="12" t="s">
        <v>33</v>
      </c>
      <c r="C150" s="13">
        <v>2026</v>
      </c>
      <c r="D150" s="16">
        <f>Population!K8</f>
        <v>289812.85167944332</v>
      </c>
      <c r="E150" s="98">
        <f t="shared" si="20"/>
        <v>3.94</v>
      </c>
      <c r="F150" s="16">
        <f t="shared" si="21"/>
        <v>73556.56133996023</v>
      </c>
      <c r="G150" s="16" t="str">
        <f t="shared" si="22"/>
        <v>Medium</v>
      </c>
      <c r="H150" s="17"/>
      <c r="I150" s="121">
        <f>Variables!$B$3*POWER(SUM(1,Variables!$B$2/100),C150-2017)</f>
        <v>45272.123831936515</v>
      </c>
      <c r="J150" s="42">
        <f t="shared" si="23"/>
        <v>551.48818782964054</v>
      </c>
      <c r="K150" s="43">
        <f>VLOOKUP(A150,'Waste per capita'!$A$2:$F$21,6,FALSE)*(J150/J130)</f>
        <v>416.88247734899898</v>
      </c>
      <c r="L150" s="219">
        <f t="shared" si="24"/>
        <v>120817.89957570433</v>
      </c>
      <c r="M150" s="45">
        <f>1</f>
        <v>1</v>
      </c>
      <c r="N150" s="135">
        <f t="shared" si="25"/>
        <v>120817.89957570433</v>
      </c>
      <c r="P150" s="136">
        <f>Variables!$D$15</f>
        <v>10.755760368663594</v>
      </c>
      <c r="Q150" s="175">
        <f t="shared" si="26"/>
        <v>1299488.3760815386</v>
      </c>
      <c r="R150" s="172">
        <f>Variables!$D$14</f>
        <v>5.2703140174813869</v>
      </c>
      <c r="S150" s="175">
        <f t="shared" si="27"/>
        <v>387666.17630772188</v>
      </c>
      <c r="T150" s="217">
        <f>Variables!$D$18</f>
        <v>5.032</v>
      </c>
      <c r="U150" s="177">
        <f t="shared" si="28"/>
        <v>607955.67066494422</v>
      </c>
    </row>
    <row r="151" spans="1:21" ht="15.75" customHeight="1" x14ac:dyDescent="0.35">
      <c r="A151" s="11">
        <v>8</v>
      </c>
      <c r="B151" s="11" t="s">
        <v>36</v>
      </c>
      <c r="C151" s="13">
        <v>2026</v>
      </c>
      <c r="D151" s="16">
        <f>Population!K9</f>
        <v>961510.23518690222</v>
      </c>
      <c r="E151" s="98">
        <f t="shared" si="20"/>
        <v>4.04</v>
      </c>
      <c r="F151" s="16">
        <f t="shared" si="21"/>
        <v>237997.582967055</v>
      </c>
      <c r="G151" s="16" t="str">
        <f t="shared" si="22"/>
        <v>Medium</v>
      </c>
      <c r="H151" s="17"/>
      <c r="I151" s="121">
        <f>Variables!$B$3*POWER(SUM(1,Variables!$B$2/100),C151-2017)</f>
        <v>45272.123831936515</v>
      </c>
      <c r="J151" s="42">
        <f t="shared" si="23"/>
        <v>551.48818782964054</v>
      </c>
      <c r="K151" s="43">
        <f>VLOOKUP(A151,'Waste per capita'!$A$2:$F$21,6,FALSE)*(J151/J131)</f>
        <v>308.37881886090338</v>
      </c>
      <c r="L151" s="219">
        <f t="shared" si="24"/>
        <v>296509.39064960636</v>
      </c>
      <c r="M151" s="45">
        <f>1</f>
        <v>1</v>
      </c>
      <c r="N151" s="135">
        <f t="shared" si="25"/>
        <v>296509.39064960636</v>
      </c>
      <c r="P151" s="136">
        <f>Variables!$D$15</f>
        <v>10.755760368663594</v>
      </c>
      <c r="Q151" s="175">
        <f t="shared" si="26"/>
        <v>3189183.9528856277</v>
      </c>
      <c r="R151" s="172">
        <f>Variables!$D$14</f>
        <v>5.2703140174813869</v>
      </c>
      <c r="S151" s="175">
        <f t="shared" si="27"/>
        <v>1254321.9976379594</v>
      </c>
      <c r="T151" s="217">
        <f>Variables!$D$18</f>
        <v>5.032</v>
      </c>
      <c r="U151" s="177">
        <f t="shared" si="28"/>
        <v>1492035.2537488192</v>
      </c>
    </row>
    <row r="152" spans="1:21" ht="15.75" customHeight="1" x14ac:dyDescent="0.35">
      <c r="A152" s="11">
        <v>9</v>
      </c>
      <c r="B152" s="12" t="s">
        <v>38</v>
      </c>
      <c r="C152" s="13">
        <v>2026</v>
      </c>
      <c r="D152" s="16">
        <f>Population!K10</f>
        <v>16886.189917721251</v>
      </c>
      <c r="E152" s="98">
        <f t="shared" si="20"/>
        <v>4.26</v>
      </c>
      <c r="F152" s="16">
        <f t="shared" si="21"/>
        <v>3963.8943468829229</v>
      </c>
      <c r="G152" s="16" t="str">
        <f t="shared" si="22"/>
        <v>Small</v>
      </c>
      <c r="H152" s="17"/>
      <c r="I152" s="121">
        <f>Variables!$B$3*POWER(SUM(1,Variables!$B$2/100),C152-2017)</f>
        <v>45272.123831936515</v>
      </c>
      <c r="J152" s="42">
        <f t="shared" si="23"/>
        <v>551.48818782964054</v>
      </c>
      <c r="K152" s="43">
        <f>VLOOKUP(A152,'Waste per capita'!$A$2:$F$21,6,FALSE)*(J152/J132)</f>
        <v>281.26051542540409</v>
      </c>
      <c r="L152" s="219">
        <f t="shared" si="24"/>
        <v>4749.418479829541</v>
      </c>
      <c r="M152" s="45">
        <f>1</f>
        <v>1</v>
      </c>
      <c r="N152" s="135">
        <f t="shared" si="25"/>
        <v>4749.418479829541</v>
      </c>
      <c r="P152" s="136">
        <f>Variables!$D$15</f>
        <v>10.755760368663594</v>
      </c>
      <c r="Q152" s="175">
        <f t="shared" si="26"/>
        <v>51083.607059549075</v>
      </c>
      <c r="R152" s="172">
        <f>Variables!$D$14</f>
        <v>5.2703140174813869</v>
      </c>
      <c r="S152" s="175">
        <f t="shared" si="27"/>
        <v>20890.967940192295</v>
      </c>
      <c r="T152" s="217">
        <f>Variables!$D$18</f>
        <v>5.032</v>
      </c>
      <c r="U152" s="177">
        <f t="shared" si="28"/>
        <v>23899.073790502251</v>
      </c>
    </row>
    <row r="153" spans="1:21" ht="15.75" customHeight="1" x14ac:dyDescent="0.35">
      <c r="A153" s="11">
        <v>10</v>
      </c>
      <c r="B153" s="12" t="s">
        <v>40</v>
      </c>
      <c r="C153" s="13">
        <v>2026</v>
      </c>
      <c r="D153" s="16">
        <f>Population!K11</f>
        <v>660683.50716853316</v>
      </c>
      <c r="E153" s="98">
        <f t="shared" ref="E153:E216" si="29">E133</f>
        <v>5.88</v>
      </c>
      <c r="F153" s="16">
        <f t="shared" si="21"/>
        <v>112361.14067492061</v>
      </c>
      <c r="G153" s="16" t="str">
        <f t="shared" si="22"/>
        <v>Medium</v>
      </c>
      <c r="H153" s="17"/>
      <c r="I153" s="121">
        <f>Variables!$B$3*POWER(SUM(1,Variables!$B$2/100),C153-2017)</f>
        <v>45272.123831936515</v>
      </c>
      <c r="J153" s="42">
        <f t="shared" si="23"/>
        <v>551.48818782964054</v>
      </c>
      <c r="K153" s="43">
        <f>VLOOKUP(A153,'Waste per capita'!$A$2:$F$21,6,FALSE)*(J153/J133)</f>
        <v>341.4644654066019</v>
      </c>
      <c r="L153" s="219">
        <f t="shared" si="24"/>
        <v>225599.940578262</v>
      </c>
      <c r="M153" s="45">
        <f>1</f>
        <v>1</v>
      </c>
      <c r="N153" s="135">
        <f t="shared" si="25"/>
        <v>225599.940578262</v>
      </c>
      <c r="P153" s="136">
        <f>Variables!$D$15</f>
        <v>10.755760368663594</v>
      </c>
      <c r="Q153" s="175">
        <f t="shared" si="26"/>
        <v>2426498.9000445325</v>
      </c>
      <c r="R153" s="172">
        <f>Variables!$D$14</f>
        <v>5.2703140174813869</v>
      </c>
      <c r="S153" s="175">
        <f t="shared" si="27"/>
        <v>592178.49471923208</v>
      </c>
      <c r="T153" s="217">
        <f>Variables!$D$18</f>
        <v>5.032</v>
      </c>
      <c r="U153" s="177">
        <f t="shared" si="28"/>
        <v>1135218.9009898144</v>
      </c>
    </row>
    <row r="154" spans="1:21" ht="15.75" customHeight="1" x14ac:dyDescent="0.35">
      <c r="A154" s="11">
        <v>11</v>
      </c>
      <c r="B154" s="12" t="s">
        <v>42</v>
      </c>
      <c r="C154" s="13">
        <v>2026</v>
      </c>
      <c r="D154" s="16">
        <f>Population!K12</f>
        <v>874879.72563411295</v>
      </c>
      <c r="E154" s="98">
        <f t="shared" si="29"/>
        <v>4.47</v>
      </c>
      <c r="F154" s="16">
        <f t="shared" si="21"/>
        <v>195722.53369890671</v>
      </c>
      <c r="G154" s="16" t="str">
        <f t="shared" si="22"/>
        <v>Medium</v>
      </c>
      <c r="H154" s="17"/>
      <c r="I154" s="121">
        <f>Variables!$B$3*POWER(SUM(1,Variables!$B$2/100),C154-2017)</f>
        <v>45272.123831936515</v>
      </c>
      <c r="J154" s="42">
        <f t="shared" si="23"/>
        <v>551.48818782964054</v>
      </c>
      <c r="K154" s="43">
        <f>VLOOKUP(A154,'Waste per capita'!$A$2:$F$21,6,FALSE)*(J154/J134)</f>
        <v>442.63949968588184</v>
      </c>
      <c r="L154" s="219">
        <f t="shared" si="24"/>
        <v>387256.32404000533</v>
      </c>
      <c r="M154" s="45">
        <f>1</f>
        <v>1</v>
      </c>
      <c r="N154" s="135">
        <f t="shared" si="25"/>
        <v>387256.32404000533</v>
      </c>
      <c r="P154" s="136">
        <f>Variables!$D$15</f>
        <v>10.755760368663594</v>
      </c>
      <c r="Q154" s="175">
        <f t="shared" si="26"/>
        <v>4165236.2226238362</v>
      </c>
      <c r="R154" s="172">
        <f>Variables!$D$14</f>
        <v>5.2703140174813869</v>
      </c>
      <c r="S154" s="175">
        <f t="shared" si="27"/>
        <v>1031519.2128903212</v>
      </c>
      <c r="T154" s="217">
        <f>Variables!$D$18</f>
        <v>5.032</v>
      </c>
      <c r="U154" s="177">
        <f t="shared" si="28"/>
        <v>1948673.8225693069</v>
      </c>
    </row>
    <row r="155" spans="1:21" ht="15.75" customHeight="1" x14ac:dyDescent="0.35">
      <c r="A155" s="11">
        <v>12</v>
      </c>
      <c r="B155" s="12" t="s">
        <v>44</v>
      </c>
      <c r="C155" s="13">
        <v>2026</v>
      </c>
      <c r="D155" s="16">
        <f>Population!K13</f>
        <v>647769.67870107736</v>
      </c>
      <c r="E155" s="98">
        <f t="shared" si="29"/>
        <v>3.93</v>
      </c>
      <c r="F155" s="16">
        <f t="shared" si="21"/>
        <v>164826.89025472707</v>
      </c>
      <c r="G155" s="16" t="str">
        <f t="shared" si="22"/>
        <v>Medium</v>
      </c>
      <c r="H155" s="17"/>
      <c r="I155" s="121">
        <f>Variables!$B$3*POWER(SUM(1,Variables!$B$2/100),C155-2017)</f>
        <v>45272.123831936515</v>
      </c>
      <c r="J155" s="42">
        <f t="shared" si="23"/>
        <v>551.48818782964054</v>
      </c>
      <c r="K155" s="43">
        <f>VLOOKUP(A155,'Waste per capita'!$A$2:$F$21,6,FALSE)*(J155/J135)</f>
        <v>281.26051542540409</v>
      </c>
      <c r="L155" s="219">
        <f t="shared" si="24"/>
        <v>182192.03370841342</v>
      </c>
      <c r="M155" s="45">
        <f>1</f>
        <v>1</v>
      </c>
      <c r="N155" s="135">
        <f t="shared" si="25"/>
        <v>182192.03370841342</v>
      </c>
      <c r="P155" s="136">
        <f>Variables!$D$15</f>
        <v>10.755760368663594</v>
      </c>
      <c r="Q155" s="175">
        <f t="shared" si="26"/>
        <v>1959613.8556471746</v>
      </c>
      <c r="R155" s="172">
        <f>Variables!$D$14</f>
        <v>5.2703140174813869</v>
      </c>
      <c r="S155" s="175">
        <f t="shared" si="27"/>
        <v>868689.47016735433</v>
      </c>
      <c r="T155" s="217">
        <f>Variables!$D$18</f>
        <v>5.032</v>
      </c>
      <c r="U155" s="177">
        <f t="shared" si="28"/>
        <v>916790.31362073636</v>
      </c>
    </row>
    <row r="156" spans="1:21" ht="15.75" customHeight="1" x14ac:dyDescent="0.35">
      <c r="A156" s="11">
        <v>13</v>
      </c>
      <c r="B156" s="12" t="s">
        <v>45</v>
      </c>
      <c r="C156" s="13">
        <v>2026</v>
      </c>
      <c r="D156" s="16">
        <f>Population!K14</f>
        <v>493334.26218595821</v>
      </c>
      <c r="E156" s="98">
        <f t="shared" si="29"/>
        <v>4.78</v>
      </c>
      <c r="F156" s="16">
        <f t="shared" si="21"/>
        <v>103208.00464141385</v>
      </c>
      <c r="G156" s="16" t="str">
        <f t="shared" si="22"/>
        <v>Medium</v>
      </c>
      <c r="H156" s="17"/>
      <c r="I156" s="121">
        <f>Variables!$B$3*POWER(SUM(1,Variables!$B$2/100),C156-2017)</f>
        <v>45272.123831936515</v>
      </c>
      <c r="J156" s="42">
        <f t="shared" si="23"/>
        <v>551.48818782964054</v>
      </c>
      <c r="K156" s="43">
        <f>VLOOKUP(A156,'Waste per capita'!$A$2:$F$21,6,FALSE)*(J156/J136)</f>
        <v>341.4644654066019</v>
      </c>
      <c r="L156" s="219">
        <f t="shared" si="24"/>
        <v>168456.12010408859</v>
      </c>
      <c r="M156" s="45">
        <f>1</f>
        <v>1</v>
      </c>
      <c r="N156" s="135">
        <f t="shared" si="25"/>
        <v>168456.12010408859</v>
      </c>
      <c r="P156" s="136">
        <f>Variables!$D$15</f>
        <v>10.755760368663594</v>
      </c>
      <c r="Q156" s="175">
        <f t="shared" si="26"/>
        <v>1811873.6604743907</v>
      </c>
      <c r="R156" s="172">
        <f>Variables!$D$14</f>
        <v>5.2703140174813869</v>
      </c>
      <c r="S156" s="175">
        <f t="shared" si="27"/>
        <v>543938.59357792744</v>
      </c>
      <c r="T156" s="217">
        <f>Variables!$D$18</f>
        <v>5.032</v>
      </c>
      <c r="U156" s="177">
        <f t="shared" si="28"/>
        <v>847671.19636377378</v>
      </c>
    </row>
    <row r="157" spans="1:21" ht="15.75" customHeight="1" x14ac:dyDescent="0.35">
      <c r="A157" s="11">
        <v>14</v>
      </c>
      <c r="B157" s="12" t="s">
        <v>46</v>
      </c>
      <c r="C157" s="13">
        <v>2026</v>
      </c>
      <c r="D157" s="16">
        <f>Population!K15</f>
        <v>2321960.7263094718</v>
      </c>
      <c r="E157" s="98">
        <f t="shared" si="29"/>
        <v>3.72</v>
      </c>
      <c r="F157" s="16">
        <f t="shared" si="21"/>
        <v>624182.99094340636</v>
      </c>
      <c r="G157" s="16" t="str">
        <f t="shared" si="22"/>
        <v>Large</v>
      </c>
      <c r="H157" s="17"/>
      <c r="I157" s="121">
        <f>Variables!$B$3*POWER(SUM(1,Variables!$B$2/100),C157-2017)</f>
        <v>45272.123831936515</v>
      </c>
      <c r="J157" s="42">
        <f t="shared" si="23"/>
        <v>551.48818782964054</v>
      </c>
      <c r="K157" s="43">
        <f>VLOOKUP(A157,'Waste per capita'!$A$2:$F$21,6,FALSE)*(J157/J137)</f>
        <v>736.68273394549124</v>
      </c>
      <c r="L157" s="219">
        <f t="shared" si="24"/>
        <v>1710548.3759717203</v>
      </c>
      <c r="M157" s="45">
        <f>1</f>
        <v>1</v>
      </c>
      <c r="N157" s="135">
        <f t="shared" si="25"/>
        <v>1710548.3759717203</v>
      </c>
      <c r="P157" s="136">
        <f>Variables!$D$15</f>
        <v>10.755760368663594</v>
      </c>
      <c r="Q157" s="175">
        <f t="shared" si="26"/>
        <v>18398248.430958502</v>
      </c>
      <c r="R157" s="172">
        <f>Variables!$D$14</f>
        <v>5.2703140174813869</v>
      </c>
      <c r="S157" s="175">
        <f t="shared" si="27"/>
        <v>3289640.3666424924</v>
      </c>
      <c r="T157" s="217">
        <f>Variables!$D$18</f>
        <v>5.032</v>
      </c>
      <c r="U157" s="177">
        <f t="shared" si="28"/>
        <v>8607479.4278896973</v>
      </c>
    </row>
    <row r="158" spans="1:21" ht="15.75" customHeight="1" x14ac:dyDescent="0.35">
      <c r="A158" s="11">
        <v>15</v>
      </c>
      <c r="B158" s="12" t="s">
        <v>47</v>
      </c>
      <c r="C158" s="13">
        <v>2026</v>
      </c>
      <c r="D158" s="16">
        <f>Population!K16</f>
        <v>100443.16152720361</v>
      </c>
      <c r="E158" s="98">
        <f t="shared" si="29"/>
        <v>4.72</v>
      </c>
      <c r="F158" s="16">
        <f t="shared" si="21"/>
        <v>21280.330832034666</v>
      </c>
      <c r="G158" s="16" t="str">
        <f t="shared" si="22"/>
        <v>Medium</v>
      </c>
      <c r="H158" s="17"/>
      <c r="I158" s="121">
        <f>Variables!$B$3*POWER(SUM(1,Variables!$B$2/100),C158-2017)</f>
        <v>45272.123831936515</v>
      </c>
      <c r="J158" s="42">
        <f t="shared" si="23"/>
        <v>551.48818782964054</v>
      </c>
      <c r="K158" s="43">
        <f>VLOOKUP(A158,'Waste per capita'!$A$2:$F$21,6,FALSE)*(J158/J138)</f>
        <v>281.26051542540409</v>
      </c>
      <c r="L158" s="219">
        <f t="shared" si="24"/>
        <v>28250.695382098405</v>
      </c>
      <c r="M158" s="45">
        <f>1</f>
        <v>1</v>
      </c>
      <c r="N158" s="135">
        <f t="shared" si="25"/>
        <v>28250.695382098405</v>
      </c>
      <c r="P158" s="136">
        <f>Variables!$D$15</f>
        <v>10.755760368663594</v>
      </c>
      <c r="Q158" s="175">
        <f t="shared" si="26"/>
        <v>303857.70977796166</v>
      </c>
      <c r="R158" s="172">
        <f>Variables!$D$14</f>
        <v>5.2703140174813869</v>
      </c>
      <c r="S158" s="175">
        <f t="shared" si="27"/>
        <v>112154.02588071364</v>
      </c>
      <c r="T158" s="217">
        <f>Variables!$D$18</f>
        <v>5.032</v>
      </c>
      <c r="U158" s="177">
        <f t="shared" si="28"/>
        <v>142157.49916271918</v>
      </c>
    </row>
    <row r="159" spans="1:21" ht="15.75" customHeight="1" x14ac:dyDescent="0.35">
      <c r="A159" s="11">
        <v>16</v>
      </c>
      <c r="B159" s="12" t="s">
        <v>48</v>
      </c>
      <c r="C159" s="13">
        <v>2026</v>
      </c>
      <c r="D159" s="16">
        <f>Population!K17</f>
        <v>99909.713429577838</v>
      </c>
      <c r="E159" s="98">
        <f t="shared" si="29"/>
        <v>3.45</v>
      </c>
      <c r="F159" s="16">
        <f t="shared" si="21"/>
        <v>28959.337225964588</v>
      </c>
      <c r="G159" s="16" t="str">
        <f t="shared" si="22"/>
        <v>Small</v>
      </c>
      <c r="H159" s="17"/>
      <c r="I159" s="121">
        <f>Variables!$B$3*POWER(SUM(1,Variables!$B$2/100),C159-2017)</f>
        <v>45272.123831936515</v>
      </c>
      <c r="J159" s="42">
        <f t="shared" si="23"/>
        <v>551.48818782964054</v>
      </c>
      <c r="K159" s="43">
        <f>VLOOKUP(A159,'Waste per capita'!$A$2:$F$21,6,FALSE)*(J159/J139)</f>
        <v>281.26051542540409</v>
      </c>
      <c r="L159" s="219">
        <f t="shared" si="24"/>
        <v>28100.657495207481</v>
      </c>
      <c r="M159" s="45">
        <f>1</f>
        <v>1</v>
      </c>
      <c r="N159" s="135">
        <f t="shared" si="25"/>
        <v>28100.657495207481</v>
      </c>
      <c r="P159" s="136">
        <f>Variables!$D$15</f>
        <v>10.755760368663594</v>
      </c>
      <c r="Q159" s="175">
        <f t="shared" si="26"/>
        <v>302243.93822034221</v>
      </c>
      <c r="R159" s="172">
        <f>Variables!$D$14</f>
        <v>5.2703140174813869</v>
      </c>
      <c r="S159" s="175">
        <f t="shared" si="27"/>
        <v>152624.80091897171</v>
      </c>
      <c r="T159" s="217">
        <f>Variables!$D$18</f>
        <v>5.032</v>
      </c>
      <c r="U159" s="177">
        <f t="shared" si="28"/>
        <v>141402.50851588405</v>
      </c>
    </row>
    <row r="160" spans="1:21" ht="15.75" customHeight="1" x14ac:dyDescent="0.35">
      <c r="A160" s="11">
        <v>17</v>
      </c>
      <c r="B160" s="13" t="s">
        <v>49</v>
      </c>
      <c r="C160" s="13">
        <v>2026</v>
      </c>
      <c r="D160" s="16">
        <f>Population!K18</f>
        <v>25072.060588411634</v>
      </c>
      <c r="E160" s="98">
        <f t="shared" si="29"/>
        <v>4.78</v>
      </c>
      <c r="F160" s="16">
        <f t="shared" si="21"/>
        <v>5245.2009599187513</v>
      </c>
      <c r="G160" s="16" t="str">
        <f t="shared" si="22"/>
        <v>Small</v>
      </c>
      <c r="H160" s="17"/>
      <c r="I160" s="121">
        <f>Variables!$B$3*POWER(SUM(1,Variables!$B$2/100),C160-2017)</f>
        <v>45272.123831936515</v>
      </c>
      <c r="J160" s="42">
        <f t="shared" si="23"/>
        <v>551.48818782964054</v>
      </c>
      <c r="K160" s="43">
        <f>VLOOKUP(A160,'Waste per capita'!$A$2:$F$21,6,FALSE)*(J160/J140)</f>
        <v>281.26051542540409</v>
      </c>
      <c r="L160" s="219">
        <f t="shared" si="24"/>
        <v>7051.780683873616</v>
      </c>
      <c r="M160" s="45">
        <f>1</f>
        <v>1</v>
      </c>
      <c r="N160" s="135">
        <f t="shared" si="25"/>
        <v>7051.780683873616</v>
      </c>
      <c r="P160" s="136">
        <f>Variables!$D$15</f>
        <v>10.755760368663594</v>
      </c>
      <c r="Q160" s="175">
        <f t="shared" si="26"/>
        <v>75847.263208115299</v>
      </c>
      <c r="R160" s="172">
        <f>Variables!$D$14</f>
        <v>5.2703140174813869</v>
      </c>
      <c r="S160" s="175">
        <f t="shared" si="27"/>
        <v>27643.856143566623</v>
      </c>
      <c r="T160" s="217">
        <f>Variables!$D$18</f>
        <v>5.032</v>
      </c>
      <c r="U160" s="177">
        <f t="shared" si="28"/>
        <v>35484.560401252034</v>
      </c>
    </row>
    <row r="161" spans="1:21" ht="15.75" customHeight="1" x14ac:dyDescent="0.35">
      <c r="A161" s="11">
        <v>18</v>
      </c>
      <c r="B161" s="13" t="s">
        <v>51</v>
      </c>
      <c r="C161" s="13">
        <v>2026</v>
      </c>
      <c r="D161" s="16">
        <f>Population!K19</f>
        <v>2041.717787351271</v>
      </c>
      <c r="E161" s="98">
        <f t="shared" si="29"/>
        <v>5.88</v>
      </c>
      <c r="F161" s="16">
        <f t="shared" si="21"/>
        <v>347.23091621620256</v>
      </c>
      <c r="G161" s="16" t="str">
        <f t="shared" si="22"/>
        <v>Small</v>
      </c>
      <c r="H161" s="17"/>
      <c r="I161" s="121">
        <f>Variables!$B$3*POWER(SUM(1,Variables!$B$2/100),C161-2017)</f>
        <v>45272.123831936515</v>
      </c>
      <c r="J161" s="42">
        <f t="shared" si="23"/>
        <v>551.48818782964054</v>
      </c>
      <c r="K161" s="43">
        <f>VLOOKUP(A161,'Waste per capita'!$A$2:$F$21,6,FALSE)*(J161/J141)</f>
        <v>281.26051542540409</v>
      </c>
      <c r="L161" s="219">
        <f t="shared" si="24"/>
        <v>574.25459722363405</v>
      </c>
      <c r="M161" s="45">
        <f>1</f>
        <v>1</v>
      </c>
      <c r="N161" s="135">
        <f t="shared" si="25"/>
        <v>574.25459722363405</v>
      </c>
      <c r="P161" s="136">
        <f>Variables!$D$15</f>
        <v>10.755760368663594</v>
      </c>
      <c r="Q161" s="175">
        <f t="shared" si="26"/>
        <v>6176.5448383408384</v>
      </c>
      <c r="R161" s="172">
        <f>Variables!$D$14</f>
        <v>5.2703140174813869</v>
      </c>
      <c r="S161" s="175">
        <f t="shared" si="27"/>
        <v>1830.0159650371575</v>
      </c>
      <c r="T161" s="217">
        <f>Variables!$D$18</f>
        <v>5.032</v>
      </c>
      <c r="U161" s="177">
        <f t="shared" si="28"/>
        <v>2889.6491332293267</v>
      </c>
    </row>
    <row r="162" spans="1:21" ht="15.75" customHeight="1" x14ac:dyDescent="0.35">
      <c r="A162" s="11">
        <v>19</v>
      </c>
      <c r="B162" s="13" t="s">
        <v>52</v>
      </c>
      <c r="C162" s="13">
        <v>2026</v>
      </c>
      <c r="D162" s="16">
        <f>Population!K20</f>
        <v>29914.015512888916</v>
      </c>
      <c r="E162" s="98">
        <f t="shared" si="29"/>
        <v>3.93</v>
      </c>
      <c r="F162" s="16">
        <f t="shared" si="21"/>
        <v>7611.708781905576</v>
      </c>
      <c r="G162" s="16" t="str">
        <f t="shared" si="22"/>
        <v>Small</v>
      </c>
      <c r="H162" s="17"/>
      <c r="I162" s="121">
        <f>Variables!$B$3*POWER(SUM(1,Variables!$B$2/100),C162-2017)</f>
        <v>45272.123831936515</v>
      </c>
      <c r="J162" s="42">
        <f t="shared" si="23"/>
        <v>551.48818782964054</v>
      </c>
      <c r="K162" s="43">
        <f>VLOOKUP(A162,'Waste per capita'!$A$2:$F$21,6,FALSE)*(J162/J142)</f>
        <v>281.26051542540409</v>
      </c>
      <c r="L162" s="219">
        <f t="shared" si="24"/>
        <v>8413.6314215986713</v>
      </c>
      <c r="M162" s="45">
        <f>1</f>
        <v>1</v>
      </c>
      <c r="N162" s="135">
        <f t="shared" si="25"/>
        <v>8413.6314215986713</v>
      </c>
      <c r="P162" s="136">
        <f>Variables!$D$15</f>
        <v>10.755760368663594</v>
      </c>
      <c r="Q162" s="175">
        <f t="shared" si="26"/>
        <v>90495.003400973728</v>
      </c>
      <c r="R162" s="172">
        <f>Variables!$D$14</f>
        <v>5.2703140174813869</v>
      </c>
      <c r="S162" s="175">
        <f t="shared" si="27"/>
        <v>40116.095490263127</v>
      </c>
      <c r="T162" s="217">
        <f>Variables!$D$18</f>
        <v>5.032</v>
      </c>
      <c r="U162" s="177">
        <f t="shared" si="28"/>
        <v>42337.393313484514</v>
      </c>
    </row>
    <row r="163" spans="1:21" ht="15.75" customHeight="1" x14ac:dyDescent="0.35">
      <c r="A163" s="11">
        <v>20</v>
      </c>
      <c r="B163" s="13" t="s">
        <v>53</v>
      </c>
      <c r="C163" s="13">
        <v>2026</v>
      </c>
      <c r="D163" s="16">
        <f>Population!K21</f>
        <v>3476.9123952102173</v>
      </c>
      <c r="E163" s="98">
        <f t="shared" si="29"/>
        <v>3.94</v>
      </c>
      <c r="F163" s="16">
        <f t="shared" si="21"/>
        <v>882.46507492645105</v>
      </c>
      <c r="G163" s="16" t="str">
        <f t="shared" si="22"/>
        <v>Small</v>
      </c>
      <c r="H163" s="17"/>
      <c r="I163" s="121">
        <f>Variables!$B$3*POWER(SUM(1,Variables!$B$2/100),C163-2017)</f>
        <v>45272.123831936515</v>
      </c>
      <c r="J163" s="42">
        <f t="shared" si="23"/>
        <v>551.48818782964054</v>
      </c>
      <c r="K163" s="43">
        <f>VLOOKUP(A163,'Waste per capita'!$A$2:$F$21,6,FALSE)*(J163/J143)</f>
        <v>281.26051542540409</v>
      </c>
      <c r="L163" s="219">
        <f t="shared" si="24"/>
        <v>977.91817236580198</v>
      </c>
      <c r="M163" s="45">
        <f>1</f>
        <v>1</v>
      </c>
      <c r="N163" s="135">
        <f t="shared" si="25"/>
        <v>977.91817236580198</v>
      </c>
      <c r="P163" s="136">
        <f>Variables!$D$15</f>
        <v>10.755760368663594</v>
      </c>
      <c r="Q163" s="175">
        <f t="shared" si="26"/>
        <v>10518.253522128027</v>
      </c>
      <c r="R163" s="172">
        <f>Variables!$D$14</f>
        <v>5.2703140174813869</v>
      </c>
      <c r="S163" s="175">
        <f t="shared" si="27"/>
        <v>4650.8680543226374</v>
      </c>
      <c r="T163" s="217">
        <f>Variables!$D$18</f>
        <v>5.032</v>
      </c>
      <c r="U163" s="177">
        <f t="shared" si="28"/>
        <v>4920.8842433447153</v>
      </c>
    </row>
    <row r="164" spans="1:21" ht="15.75" customHeight="1" x14ac:dyDescent="0.35">
      <c r="A164" s="11">
        <v>1</v>
      </c>
      <c r="B164" s="12" t="s">
        <v>23</v>
      </c>
      <c r="C164" s="13">
        <v>2027</v>
      </c>
      <c r="D164" s="16">
        <f>Population!L2</f>
        <v>771428.92234942643</v>
      </c>
      <c r="E164" s="98">
        <f t="shared" si="29"/>
        <v>4.17</v>
      </c>
      <c r="F164" s="16">
        <f t="shared" si="21"/>
        <v>184994.94540753632</v>
      </c>
      <c r="G164" s="16" t="str">
        <f t="shared" si="22"/>
        <v>Medium</v>
      </c>
      <c r="H164" s="17"/>
      <c r="I164" s="121">
        <f>Variables!$B$3*POWER(SUM(1,Variables!$B$2/100),C164-2017)</f>
        <v>47716.818518861081</v>
      </c>
      <c r="J164" s="42">
        <f t="shared" si="23"/>
        <v>562.78627108563296</v>
      </c>
      <c r="K164" s="43">
        <f>VLOOKUP(A164,'Waste per capita'!$A$2:$F$21,6,FALSE)*(J164/J144)</f>
        <v>341.42402217669542</v>
      </c>
      <c r="L164" s="219">
        <f t="shared" si="24"/>
        <v>263384.36549197481</v>
      </c>
      <c r="M164" s="45">
        <f>1</f>
        <v>1</v>
      </c>
      <c r="N164" s="135">
        <f t="shared" si="25"/>
        <v>263384.36549197481</v>
      </c>
      <c r="P164" s="136">
        <f>Variables!$D$15</f>
        <v>10.755760368663594</v>
      </c>
      <c r="Q164" s="175">
        <f t="shared" si="26"/>
        <v>2832899.1200841898</v>
      </c>
      <c r="R164" s="172">
        <f>Variables!$D$14</f>
        <v>5.2703140174813869</v>
      </c>
      <c r="S164" s="175">
        <f t="shared" si="27"/>
        <v>974981.45394454256</v>
      </c>
      <c r="T164" s="217">
        <f>Variables!$D$18</f>
        <v>5.032</v>
      </c>
      <c r="U164" s="177">
        <f t="shared" si="28"/>
        <v>1325350.1271556173</v>
      </c>
    </row>
    <row r="165" spans="1:21" ht="15.75" customHeight="1" x14ac:dyDescent="0.35">
      <c r="A165" s="11">
        <v>2</v>
      </c>
      <c r="B165" s="12" t="s">
        <v>26</v>
      </c>
      <c r="C165" s="13">
        <v>2027</v>
      </c>
      <c r="D165" s="16">
        <f>Population!L3</f>
        <v>534541.62822686974</v>
      </c>
      <c r="E165" s="98">
        <f t="shared" si="29"/>
        <v>4.29</v>
      </c>
      <c r="F165" s="16">
        <f t="shared" si="21"/>
        <v>124601.77814146147</v>
      </c>
      <c r="G165" s="16" t="str">
        <f t="shared" si="22"/>
        <v>Medium</v>
      </c>
      <c r="H165" s="17"/>
      <c r="I165" s="121">
        <f>Variables!$B$3*POWER(SUM(1,Variables!$B$2/100),C165-2017)</f>
        <v>47716.818518861081</v>
      </c>
      <c r="J165" s="42">
        <f t="shared" si="23"/>
        <v>562.78627108563296</v>
      </c>
      <c r="K165" s="43">
        <f>VLOOKUP(A165,'Waste per capita'!$A$2:$F$21,6,FALSE)*(J165/J145)</f>
        <v>341.42402217669542</v>
      </c>
      <c r="L165" s="219">
        <f t="shared" si="24"/>
        <v>182505.35273009766</v>
      </c>
      <c r="M165" s="45">
        <f>1</f>
        <v>1</v>
      </c>
      <c r="N165" s="135">
        <f t="shared" si="25"/>
        <v>182505.35273009766</v>
      </c>
      <c r="P165" s="136">
        <f>Variables!$D$15</f>
        <v>10.755760368663594</v>
      </c>
      <c r="Q165" s="175">
        <f t="shared" si="26"/>
        <v>1962983.8399633544</v>
      </c>
      <c r="R165" s="172">
        <f>Variables!$D$14</f>
        <v>5.2703140174813869</v>
      </c>
      <c r="S165" s="175">
        <f t="shared" si="27"/>
        <v>656690.49794205034</v>
      </c>
      <c r="T165" s="217">
        <f>Variables!$D$18</f>
        <v>5.032</v>
      </c>
      <c r="U165" s="177">
        <f t="shared" si="28"/>
        <v>918366.93493785139</v>
      </c>
    </row>
    <row r="166" spans="1:21" ht="15.75" customHeight="1" x14ac:dyDescent="0.35">
      <c r="A166" s="11">
        <v>3</v>
      </c>
      <c r="B166" s="12" t="s">
        <v>28</v>
      </c>
      <c r="C166" s="13">
        <v>2027</v>
      </c>
      <c r="D166" s="16">
        <f>Population!L4</f>
        <v>382790.14839458436</v>
      </c>
      <c r="E166" s="98">
        <f t="shared" si="29"/>
        <v>4.8600000000000003</v>
      </c>
      <c r="F166" s="16">
        <f t="shared" si="21"/>
        <v>78763.405019461803</v>
      </c>
      <c r="G166" s="16" t="str">
        <f t="shared" si="22"/>
        <v>Medium</v>
      </c>
      <c r="H166" s="17"/>
      <c r="I166" s="121">
        <f>Variables!$B$3*POWER(SUM(1,Variables!$B$2/100),C166-2017)</f>
        <v>47716.818518861081</v>
      </c>
      <c r="J166" s="42">
        <f t="shared" si="23"/>
        <v>562.78627108563296</v>
      </c>
      <c r="K166" s="43">
        <f>VLOOKUP(A166,'Waste per capita'!$A$2:$F$21,6,FALSE)*(J166/J146)</f>
        <v>296.92220933775229</v>
      </c>
      <c r="L166" s="219">
        <f t="shared" si="24"/>
        <v>113658.89657404604</v>
      </c>
      <c r="M166" s="45">
        <f>1</f>
        <v>1</v>
      </c>
      <c r="N166" s="135">
        <f t="shared" si="25"/>
        <v>113658.89657404604</v>
      </c>
      <c r="P166" s="136">
        <f>Variables!$D$15</f>
        <v>10.755760368663594</v>
      </c>
      <c r="Q166" s="175">
        <f t="shared" si="26"/>
        <v>1222487.8553171589</v>
      </c>
      <c r="R166" s="172">
        <f>Variables!$D$14</f>
        <v>5.2703140174813869</v>
      </c>
      <c r="S166" s="175">
        <f t="shared" si="27"/>
        <v>415107.87753863336</v>
      </c>
      <c r="T166" s="217">
        <f>Variables!$D$18</f>
        <v>5.032</v>
      </c>
      <c r="U166" s="177">
        <f t="shared" si="28"/>
        <v>571931.56756059965</v>
      </c>
    </row>
    <row r="167" spans="1:21" ht="15.75" customHeight="1" x14ac:dyDescent="0.35">
      <c r="A167" s="11">
        <v>4</v>
      </c>
      <c r="B167" s="12" t="s">
        <v>30</v>
      </c>
      <c r="C167" s="13">
        <v>2027</v>
      </c>
      <c r="D167" s="16">
        <f>Population!L5</f>
        <v>725668.06673120742</v>
      </c>
      <c r="E167" s="98">
        <f t="shared" si="29"/>
        <v>4.05</v>
      </c>
      <c r="F167" s="16">
        <f t="shared" si="21"/>
        <v>179177.30042745863</v>
      </c>
      <c r="G167" s="16" t="str">
        <f t="shared" si="22"/>
        <v>Medium</v>
      </c>
      <c r="H167" s="17"/>
      <c r="I167" s="121">
        <f>Variables!$B$3*POWER(SUM(1,Variables!$B$2/100),C167-2017)</f>
        <v>47716.818518861081</v>
      </c>
      <c r="J167" s="42">
        <f t="shared" si="23"/>
        <v>562.78627108563296</v>
      </c>
      <c r="K167" s="43">
        <f>VLOOKUP(A167,'Waste per capita'!$A$2:$F$21,6,FALSE)*(J167/J147)</f>
        <v>279.35818954889987</v>
      </c>
      <c r="L167" s="219">
        <f t="shared" si="24"/>
        <v>202721.31733548036</v>
      </c>
      <c r="M167" s="45">
        <f>1</f>
        <v>1</v>
      </c>
      <c r="N167" s="135">
        <f t="shared" si="25"/>
        <v>202721.31733548036</v>
      </c>
      <c r="P167" s="136">
        <f>Variables!$D$15</f>
        <v>10.755760368663594</v>
      </c>
      <c r="Q167" s="175">
        <f t="shared" si="26"/>
        <v>2180421.9108802355</v>
      </c>
      <c r="R167" s="172">
        <f>Variables!$D$14</f>
        <v>5.2703140174813869</v>
      </c>
      <c r="S167" s="175">
        <f t="shared" si="27"/>
        <v>944320.63805730885</v>
      </c>
      <c r="T167" s="217">
        <f>Variables!$D$18</f>
        <v>5.032</v>
      </c>
      <c r="U167" s="177">
        <f t="shared" si="28"/>
        <v>1020093.6688321371</v>
      </c>
    </row>
    <row r="168" spans="1:21" ht="15.75" customHeight="1" x14ac:dyDescent="0.35">
      <c r="A168" s="11">
        <v>5</v>
      </c>
      <c r="B168" s="12" t="s">
        <v>31</v>
      </c>
      <c r="C168" s="13">
        <v>2027</v>
      </c>
      <c r="D168" s="16">
        <f>Population!L6</f>
        <v>462363.18346083368</v>
      </c>
      <c r="E168" s="98">
        <f t="shared" si="29"/>
        <v>4.2</v>
      </c>
      <c r="F168" s="16">
        <f t="shared" si="21"/>
        <v>110086.47225257945</v>
      </c>
      <c r="G168" s="16" t="str">
        <f t="shared" si="22"/>
        <v>Medium</v>
      </c>
      <c r="H168" s="17"/>
      <c r="I168" s="121">
        <f>Variables!$B$3*POWER(SUM(1,Variables!$B$2/100),C168-2017)</f>
        <v>47716.818518861081</v>
      </c>
      <c r="J168" s="42">
        <f t="shared" si="23"/>
        <v>562.78627108563296</v>
      </c>
      <c r="K168" s="43">
        <f>VLOOKUP(A168,'Waste per capita'!$A$2:$F$21,6,FALSE)*(J168/J148)</f>
        <v>341.42402217669542</v>
      </c>
      <c r="L168" s="219">
        <f t="shared" si="24"/>
        <v>157861.89780361918</v>
      </c>
      <c r="M168" s="45">
        <f>1</f>
        <v>1</v>
      </c>
      <c r="N168" s="135">
        <f t="shared" si="25"/>
        <v>157861.89780361918</v>
      </c>
      <c r="P168" s="136">
        <f>Variables!$D$15</f>
        <v>10.755760368663594</v>
      </c>
      <c r="Q168" s="175">
        <f t="shared" si="26"/>
        <v>1697924.7441181897</v>
      </c>
      <c r="R168" s="172">
        <f>Variables!$D$14</f>
        <v>5.2703140174813869</v>
      </c>
      <c r="S168" s="175">
        <f t="shared" si="27"/>
        <v>580190.27784784522</v>
      </c>
      <c r="T168" s="217">
        <f>Variables!$D$18</f>
        <v>5.032</v>
      </c>
      <c r="U168" s="177">
        <f t="shared" si="28"/>
        <v>794361.06974781177</v>
      </c>
    </row>
    <row r="169" spans="1:21" ht="15.75" customHeight="1" x14ac:dyDescent="0.35">
      <c r="A169" s="11">
        <v>6</v>
      </c>
      <c r="B169" s="12" t="s">
        <v>32</v>
      </c>
      <c r="C169" s="13">
        <v>2027</v>
      </c>
      <c r="D169" s="16">
        <f>Population!L7</f>
        <v>526644.18782730994</v>
      </c>
      <c r="E169" s="98">
        <f t="shared" si="29"/>
        <v>4.59</v>
      </c>
      <c r="F169" s="16">
        <f t="shared" si="21"/>
        <v>114737.29582294334</v>
      </c>
      <c r="G169" s="16" t="str">
        <f t="shared" si="22"/>
        <v>Medium</v>
      </c>
      <c r="H169" s="17"/>
      <c r="I169" s="121">
        <f>Variables!$B$3*POWER(SUM(1,Variables!$B$2/100),C169-2017)</f>
        <v>47716.818518861081</v>
      </c>
      <c r="J169" s="42">
        <f t="shared" si="23"/>
        <v>562.78627108563296</v>
      </c>
      <c r="K169" s="43">
        <f>VLOOKUP(A169,'Waste per capita'!$A$2:$F$21,6,FALSE)*(J169/J149)</f>
        <v>302.63225182501679</v>
      </c>
      <c r="L169" s="219">
        <f t="shared" si="24"/>
        <v>159379.51647273591</v>
      </c>
      <c r="M169" s="45">
        <f>1</f>
        <v>1</v>
      </c>
      <c r="N169" s="135">
        <f t="shared" si="25"/>
        <v>159379.51647273591</v>
      </c>
      <c r="P169" s="136">
        <f>Variables!$D$15</f>
        <v>10.755760368663594</v>
      </c>
      <c r="Q169" s="175">
        <f t="shared" si="26"/>
        <v>1714247.8868542195</v>
      </c>
      <c r="R169" s="172">
        <f>Variables!$D$14</f>
        <v>5.2703140174813869</v>
      </c>
      <c r="S169" s="175">
        <f t="shared" si="27"/>
        <v>604701.57850356691</v>
      </c>
      <c r="T169" s="217">
        <f>Variables!$D$18</f>
        <v>5.032</v>
      </c>
      <c r="U169" s="177">
        <f t="shared" si="28"/>
        <v>801997.72689080704</v>
      </c>
    </row>
    <row r="170" spans="1:21" ht="15.75" customHeight="1" x14ac:dyDescent="0.35">
      <c r="A170" s="11">
        <v>7</v>
      </c>
      <c r="B170" s="12" t="s">
        <v>33</v>
      </c>
      <c r="C170" s="13">
        <v>2027</v>
      </c>
      <c r="D170" s="16">
        <f>Population!L8</f>
        <v>296768.36011974997</v>
      </c>
      <c r="E170" s="98">
        <f t="shared" si="29"/>
        <v>3.94</v>
      </c>
      <c r="F170" s="16">
        <f t="shared" si="21"/>
        <v>75321.918812119286</v>
      </c>
      <c r="G170" s="16" t="str">
        <f t="shared" si="22"/>
        <v>Medium</v>
      </c>
      <c r="H170" s="17"/>
      <c r="I170" s="121">
        <f>Variables!$B$3*POWER(SUM(1,Variables!$B$2/100),C170-2017)</f>
        <v>47716.818518861081</v>
      </c>
      <c r="J170" s="42">
        <f t="shared" si="23"/>
        <v>562.78627108563296</v>
      </c>
      <c r="K170" s="43">
        <f>VLOOKUP(A170,'Waste per capita'!$A$2:$F$21,6,FALSE)*(J170/J150)</f>
        <v>416.8331015703061</v>
      </c>
      <c r="L170" s="219">
        <f t="shared" si="24"/>
        <v>123702.87599664892</v>
      </c>
      <c r="M170" s="45">
        <f>1</f>
        <v>1</v>
      </c>
      <c r="N170" s="135">
        <f t="shared" si="25"/>
        <v>123702.87599664892</v>
      </c>
      <c r="P170" s="136">
        <f>Variables!$D$15</f>
        <v>10.755760368663594</v>
      </c>
      <c r="Q170" s="175">
        <f t="shared" si="26"/>
        <v>1330518.4911344633</v>
      </c>
      <c r="R170" s="172">
        <f>Variables!$D$14</f>
        <v>5.2703140174813869</v>
      </c>
      <c r="S170" s="175">
        <f t="shared" si="27"/>
        <v>396970.16453910724</v>
      </c>
      <c r="T170" s="217">
        <f>Variables!$D$18</f>
        <v>5.032</v>
      </c>
      <c r="U170" s="177">
        <f t="shared" si="28"/>
        <v>622472.87201513734</v>
      </c>
    </row>
    <row r="171" spans="1:21" ht="15.75" customHeight="1" x14ac:dyDescent="0.35">
      <c r="A171" s="11">
        <v>8</v>
      </c>
      <c r="B171" s="11" t="s">
        <v>36</v>
      </c>
      <c r="C171" s="13">
        <v>2027</v>
      </c>
      <c r="D171" s="16">
        <f>Population!L9</f>
        <v>984586.48083138792</v>
      </c>
      <c r="E171" s="98">
        <f t="shared" si="29"/>
        <v>4.04</v>
      </c>
      <c r="F171" s="16">
        <f t="shared" si="21"/>
        <v>243709.52495826434</v>
      </c>
      <c r="G171" s="16" t="str">
        <f t="shared" si="22"/>
        <v>Medium</v>
      </c>
      <c r="H171" s="17"/>
      <c r="I171" s="121">
        <f>Variables!$B$3*POWER(SUM(1,Variables!$B$2/100),C171-2017)</f>
        <v>47716.818518861081</v>
      </c>
      <c r="J171" s="42">
        <f t="shared" si="23"/>
        <v>562.78627108563296</v>
      </c>
      <c r="K171" s="43">
        <f>VLOOKUP(A171,'Waste per capita'!$A$2:$F$21,6,FALSE)*(J171/J151)</f>
        <v>308.34229431228124</v>
      </c>
      <c r="L171" s="219">
        <f t="shared" si="24"/>
        <v>303589.65444840508</v>
      </c>
      <c r="M171" s="45">
        <f>1</f>
        <v>1</v>
      </c>
      <c r="N171" s="135">
        <f t="shared" si="25"/>
        <v>303589.65444840508</v>
      </c>
      <c r="P171" s="136">
        <f>Variables!$D$15</f>
        <v>10.755760368663594</v>
      </c>
      <c r="Q171" s="175">
        <f t="shared" si="26"/>
        <v>3265337.5736524304</v>
      </c>
      <c r="R171" s="172">
        <f>Variables!$D$14</f>
        <v>5.2703140174813869</v>
      </c>
      <c r="S171" s="175">
        <f t="shared" si="27"/>
        <v>1284425.7255812704</v>
      </c>
      <c r="T171" s="217">
        <f>Variables!$D$18</f>
        <v>5.032</v>
      </c>
      <c r="U171" s="177">
        <f t="shared" si="28"/>
        <v>1527663.1411843745</v>
      </c>
    </row>
    <row r="172" spans="1:21" ht="15.75" customHeight="1" x14ac:dyDescent="0.35">
      <c r="A172" s="11">
        <v>9</v>
      </c>
      <c r="B172" s="12" t="s">
        <v>38</v>
      </c>
      <c r="C172" s="13">
        <v>2027</v>
      </c>
      <c r="D172" s="16">
        <f>Population!L10</f>
        <v>17291.45847574656</v>
      </c>
      <c r="E172" s="98">
        <f t="shared" si="29"/>
        <v>4.26</v>
      </c>
      <c r="F172" s="16">
        <f t="shared" si="21"/>
        <v>4059.0278112081128</v>
      </c>
      <c r="G172" s="16" t="str">
        <f t="shared" si="22"/>
        <v>Small</v>
      </c>
      <c r="H172" s="17"/>
      <c r="I172" s="121">
        <f>Variables!$B$3*POWER(SUM(1,Variables!$B$2/100),C172-2017)</f>
        <v>47716.818518861081</v>
      </c>
      <c r="J172" s="42">
        <f t="shared" si="23"/>
        <v>562.78627108563296</v>
      </c>
      <c r="K172" s="43">
        <f>VLOOKUP(A172,'Waste per capita'!$A$2:$F$21,6,FALSE)*(J172/J152)</f>
        <v>281.22720278282674</v>
      </c>
      <c r="L172" s="219">
        <f t="shared" si="24"/>
        <v>4862.8284991696055</v>
      </c>
      <c r="M172" s="45">
        <f>1</f>
        <v>1</v>
      </c>
      <c r="N172" s="135">
        <f t="shared" si="25"/>
        <v>4862.8284991696055</v>
      </c>
      <c r="P172" s="136">
        <f>Variables!$D$15</f>
        <v>10.755760368663594</v>
      </c>
      <c r="Q172" s="175">
        <f t="shared" si="26"/>
        <v>52303.41805097631</v>
      </c>
      <c r="R172" s="172">
        <f>Variables!$D$14</f>
        <v>5.2703140174813869</v>
      </c>
      <c r="S172" s="175">
        <f t="shared" si="27"/>
        <v>21392.351170756909</v>
      </c>
      <c r="T172" s="217">
        <f>Variables!$D$18</f>
        <v>5.032</v>
      </c>
      <c r="U172" s="177">
        <f t="shared" si="28"/>
        <v>24469.753007821455</v>
      </c>
    </row>
    <row r="173" spans="1:21" ht="15.75" customHeight="1" x14ac:dyDescent="0.35">
      <c r="A173" s="11">
        <v>10</v>
      </c>
      <c r="B173" s="12" t="s">
        <v>40</v>
      </c>
      <c r="C173" s="13">
        <v>2027</v>
      </c>
      <c r="D173" s="16">
        <f>Population!L11</f>
        <v>676539.91134057799</v>
      </c>
      <c r="E173" s="98">
        <f t="shared" si="29"/>
        <v>5.88</v>
      </c>
      <c r="F173" s="16">
        <f t="shared" si="21"/>
        <v>115057.80805111871</v>
      </c>
      <c r="G173" s="16" t="str">
        <f t="shared" si="22"/>
        <v>Medium</v>
      </c>
      <c r="H173" s="17"/>
      <c r="I173" s="121">
        <f>Variables!$B$3*POWER(SUM(1,Variables!$B$2/100),C173-2017)</f>
        <v>47716.818518861081</v>
      </c>
      <c r="J173" s="42">
        <f t="shared" si="23"/>
        <v>562.78627108563296</v>
      </c>
      <c r="K173" s="43">
        <f>VLOOKUP(A173,'Waste per capita'!$A$2:$F$21,6,FALSE)*(J173/J153)</f>
        <v>341.42402217669542</v>
      </c>
      <c r="L173" s="219">
        <f t="shared" si="24"/>
        <v>230986.97769296507</v>
      </c>
      <c r="M173" s="45">
        <f>1</f>
        <v>1</v>
      </c>
      <c r="N173" s="135">
        <f t="shared" si="25"/>
        <v>230986.97769296507</v>
      </c>
      <c r="P173" s="136">
        <f>Variables!$D$15</f>
        <v>10.755760368663594</v>
      </c>
      <c r="Q173" s="175">
        <f t="shared" si="26"/>
        <v>2484440.5803473755</v>
      </c>
      <c r="R173" s="172">
        <f>Variables!$D$14</f>
        <v>5.2703140174813869</v>
      </c>
      <c r="S173" s="175">
        <f t="shared" si="27"/>
        <v>606390.77859249373</v>
      </c>
      <c r="T173" s="217">
        <f>Variables!$D$18</f>
        <v>5.032</v>
      </c>
      <c r="U173" s="177">
        <f t="shared" si="28"/>
        <v>1162326.4717510003</v>
      </c>
    </row>
    <row r="174" spans="1:21" ht="15.75" customHeight="1" x14ac:dyDescent="0.35">
      <c r="A174" s="11">
        <v>11</v>
      </c>
      <c r="B174" s="12" t="s">
        <v>42</v>
      </c>
      <c r="C174" s="13">
        <v>2027</v>
      </c>
      <c r="D174" s="16">
        <f>Population!L12</f>
        <v>895876.83904933173</v>
      </c>
      <c r="E174" s="98">
        <f t="shared" si="29"/>
        <v>4.47</v>
      </c>
      <c r="F174" s="16">
        <f t="shared" si="21"/>
        <v>200419.87450768048</v>
      </c>
      <c r="G174" s="16" t="str">
        <f t="shared" si="22"/>
        <v>Medium</v>
      </c>
      <c r="H174" s="17"/>
      <c r="I174" s="121">
        <f>Variables!$B$3*POWER(SUM(1,Variables!$B$2/100),C174-2017)</f>
        <v>47716.818518861081</v>
      </c>
      <c r="J174" s="42">
        <f t="shared" si="23"/>
        <v>562.78627108563296</v>
      </c>
      <c r="K174" s="43">
        <f>VLOOKUP(A174,'Waste per capita'!$A$2:$F$21,6,FALSE)*(J174/J154)</f>
        <v>442.58707323198962</v>
      </c>
      <c r="L174" s="219">
        <f t="shared" si="24"/>
        <v>396503.50817116996</v>
      </c>
      <c r="M174" s="45">
        <f>1</f>
        <v>1</v>
      </c>
      <c r="N174" s="135">
        <f t="shared" si="25"/>
        <v>396503.50817116996</v>
      </c>
      <c r="P174" s="136">
        <f>Variables!$D$15</f>
        <v>10.755760368663594</v>
      </c>
      <c r="Q174" s="175">
        <f t="shared" si="26"/>
        <v>4264696.7192235515</v>
      </c>
      <c r="R174" s="172">
        <f>Variables!$D$14</f>
        <v>5.2703140174813869</v>
      </c>
      <c r="S174" s="175">
        <f t="shared" si="27"/>
        <v>1056275.6739996888</v>
      </c>
      <c r="T174" s="217">
        <f>Variables!$D$18</f>
        <v>5.032</v>
      </c>
      <c r="U174" s="177">
        <f t="shared" si="28"/>
        <v>1995205.6531173273</v>
      </c>
    </row>
    <row r="175" spans="1:21" ht="15.75" customHeight="1" x14ac:dyDescent="0.35">
      <c r="A175" s="11">
        <v>12</v>
      </c>
      <c r="B175" s="12" t="s">
        <v>44</v>
      </c>
      <c r="C175" s="13">
        <v>2027</v>
      </c>
      <c r="D175" s="16">
        <f>Population!L13</f>
        <v>663316.15098990325</v>
      </c>
      <c r="E175" s="98">
        <f t="shared" si="29"/>
        <v>3.93</v>
      </c>
      <c r="F175" s="16">
        <f t="shared" si="21"/>
        <v>168782.73562084051</v>
      </c>
      <c r="G175" s="16" t="str">
        <f t="shared" si="22"/>
        <v>Medium</v>
      </c>
      <c r="H175" s="17"/>
      <c r="I175" s="121">
        <f>Variables!$B$3*POWER(SUM(1,Variables!$B$2/100),C175-2017)</f>
        <v>47716.818518861081</v>
      </c>
      <c r="J175" s="42">
        <f t="shared" si="23"/>
        <v>562.78627108563296</v>
      </c>
      <c r="K175" s="43">
        <f>VLOOKUP(A175,'Waste per capita'!$A$2:$F$21,6,FALSE)*(J175/J155)</f>
        <v>281.22720278282674</v>
      </c>
      <c r="L175" s="219">
        <f t="shared" si="24"/>
        <v>186542.54570356163</v>
      </c>
      <c r="M175" s="45">
        <f>1</f>
        <v>1</v>
      </c>
      <c r="N175" s="135">
        <f t="shared" si="25"/>
        <v>186542.54570356163</v>
      </c>
      <c r="P175" s="136">
        <f>Variables!$D$15</f>
        <v>10.755760368663594</v>
      </c>
      <c r="Q175" s="175">
        <f t="shared" si="26"/>
        <v>2006406.9201479855</v>
      </c>
      <c r="R175" s="172">
        <f>Variables!$D$14</f>
        <v>5.2703140174813869</v>
      </c>
      <c r="S175" s="175">
        <f t="shared" si="27"/>
        <v>889538.01745137072</v>
      </c>
      <c r="T175" s="217">
        <f>Variables!$D$18</f>
        <v>5.032</v>
      </c>
      <c r="U175" s="177">
        <f t="shared" si="28"/>
        <v>938682.08998032217</v>
      </c>
    </row>
    <row r="176" spans="1:21" ht="15.75" customHeight="1" x14ac:dyDescent="0.35">
      <c r="A176" s="11">
        <v>13</v>
      </c>
      <c r="B176" s="12" t="s">
        <v>45</v>
      </c>
      <c r="C176" s="13">
        <v>2027</v>
      </c>
      <c r="D176" s="16">
        <f>Population!L14</f>
        <v>505174.28447842121</v>
      </c>
      <c r="E176" s="98">
        <f t="shared" si="29"/>
        <v>4.78</v>
      </c>
      <c r="F176" s="16">
        <f t="shared" si="21"/>
        <v>105684.99675280778</v>
      </c>
      <c r="G176" s="16" t="str">
        <f t="shared" si="22"/>
        <v>Medium</v>
      </c>
      <c r="H176" s="17"/>
      <c r="I176" s="121">
        <f>Variables!$B$3*POWER(SUM(1,Variables!$B$2/100),C176-2017)</f>
        <v>47716.818518861081</v>
      </c>
      <c r="J176" s="42">
        <f t="shared" si="23"/>
        <v>562.78627108563296</v>
      </c>
      <c r="K176" s="43">
        <f>VLOOKUP(A176,'Waste per capita'!$A$2:$F$21,6,FALSE)*(J176/J156)</f>
        <v>341.42402217669542</v>
      </c>
      <c r="L176" s="219">
        <f t="shared" si="24"/>
        <v>172478.63610685672</v>
      </c>
      <c r="M176" s="45">
        <f>1</f>
        <v>1</v>
      </c>
      <c r="N176" s="135">
        <f t="shared" si="25"/>
        <v>172478.63610685672</v>
      </c>
      <c r="P176" s="136">
        <f>Variables!$D$15</f>
        <v>10.755760368663594</v>
      </c>
      <c r="Q176" s="175">
        <f t="shared" si="26"/>
        <v>1855138.8786792792</v>
      </c>
      <c r="R176" s="172">
        <f>Variables!$D$14</f>
        <v>5.2703140174813869</v>
      </c>
      <c r="S176" s="175">
        <f t="shared" si="27"/>
        <v>556993.11982379772</v>
      </c>
      <c r="T176" s="217">
        <f>Variables!$D$18</f>
        <v>5.032</v>
      </c>
      <c r="U176" s="177">
        <f t="shared" si="28"/>
        <v>867912.49688970298</v>
      </c>
    </row>
    <row r="177" spans="1:21" ht="15.75" customHeight="1" x14ac:dyDescent="0.35">
      <c r="A177" s="11">
        <v>14</v>
      </c>
      <c r="B177" s="12" t="s">
        <v>46</v>
      </c>
      <c r="C177" s="13">
        <v>2027</v>
      </c>
      <c r="D177" s="16">
        <f>Population!L15</f>
        <v>2377687.7837408991</v>
      </c>
      <c r="E177" s="98">
        <f t="shared" si="29"/>
        <v>3.72</v>
      </c>
      <c r="F177" s="16">
        <f t="shared" si="21"/>
        <v>639163.38272604812</v>
      </c>
      <c r="G177" s="16" t="str">
        <f t="shared" si="22"/>
        <v>Large</v>
      </c>
      <c r="H177" s="17"/>
      <c r="I177" s="121">
        <f>Variables!$B$3*POWER(SUM(1,Variables!$B$2/100),C177-2017)</f>
        <v>47716.818518861081</v>
      </c>
      <c r="J177" s="42">
        <f t="shared" si="23"/>
        <v>562.78627108563296</v>
      </c>
      <c r="K177" s="43">
        <f>VLOOKUP(A177,'Waste per capita'!$A$2:$F$21,6,FALSE)*(J177/J157)</f>
        <v>736.59548085711629</v>
      </c>
      <c r="L177" s="219">
        <f t="shared" si="24"/>
        <v>1751394.0763927186</v>
      </c>
      <c r="M177" s="45">
        <f>1</f>
        <v>1</v>
      </c>
      <c r="N177" s="135">
        <f t="shared" si="25"/>
        <v>1751394.0763927186</v>
      </c>
      <c r="P177" s="136">
        <f>Variables!$D$15</f>
        <v>10.755760368663594</v>
      </c>
      <c r="Q177" s="175">
        <f t="shared" si="26"/>
        <v>18837574.996776983</v>
      </c>
      <c r="R177" s="172">
        <f>Variables!$D$14</f>
        <v>5.2703140174813869</v>
      </c>
      <c r="S177" s="175">
        <f t="shared" si="27"/>
        <v>3368591.735441912</v>
      </c>
      <c r="T177" s="217">
        <f>Variables!$D$18</f>
        <v>5.032</v>
      </c>
      <c r="U177" s="177">
        <f t="shared" si="28"/>
        <v>8813014.9924081601</v>
      </c>
    </row>
    <row r="178" spans="1:21" ht="15.75" customHeight="1" x14ac:dyDescent="0.35">
      <c r="A178" s="11">
        <v>15</v>
      </c>
      <c r="B178" s="12" t="s">
        <v>47</v>
      </c>
      <c r="C178" s="13">
        <v>2027</v>
      </c>
      <c r="D178" s="16">
        <f>Population!L16</f>
        <v>102853.7974038565</v>
      </c>
      <c r="E178" s="98">
        <f t="shared" si="29"/>
        <v>4.72</v>
      </c>
      <c r="F178" s="16">
        <f t="shared" si="21"/>
        <v>21791.058772003496</v>
      </c>
      <c r="G178" s="16" t="str">
        <f t="shared" si="22"/>
        <v>Medium</v>
      </c>
      <c r="H178" s="17"/>
      <c r="I178" s="121">
        <f>Variables!$B$3*POWER(SUM(1,Variables!$B$2/100),C178-2017)</f>
        <v>47716.818518861081</v>
      </c>
      <c r="J178" s="42">
        <f t="shared" si="23"/>
        <v>562.78627108563296</v>
      </c>
      <c r="K178" s="43">
        <f>VLOOKUP(A178,'Waste per capita'!$A$2:$F$21,6,FALSE)*(J178/J158)</f>
        <v>281.22720278282674</v>
      </c>
      <c r="L178" s="219">
        <f t="shared" si="24"/>
        <v>28925.285739478131</v>
      </c>
      <c r="M178" s="45">
        <f>1</f>
        <v>1</v>
      </c>
      <c r="N178" s="135">
        <f t="shared" si="25"/>
        <v>28925.285739478131</v>
      </c>
      <c r="P178" s="136">
        <f>Variables!$D$15</f>
        <v>10.755760368663594</v>
      </c>
      <c r="Q178" s="175">
        <f t="shared" si="26"/>
        <v>311113.44200894912</v>
      </c>
      <c r="R178" s="172">
        <f>Variables!$D$14</f>
        <v>5.2703140174813869</v>
      </c>
      <c r="S178" s="175">
        <f t="shared" si="27"/>
        <v>114845.72250185076</v>
      </c>
      <c r="T178" s="217">
        <f>Variables!$D$18</f>
        <v>5.032</v>
      </c>
      <c r="U178" s="177">
        <f t="shared" si="28"/>
        <v>145552.03784105397</v>
      </c>
    </row>
    <row r="179" spans="1:21" ht="15.75" customHeight="1" x14ac:dyDescent="0.35">
      <c r="A179" s="11">
        <v>16</v>
      </c>
      <c r="B179" s="12" t="s">
        <v>48</v>
      </c>
      <c r="C179" s="13">
        <v>2027</v>
      </c>
      <c r="D179" s="16">
        <f>Population!L17</f>
        <v>102307.5465518877</v>
      </c>
      <c r="E179" s="98">
        <f t="shared" si="29"/>
        <v>3.45</v>
      </c>
      <c r="F179" s="16">
        <f t="shared" si="21"/>
        <v>29654.361319387739</v>
      </c>
      <c r="G179" s="16" t="str">
        <f t="shared" si="22"/>
        <v>Medium</v>
      </c>
      <c r="H179" s="17"/>
      <c r="I179" s="121">
        <f>Variables!$B$3*POWER(SUM(1,Variables!$B$2/100),C179-2017)</f>
        <v>47716.818518861081</v>
      </c>
      <c r="J179" s="42">
        <f t="shared" si="23"/>
        <v>562.78627108563296</v>
      </c>
      <c r="K179" s="43">
        <f>VLOOKUP(A179,'Waste per capita'!$A$2:$F$21,6,FALSE)*(J179/J159)</f>
        <v>281.22720278282674</v>
      </c>
      <c r="L179" s="219">
        <f t="shared" si="24"/>
        <v>28771.665140361209</v>
      </c>
      <c r="M179" s="45">
        <f>1</f>
        <v>1</v>
      </c>
      <c r="N179" s="135">
        <f t="shared" si="25"/>
        <v>28771.665140361209</v>
      </c>
      <c r="P179" s="136">
        <f>Variables!$D$15</f>
        <v>10.755760368663594</v>
      </c>
      <c r="Q179" s="175">
        <f t="shared" si="26"/>
        <v>309461.13565715693</v>
      </c>
      <c r="R179" s="172">
        <f>Variables!$D$14</f>
        <v>5.2703140174813869</v>
      </c>
      <c r="S179" s="175">
        <f t="shared" si="27"/>
        <v>156287.79614102704</v>
      </c>
      <c r="T179" s="217">
        <f>Variables!$D$18</f>
        <v>5.032</v>
      </c>
      <c r="U179" s="177">
        <f t="shared" si="28"/>
        <v>144779.0189862976</v>
      </c>
    </row>
    <row r="180" spans="1:21" ht="15.75" customHeight="1" x14ac:dyDescent="0.35">
      <c r="A180" s="11">
        <v>17</v>
      </c>
      <c r="B180" s="13" t="s">
        <v>49</v>
      </c>
      <c r="C180" s="13">
        <v>2027</v>
      </c>
      <c r="D180" s="16">
        <f>Population!L18</f>
        <v>25673.790042533514</v>
      </c>
      <c r="E180" s="98">
        <f t="shared" si="29"/>
        <v>4.78</v>
      </c>
      <c r="F180" s="16">
        <f t="shared" si="21"/>
        <v>5371.0857829568022</v>
      </c>
      <c r="G180" s="16" t="str">
        <f t="shared" si="22"/>
        <v>Small</v>
      </c>
      <c r="H180" s="17"/>
      <c r="I180" s="121">
        <f>Variables!$B$3*POWER(SUM(1,Variables!$B$2/100),C180-2017)</f>
        <v>47716.818518861081</v>
      </c>
      <c r="J180" s="42">
        <f t="shared" si="23"/>
        <v>562.78627108563296</v>
      </c>
      <c r="K180" s="43">
        <f>VLOOKUP(A180,'Waste per capita'!$A$2:$F$21,6,FALSE)*(J180/J160)</f>
        <v>281.22720278282674</v>
      </c>
      <c r="L180" s="219">
        <f t="shared" si="24"/>
        <v>7220.1681584952903</v>
      </c>
      <c r="M180" s="45">
        <f>1</f>
        <v>1</v>
      </c>
      <c r="N180" s="135">
        <f t="shared" si="25"/>
        <v>7220.1681584952903</v>
      </c>
      <c r="P180" s="136">
        <f>Variables!$D$15</f>
        <v>10.755760368663594</v>
      </c>
      <c r="Q180" s="175">
        <f t="shared" si="26"/>
        <v>77658.398534230451</v>
      </c>
      <c r="R180" s="172">
        <f>Variables!$D$14</f>
        <v>5.2703140174813869</v>
      </c>
      <c r="S180" s="175">
        <f t="shared" si="27"/>
        <v>28307.308691012226</v>
      </c>
      <c r="T180" s="217">
        <f>Variables!$D$18</f>
        <v>5.032</v>
      </c>
      <c r="U180" s="177">
        <f t="shared" si="28"/>
        <v>36331.886173548301</v>
      </c>
    </row>
    <row r="181" spans="1:21" ht="15.75" customHeight="1" x14ac:dyDescent="0.35">
      <c r="A181" s="11">
        <v>18</v>
      </c>
      <c r="B181" s="13" t="s">
        <v>51</v>
      </c>
      <c r="C181" s="13">
        <v>2027</v>
      </c>
      <c r="D181" s="16">
        <f>Population!L19</f>
        <v>2090.7190142477016</v>
      </c>
      <c r="E181" s="98">
        <f t="shared" si="29"/>
        <v>5.88</v>
      </c>
      <c r="F181" s="16">
        <f t="shared" si="21"/>
        <v>355.56445820539142</v>
      </c>
      <c r="G181" s="16" t="str">
        <f t="shared" si="22"/>
        <v>Small</v>
      </c>
      <c r="H181" s="17"/>
      <c r="I181" s="121">
        <f>Variables!$B$3*POWER(SUM(1,Variables!$B$2/100),C181-2017)</f>
        <v>47716.818518861081</v>
      </c>
      <c r="J181" s="42">
        <f t="shared" si="23"/>
        <v>562.78627108563296</v>
      </c>
      <c r="K181" s="43">
        <f>VLOOKUP(A181,'Waste per capita'!$A$2:$F$21,6,FALSE)*(J181/J161)</f>
        <v>281.22720278282674</v>
      </c>
      <c r="L181" s="219">
        <f t="shared" si="24"/>
        <v>587.96706018174996</v>
      </c>
      <c r="M181" s="45">
        <f>1</f>
        <v>1</v>
      </c>
      <c r="N181" s="135">
        <f t="shared" si="25"/>
        <v>587.96706018174996</v>
      </c>
      <c r="P181" s="136">
        <f>Variables!$D$15</f>
        <v>10.755760368663594</v>
      </c>
      <c r="Q181" s="175">
        <f t="shared" si="26"/>
        <v>6324.032803982509</v>
      </c>
      <c r="R181" s="172">
        <f>Variables!$D$14</f>
        <v>5.2703140174813869</v>
      </c>
      <c r="S181" s="175">
        <f t="shared" si="27"/>
        <v>1873.9363481980492</v>
      </c>
      <c r="T181" s="217">
        <f>Variables!$D$18</f>
        <v>5.032</v>
      </c>
      <c r="U181" s="177">
        <f t="shared" si="28"/>
        <v>2958.6502468345657</v>
      </c>
    </row>
    <row r="182" spans="1:21" ht="15.75" customHeight="1" x14ac:dyDescent="0.35">
      <c r="A182" s="11">
        <v>19</v>
      </c>
      <c r="B182" s="13" t="s">
        <v>52</v>
      </c>
      <c r="C182" s="13">
        <v>2027</v>
      </c>
      <c r="D182" s="16">
        <f>Population!L20</f>
        <v>30631.95188519825</v>
      </c>
      <c r="E182" s="98">
        <f t="shared" si="29"/>
        <v>3.93</v>
      </c>
      <c r="F182" s="16">
        <f t="shared" si="21"/>
        <v>7794.3897926713098</v>
      </c>
      <c r="G182" s="16" t="str">
        <f t="shared" si="22"/>
        <v>Small</v>
      </c>
      <c r="H182" s="17"/>
      <c r="I182" s="121">
        <f>Variables!$B$3*POWER(SUM(1,Variables!$B$2/100),C182-2017)</f>
        <v>47716.818518861081</v>
      </c>
      <c r="J182" s="42">
        <f t="shared" si="23"/>
        <v>562.78627108563296</v>
      </c>
      <c r="K182" s="43">
        <f>VLOOKUP(A182,'Waste per capita'!$A$2:$F$21,6,FALSE)*(J182/J162)</f>
        <v>281.22720278282674</v>
      </c>
      <c r="L182" s="219">
        <f t="shared" si="24"/>
        <v>8614.5381444524392</v>
      </c>
      <c r="M182" s="45">
        <f>1</f>
        <v>1</v>
      </c>
      <c r="N182" s="135">
        <f t="shared" si="25"/>
        <v>8614.5381444524392</v>
      </c>
      <c r="P182" s="136">
        <f>Variables!$D$15</f>
        <v>10.755760368663594</v>
      </c>
      <c r="Q182" s="175">
        <f t="shared" si="26"/>
        <v>92655.907968442363</v>
      </c>
      <c r="R182" s="172">
        <f>Variables!$D$14</f>
        <v>5.2703140174813869</v>
      </c>
      <c r="S182" s="175">
        <f t="shared" si="27"/>
        <v>41078.881782029443</v>
      </c>
      <c r="T182" s="217">
        <f>Variables!$D$18</f>
        <v>5.032</v>
      </c>
      <c r="U182" s="177">
        <f t="shared" si="28"/>
        <v>43348.355942884671</v>
      </c>
    </row>
    <row r="183" spans="1:21" ht="15.75" customHeight="1" x14ac:dyDescent="0.35">
      <c r="A183" s="11">
        <v>20</v>
      </c>
      <c r="B183" s="13" t="s">
        <v>53</v>
      </c>
      <c r="C183" s="13">
        <v>2027</v>
      </c>
      <c r="D183" s="16">
        <f>Population!L21</f>
        <v>3560.3582926952627</v>
      </c>
      <c r="E183" s="98">
        <f t="shared" si="29"/>
        <v>3.94</v>
      </c>
      <c r="F183" s="16">
        <f t="shared" si="21"/>
        <v>903.64423672468592</v>
      </c>
      <c r="G183" s="16" t="str">
        <f t="shared" si="22"/>
        <v>Small</v>
      </c>
      <c r="H183" s="17"/>
      <c r="I183" s="121">
        <f>Variables!$B$3*POWER(SUM(1,Variables!$B$2/100),C183-2017)</f>
        <v>47716.818518861081</v>
      </c>
      <c r="J183" s="42">
        <f t="shared" si="23"/>
        <v>562.78627108563296</v>
      </c>
      <c r="K183" s="43">
        <f>VLOOKUP(A183,'Waste per capita'!$A$2:$F$21,6,FALSE)*(J183/J163)</f>
        <v>281.22720278282674</v>
      </c>
      <c r="L183" s="219">
        <f t="shared" si="24"/>
        <v>1001.2696035593294</v>
      </c>
      <c r="M183" s="45">
        <f>1</f>
        <v>1</v>
      </c>
      <c r="N183" s="135">
        <f t="shared" si="25"/>
        <v>1001.2696035593294</v>
      </c>
      <c r="P183" s="136">
        <f>Variables!$D$15</f>
        <v>10.755760368663594</v>
      </c>
      <c r="Q183" s="175">
        <f t="shared" si="26"/>
        <v>10769.415920310945</v>
      </c>
      <c r="R183" s="172">
        <f>Variables!$D$14</f>
        <v>5.2703140174813869</v>
      </c>
      <c r="S183" s="175">
        <f t="shared" si="27"/>
        <v>4762.4888876263813</v>
      </c>
      <c r="T183" s="217">
        <f>Variables!$D$18</f>
        <v>5.032</v>
      </c>
      <c r="U183" s="177">
        <f t="shared" si="28"/>
        <v>5038.3886451105454</v>
      </c>
    </row>
    <row r="184" spans="1:21" ht="15.75" customHeight="1" x14ac:dyDescent="0.35">
      <c r="A184" s="11">
        <v>1</v>
      </c>
      <c r="B184" s="12" t="s">
        <v>23</v>
      </c>
      <c r="C184" s="13">
        <v>2028</v>
      </c>
      <c r="D184" s="16">
        <f>Population!M2</f>
        <v>789943.21648581256</v>
      </c>
      <c r="E184" s="98">
        <f t="shared" si="29"/>
        <v>4.17</v>
      </c>
      <c r="F184" s="16">
        <f t="shared" si="21"/>
        <v>189434.82409731718</v>
      </c>
      <c r="G184" s="16" t="str">
        <f t="shared" si="22"/>
        <v>Medium</v>
      </c>
      <c r="H184" s="17"/>
      <c r="I184" s="121">
        <f>Variables!$B$3*POWER(SUM(1,Variables!$B$2/100),C184-2017)</f>
        <v>50293.526718879584</v>
      </c>
      <c r="J184" s="42">
        <f t="shared" si="23"/>
        <v>574.24715908917506</v>
      </c>
      <c r="K184" s="43">
        <f>VLOOKUP(A184,'Waste per capita'!$A$2:$F$21,6,FALSE)*(J184/J164)</f>
        <v>341.38320826425854</v>
      </c>
      <c r="L184" s="219">
        <f t="shared" si="24"/>
        <v>269673.34959051444</v>
      </c>
      <c r="M184" s="45">
        <f>1</f>
        <v>1</v>
      </c>
      <c r="N184" s="135">
        <f t="shared" si="25"/>
        <v>269673.34959051444</v>
      </c>
      <c r="P184" s="136">
        <f>Variables!$D$15</f>
        <v>10.755760368663594</v>
      </c>
      <c r="Q184" s="175">
        <f t="shared" si="26"/>
        <v>2900541.9260104178</v>
      </c>
      <c r="R184" s="172">
        <f>Variables!$D$14</f>
        <v>5.2703140174813869</v>
      </c>
      <c r="S184" s="175">
        <f t="shared" si="27"/>
        <v>998381.00883921154</v>
      </c>
      <c r="T184" s="217">
        <f>Variables!$D$18</f>
        <v>5.032</v>
      </c>
      <c r="U184" s="177">
        <f t="shared" si="28"/>
        <v>1356996.2951394687</v>
      </c>
    </row>
    <row r="185" spans="1:21" ht="15.75" customHeight="1" x14ac:dyDescent="0.35">
      <c r="A185" s="11">
        <v>2</v>
      </c>
      <c r="B185" s="12" t="s">
        <v>26</v>
      </c>
      <c r="C185" s="13">
        <v>2028</v>
      </c>
      <c r="D185" s="16">
        <f>Population!M3</f>
        <v>547370.62730431452</v>
      </c>
      <c r="E185" s="98">
        <f t="shared" si="29"/>
        <v>4.29</v>
      </c>
      <c r="F185" s="16">
        <f t="shared" si="21"/>
        <v>127592.22081685653</v>
      </c>
      <c r="G185" s="16" t="str">
        <f t="shared" si="22"/>
        <v>Medium</v>
      </c>
      <c r="H185" s="17"/>
      <c r="I185" s="121">
        <f>Variables!$B$3*POWER(SUM(1,Variables!$B$2/100),C185-2017)</f>
        <v>50293.526718879584</v>
      </c>
      <c r="J185" s="42">
        <f t="shared" si="23"/>
        <v>574.24715908917506</v>
      </c>
      <c r="K185" s="43">
        <f>VLOOKUP(A185,'Waste per capita'!$A$2:$F$21,6,FALSE)*(J185/J165)</f>
        <v>341.38320826425854</v>
      </c>
      <c r="L185" s="219">
        <f t="shared" si="24"/>
        <v>186863.14085876665</v>
      </c>
      <c r="M185" s="45">
        <f>1</f>
        <v>1</v>
      </c>
      <c r="N185" s="135">
        <f t="shared" si="25"/>
        <v>186863.14085876665</v>
      </c>
      <c r="P185" s="136">
        <f>Variables!$D$15</f>
        <v>10.755760368663594</v>
      </c>
      <c r="Q185" s="175">
        <f t="shared" si="26"/>
        <v>2009855.1648127253</v>
      </c>
      <c r="R185" s="172">
        <f>Variables!$D$14</f>
        <v>5.2703140174813869</v>
      </c>
      <c r="S185" s="175">
        <f t="shared" si="27"/>
        <v>672451.06989265932</v>
      </c>
      <c r="T185" s="217">
        <f>Variables!$D$18</f>
        <v>5.032</v>
      </c>
      <c r="U185" s="177">
        <f t="shared" si="28"/>
        <v>940295.32480131381</v>
      </c>
    </row>
    <row r="186" spans="1:21" ht="15.75" customHeight="1" x14ac:dyDescent="0.35">
      <c r="A186" s="11">
        <v>3</v>
      </c>
      <c r="B186" s="12" t="s">
        <v>28</v>
      </c>
      <c r="C186" s="13">
        <v>2028</v>
      </c>
      <c r="D186" s="16">
        <f>Population!M4</f>
        <v>391977.11195605434</v>
      </c>
      <c r="E186" s="98">
        <f t="shared" si="29"/>
        <v>4.8600000000000003</v>
      </c>
      <c r="F186" s="16">
        <f t="shared" si="21"/>
        <v>80653.726739928868</v>
      </c>
      <c r="G186" s="16" t="str">
        <f t="shared" si="22"/>
        <v>Medium</v>
      </c>
      <c r="H186" s="17"/>
      <c r="I186" s="121">
        <f>Variables!$B$3*POWER(SUM(1,Variables!$B$2/100),C186-2017)</f>
        <v>50293.526718879584</v>
      </c>
      <c r="J186" s="42">
        <f t="shared" si="23"/>
        <v>574.24715908917506</v>
      </c>
      <c r="K186" s="43">
        <f>VLOOKUP(A186,'Waste per capita'!$A$2:$F$21,6,FALSE)*(J186/J166)</f>
        <v>296.88671518307854</v>
      </c>
      <c r="L186" s="219">
        <f t="shared" si="24"/>
        <v>116372.7971955828</v>
      </c>
      <c r="M186" s="45">
        <f>1</f>
        <v>1</v>
      </c>
      <c r="N186" s="135">
        <f t="shared" si="25"/>
        <v>116372.7971955828</v>
      </c>
      <c r="P186" s="136">
        <f>Variables!$D$15</f>
        <v>10.755760368663594</v>
      </c>
      <c r="Q186" s="175">
        <f t="shared" si="26"/>
        <v>1251677.9200667753</v>
      </c>
      <c r="R186" s="172">
        <f>Variables!$D$14</f>
        <v>5.2703140174813869</v>
      </c>
      <c r="S186" s="175">
        <f t="shared" si="27"/>
        <v>425070.46659956046</v>
      </c>
      <c r="T186" s="217">
        <f>Variables!$D$18</f>
        <v>5.032</v>
      </c>
      <c r="U186" s="177">
        <f t="shared" si="28"/>
        <v>585587.91548817267</v>
      </c>
    </row>
    <row r="187" spans="1:21" ht="15.75" customHeight="1" x14ac:dyDescent="0.35">
      <c r="A187" s="11">
        <v>4</v>
      </c>
      <c r="B187" s="12" t="s">
        <v>30</v>
      </c>
      <c r="C187" s="13">
        <v>2028</v>
      </c>
      <c r="D187" s="16">
        <f>Population!M5</f>
        <v>743084.10033275629</v>
      </c>
      <c r="E187" s="98">
        <f t="shared" si="29"/>
        <v>4.05</v>
      </c>
      <c r="F187" s="16">
        <f t="shared" si="21"/>
        <v>183477.55563771763</v>
      </c>
      <c r="G187" s="16" t="str">
        <f t="shared" si="22"/>
        <v>Medium</v>
      </c>
      <c r="H187" s="17"/>
      <c r="I187" s="121">
        <f>Variables!$B$3*POWER(SUM(1,Variables!$B$2/100),C187-2017)</f>
        <v>50293.526718879584</v>
      </c>
      <c r="J187" s="42">
        <f t="shared" si="23"/>
        <v>574.24715908917506</v>
      </c>
      <c r="K187" s="43">
        <f>VLOOKUP(A187,'Waste per capita'!$A$2:$F$21,6,FALSE)*(J187/J167)</f>
        <v>279.32479500151538</v>
      </c>
      <c r="L187" s="219">
        <f t="shared" si="24"/>
        <v>207561.81399433265</v>
      </c>
      <c r="M187" s="45">
        <f>1</f>
        <v>1</v>
      </c>
      <c r="N187" s="135">
        <f t="shared" si="25"/>
        <v>207561.81399433265</v>
      </c>
      <c r="P187" s="136">
        <f>Variables!$D$15</f>
        <v>10.755760368663594</v>
      </c>
      <c r="Q187" s="175">
        <f t="shared" si="26"/>
        <v>2232485.1330081676</v>
      </c>
      <c r="R187" s="172">
        <f>Variables!$D$14</f>
        <v>5.2703140174813869</v>
      </c>
      <c r="S187" s="175">
        <f t="shared" si="27"/>
        <v>966984.3333706843</v>
      </c>
      <c r="T187" s="217">
        <f>Variables!$D$18</f>
        <v>5.032</v>
      </c>
      <c r="U187" s="177">
        <f t="shared" si="28"/>
        <v>1044451.0480194819</v>
      </c>
    </row>
    <row r="188" spans="1:21" ht="15.75" customHeight="1" x14ac:dyDescent="0.35">
      <c r="A188" s="11">
        <v>5</v>
      </c>
      <c r="B188" s="12" t="s">
        <v>31</v>
      </c>
      <c r="C188" s="13">
        <v>2028</v>
      </c>
      <c r="D188" s="16">
        <f>Population!M6</f>
        <v>473459.89986389363</v>
      </c>
      <c r="E188" s="98">
        <f t="shared" si="29"/>
        <v>4.2</v>
      </c>
      <c r="F188" s="16">
        <f t="shared" si="21"/>
        <v>112728.54758664133</v>
      </c>
      <c r="G188" s="16" t="str">
        <f t="shared" si="22"/>
        <v>Medium</v>
      </c>
      <c r="H188" s="17"/>
      <c r="I188" s="121">
        <f>Variables!$B$3*POWER(SUM(1,Variables!$B$2/100),C188-2017)</f>
        <v>50293.526718879584</v>
      </c>
      <c r="J188" s="42">
        <f t="shared" si="23"/>
        <v>574.24715908917506</v>
      </c>
      <c r="K188" s="43">
        <f>VLOOKUP(A188,'Waste per capita'!$A$2:$F$21,6,FALSE)*(J188/J168)</f>
        <v>341.38320826425854</v>
      </c>
      <c r="L188" s="219">
        <f t="shared" si="24"/>
        <v>161631.25960001061</v>
      </c>
      <c r="M188" s="45">
        <f>1</f>
        <v>1</v>
      </c>
      <c r="N188" s="135">
        <f t="shared" si="25"/>
        <v>161631.25960001061</v>
      </c>
      <c r="P188" s="136">
        <f>Variables!$D$15</f>
        <v>10.755760368663594</v>
      </c>
      <c r="Q188" s="175">
        <f t="shared" si="26"/>
        <v>1738467.0963429713</v>
      </c>
      <c r="R188" s="172">
        <f>Variables!$D$14</f>
        <v>5.2703140174813869</v>
      </c>
      <c r="S188" s="175">
        <f t="shared" si="27"/>
        <v>594114.84451619338</v>
      </c>
      <c r="T188" s="217">
        <f>Variables!$D$18</f>
        <v>5.032</v>
      </c>
      <c r="U188" s="177">
        <f t="shared" si="28"/>
        <v>813328.49830725347</v>
      </c>
    </row>
    <row r="189" spans="1:21" ht="15.75" customHeight="1" x14ac:dyDescent="0.35">
      <c r="A189" s="11">
        <v>6</v>
      </c>
      <c r="B189" s="12" t="s">
        <v>32</v>
      </c>
      <c r="C189" s="13">
        <v>2028</v>
      </c>
      <c r="D189" s="16">
        <f>Population!M7</f>
        <v>539283.64833516523</v>
      </c>
      <c r="E189" s="98">
        <f t="shared" si="29"/>
        <v>4.59</v>
      </c>
      <c r="F189" s="16">
        <f t="shared" si="21"/>
        <v>117490.99092269395</v>
      </c>
      <c r="G189" s="16" t="str">
        <f t="shared" si="22"/>
        <v>Medium</v>
      </c>
      <c r="H189" s="17"/>
      <c r="I189" s="121">
        <f>Variables!$B$3*POWER(SUM(1,Variables!$B$2/100),C189-2017)</f>
        <v>50293.526718879584</v>
      </c>
      <c r="J189" s="42">
        <f t="shared" si="23"/>
        <v>574.24715908917506</v>
      </c>
      <c r="K189" s="43">
        <f>VLOOKUP(A189,'Waste per capita'!$A$2:$F$21,6,FALSE)*(J189/J169)</f>
        <v>302.59607509044542</v>
      </c>
      <c r="L189" s="219">
        <f t="shared" si="24"/>
        <v>163185.11534667705</v>
      </c>
      <c r="M189" s="45">
        <f>1</f>
        <v>1</v>
      </c>
      <c r="N189" s="135">
        <f t="shared" si="25"/>
        <v>163185.11534667705</v>
      </c>
      <c r="P189" s="136">
        <f>Variables!$D$15</f>
        <v>10.755760368663594</v>
      </c>
      <c r="Q189" s="175">
        <f t="shared" si="26"/>
        <v>1755179.9964015863</v>
      </c>
      <c r="R189" s="172">
        <f>Variables!$D$14</f>
        <v>5.2703140174813869</v>
      </c>
      <c r="S189" s="175">
        <f t="shared" si="27"/>
        <v>619214.41638765228</v>
      </c>
      <c r="T189" s="217">
        <f>Variables!$D$18</f>
        <v>5.032</v>
      </c>
      <c r="U189" s="177">
        <f t="shared" si="28"/>
        <v>821147.5004244789</v>
      </c>
    </row>
    <row r="190" spans="1:21" ht="15.75" customHeight="1" x14ac:dyDescent="0.35">
      <c r="A190" s="11">
        <v>7</v>
      </c>
      <c r="B190" s="12" t="s">
        <v>33</v>
      </c>
      <c r="C190" s="13">
        <v>2028</v>
      </c>
      <c r="D190" s="16">
        <f>Population!M8</f>
        <v>303890.80076262396</v>
      </c>
      <c r="E190" s="98">
        <f t="shared" si="29"/>
        <v>3.94</v>
      </c>
      <c r="F190" s="16">
        <f t="shared" si="21"/>
        <v>77129.644863610141</v>
      </c>
      <c r="G190" s="16" t="str">
        <f t="shared" si="22"/>
        <v>Medium</v>
      </c>
      <c r="H190" s="17"/>
      <c r="I190" s="121">
        <f>Variables!$B$3*POWER(SUM(1,Variables!$B$2/100),C190-2017)</f>
        <v>50293.526718879584</v>
      </c>
      <c r="J190" s="42">
        <f t="shared" si="23"/>
        <v>574.24715908917506</v>
      </c>
      <c r="K190" s="43">
        <f>VLOOKUP(A190,'Waste per capita'!$A$2:$F$21,6,FALSE)*(J190/J170)</f>
        <v>416.78327323778325</v>
      </c>
      <c r="L190" s="219">
        <f t="shared" si="24"/>
        <v>126656.60264869744</v>
      </c>
      <c r="M190" s="45">
        <f>1</f>
        <v>1</v>
      </c>
      <c r="N190" s="135">
        <f t="shared" si="25"/>
        <v>126656.60264869744</v>
      </c>
      <c r="P190" s="136">
        <f>Variables!$D$15</f>
        <v>10.755760368663594</v>
      </c>
      <c r="Q190" s="175">
        <f t="shared" si="26"/>
        <v>1362288.0671984323</v>
      </c>
      <c r="R190" s="172">
        <f>Variables!$D$14</f>
        <v>5.2703140174813869</v>
      </c>
      <c r="S190" s="175">
        <f t="shared" si="27"/>
        <v>406497.44848804577</v>
      </c>
      <c r="T190" s="217">
        <f>Variables!$D$18</f>
        <v>5.032</v>
      </c>
      <c r="U190" s="177">
        <f t="shared" si="28"/>
        <v>637336.02452824556</v>
      </c>
    </row>
    <row r="191" spans="1:21" ht="15.75" customHeight="1" x14ac:dyDescent="0.35">
      <c r="A191" s="11">
        <v>8</v>
      </c>
      <c r="B191" s="11" t="s">
        <v>36</v>
      </c>
      <c r="C191" s="13">
        <v>2028</v>
      </c>
      <c r="D191" s="16">
        <f>Population!M9</f>
        <v>1008216.5563713411</v>
      </c>
      <c r="E191" s="98">
        <f t="shared" si="29"/>
        <v>4.04</v>
      </c>
      <c r="F191" s="16">
        <f t="shared" si="21"/>
        <v>249558.55355726264</v>
      </c>
      <c r="G191" s="16" t="str">
        <f t="shared" si="22"/>
        <v>Large</v>
      </c>
      <c r="H191" s="17"/>
      <c r="I191" s="121">
        <f>Variables!$B$3*POWER(SUM(1,Variables!$B$2/100),C191-2017)</f>
        <v>50293.526718879584</v>
      </c>
      <c r="J191" s="42">
        <f t="shared" si="23"/>
        <v>574.24715908917506</v>
      </c>
      <c r="K191" s="43">
        <f>VLOOKUP(A191,'Waste per capita'!$A$2:$F$21,6,FALSE)*(J191/J171)</f>
        <v>308.30543499781231</v>
      </c>
      <c r="L191" s="219">
        <f t="shared" si="24"/>
        <v>310838.64398406266</v>
      </c>
      <c r="M191" s="45">
        <f>1</f>
        <v>1</v>
      </c>
      <c r="N191" s="135">
        <f t="shared" si="25"/>
        <v>310838.64398406266</v>
      </c>
      <c r="P191" s="136">
        <f>Variables!$D$15</f>
        <v>10.755760368663594</v>
      </c>
      <c r="Q191" s="175">
        <f t="shared" si="26"/>
        <v>3343305.9680129136</v>
      </c>
      <c r="R191" s="172">
        <f>Variables!$D$14</f>
        <v>5.2703140174813869</v>
      </c>
      <c r="S191" s="175">
        <f t="shared" si="27"/>
        <v>1315251.9429952207</v>
      </c>
      <c r="T191" s="217">
        <f>Variables!$D$18</f>
        <v>5.032</v>
      </c>
      <c r="U191" s="177">
        <f t="shared" si="28"/>
        <v>1564140.0565278032</v>
      </c>
    </row>
    <row r="192" spans="1:21" ht="15.75" customHeight="1" x14ac:dyDescent="0.35">
      <c r="A192" s="11">
        <v>9</v>
      </c>
      <c r="B192" s="12" t="s">
        <v>38</v>
      </c>
      <c r="C192" s="13">
        <v>2028</v>
      </c>
      <c r="D192" s="16">
        <f>Population!M10</f>
        <v>17706.453479164476</v>
      </c>
      <c r="E192" s="98">
        <f t="shared" si="29"/>
        <v>4.26</v>
      </c>
      <c r="F192" s="16">
        <f t="shared" si="21"/>
        <v>4156.4444786771073</v>
      </c>
      <c r="G192" s="16" t="str">
        <f t="shared" si="22"/>
        <v>Small</v>
      </c>
      <c r="H192" s="17"/>
      <c r="I192" s="121">
        <f>Variables!$B$3*POWER(SUM(1,Variables!$B$2/100),C192-2017)</f>
        <v>50293.526718879584</v>
      </c>
      <c r="J192" s="42">
        <f t="shared" si="23"/>
        <v>574.24715908917506</v>
      </c>
      <c r="K192" s="43">
        <f>VLOOKUP(A192,'Waste per capita'!$A$2:$F$21,6,FALSE)*(J192/J172)</f>
        <v>281.19358481313594</v>
      </c>
      <c r="L192" s="219">
        <f t="shared" si="24"/>
        <v>4978.9411281332823</v>
      </c>
      <c r="M192" s="45">
        <f>1</f>
        <v>1</v>
      </c>
      <c r="N192" s="135">
        <f t="shared" si="25"/>
        <v>4978.9411281332823</v>
      </c>
      <c r="P192" s="136">
        <f>Variables!$D$15</f>
        <v>10.755760368663594</v>
      </c>
      <c r="Q192" s="175">
        <f t="shared" si="26"/>
        <v>53552.297663885161</v>
      </c>
      <c r="R192" s="172">
        <f>Variables!$D$14</f>
        <v>5.2703140174813869</v>
      </c>
      <c r="S192" s="175">
        <f t="shared" si="27"/>
        <v>21905.767598855073</v>
      </c>
      <c r="T192" s="217">
        <f>Variables!$D$18</f>
        <v>5.032</v>
      </c>
      <c r="U192" s="177">
        <f t="shared" si="28"/>
        <v>25054.031756766675</v>
      </c>
    </row>
    <row r="193" spans="1:21" ht="15.75" customHeight="1" x14ac:dyDescent="0.35">
      <c r="A193" s="11">
        <v>10</v>
      </c>
      <c r="B193" s="12" t="s">
        <v>40</v>
      </c>
      <c r="C193" s="13">
        <v>2028</v>
      </c>
      <c r="D193" s="16">
        <f>Population!M11</f>
        <v>692776.86921275186</v>
      </c>
      <c r="E193" s="98">
        <f t="shared" si="29"/>
        <v>5.88</v>
      </c>
      <c r="F193" s="16">
        <f t="shared" si="21"/>
        <v>117819.19544434556</v>
      </c>
      <c r="G193" s="16" t="str">
        <f t="shared" si="22"/>
        <v>Medium</v>
      </c>
      <c r="H193" s="17"/>
      <c r="I193" s="121">
        <f>Variables!$B$3*POWER(SUM(1,Variables!$B$2/100),C193-2017)</f>
        <v>50293.526718879584</v>
      </c>
      <c r="J193" s="42">
        <f t="shared" si="23"/>
        <v>574.24715908917506</v>
      </c>
      <c r="K193" s="43">
        <f>VLOOKUP(A193,'Waste per capita'!$A$2:$F$21,6,FALSE)*(J193/J173)</f>
        <v>341.38320826425854</v>
      </c>
      <c r="L193" s="219">
        <f t="shared" si="24"/>
        <v>236502.39022311787</v>
      </c>
      <c r="M193" s="45">
        <f>1</f>
        <v>1</v>
      </c>
      <c r="N193" s="135">
        <f t="shared" si="25"/>
        <v>236502.39022311787</v>
      </c>
      <c r="P193" s="136">
        <f>Variables!$D$15</f>
        <v>10.755760368663594</v>
      </c>
      <c r="Q193" s="175">
        <f t="shared" si="26"/>
        <v>2543763.0358560234</v>
      </c>
      <c r="R193" s="172">
        <f>Variables!$D$14</f>
        <v>5.2703140174813869</v>
      </c>
      <c r="S193" s="175">
        <f t="shared" si="27"/>
        <v>620944.15727871354</v>
      </c>
      <c r="T193" s="217">
        <f>Variables!$D$18</f>
        <v>5.032</v>
      </c>
      <c r="U193" s="177">
        <f t="shared" si="28"/>
        <v>1190080.0276027292</v>
      </c>
    </row>
    <row r="194" spans="1:21" ht="15.75" customHeight="1" x14ac:dyDescent="0.35">
      <c r="A194" s="11">
        <v>11</v>
      </c>
      <c r="B194" s="12" t="s">
        <v>42</v>
      </c>
      <c r="C194" s="13">
        <v>2028</v>
      </c>
      <c r="D194" s="16">
        <f>Population!M12</f>
        <v>917377.88318651554</v>
      </c>
      <c r="E194" s="98">
        <f t="shared" si="29"/>
        <v>4.47</v>
      </c>
      <c r="F194" s="16">
        <f t="shared" si="21"/>
        <v>205229.95149586478</v>
      </c>
      <c r="G194" s="16" t="str">
        <f t="shared" si="22"/>
        <v>Medium</v>
      </c>
      <c r="H194" s="17"/>
      <c r="I194" s="121">
        <f>Variables!$B$3*POWER(SUM(1,Variables!$B$2/100),C194-2017)</f>
        <v>50293.526718879584</v>
      </c>
      <c r="J194" s="42">
        <f t="shared" si="23"/>
        <v>574.24715908917506</v>
      </c>
      <c r="K194" s="43">
        <f>VLOOKUP(A194,'Waste per capita'!$A$2:$F$21,6,FALSE)*(J194/J174)</f>
        <v>442.53416626329584</v>
      </c>
      <c r="L194" s="219">
        <f t="shared" si="24"/>
        <v>405971.05668433185</v>
      </c>
      <c r="M194" s="45">
        <f>1</f>
        <v>1</v>
      </c>
      <c r="N194" s="135">
        <f t="shared" si="25"/>
        <v>405971.05668433185</v>
      </c>
      <c r="P194" s="136">
        <f>Variables!$D$15</f>
        <v>10.755760368663594</v>
      </c>
      <c r="Q194" s="175">
        <f t="shared" si="26"/>
        <v>4366527.4023098182</v>
      </c>
      <c r="R194" s="172">
        <f>Variables!$D$14</f>
        <v>5.2703140174813869</v>
      </c>
      <c r="S194" s="175">
        <f t="shared" si="27"/>
        <v>1081626.2901756812</v>
      </c>
      <c r="T194" s="217">
        <f>Variables!$D$18</f>
        <v>5.032</v>
      </c>
      <c r="U194" s="177">
        <f t="shared" si="28"/>
        <v>2042846.3572355579</v>
      </c>
    </row>
    <row r="195" spans="1:21" ht="15.75" customHeight="1" x14ac:dyDescent="0.35">
      <c r="A195" s="11">
        <v>12</v>
      </c>
      <c r="B195" s="12" t="s">
        <v>44</v>
      </c>
      <c r="C195" s="13">
        <v>2028</v>
      </c>
      <c r="D195" s="16">
        <f>Population!M13</f>
        <v>679235.7386136608</v>
      </c>
      <c r="E195" s="98">
        <f t="shared" si="29"/>
        <v>3.93</v>
      </c>
      <c r="F195" s="16">
        <f t="shared" si="21"/>
        <v>172833.52127574064</v>
      </c>
      <c r="G195" s="16" t="str">
        <f t="shared" si="22"/>
        <v>Medium</v>
      </c>
      <c r="H195" s="17"/>
      <c r="I195" s="121">
        <f>Variables!$B$3*POWER(SUM(1,Variables!$B$2/100),C195-2017)</f>
        <v>50293.526718879584</v>
      </c>
      <c r="J195" s="42">
        <f t="shared" si="23"/>
        <v>574.24715908917506</v>
      </c>
      <c r="K195" s="43">
        <f>VLOOKUP(A195,'Waste per capita'!$A$2:$F$21,6,FALSE)*(J195/J175)</f>
        <v>281.19358481313594</v>
      </c>
      <c r="L195" s="219">
        <f t="shared" si="24"/>
        <v>190996.73227397347</v>
      </c>
      <c r="M195" s="45">
        <f>1</f>
        <v>1</v>
      </c>
      <c r="N195" s="135">
        <f t="shared" si="25"/>
        <v>190996.73227397347</v>
      </c>
      <c r="P195" s="136">
        <f>Variables!$D$15</f>
        <v>10.755760368663594</v>
      </c>
      <c r="Q195" s="175">
        <f t="shared" si="26"/>
        <v>2054315.0835366547</v>
      </c>
      <c r="R195" s="172">
        <f>Variables!$D$14</f>
        <v>5.2703140174813869</v>
      </c>
      <c r="S195" s="175">
        <f t="shared" si="27"/>
        <v>910886.92987020337</v>
      </c>
      <c r="T195" s="217">
        <f>Variables!$D$18</f>
        <v>5.032</v>
      </c>
      <c r="U195" s="177">
        <f t="shared" si="28"/>
        <v>961095.5568026345</v>
      </c>
    </row>
    <row r="196" spans="1:21" ht="15.75" customHeight="1" x14ac:dyDescent="0.35">
      <c r="A196" s="11">
        <v>13</v>
      </c>
      <c r="B196" s="12" t="s">
        <v>45</v>
      </c>
      <c r="C196" s="13">
        <v>2028</v>
      </c>
      <c r="D196" s="16">
        <f>Population!M14</f>
        <v>517298.46730590326</v>
      </c>
      <c r="E196" s="98">
        <f t="shared" si="29"/>
        <v>4.78</v>
      </c>
      <c r="F196" s="16">
        <f t="shared" si="21"/>
        <v>108221.43667487515</v>
      </c>
      <c r="G196" s="16" t="str">
        <f t="shared" si="22"/>
        <v>Medium</v>
      </c>
      <c r="H196" s="17"/>
      <c r="I196" s="121">
        <f>Variables!$B$3*POWER(SUM(1,Variables!$B$2/100),C196-2017)</f>
        <v>50293.526718879584</v>
      </c>
      <c r="J196" s="42">
        <f t="shared" si="23"/>
        <v>574.24715908917506</v>
      </c>
      <c r="K196" s="43">
        <f>VLOOKUP(A196,'Waste per capita'!$A$2:$F$21,6,FALSE)*(J196/J176)</f>
        <v>341.38320826425854</v>
      </c>
      <c r="L196" s="219">
        <f t="shared" si="24"/>
        <v>176597.01039907293</v>
      </c>
      <c r="M196" s="45">
        <f>1</f>
        <v>1</v>
      </c>
      <c r="N196" s="135">
        <f t="shared" si="25"/>
        <v>176597.01039907293</v>
      </c>
      <c r="P196" s="136">
        <f>Variables!$D$15</f>
        <v>10.755760368663594</v>
      </c>
      <c r="Q196" s="175">
        <f t="shared" si="26"/>
        <v>1899435.1256748212</v>
      </c>
      <c r="R196" s="172">
        <f>Variables!$D$14</f>
        <v>5.2703140174813869</v>
      </c>
      <c r="S196" s="175">
        <f t="shared" si="27"/>
        <v>570360.9546995688</v>
      </c>
      <c r="T196" s="217">
        <f>Variables!$D$18</f>
        <v>5.032</v>
      </c>
      <c r="U196" s="177">
        <f t="shared" si="28"/>
        <v>888636.15632813494</v>
      </c>
    </row>
    <row r="197" spans="1:21" ht="15.75" customHeight="1" x14ac:dyDescent="0.35">
      <c r="A197" s="11">
        <v>14</v>
      </c>
      <c r="B197" s="12" t="s">
        <v>46</v>
      </c>
      <c r="C197" s="13">
        <v>2028</v>
      </c>
      <c r="D197" s="16">
        <f>Population!M15</f>
        <v>2434752.2905506804</v>
      </c>
      <c r="E197" s="98">
        <f t="shared" si="29"/>
        <v>3.72</v>
      </c>
      <c r="F197" s="16">
        <f t="shared" ref="F197:F243" si="30">D197/E197</f>
        <v>654503.30391147314</v>
      </c>
      <c r="G197" s="16" t="str">
        <f t="shared" ref="G197:G243" si="31">IF(D197&lt;100000,"Small",IF(D197&lt;1000000,"Medium","Large"))</f>
        <v>Large</v>
      </c>
      <c r="H197" s="17"/>
      <c r="I197" s="121">
        <f>Variables!$B$3*POWER(SUM(1,Variables!$B$2/100),C197-2017)</f>
        <v>50293.526718879584</v>
      </c>
      <c r="J197" s="42">
        <f t="shared" ref="J197:J243" si="32">1647.41-417.73*LN(I197)+29.43*(LN(I197))^2</f>
        <v>574.24715908917506</v>
      </c>
      <c r="K197" s="43">
        <f>VLOOKUP(A197,'Waste per capita'!$A$2:$F$21,6,FALSE)*(J197/J177)</f>
        <v>736.50742805032939</v>
      </c>
      <c r="L197" s="219">
        <f t="shared" ref="L197:L243" si="33">K197*D197/1000</f>
        <v>1793213.14745313</v>
      </c>
      <c r="M197" s="45">
        <f>1</f>
        <v>1</v>
      </c>
      <c r="N197" s="135">
        <f t="shared" ref="N197:N243" si="34">L197*M197</f>
        <v>1793213.14745313</v>
      </c>
      <c r="P197" s="136">
        <f>Variables!$D$15</f>
        <v>10.755760368663594</v>
      </c>
      <c r="Q197" s="175">
        <f t="shared" ref="Q197:Q243" si="35">P197*N197</f>
        <v>19287370.903942883</v>
      </c>
      <c r="R197" s="172">
        <f>Variables!$D$14</f>
        <v>5.2703140174813869</v>
      </c>
      <c r="S197" s="175">
        <f t="shared" ref="S197:S243" si="36">R197*F197</f>
        <v>3449437.937092517</v>
      </c>
      <c r="T197" s="217">
        <f>Variables!$D$18</f>
        <v>5.032</v>
      </c>
      <c r="U197" s="177">
        <f t="shared" ref="U197:U243" si="37">T197*N197</f>
        <v>9023448.5579841509</v>
      </c>
    </row>
    <row r="198" spans="1:21" ht="15.75" customHeight="1" x14ac:dyDescent="0.35">
      <c r="A198" s="11">
        <v>15</v>
      </c>
      <c r="B198" s="12" t="s">
        <v>47</v>
      </c>
      <c r="C198" s="13">
        <v>2028</v>
      </c>
      <c r="D198" s="16">
        <f>Population!M16</f>
        <v>105322.28854154905</v>
      </c>
      <c r="E198" s="98">
        <f t="shared" si="29"/>
        <v>4.72</v>
      </c>
      <c r="F198" s="16">
        <f t="shared" si="30"/>
        <v>22314.044182531579</v>
      </c>
      <c r="G198" s="16" t="str">
        <f t="shared" si="31"/>
        <v>Medium</v>
      </c>
      <c r="H198" s="17"/>
      <c r="I198" s="121">
        <f>Variables!$B$3*POWER(SUM(1,Variables!$B$2/100),C198-2017)</f>
        <v>50293.526718879584</v>
      </c>
      <c r="J198" s="42">
        <f t="shared" si="32"/>
        <v>574.24715908917506</v>
      </c>
      <c r="K198" s="43">
        <f>VLOOKUP(A198,'Waste per capita'!$A$2:$F$21,6,FALSE)*(J198/J178)</f>
        <v>281.19358481313594</v>
      </c>
      <c r="L198" s="219">
        <f t="shared" si="33"/>
        <v>29615.95187572165</v>
      </c>
      <c r="M198" s="45">
        <f>1</f>
        <v>1</v>
      </c>
      <c r="N198" s="135">
        <f t="shared" si="34"/>
        <v>29615.95187572165</v>
      </c>
      <c r="P198" s="136">
        <f>Variables!$D$15</f>
        <v>10.755760368663594</v>
      </c>
      <c r="Q198" s="175">
        <f t="shared" si="35"/>
        <v>318542.08146513515</v>
      </c>
      <c r="R198" s="172">
        <f>Variables!$D$14</f>
        <v>5.2703140174813869</v>
      </c>
      <c r="S198" s="175">
        <f t="shared" si="36"/>
        <v>117602.01984189518</v>
      </c>
      <c r="T198" s="217">
        <f>Variables!$D$18</f>
        <v>5.032</v>
      </c>
      <c r="U198" s="177">
        <f t="shared" si="37"/>
        <v>149027.46983863134</v>
      </c>
    </row>
    <row r="199" spans="1:21" ht="15.75" customHeight="1" x14ac:dyDescent="0.35">
      <c r="A199" s="11">
        <v>16</v>
      </c>
      <c r="B199" s="12" t="s">
        <v>48</v>
      </c>
      <c r="C199" s="13">
        <v>2028</v>
      </c>
      <c r="D199" s="16">
        <f>Population!M17</f>
        <v>104762.927669133</v>
      </c>
      <c r="E199" s="98">
        <f t="shared" si="29"/>
        <v>3.45</v>
      </c>
      <c r="F199" s="16">
        <f t="shared" si="30"/>
        <v>30366.065991053041</v>
      </c>
      <c r="G199" s="16" t="str">
        <f t="shared" si="31"/>
        <v>Medium</v>
      </c>
      <c r="H199" s="17"/>
      <c r="I199" s="121">
        <f>Variables!$B$3*POWER(SUM(1,Variables!$B$2/100),C199-2017)</f>
        <v>50293.526718879584</v>
      </c>
      <c r="J199" s="42">
        <f t="shared" si="32"/>
        <v>574.24715908917506</v>
      </c>
      <c r="K199" s="43">
        <f>VLOOKUP(A199,'Waste per capita'!$A$2:$F$21,6,FALSE)*(J199/J179)</f>
        <v>281.19358481313594</v>
      </c>
      <c r="L199" s="219">
        <f t="shared" si="33"/>
        <v>29458.66318680278</v>
      </c>
      <c r="M199" s="45">
        <f>1</f>
        <v>1</v>
      </c>
      <c r="N199" s="135">
        <f t="shared" si="34"/>
        <v>29458.66318680278</v>
      </c>
      <c r="P199" s="136">
        <f>Variables!$D$15</f>
        <v>10.755760368663594</v>
      </c>
      <c r="Q199" s="175">
        <f t="shared" si="35"/>
        <v>316850.32201842254</v>
      </c>
      <c r="R199" s="172">
        <f>Variables!$D$14</f>
        <v>5.2703140174813869</v>
      </c>
      <c r="S199" s="175">
        <f t="shared" si="36"/>
        <v>160038.70324841168</v>
      </c>
      <c r="T199" s="217">
        <f>Variables!$D$18</f>
        <v>5.032</v>
      </c>
      <c r="U199" s="177">
        <f t="shared" si="37"/>
        <v>148235.9931559916</v>
      </c>
    </row>
    <row r="200" spans="1:21" ht="15.75" customHeight="1" x14ac:dyDescent="0.35">
      <c r="A200" s="11">
        <v>17</v>
      </c>
      <c r="B200" s="13" t="s">
        <v>49</v>
      </c>
      <c r="C200" s="13">
        <v>2028</v>
      </c>
      <c r="D200" s="16">
        <f>Population!M18</f>
        <v>26289.961003554316</v>
      </c>
      <c r="E200" s="98">
        <f t="shared" si="29"/>
        <v>4.78</v>
      </c>
      <c r="F200" s="16">
        <f t="shared" si="30"/>
        <v>5499.9918417477647</v>
      </c>
      <c r="G200" s="16" t="str">
        <f t="shared" si="31"/>
        <v>Small</v>
      </c>
      <c r="H200" s="17"/>
      <c r="I200" s="121">
        <f>Variables!$B$3*POWER(SUM(1,Variables!$B$2/100),C200-2017)</f>
        <v>50293.526718879584</v>
      </c>
      <c r="J200" s="42">
        <f t="shared" si="32"/>
        <v>574.24715908917506</v>
      </c>
      <c r="K200" s="43">
        <f>VLOOKUP(A200,'Waste per capita'!$A$2:$F$21,6,FALSE)*(J200/J180)</f>
        <v>281.19358481313594</v>
      </c>
      <c r="L200" s="219">
        <f t="shared" si="33"/>
        <v>7392.5683791869869</v>
      </c>
      <c r="M200" s="45">
        <f>1</f>
        <v>1</v>
      </c>
      <c r="N200" s="135">
        <f t="shared" si="34"/>
        <v>7392.5683791869869</v>
      </c>
      <c r="P200" s="136">
        <f>Variables!$D$15</f>
        <v>10.755760368663594</v>
      </c>
      <c r="Q200" s="175">
        <f t="shared" si="35"/>
        <v>79512.69399549505</v>
      </c>
      <c r="R200" s="172">
        <f>Variables!$D$14</f>
        <v>5.2703140174813869</v>
      </c>
      <c r="S200" s="175">
        <f t="shared" si="36"/>
        <v>28986.684099596514</v>
      </c>
      <c r="T200" s="217">
        <f>Variables!$D$18</f>
        <v>5.032</v>
      </c>
      <c r="U200" s="177">
        <f t="shared" si="37"/>
        <v>37199.404084068919</v>
      </c>
    </row>
    <row r="201" spans="1:21" ht="15.75" customHeight="1" x14ac:dyDescent="0.35">
      <c r="A201" s="11">
        <v>18</v>
      </c>
      <c r="B201" s="13" t="s">
        <v>51</v>
      </c>
      <c r="C201" s="13">
        <v>2028</v>
      </c>
      <c r="D201" s="16">
        <f>Population!M19</f>
        <v>2140.8962705896461</v>
      </c>
      <c r="E201" s="98">
        <f t="shared" si="29"/>
        <v>5.88</v>
      </c>
      <c r="F201" s="16">
        <f t="shared" si="30"/>
        <v>364.09800520232079</v>
      </c>
      <c r="G201" s="16" t="str">
        <f t="shared" si="31"/>
        <v>Small</v>
      </c>
      <c r="H201" s="17"/>
      <c r="I201" s="121">
        <f>Variables!$B$3*POWER(SUM(1,Variables!$B$2/100),C201-2017)</f>
        <v>50293.526718879584</v>
      </c>
      <c r="J201" s="42">
        <f t="shared" si="32"/>
        <v>574.24715908917506</v>
      </c>
      <c r="K201" s="43">
        <f>VLOOKUP(A201,'Waste per capita'!$A$2:$F$21,6,FALSE)*(J201/J181)</f>
        <v>281.19358481313594</v>
      </c>
      <c r="L201" s="219">
        <f t="shared" si="33"/>
        <v>602.00629704017615</v>
      </c>
      <c r="M201" s="45">
        <f>1</f>
        <v>1</v>
      </c>
      <c r="N201" s="135">
        <f t="shared" si="34"/>
        <v>602.00629704017615</v>
      </c>
      <c r="P201" s="136">
        <f>Variables!$D$15</f>
        <v>10.755760368663594</v>
      </c>
      <c r="Q201" s="175">
        <f t="shared" si="35"/>
        <v>6475.0354713906499</v>
      </c>
      <c r="R201" s="172">
        <f>Variables!$D$14</f>
        <v>5.2703140174813869</v>
      </c>
      <c r="S201" s="175">
        <f t="shared" si="36"/>
        <v>1918.9108205548023</v>
      </c>
      <c r="T201" s="217">
        <f>Variables!$D$18</f>
        <v>5.032</v>
      </c>
      <c r="U201" s="177">
        <f t="shared" si="37"/>
        <v>3029.2956867061662</v>
      </c>
    </row>
    <row r="202" spans="1:21" ht="15.75" customHeight="1" x14ac:dyDescent="0.35">
      <c r="A202" s="11">
        <v>19</v>
      </c>
      <c r="B202" s="13" t="s">
        <v>52</v>
      </c>
      <c r="C202" s="13">
        <v>2028</v>
      </c>
      <c r="D202" s="16">
        <f>Population!M20</f>
        <v>31367.118730443006</v>
      </c>
      <c r="E202" s="98">
        <f t="shared" si="29"/>
        <v>3.93</v>
      </c>
      <c r="F202" s="16">
        <f t="shared" si="30"/>
        <v>7981.4551476954211</v>
      </c>
      <c r="G202" s="16" t="str">
        <f t="shared" si="31"/>
        <v>Small</v>
      </c>
      <c r="H202" s="17"/>
      <c r="I202" s="121">
        <f>Variables!$B$3*POWER(SUM(1,Variables!$B$2/100),C202-2017)</f>
        <v>50293.526718879584</v>
      </c>
      <c r="J202" s="42">
        <f t="shared" si="32"/>
        <v>574.24715908917506</v>
      </c>
      <c r="K202" s="43">
        <f>VLOOKUP(A202,'Waste per capita'!$A$2:$F$21,6,FALSE)*(J202/J182)</f>
        <v>281.19358481313594</v>
      </c>
      <c r="L202" s="219">
        <f t="shared" si="33"/>
        <v>8820.2325610725311</v>
      </c>
      <c r="M202" s="45">
        <f>1</f>
        <v>1</v>
      </c>
      <c r="N202" s="135">
        <f t="shared" si="34"/>
        <v>8820.2325610725311</v>
      </c>
      <c r="P202" s="136">
        <f>Variables!$D$15</f>
        <v>10.755760368663594</v>
      </c>
      <c r="Q202" s="175">
        <f t="shared" si="35"/>
        <v>94868.307822780131</v>
      </c>
      <c r="R202" s="172">
        <f>Variables!$D$14</f>
        <v>5.2703140174813869</v>
      </c>
      <c r="S202" s="175">
        <f t="shared" si="36"/>
        <v>42064.774944798155</v>
      </c>
      <c r="T202" s="217">
        <f>Variables!$D$18</f>
        <v>5.032</v>
      </c>
      <c r="U202" s="177">
        <f t="shared" si="37"/>
        <v>44383.410247316977</v>
      </c>
    </row>
    <row r="203" spans="1:21" ht="15.75" customHeight="1" x14ac:dyDescent="0.35">
      <c r="A203" s="11">
        <v>20</v>
      </c>
      <c r="B203" s="13" t="s">
        <v>53</v>
      </c>
      <c r="C203" s="13">
        <v>2028</v>
      </c>
      <c r="D203" s="16">
        <f>Population!M21</f>
        <v>3645.8068917199485</v>
      </c>
      <c r="E203" s="98">
        <f t="shared" si="29"/>
        <v>3.94</v>
      </c>
      <c r="F203" s="16">
        <f t="shared" si="30"/>
        <v>925.33169840607832</v>
      </c>
      <c r="G203" s="16" t="str">
        <f t="shared" si="31"/>
        <v>Small</v>
      </c>
      <c r="H203" s="17"/>
      <c r="I203" s="121">
        <f>Variables!$B$3*POWER(SUM(1,Variables!$B$2/100),C203-2017)</f>
        <v>50293.526718879584</v>
      </c>
      <c r="J203" s="42">
        <f t="shared" si="32"/>
        <v>574.24715908917506</v>
      </c>
      <c r="K203" s="43">
        <f>VLOOKUP(A203,'Waste per capita'!$A$2:$F$21,6,FALSE)*(J203/J183)</f>
        <v>281.19358481313594</v>
      </c>
      <c r="L203" s="219">
        <f t="shared" si="33"/>
        <v>1025.1775094191687</v>
      </c>
      <c r="M203" s="45">
        <f>1</f>
        <v>1</v>
      </c>
      <c r="N203" s="135">
        <f t="shared" si="34"/>
        <v>1025.1775094191687</v>
      </c>
      <c r="P203" s="136">
        <f>Variables!$D$15</f>
        <v>10.755760368663594</v>
      </c>
      <c r="Q203" s="175">
        <f t="shared" si="35"/>
        <v>11026.563626655943</v>
      </c>
      <c r="R203" s="172">
        <f>Variables!$D$14</f>
        <v>5.2703140174813869</v>
      </c>
      <c r="S203" s="175">
        <f t="shared" si="36"/>
        <v>4876.7886209294138</v>
      </c>
      <c r="T203" s="217">
        <f>Variables!$D$18</f>
        <v>5.032</v>
      </c>
      <c r="U203" s="177">
        <f t="shared" si="37"/>
        <v>5158.693227397257</v>
      </c>
    </row>
    <row r="204" spans="1:21" ht="15.75" customHeight="1" x14ac:dyDescent="0.35">
      <c r="A204" s="11">
        <v>1</v>
      </c>
      <c r="B204" s="12" t="s">
        <v>23</v>
      </c>
      <c r="C204" s="13">
        <v>2029</v>
      </c>
      <c r="D204" s="16">
        <f>Population!N2</f>
        <v>808901.85368147225</v>
      </c>
      <c r="E204" s="98">
        <f t="shared" si="29"/>
        <v>4.17</v>
      </c>
      <c r="F204" s="16">
        <f t="shared" si="30"/>
        <v>193981.25987565282</v>
      </c>
      <c r="G204" s="16" t="str">
        <f t="shared" si="31"/>
        <v>Medium</v>
      </c>
      <c r="H204" s="17"/>
      <c r="I204" s="121">
        <f>Variables!$B$3*POWER(SUM(1,Variables!$B$2/100),C204-2017)</f>
        <v>53009.377161699085</v>
      </c>
      <c r="J204" s="42">
        <f t="shared" si="32"/>
        <v>585.87085184026637</v>
      </c>
      <c r="K204" s="43">
        <f>VLOOKUP(A204,'Waste per capita'!$A$2:$F$21,6,FALSE)*(J204/J184)</f>
        <v>341.34208026182546</v>
      </c>
      <c r="L204" s="219">
        <f t="shared" si="33"/>
        <v>276112.24146328052</v>
      </c>
      <c r="M204" s="45">
        <f>1</f>
        <v>1</v>
      </c>
      <c r="N204" s="135">
        <f t="shared" si="34"/>
        <v>276112.24146328052</v>
      </c>
      <c r="P204" s="136">
        <f>Variables!$D$15</f>
        <v>10.755760368663594</v>
      </c>
      <c r="Q204" s="175">
        <f t="shared" si="35"/>
        <v>2969797.1040336252</v>
      </c>
      <c r="R204" s="172">
        <f>Variables!$D$14</f>
        <v>5.2703140174813869</v>
      </c>
      <c r="S204" s="175">
        <f t="shared" si="36"/>
        <v>1022342.1530513527</v>
      </c>
      <c r="T204" s="217">
        <f>Variables!$D$18</f>
        <v>5.032</v>
      </c>
      <c r="U204" s="177">
        <f t="shared" si="37"/>
        <v>1389396.7990432275</v>
      </c>
    </row>
    <row r="205" spans="1:21" ht="15.75" customHeight="1" x14ac:dyDescent="0.35">
      <c r="A205" s="11">
        <v>2</v>
      </c>
      <c r="B205" s="12" t="s">
        <v>26</v>
      </c>
      <c r="C205" s="13">
        <v>2029</v>
      </c>
      <c r="D205" s="16">
        <f>Population!N3</f>
        <v>560507.52235961822</v>
      </c>
      <c r="E205" s="98">
        <f t="shared" si="29"/>
        <v>4.29</v>
      </c>
      <c r="F205" s="16">
        <f t="shared" si="30"/>
        <v>130654.43411646113</v>
      </c>
      <c r="G205" s="16" t="str">
        <f t="shared" si="31"/>
        <v>Medium</v>
      </c>
      <c r="H205" s="17"/>
      <c r="I205" s="121">
        <f>Variables!$B$3*POWER(SUM(1,Variables!$B$2/100),C205-2017)</f>
        <v>53009.377161699085</v>
      </c>
      <c r="J205" s="42">
        <f t="shared" si="32"/>
        <v>585.87085184026637</v>
      </c>
      <c r="K205" s="43">
        <f>VLOOKUP(A205,'Waste per capita'!$A$2:$F$21,6,FALSE)*(J205/J185)</f>
        <v>341.34208026182546</v>
      </c>
      <c r="L205" s="219">
        <f t="shared" si="33"/>
        <v>191324.80368463372</v>
      </c>
      <c r="M205" s="45">
        <f>1</f>
        <v>1</v>
      </c>
      <c r="N205" s="135">
        <f t="shared" si="34"/>
        <v>191324.80368463372</v>
      </c>
      <c r="P205" s="136">
        <f>Variables!$D$15</f>
        <v>10.755760368663594</v>
      </c>
      <c r="Q205" s="175">
        <f t="shared" si="35"/>
        <v>2057843.7410135258</v>
      </c>
      <c r="R205" s="172">
        <f>Variables!$D$14</f>
        <v>5.2703140174813869</v>
      </c>
      <c r="S205" s="175">
        <f t="shared" si="36"/>
        <v>688589.8955700834</v>
      </c>
      <c r="T205" s="217">
        <f>Variables!$D$18</f>
        <v>5.032</v>
      </c>
      <c r="U205" s="177">
        <f t="shared" si="37"/>
        <v>962746.41214107687</v>
      </c>
    </row>
    <row r="206" spans="1:21" ht="15.75" customHeight="1" x14ac:dyDescent="0.35">
      <c r="A206" s="11">
        <v>3</v>
      </c>
      <c r="B206" s="12" t="s">
        <v>28</v>
      </c>
      <c r="C206" s="13">
        <v>2029</v>
      </c>
      <c r="D206" s="16">
        <f>Population!N4</f>
        <v>401384.56264299975</v>
      </c>
      <c r="E206" s="98">
        <f t="shared" si="29"/>
        <v>4.8600000000000003</v>
      </c>
      <c r="F206" s="16">
        <f t="shared" si="30"/>
        <v>82589.416181687193</v>
      </c>
      <c r="G206" s="16" t="str">
        <f t="shared" si="31"/>
        <v>Medium</v>
      </c>
      <c r="H206" s="17"/>
      <c r="I206" s="121">
        <f>Variables!$B$3*POWER(SUM(1,Variables!$B$2/100),C206-2017)</f>
        <v>53009.377161699085</v>
      </c>
      <c r="J206" s="42">
        <f t="shared" si="32"/>
        <v>585.87085184026637</v>
      </c>
      <c r="K206" s="43">
        <f>VLOOKUP(A206,'Waste per capita'!$A$2:$F$21,6,FALSE)*(J206/J186)</f>
        <v>296.85094787745595</v>
      </c>
      <c r="L206" s="219">
        <f t="shared" si="33"/>
        <v>119151.38788395257</v>
      </c>
      <c r="M206" s="45">
        <f>1</f>
        <v>1</v>
      </c>
      <c r="N206" s="135">
        <f t="shared" si="34"/>
        <v>119151.38788395257</v>
      </c>
      <c r="P206" s="136">
        <f>Variables!$D$15</f>
        <v>10.755760368663594</v>
      </c>
      <c r="Q206" s="175">
        <f t="shared" si="35"/>
        <v>1281563.7756734807</v>
      </c>
      <c r="R206" s="172">
        <f>Variables!$D$14</f>
        <v>5.2703140174813869</v>
      </c>
      <c r="S206" s="175">
        <f t="shared" si="36"/>
        <v>435272.15779795009</v>
      </c>
      <c r="T206" s="217">
        <f>Variables!$D$18</f>
        <v>5.032</v>
      </c>
      <c r="U206" s="177">
        <f t="shared" si="37"/>
        <v>599569.78383204935</v>
      </c>
    </row>
    <row r="207" spans="1:21" ht="15.75" customHeight="1" x14ac:dyDescent="0.35">
      <c r="A207" s="11">
        <v>4</v>
      </c>
      <c r="B207" s="12" t="s">
        <v>30</v>
      </c>
      <c r="C207" s="13">
        <v>2029</v>
      </c>
      <c r="D207" s="16">
        <f>Population!N5</f>
        <v>760918.11874074268</v>
      </c>
      <c r="E207" s="98">
        <f t="shared" si="29"/>
        <v>4.05</v>
      </c>
      <c r="F207" s="16">
        <f t="shared" si="30"/>
        <v>187881.0169730229</v>
      </c>
      <c r="G207" s="16" t="str">
        <f t="shared" si="31"/>
        <v>Medium</v>
      </c>
      <c r="H207" s="17"/>
      <c r="I207" s="121">
        <f>Variables!$B$3*POWER(SUM(1,Variables!$B$2/100),C207-2017)</f>
        <v>53009.377161699085</v>
      </c>
      <c r="J207" s="42">
        <f t="shared" si="32"/>
        <v>585.87085184026637</v>
      </c>
      <c r="K207" s="43">
        <f>VLOOKUP(A207,'Waste per capita'!$A$2:$F$21,6,FALSE)*(J207/J187)</f>
        <v>279.29114346104609</v>
      </c>
      <c r="L207" s="219">
        <f t="shared" si="33"/>
        <v>212517.69146333006</v>
      </c>
      <c r="M207" s="45">
        <f>1</f>
        <v>1</v>
      </c>
      <c r="N207" s="135">
        <f t="shared" si="34"/>
        <v>212517.69146333006</v>
      </c>
      <c r="P207" s="136">
        <f>Variables!$D$15</f>
        <v>10.755760368663594</v>
      </c>
      <c r="Q207" s="175">
        <f t="shared" si="35"/>
        <v>2285789.363481163</v>
      </c>
      <c r="R207" s="172">
        <f>Variables!$D$14</f>
        <v>5.2703140174813869</v>
      </c>
      <c r="S207" s="175">
        <f t="shared" si="36"/>
        <v>990191.957371581</v>
      </c>
      <c r="T207" s="217">
        <f>Variables!$D$18</f>
        <v>5.032</v>
      </c>
      <c r="U207" s="177">
        <f t="shared" si="37"/>
        <v>1069389.0234434768</v>
      </c>
    </row>
    <row r="208" spans="1:21" ht="15.75" customHeight="1" x14ac:dyDescent="0.35">
      <c r="A208" s="11">
        <v>5</v>
      </c>
      <c r="B208" s="12" t="s">
        <v>31</v>
      </c>
      <c r="C208" s="13">
        <v>2029</v>
      </c>
      <c r="D208" s="16">
        <f>Population!N6</f>
        <v>484822.93746062717</v>
      </c>
      <c r="E208" s="98">
        <f t="shared" si="29"/>
        <v>4.2</v>
      </c>
      <c r="F208" s="16">
        <f t="shared" si="30"/>
        <v>115434.03272872075</v>
      </c>
      <c r="G208" s="16" t="str">
        <f t="shared" si="31"/>
        <v>Medium</v>
      </c>
      <c r="H208" s="17"/>
      <c r="I208" s="121">
        <f>Variables!$B$3*POWER(SUM(1,Variables!$B$2/100),C208-2017)</f>
        <v>53009.377161699085</v>
      </c>
      <c r="J208" s="42">
        <f t="shared" si="32"/>
        <v>585.87085184026637</v>
      </c>
      <c r="K208" s="43">
        <f>VLOOKUP(A208,'Waste per capita'!$A$2:$F$21,6,FALSE)*(J208/J188)</f>
        <v>341.34208026182546</v>
      </c>
      <c r="L208" s="219">
        <f t="shared" si="33"/>
        <v>165490.47003145938</v>
      </c>
      <c r="M208" s="45">
        <f>1</f>
        <v>1</v>
      </c>
      <c r="N208" s="135">
        <f t="shared" si="34"/>
        <v>165490.47003145938</v>
      </c>
      <c r="P208" s="136">
        <f>Variables!$D$15</f>
        <v>10.755760368663594</v>
      </c>
      <c r="Q208" s="175">
        <f t="shared" si="35"/>
        <v>1779975.8389558811</v>
      </c>
      <c r="R208" s="172">
        <f>Variables!$D$14</f>
        <v>5.2703140174813869</v>
      </c>
      <c r="S208" s="175">
        <f t="shared" si="36"/>
        <v>608373.6007845822</v>
      </c>
      <c r="T208" s="217">
        <f>Variables!$D$18</f>
        <v>5.032</v>
      </c>
      <c r="U208" s="177">
        <f t="shared" si="37"/>
        <v>832748.04519830365</v>
      </c>
    </row>
    <row r="209" spans="1:21" ht="15.75" customHeight="1" x14ac:dyDescent="0.35">
      <c r="A209" s="11">
        <v>6</v>
      </c>
      <c r="B209" s="12" t="s">
        <v>32</v>
      </c>
      <c r="C209" s="13">
        <v>2029</v>
      </c>
      <c r="D209" s="16">
        <f>Population!N7</f>
        <v>552226.45589520934</v>
      </c>
      <c r="E209" s="98">
        <f t="shared" si="29"/>
        <v>4.59</v>
      </c>
      <c r="F209" s="16">
        <f t="shared" si="30"/>
        <v>120310.77470483864</v>
      </c>
      <c r="G209" s="16" t="str">
        <f t="shared" si="31"/>
        <v>Medium</v>
      </c>
      <c r="H209" s="17"/>
      <c r="I209" s="121">
        <f>Variables!$B$3*POWER(SUM(1,Variables!$B$2/100),C209-2017)</f>
        <v>53009.377161699085</v>
      </c>
      <c r="J209" s="42">
        <f t="shared" si="32"/>
        <v>585.87085184026637</v>
      </c>
      <c r="K209" s="43">
        <f>VLOOKUP(A209,'Waste per capita'!$A$2:$F$21,6,FALSE)*(J209/J189)</f>
        <v>302.55961995202244</v>
      </c>
      <c r="L209" s="219">
        <f t="shared" si="33"/>
        <v>167081.42662310682</v>
      </c>
      <c r="M209" s="45">
        <f>1</f>
        <v>1</v>
      </c>
      <c r="N209" s="135">
        <f t="shared" si="34"/>
        <v>167081.42662310682</v>
      </c>
      <c r="P209" s="136">
        <f>Variables!$D$15</f>
        <v>10.755760368663594</v>
      </c>
      <c r="Q209" s="175">
        <f t="shared" si="35"/>
        <v>1797087.7868125867</v>
      </c>
      <c r="R209" s="172">
        <f>Variables!$D$14</f>
        <v>5.2703140174813869</v>
      </c>
      <c r="S209" s="175">
        <f t="shared" si="36"/>
        <v>634075.56238095614</v>
      </c>
      <c r="T209" s="217">
        <f>Variables!$D$18</f>
        <v>5.032</v>
      </c>
      <c r="U209" s="177">
        <f t="shared" si="37"/>
        <v>840753.73876747349</v>
      </c>
    </row>
    <row r="210" spans="1:21" ht="15.75" customHeight="1" x14ac:dyDescent="0.35">
      <c r="A210" s="11">
        <v>7</v>
      </c>
      <c r="B210" s="12" t="s">
        <v>33</v>
      </c>
      <c r="C210" s="13">
        <v>2029</v>
      </c>
      <c r="D210" s="16">
        <f>Population!N8</f>
        <v>311184.17998092697</v>
      </c>
      <c r="E210" s="98">
        <f t="shared" si="29"/>
        <v>3.94</v>
      </c>
      <c r="F210" s="16">
        <f t="shared" si="30"/>
        <v>78980.756340336797</v>
      </c>
      <c r="G210" s="16" t="str">
        <f t="shared" si="31"/>
        <v>Medium</v>
      </c>
      <c r="H210" s="17"/>
      <c r="I210" s="121">
        <f>Variables!$B$3*POWER(SUM(1,Variables!$B$2/100),C210-2017)</f>
        <v>53009.377161699085</v>
      </c>
      <c r="J210" s="42">
        <f t="shared" si="32"/>
        <v>585.87085184026637</v>
      </c>
      <c r="K210" s="43">
        <f>VLOOKUP(A210,'Waste per capita'!$A$2:$F$21,6,FALSE)*(J210/J190)</f>
        <v>416.73306144335157</v>
      </c>
      <c r="L210" s="219">
        <f t="shared" si="33"/>
        <v>129680.7359961906</v>
      </c>
      <c r="M210" s="45">
        <f>1</f>
        <v>1</v>
      </c>
      <c r="N210" s="135">
        <f t="shared" si="34"/>
        <v>129680.7359961906</v>
      </c>
      <c r="P210" s="136">
        <f>Variables!$D$15</f>
        <v>10.755760368663594</v>
      </c>
      <c r="Q210" s="175">
        <f t="shared" si="35"/>
        <v>1394814.9208069532</v>
      </c>
      <c r="R210" s="172">
        <f>Variables!$D$14</f>
        <v>5.2703140174813869</v>
      </c>
      <c r="S210" s="175">
        <f t="shared" si="36"/>
        <v>416253.38725175895</v>
      </c>
      <c r="T210" s="217">
        <f>Variables!$D$18</f>
        <v>5.032</v>
      </c>
      <c r="U210" s="177">
        <f t="shared" si="37"/>
        <v>652553.46353283117</v>
      </c>
    </row>
    <row r="211" spans="1:21" ht="15.75" customHeight="1" x14ac:dyDescent="0.35">
      <c r="A211" s="11">
        <v>8</v>
      </c>
      <c r="B211" s="11" t="s">
        <v>36</v>
      </c>
      <c r="C211" s="13">
        <v>2029</v>
      </c>
      <c r="D211" s="16">
        <f>Population!N9</f>
        <v>1032413.7537242535</v>
      </c>
      <c r="E211" s="98">
        <f t="shared" si="29"/>
        <v>4.04</v>
      </c>
      <c r="F211" s="16">
        <f t="shared" si="30"/>
        <v>255547.95884263702</v>
      </c>
      <c r="G211" s="16" t="str">
        <f t="shared" si="31"/>
        <v>Large</v>
      </c>
      <c r="H211" s="17"/>
      <c r="I211" s="121">
        <f>Variables!$B$3*POWER(SUM(1,Variables!$B$2/100),C211-2017)</f>
        <v>53009.377161699085</v>
      </c>
      <c r="J211" s="42">
        <f t="shared" si="32"/>
        <v>585.87085184026637</v>
      </c>
      <c r="K211" s="43">
        <f>VLOOKUP(A211,'Waste per capita'!$A$2:$F$21,6,FALSE)*(J211/J191)</f>
        <v>308.26829202658888</v>
      </c>
      <c r="L211" s="219">
        <f t="shared" si="33"/>
        <v>318260.42452533502</v>
      </c>
      <c r="M211" s="45">
        <f>1</f>
        <v>1</v>
      </c>
      <c r="N211" s="135">
        <f t="shared" si="34"/>
        <v>318260.42452533502</v>
      </c>
      <c r="P211" s="136">
        <f>Variables!$D$15</f>
        <v>10.755760368663594</v>
      </c>
      <c r="Q211" s="175">
        <f t="shared" si="35"/>
        <v>3423132.8610236496</v>
      </c>
      <c r="R211" s="172">
        <f>Variables!$D$14</f>
        <v>5.2703140174813869</v>
      </c>
      <c r="S211" s="175">
        <f t="shared" si="36"/>
        <v>1346817.9896271063</v>
      </c>
      <c r="T211" s="217">
        <f>Variables!$D$18</f>
        <v>5.032</v>
      </c>
      <c r="U211" s="177">
        <f t="shared" si="37"/>
        <v>1601486.4562114859</v>
      </c>
    </row>
    <row r="212" spans="1:21" ht="15.75" customHeight="1" x14ac:dyDescent="0.35">
      <c r="A212" s="11">
        <v>9</v>
      </c>
      <c r="B212" s="12" t="s">
        <v>38</v>
      </c>
      <c r="C212" s="13">
        <v>2029</v>
      </c>
      <c r="D212" s="16">
        <f>Population!N10</f>
        <v>18131.408362664428</v>
      </c>
      <c r="E212" s="98">
        <f t="shared" si="29"/>
        <v>4.26</v>
      </c>
      <c r="F212" s="16">
        <f t="shared" si="30"/>
        <v>4256.1991461653588</v>
      </c>
      <c r="G212" s="16" t="str">
        <f t="shared" si="31"/>
        <v>Small</v>
      </c>
      <c r="H212" s="17"/>
      <c r="I212" s="121">
        <f>Variables!$B$3*POWER(SUM(1,Variables!$B$2/100),C212-2017)</f>
        <v>53009.377161699085</v>
      </c>
      <c r="J212" s="42">
        <f t="shared" si="32"/>
        <v>585.87085184026637</v>
      </c>
      <c r="K212" s="43">
        <f>VLOOKUP(A212,'Waste per capita'!$A$2:$F$21,6,FALSE)*(J212/J192)</f>
        <v>281.15970813097817</v>
      </c>
      <c r="L212" s="219">
        <f t="shared" si="33"/>
        <v>5097.8214832503081</v>
      </c>
      <c r="M212" s="45">
        <f>1</f>
        <v>1</v>
      </c>
      <c r="N212" s="135">
        <f t="shared" si="34"/>
        <v>5097.8214832503081</v>
      </c>
      <c r="P212" s="136">
        <f>Variables!$D$15</f>
        <v>10.755760368663594</v>
      </c>
      <c r="Q212" s="175">
        <f t="shared" si="35"/>
        <v>54830.946276065522</v>
      </c>
      <c r="R212" s="172">
        <f>Variables!$D$14</f>
        <v>5.2703140174813869</v>
      </c>
      <c r="S212" s="175">
        <f t="shared" si="36"/>
        <v>22431.5060212276</v>
      </c>
      <c r="T212" s="217">
        <f>Variables!$D$18</f>
        <v>5.032</v>
      </c>
      <c r="U212" s="177">
        <f t="shared" si="37"/>
        <v>25652.237703715549</v>
      </c>
    </row>
    <row r="213" spans="1:21" ht="15.75" customHeight="1" x14ac:dyDescent="0.35">
      <c r="A213" s="11">
        <v>10</v>
      </c>
      <c r="B213" s="12" t="s">
        <v>40</v>
      </c>
      <c r="C213" s="13">
        <v>2029</v>
      </c>
      <c r="D213" s="16">
        <f>Population!N11</f>
        <v>709403.51407385804</v>
      </c>
      <c r="E213" s="98">
        <f t="shared" si="29"/>
        <v>5.88</v>
      </c>
      <c r="F213" s="16">
        <f t="shared" si="30"/>
        <v>120646.85613500988</v>
      </c>
      <c r="G213" s="16" t="str">
        <f t="shared" si="31"/>
        <v>Medium</v>
      </c>
      <c r="H213" s="17"/>
      <c r="I213" s="121">
        <f>Variables!$B$3*POWER(SUM(1,Variables!$B$2/100),C213-2017)</f>
        <v>53009.377161699085</v>
      </c>
      <c r="J213" s="42">
        <f t="shared" si="32"/>
        <v>585.87085184026637</v>
      </c>
      <c r="K213" s="43">
        <f>VLOOKUP(A213,'Waste per capita'!$A$2:$F$21,6,FALSE)*(J213/J193)</f>
        <v>341.34208026182546</v>
      </c>
      <c r="L213" s="219">
        <f t="shared" si="33"/>
        <v>242149.27123901987</v>
      </c>
      <c r="M213" s="45">
        <f>1</f>
        <v>1</v>
      </c>
      <c r="N213" s="135">
        <f t="shared" si="34"/>
        <v>242149.27123901987</v>
      </c>
      <c r="P213" s="136">
        <f>Variables!$D$15</f>
        <v>10.755760368663594</v>
      </c>
      <c r="Q213" s="175">
        <f t="shared" si="35"/>
        <v>2604499.534893421</v>
      </c>
      <c r="R213" s="172">
        <f>Variables!$D$14</f>
        <v>5.2703140174813869</v>
      </c>
      <c r="S213" s="175">
        <f t="shared" si="36"/>
        <v>635846.81705340277</v>
      </c>
      <c r="T213" s="217">
        <f>Variables!$D$18</f>
        <v>5.032</v>
      </c>
      <c r="U213" s="177">
        <f t="shared" si="37"/>
        <v>1218495.132874748</v>
      </c>
    </row>
    <row r="214" spans="1:21" ht="15.75" customHeight="1" x14ac:dyDescent="0.35">
      <c r="A214" s="11">
        <v>11</v>
      </c>
      <c r="B214" s="12" t="s">
        <v>42</v>
      </c>
      <c r="C214" s="13">
        <v>2029</v>
      </c>
      <c r="D214" s="16">
        <f>Population!N12</f>
        <v>939394.95238299214</v>
      </c>
      <c r="E214" s="98">
        <f t="shared" si="29"/>
        <v>4.47</v>
      </c>
      <c r="F214" s="16">
        <f t="shared" si="30"/>
        <v>210155.47033176559</v>
      </c>
      <c r="G214" s="16" t="str">
        <f t="shared" si="31"/>
        <v>Medium</v>
      </c>
      <c r="H214" s="17"/>
      <c r="I214" s="121">
        <f>Variables!$B$3*POWER(SUM(1,Variables!$B$2/100),C214-2017)</f>
        <v>53009.377161699085</v>
      </c>
      <c r="J214" s="42">
        <f t="shared" si="32"/>
        <v>585.87085184026637</v>
      </c>
      <c r="K214" s="43">
        <f>VLOOKUP(A214,'Waste per capita'!$A$2:$F$21,6,FALSE)*(J214/J194)</f>
        <v>442.48085214055578</v>
      </c>
      <c r="L214" s="219">
        <f t="shared" si="33"/>
        <v>415664.27902696317</v>
      </c>
      <c r="M214" s="45">
        <f>1</f>
        <v>1</v>
      </c>
      <c r="N214" s="135">
        <f t="shared" si="34"/>
        <v>415664.27902696317</v>
      </c>
      <c r="P214" s="136">
        <f>Variables!$D$15</f>
        <v>10.755760368663594</v>
      </c>
      <c r="Q214" s="175">
        <f t="shared" si="35"/>
        <v>4470785.3790273368</v>
      </c>
      <c r="R214" s="172">
        <f>Variables!$D$14</f>
        <v>5.2703140174813869</v>
      </c>
      <c r="S214" s="175">
        <f t="shared" si="36"/>
        <v>1107585.3211398979</v>
      </c>
      <c r="T214" s="217">
        <f>Variables!$D$18</f>
        <v>5.032</v>
      </c>
      <c r="U214" s="177">
        <f t="shared" si="37"/>
        <v>2091622.6520636787</v>
      </c>
    </row>
    <row r="215" spans="1:21" ht="15.75" customHeight="1" x14ac:dyDescent="0.35">
      <c r="A215" s="11">
        <v>12</v>
      </c>
      <c r="B215" s="12" t="s">
        <v>44</v>
      </c>
      <c r="C215" s="13">
        <v>2029</v>
      </c>
      <c r="D215" s="16">
        <f>Population!N13</f>
        <v>695537.3963403888</v>
      </c>
      <c r="E215" s="98">
        <f t="shared" si="29"/>
        <v>3.93</v>
      </c>
      <c r="F215" s="16">
        <f t="shared" si="30"/>
        <v>176981.52578635846</v>
      </c>
      <c r="G215" s="16" t="str">
        <f t="shared" si="31"/>
        <v>Medium</v>
      </c>
      <c r="H215" s="17"/>
      <c r="I215" s="121">
        <f>Variables!$B$3*POWER(SUM(1,Variables!$B$2/100),C215-2017)</f>
        <v>53009.377161699085</v>
      </c>
      <c r="J215" s="42">
        <f t="shared" si="32"/>
        <v>585.87085184026637</v>
      </c>
      <c r="K215" s="43">
        <f>VLOOKUP(A215,'Waste per capita'!$A$2:$F$21,6,FALSE)*(J215/J195)</f>
        <v>281.15970813097817</v>
      </c>
      <c r="L215" s="219">
        <f t="shared" si="33"/>
        <v>195557.09134924421</v>
      </c>
      <c r="M215" s="45">
        <f>1</f>
        <v>1</v>
      </c>
      <c r="N215" s="135">
        <f t="shared" si="34"/>
        <v>195557.09134924421</v>
      </c>
      <c r="P215" s="136">
        <f>Variables!$D$15</f>
        <v>10.755760368663594</v>
      </c>
      <c r="Q215" s="175">
        <f t="shared" si="35"/>
        <v>2103365.2129453272</v>
      </c>
      <c r="R215" s="172">
        <f>Variables!$D$14</f>
        <v>5.2703140174813869</v>
      </c>
      <c r="S215" s="175">
        <f t="shared" si="36"/>
        <v>932748.21618708852</v>
      </c>
      <c r="T215" s="217">
        <f>Variables!$D$18</f>
        <v>5.032</v>
      </c>
      <c r="U215" s="177">
        <f t="shared" si="37"/>
        <v>984043.28366939689</v>
      </c>
    </row>
    <row r="216" spans="1:21" ht="15.75" customHeight="1" x14ac:dyDescent="0.35">
      <c r="A216" s="11">
        <v>13</v>
      </c>
      <c r="B216" s="12" t="s">
        <v>45</v>
      </c>
      <c r="C216" s="13">
        <v>2029</v>
      </c>
      <c r="D216" s="16">
        <f>Population!N14</f>
        <v>529713.63052124507</v>
      </c>
      <c r="E216" s="98">
        <f t="shared" si="29"/>
        <v>4.78</v>
      </c>
      <c r="F216" s="16">
        <f t="shared" si="30"/>
        <v>110818.75115507218</v>
      </c>
      <c r="G216" s="16" t="str">
        <f t="shared" si="31"/>
        <v>Medium</v>
      </c>
      <c r="H216" s="17"/>
      <c r="I216" s="121">
        <f>Variables!$B$3*POWER(SUM(1,Variables!$B$2/100),C216-2017)</f>
        <v>53009.377161699085</v>
      </c>
      <c r="J216" s="42">
        <f t="shared" si="32"/>
        <v>585.87085184026637</v>
      </c>
      <c r="K216" s="43">
        <f>VLOOKUP(A216,'Waste per capita'!$A$2:$F$21,6,FALSE)*(J216/J196)</f>
        <v>341.34208026182546</v>
      </c>
      <c r="L216" s="219">
        <f t="shared" si="33"/>
        <v>180813.5525851658</v>
      </c>
      <c r="M216" s="45">
        <f>1</f>
        <v>1</v>
      </c>
      <c r="N216" s="135">
        <f t="shared" si="34"/>
        <v>180813.5525851658</v>
      </c>
      <c r="P216" s="136">
        <f>Variables!$D$15</f>
        <v>10.755760368663594</v>
      </c>
      <c r="Q216" s="175">
        <f t="shared" si="35"/>
        <v>1944787.2430127971</v>
      </c>
      <c r="R216" s="172">
        <f>Variables!$D$14</f>
        <v>5.2703140174813869</v>
      </c>
      <c r="S216" s="175">
        <f t="shared" si="36"/>
        <v>584049.61761235853</v>
      </c>
      <c r="T216" s="217">
        <f>Variables!$D$18</f>
        <v>5.032</v>
      </c>
      <c r="U216" s="177">
        <f t="shared" si="37"/>
        <v>909853.79660855432</v>
      </c>
    </row>
    <row r="217" spans="1:21" ht="15.75" customHeight="1" x14ac:dyDescent="0.35">
      <c r="A217" s="11">
        <v>14</v>
      </c>
      <c r="B217" s="12" t="s">
        <v>46</v>
      </c>
      <c r="C217" s="13">
        <v>2029</v>
      </c>
      <c r="D217" s="16">
        <f>Population!N15</f>
        <v>2493186.3455238971</v>
      </c>
      <c r="E217" s="98">
        <f t="shared" ref="E217:E243" si="38">E197</f>
        <v>3.72</v>
      </c>
      <c r="F217" s="16">
        <f t="shared" si="30"/>
        <v>670211.38320534863</v>
      </c>
      <c r="G217" s="16" t="str">
        <f t="shared" si="31"/>
        <v>Large</v>
      </c>
      <c r="H217" s="17"/>
      <c r="I217" s="121">
        <f>Variables!$B$3*POWER(SUM(1,Variables!$B$2/100),C217-2017)</f>
        <v>53009.377161699085</v>
      </c>
      <c r="J217" s="42">
        <f t="shared" si="32"/>
        <v>585.87085184026637</v>
      </c>
      <c r="K217" s="43">
        <f>VLOOKUP(A217,'Waste per capita'!$A$2:$F$21,6,FALSE)*(J217/J197)</f>
        <v>736.41869761907333</v>
      </c>
      <c r="L217" s="219">
        <f t="shared" si="33"/>
        <v>1836029.0414923653</v>
      </c>
      <c r="M217" s="45">
        <f>1</f>
        <v>1</v>
      </c>
      <c r="N217" s="135">
        <f t="shared" si="34"/>
        <v>1836029.0414923653</v>
      </c>
      <c r="P217" s="136">
        <f>Variables!$D$15</f>
        <v>10.755760368663594</v>
      </c>
      <c r="Q217" s="175">
        <f t="shared" si="35"/>
        <v>19747888.400198989</v>
      </c>
      <c r="R217" s="172">
        <f>Variables!$D$14</f>
        <v>5.2703140174813869</v>
      </c>
      <c r="S217" s="175">
        <f t="shared" si="36"/>
        <v>3532224.4475827385</v>
      </c>
      <c r="T217" s="217">
        <f>Variables!$D$18</f>
        <v>5.032</v>
      </c>
      <c r="U217" s="177">
        <f t="shared" si="37"/>
        <v>9238898.1367895827</v>
      </c>
    </row>
    <row r="218" spans="1:21" ht="15.75" customHeight="1" x14ac:dyDescent="0.35">
      <c r="A218" s="11">
        <v>15</v>
      </c>
      <c r="B218" s="12" t="s">
        <v>47</v>
      </c>
      <c r="C218" s="13">
        <v>2029</v>
      </c>
      <c r="D218" s="16">
        <f>Population!N16</f>
        <v>107850.02346654625</v>
      </c>
      <c r="E218" s="98">
        <f t="shared" si="38"/>
        <v>4.72</v>
      </c>
      <c r="F218" s="16">
        <f t="shared" si="30"/>
        <v>22849.581242912343</v>
      </c>
      <c r="G218" s="16" t="str">
        <f t="shared" si="31"/>
        <v>Medium</v>
      </c>
      <c r="H218" s="17"/>
      <c r="I218" s="121">
        <f>Variables!$B$3*POWER(SUM(1,Variables!$B$2/100),C218-2017)</f>
        <v>53009.377161699085</v>
      </c>
      <c r="J218" s="42">
        <f t="shared" si="32"/>
        <v>585.87085184026637</v>
      </c>
      <c r="K218" s="43">
        <f>VLOOKUP(A218,'Waste per capita'!$A$2:$F$21,6,FALSE)*(J218/J198)</f>
        <v>281.15970813097817</v>
      </c>
      <c r="L218" s="219">
        <f t="shared" si="33"/>
        <v>30323.081119773291</v>
      </c>
      <c r="M218" s="45">
        <f>1</f>
        <v>1</v>
      </c>
      <c r="N218" s="135">
        <f t="shared" si="34"/>
        <v>30323.081119773291</v>
      </c>
      <c r="P218" s="136">
        <f>Variables!$D$15</f>
        <v>10.755760368663594</v>
      </c>
      <c r="Q218" s="175">
        <f t="shared" si="35"/>
        <v>326147.79416382883</v>
      </c>
      <c r="R218" s="172">
        <f>Variables!$D$14</f>
        <v>5.2703140174813869</v>
      </c>
      <c r="S218" s="175">
        <f t="shared" si="36"/>
        <v>120424.4683181007</v>
      </c>
      <c r="T218" s="217">
        <f>Variables!$D$18</f>
        <v>5.032</v>
      </c>
      <c r="U218" s="177">
        <f t="shared" si="37"/>
        <v>152585.74419469919</v>
      </c>
    </row>
    <row r="219" spans="1:21" ht="15.75" customHeight="1" x14ac:dyDescent="0.35">
      <c r="A219" s="11">
        <v>16</v>
      </c>
      <c r="B219" s="12" t="s">
        <v>48</v>
      </c>
      <c r="C219" s="13">
        <v>2029</v>
      </c>
      <c r="D219" s="16">
        <f>Population!N17</f>
        <v>107277.23793319221</v>
      </c>
      <c r="E219" s="98">
        <f t="shared" si="38"/>
        <v>3.45</v>
      </c>
      <c r="F219" s="16">
        <f t="shared" si="30"/>
        <v>31094.851574838322</v>
      </c>
      <c r="G219" s="16" t="str">
        <f t="shared" si="31"/>
        <v>Medium</v>
      </c>
      <c r="H219" s="17"/>
      <c r="I219" s="121">
        <f>Variables!$B$3*POWER(SUM(1,Variables!$B$2/100),C219-2017)</f>
        <v>53009.377161699085</v>
      </c>
      <c r="J219" s="42">
        <f t="shared" si="32"/>
        <v>585.87085184026637</v>
      </c>
      <c r="K219" s="43">
        <f>VLOOKUP(A219,'Waste per capita'!$A$2:$F$21,6,FALSE)*(J219/J199)</f>
        <v>281.15970813097817</v>
      </c>
      <c r="L219" s="219">
        <f t="shared" si="33"/>
        <v>30162.036906393823</v>
      </c>
      <c r="M219" s="45">
        <f>1</f>
        <v>1</v>
      </c>
      <c r="N219" s="135">
        <f t="shared" si="34"/>
        <v>30162.036906393823</v>
      </c>
      <c r="P219" s="136">
        <f>Variables!$D$15</f>
        <v>10.755760368663594</v>
      </c>
      <c r="Q219" s="175">
        <f t="shared" si="35"/>
        <v>324415.64119595935</v>
      </c>
      <c r="R219" s="172">
        <f>Variables!$D$14</f>
        <v>5.2703140174813869</v>
      </c>
      <c r="S219" s="175">
        <f t="shared" si="36"/>
        <v>163879.63212637359</v>
      </c>
      <c r="T219" s="217">
        <f>Variables!$D$18</f>
        <v>5.032</v>
      </c>
      <c r="U219" s="177">
        <f t="shared" si="37"/>
        <v>151775.36971297371</v>
      </c>
    </row>
    <row r="220" spans="1:21" ht="15.75" customHeight="1" x14ac:dyDescent="0.35">
      <c r="A220" s="11">
        <v>17</v>
      </c>
      <c r="B220" s="13" t="s">
        <v>49</v>
      </c>
      <c r="C220" s="13">
        <v>2029</v>
      </c>
      <c r="D220" s="16">
        <f>Population!N18</f>
        <v>26920.920067639625</v>
      </c>
      <c r="E220" s="98">
        <f t="shared" si="38"/>
        <v>4.78</v>
      </c>
      <c r="F220" s="16">
        <f t="shared" si="30"/>
        <v>5631.9916459497117</v>
      </c>
      <c r="G220" s="16" t="str">
        <f t="shared" si="31"/>
        <v>Small</v>
      </c>
      <c r="H220" s="17"/>
      <c r="I220" s="121">
        <f>Variables!$B$3*POWER(SUM(1,Variables!$B$2/100),C220-2017)</f>
        <v>53009.377161699085</v>
      </c>
      <c r="J220" s="42">
        <f t="shared" si="32"/>
        <v>585.87085184026637</v>
      </c>
      <c r="K220" s="43">
        <f>VLOOKUP(A220,'Waste per capita'!$A$2:$F$21,6,FALSE)*(J220/J200)</f>
        <v>281.15970813097817</v>
      </c>
      <c r="L220" s="219">
        <f t="shared" si="33"/>
        <v>7569.0780288349506</v>
      </c>
      <c r="M220" s="45">
        <f>1</f>
        <v>1</v>
      </c>
      <c r="N220" s="135">
        <f t="shared" si="34"/>
        <v>7569.0780288349506</v>
      </c>
      <c r="P220" s="136">
        <f>Variables!$D$15</f>
        <v>10.755760368663594</v>
      </c>
      <c r="Q220" s="175">
        <f t="shared" si="35"/>
        <v>81411.189489865326</v>
      </c>
      <c r="R220" s="172">
        <f>Variables!$D$14</f>
        <v>5.2703140174813869</v>
      </c>
      <c r="S220" s="175">
        <f t="shared" si="36"/>
        <v>29682.364517986833</v>
      </c>
      <c r="T220" s="217">
        <f>Variables!$D$18</f>
        <v>5.032</v>
      </c>
      <c r="U220" s="177">
        <f t="shared" si="37"/>
        <v>38087.600641097473</v>
      </c>
    </row>
    <row r="221" spans="1:21" ht="15.75" customHeight="1" x14ac:dyDescent="0.35">
      <c r="A221" s="11">
        <v>18</v>
      </c>
      <c r="B221" s="13" t="s">
        <v>51</v>
      </c>
      <c r="C221" s="13">
        <v>2029</v>
      </c>
      <c r="D221" s="16">
        <f>Population!N19</f>
        <v>2192.2777810837983</v>
      </c>
      <c r="E221" s="98">
        <f t="shared" si="38"/>
        <v>5.88</v>
      </c>
      <c r="F221" s="16">
        <f t="shared" si="30"/>
        <v>372.83635732717659</v>
      </c>
      <c r="G221" s="16" t="str">
        <f t="shared" si="31"/>
        <v>Small</v>
      </c>
      <c r="H221" s="17"/>
      <c r="I221" s="121">
        <f>Variables!$B$3*POWER(SUM(1,Variables!$B$2/100),C221-2017)</f>
        <v>53009.377161699085</v>
      </c>
      <c r="J221" s="42">
        <f t="shared" si="32"/>
        <v>585.87085184026637</v>
      </c>
      <c r="K221" s="43">
        <f>VLOOKUP(A221,'Waste per capita'!$A$2:$F$21,6,FALSE)*(J221/J201)</f>
        <v>281.15970813097817</v>
      </c>
      <c r="L221" s="219">
        <f t="shared" si="33"/>
        <v>616.38018107154915</v>
      </c>
      <c r="M221" s="45">
        <f>1</f>
        <v>1</v>
      </c>
      <c r="N221" s="135">
        <f t="shared" si="34"/>
        <v>616.38018107154915</v>
      </c>
      <c r="P221" s="136">
        <f>Variables!$D$15</f>
        <v>10.755760368663594</v>
      </c>
      <c r="Q221" s="175">
        <f t="shared" si="35"/>
        <v>6629.6375235990581</v>
      </c>
      <c r="R221" s="172">
        <f>Variables!$D$14</f>
        <v>5.2703140174813869</v>
      </c>
      <c r="S221" s="175">
        <f t="shared" si="36"/>
        <v>1964.9646802481179</v>
      </c>
      <c r="T221" s="217">
        <f>Variables!$D$18</f>
        <v>5.032</v>
      </c>
      <c r="U221" s="177">
        <f t="shared" si="37"/>
        <v>3101.6250711520352</v>
      </c>
    </row>
    <row r="222" spans="1:21" ht="15.75" customHeight="1" x14ac:dyDescent="0.35">
      <c r="A222" s="11">
        <v>19</v>
      </c>
      <c r="B222" s="13" t="s">
        <v>52</v>
      </c>
      <c r="C222" s="13">
        <v>2029</v>
      </c>
      <c r="D222" s="16">
        <f>Population!N20</f>
        <v>32119.929579973643</v>
      </c>
      <c r="E222" s="98">
        <f t="shared" si="38"/>
        <v>3.93</v>
      </c>
      <c r="F222" s="16">
        <f t="shared" si="30"/>
        <v>8173.0100712401127</v>
      </c>
      <c r="G222" s="16" t="str">
        <f t="shared" si="31"/>
        <v>Small</v>
      </c>
      <c r="H222" s="17"/>
      <c r="I222" s="121">
        <f>Variables!$B$3*POWER(SUM(1,Variables!$B$2/100),C222-2017)</f>
        <v>53009.377161699085</v>
      </c>
      <c r="J222" s="42">
        <f t="shared" si="32"/>
        <v>585.87085184026637</v>
      </c>
      <c r="K222" s="43">
        <f>VLOOKUP(A222,'Waste per capita'!$A$2:$F$21,6,FALSE)*(J222/J202)</f>
        <v>281.15970813097817</v>
      </c>
      <c r="L222" s="219">
        <f t="shared" si="33"/>
        <v>9030.8300258929612</v>
      </c>
      <c r="M222" s="45">
        <f>1</f>
        <v>1</v>
      </c>
      <c r="N222" s="135">
        <f t="shared" si="34"/>
        <v>9030.8300258929612</v>
      </c>
      <c r="P222" s="136">
        <f>Variables!$D$15</f>
        <v>10.755760368663594</v>
      </c>
      <c r="Q222" s="175">
        <f t="shared" si="35"/>
        <v>97133.443688636733</v>
      </c>
      <c r="R222" s="172">
        <f>Variables!$D$14</f>
        <v>5.2703140174813869</v>
      </c>
      <c r="S222" s="175">
        <f t="shared" si="36"/>
        <v>43074.329543473315</v>
      </c>
      <c r="T222" s="217">
        <f>Variables!$D$18</f>
        <v>5.032</v>
      </c>
      <c r="U222" s="177">
        <f t="shared" si="37"/>
        <v>45443.136690293381</v>
      </c>
    </row>
    <row r="223" spans="1:21" ht="15.75" customHeight="1" x14ac:dyDescent="0.35">
      <c r="A223" s="11">
        <v>20</v>
      </c>
      <c r="B223" s="13" t="s">
        <v>53</v>
      </c>
      <c r="C223" s="13">
        <v>2029</v>
      </c>
      <c r="D223" s="16">
        <f>Population!N21</f>
        <v>3733.3062571212281</v>
      </c>
      <c r="E223" s="98">
        <f t="shared" si="38"/>
        <v>3.94</v>
      </c>
      <c r="F223" s="16">
        <f t="shared" si="30"/>
        <v>947.53965916782442</v>
      </c>
      <c r="G223" s="16" t="str">
        <f t="shared" si="31"/>
        <v>Small</v>
      </c>
      <c r="H223" s="17"/>
      <c r="I223" s="121">
        <f>Variables!$B$3*POWER(SUM(1,Variables!$B$2/100),C223-2017)</f>
        <v>53009.377161699085</v>
      </c>
      <c r="J223" s="42">
        <f t="shared" si="32"/>
        <v>585.87085184026637</v>
      </c>
      <c r="K223" s="43">
        <f>VLOOKUP(A223,'Waste per capita'!$A$2:$F$21,6,FALSE)*(J223/J203)</f>
        <v>281.15970813097817</v>
      </c>
      <c r="L223" s="219">
        <f t="shared" si="33"/>
        <v>1049.6552976157591</v>
      </c>
      <c r="M223" s="45">
        <f>1</f>
        <v>1</v>
      </c>
      <c r="N223" s="135">
        <f t="shared" si="34"/>
        <v>1049.6552976157591</v>
      </c>
      <c r="P223" s="136">
        <f>Variables!$D$15</f>
        <v>10.755760368663594</v>
      </c>
      <c r="Q223" s="175">
        <f t="shared" si="35"/>
        <v>11289.840850853372</v>
      </c>
      <c r="R223" s="172">
        <f>Variables!$D$14</f>
        <v>5.2703140174813869</v>
      </c>
      <c r="S223" s="175">
        <f t="shared" si="36"/>
        <v>4993.8315478317209</v>
      </c>
      <c r="T223" s="217">
        <f>Variables!$D$18</f>
        <v>5.032</v>
      </c>
      <c r="U223" s="177">
        <f t="shared" si="37"/>
        <v>5281.8654576025001</v>
      </c>
    </row>
    <row r="224" spans="1:21" ht="15.75" customHeight="1" x14ac:dyDescent="0.35">
      <c r="A224" s="11">
        <v>1</v>
      </c>
      <c r="B224" s="12" t="s">
        <v>23</v>
      </c>
      <c r="C224" s="13">
        <v>2030</v>
      </c>
      <c r="D224" s="16">
        <f>Population!O2</f>
        <v>828315.49816982751</v>
      </c>
      <c r="E224" s="98">
        <f t="shared" si="38"/>
        <v>4.17</v>
      </c>
      <c r="F224" s="16">
        <f t="shared" si="30"/>
        <v>198636.81011266846</v>
      </c>
      <c r="G224" s="16" t="str">
        <f t="shared" si="31"/>
        <v>Medium</v>
      </c>
      <c r="H224" s="17"/>
      <c r="I224" s="121">
        <f>Variables!$B$3*POWER(SUM(1,Variables!$B$2/100),C224-2017)</f>
        <v>55871.883528430844</v>
      </c>
      <c r="J224" s="42">
        <f t="shared" si="32"/>
        <v>597.65734933890599</v>
      </c>
      <c r="K224" s="43">
        <f>VLOOKUP(A224,'Waste per capita'!$A$2:$F$21,6,FALSE)*(J224/J204)</f>
        <v>341.30069088878429</v>
      </c>
      <c r="L224" s="219">
        <f t="shared" si="33"/>
        <v>282704.65179924964</v>
      </c>
      <c r="M224" s="45">
        <f>1</f>
        <v>1</v>
      </c>
      <c r="N224" s="135">
        <f t="shared" si="34"/>
        <v>282704.65179924964</v>
      </c>
      <c r="P224" s="136">
        <f>Variables!$D$15</f>
        <v>10.755760368663594</v>
      </c>
      <c r="Q224" s="175">
        <f t="shared" si="35"/>
        <v>3040703.4898592103</v>
      </c>
      <c r="R224" s="172">
        <f>Variables!$D$14</f>
        <v>5.2703140174813869</v>
      </c>
      <c r="S224" s="175">
        <f t="shared" si="36"/>
        <v>1046878.3647245851</v>
      </c>
      <c r="T224" s="217">
        <f>Variables!$D$18</f>
        <v>5.032</v>
      </c>
      <c r="U224" s="177">
        <f t="shared" si="37"/>
        <v>1422569.8078538242</v>
      </c>
    </row>
    <row r="225" spans="1:21" ht="15.75" customHeight="1" x14ac:dyDescent="0.35">
      <c r="A225" s="11">
        <v>2</v>
      </c>
      <c r="B225" s="12" t="s">
        <v>26</v>
      </c>
      <c r="C225" s="13">
        <v>2030</v>
      </c>
      <c r="D225" s="16">
        <f>Population!O3</f>
        <v>573959.70289624901</v>
      </c>
      <c r="E225" s="98">
        <f t="shared" si="38"/>
        <v>4.29</v>
      </c>
      <c r="F225" s="16">
        <f t="shared" si="30"/>
        <v>133790.14053525619</v>
      </c>
      <c r="G225" s="16" t="str">
        <f t="shared" si="31"/>
        <v>Medium</v>
      </c>
      <c r="H225" s="17"/>
      <c r="I225" s="121">
        <f>Variables!$B$3*POWER(SUM(1,Variables!$B$2/100),C225-2017)</f>
        <v>55871.883528430844</v>
      </c>
      <c r="J225" s="42">
        <f t="shared" si="32"/>
        <v>597.65734933890599</v>
      </c>
      <c r="K225" s="43">
        <f>VLOOKUP(A225,'Waste per capita'!$A$2:$F$21,6,FALSE)*(J225/J205)</f>
        <v>341.30069088878429</v>
      </c>
      <c r="L225" s="219">
        <f t="shared" si="33"/>
        <v>195892.84314081114</v>
      </c>
      <c r="M225" s="45">
        <f>1</f>
        <v>1</v>
      </c>
      <c r="N225" s="135">
        <f t="shared" si="34"/>
        <v>195892.84314081114</v>
      </c>
      <c r="P225" s="136">
        <f>Variables!$D$15</f>
        <v>10.755760368663594</v>
      </c>
      <c r="Q225" s="175">
        <f t="shared" si="35"/>
        <v>2106976.4787587705</v>
      </c>
      <c r="R225" s="172">
        <f>Variables!$D$14</f>
        <v>5.2703140174813869</v>
      </c>
      <c r="S225" s="175">
        <f t="shared" si="36"/>
        <v>705116.0530637654</v>
      </c>
      <c r="T225" s="217">
        <f>Variables!$D$18</f>
        <v>5.032</v>
      </c>
      <c r="U225" s="177">
        <f t="shared" si="37"/>
        <v>985732.78668456164</v>
      </c>
    </row>
    <row r="226" spans="1:21" ht="15.75" customHeight="1" x14ac:dyDescent="0.35">
      <c r="A226" s="11">
        <v>3</v>
      </c>
      <c r="B226" s="12" t="s">
        <v>28</v>
      </c>
      <c r="C226" s="13">
        <v>2030</v>
      </c>
      <c r="D226" s="16">
        <f>Population!O4</f>
        <v>411017.79214643169</v>
      </c>
      <c r="E226" s="98">
        <f t="shared" si="38"/>
        <v>4.8600000000000003</v>
      </c>
      <c r="F226" s="16">
        <f t="shared" si="30"/>
        <v>84571.562170047662</v>
      </c>
      <c r="G226" s="16" t="str">
        <f t="shared" si="31"/>
        <v>Medium</v>
      </c>
      <c r="H226" s="17"/>
      <c r="I226" s="121">
        <f>Variables!$B$3*POWER(SUM(1,Variables!$B$2/100),C226-2017)</f>
        <v>55871.883528430844</v>
      </c>
      <c r="J226" s="42">
        <f t="shared" si="32"/>
        <v>597.65734933890599</v>
      </c>
      <c r="K226" s="43">
        <f>VLOOKUP(A226,'Waste per capita'!$A$2:$F$21,6,FALSE)*(J226/J206)</f>
        <v>296.81495326873414</v>
      </c>
      <c r="L226" s="219">
        <f t="shared" si="33"/>
        <v>121996.22676856141</v>
      </c>
      <c r="M226" s="45">
        <f>1</f>
        <v>1</v>
      </c>
      <c r="N226" s="135">
        <f t="shared" si="34"/>
        <v>121996.22676856141</v>
      </c>
      <c r="P226" s="136">
        <f>Variables!$D$15</f>
        <v>10.755760368663594</v>
      </c>
      <c r="Q226" s="175">
        <f t="shared" si="35"/>
        <v>1312162.1810037894</v>
      </c>
      <c r="R226" s="172">
        <f>Variables!$D$14</f>
        <v>5.2703140174813869</v>
      </c>
      <c r="S226" s="175">
        <f t="shared" si="36"/>
        <v>445718.6895851008</v>
      </c>
      <c r="T226" s="217">
        <f>Variables!$D$18</f>
        <v>5.032</v>
      </c>
      <c r="U226" s="177">
        <f t="shared" si="37"/>
        <v>613885.01309940103</v>
      </c>
    </row>
    <row r="227" spans="1:21" ht="15.75" customHeight="1" x14ac:dyDescent="0.35">
      <c r="A227" s="11">
        <v>4</v>
      </c>
      <c r="B227" s="12" t="s">
        <v>30</v>
      </c>
      <c r="C227" s="13">
        <v>2030</v>
      </c>
      <c r="D227" s="16">
        <f>Population!O5</f>
        <v>779180.15359052038</v>
      </c>
      <c r="E227" s="98">
        <f t="shared" si="38"/>
        <v>4.05</v>
      </c>
      <c r="F227" s="16">
        <f t="shared" si="30"/>
        <v>192390.16138037542</v>
      </c>
      <c r="G227" s="16" t="str">
        <f t="shared" si="31"/>
        <v>Medium</v>
      </c>
      <c r="H227" s="17"/>
      <c r="I227" s="121">
        <f>Variables!$B$3*POWER(SUM(1,Variables!$B$2/100),C227-2017)</f>
        <v>55871.883528430844</v>
      </c>
      <c r="J227" s="42">
        <f t="shared" si="32"/>
        <v>597.65734933890599</v>
      </c>
      <c r="K227" s="43">
        <f>VLOOKUP(A227,'Waste per capita'!$A$2:$F$21,6,FALSE)*(J227/J207)</f>
        <v>279.25727806327581</v>
      </c>
      <c r="L227" s="219">
        <f t="shared" si="33"/>
        <v>217591.7288126139</v>
      </c>
      <c r="M227" s="45">
        <f>1</f>
        <v>1</v>
      </c>
      <c r="N227" s="135">
        <f t="shared" si="34"/>
        <v>217591.7288126139</v>
      </c>
      <c r="P227" s="136">
        <f>Variables!$D$15</f>
        <v>10.755760368663594</v>
      </c>
      <c r="Q227" s="175">
        <f t="shared" si="35"/>
        <v>2340364.4933117088</v>
      </c>
      <c r="R227" s="172">
        <f>Variables!$D$14</f>
        <v>5.2703140174813869</v>
      </c>
      <c r="S227" s="175">
        <f t="shared" si="36"/>
        <v>1013956.5643484987</v>
      </c>
      <c r="T227" s="217">
        <f>Variables!$D$18</f>
        <v>5.032</v>
      </c>
      <c r="U227" s="177">
        <f t="shared" si="37"/>
        <v>1094921.5793850732</v>
      </c>
    </row>
    <row r="228" spans="1:21" ht="15.75" customHeight="1" x14ac:dyDescent="0.35">
      <c r="A228" s="11">
        <v>5</v>
      </c>
      <c r="B228" s="12" t="s">
        <v>31</v>
      </c>
      <c r="C228" s="13">
        <v>2030</v>
      </c>
      <c r="D228" s="16">
        <f>Population!O6</f>
        <v>496458.6879596822</v>
      </c>
      <c r="E228" s="98">
        <f t="shared" si="38"/>
        <v>4.2</v>
      </c>
      <c r="F228" s="16">
        <f t="shared" si="30"/>
        <v>118204.44951421003</v>
      </c>
      <c r="G228" s="16" t="str">
        <f t="shared" si="31"/>
        <v>Medium</v>
      </c>
      <c r="H228" s="17"/>
      <c r="I228" s="121">
        <f>Variables!$B$3*POWER(SUM(1,Variables!$B$2/100),C228-2017)</f>
        <v>55871.883528430844</v>
      </c>
      <c r="J228" s="42">
        <f t="shared" si="32"/>
        <v>597.65734933890599</v>
      </c>
      <c r="K228" s="43">
        <f>VLOOKUP(A228,'Waste per capita'!$A$2:$F$21,6,FALSE)*(J228/J208)</f>
        <v>341.30069088878429</v>
      </c>
      <c r="L228" s="219">
        <f t="shared" si="33"/>
        <v>169441.69319837893</v>
      </c>
      <c r="M228" s="45">
        <f>1</f>
        <v>1</v>
      </c>
      <c r="N228" s="135">
        <f t="shared" si="34"/>
        <v>169441.69319837893</v>
      </c>
      <c r="P228" s="136">
        <f>Variables!$D$15</f>
        <v>10.755760368663594</v>
      </c>
      <c r="Q228" s="175">
        <f t="shared" si="35"/>
        <v>1822474.2485023797</v>
      </c>
      <c r="R228" s="172">
        <f>Variables!$D$14</f>
        <v>5.2703140174813869</v>
      </c>
      <c r="S228" s="175">
        <f t="shared" si="36"/>
        <v>622974.56720341207</v>
      </c>
      <c r="T228" s="217">
        <f>Variables!$D$18</f>
        <v>5.032</v>
      </c>
      <c r="U228" s="177">
        <f t="shared" si="37"/>
        <v>852630.60017424275</v>
      </c>
    </row>
    <row r="229" spans="1:21" ht="15.75" customHeight="1" x14ac:dyDescent="0.35">
      <c r="A229" s="11">
        <v>6</v>
      </c>
      <c r="B229" s="12" t="s">
        <v>32</v>
      </c>
      <c r="C229" s="13">
        <v>2030</v>
      </c>
      <c r="D229" s="16">
        <f>Population!O7</f>
        <v>565479.89083669428</v>
      </c>
      <c r="E229" s="98">
        <f t="shared" si="38"/>
        <v>4.59</v>
      </c>
      <c r="F229" s="16">
        <f t="shared" si="30"/>
        <v>123198.23329775475</v>
      </c>
      <c r="G229" s="16" t="str">
        <f t="shared" si="31"/>
        <v>Medium</v>
      </c>
      <c r="H229" s="17"/>
      <c r="I229" s="121">
        <f>Variables!$B$3*POWER(SUM(1,Variables!$B$2/100),C229-2017)</f>
        <v>55871.883528430844</v>
      </c>
      <c r="J229" s="42">
        <f t="shared" si="32"/>
        <v>597.65734933890599</v>
      </c>
      <c r="K229" s="43">
        <f>VLOOKUP(A229,'Waste per capita'!$A$2:$F$21,6,FALSE)*(J229/J209)</f>
        <v>302.52293313928669</v>
      </c>
      <c r="L229" s="219">
        <f t="shared" si="33"/>
        <v>171070.63520720039</v>
      </c>
      <c r="M229" s="45">
        <f>1</f>
        <v>1</v>
      </c>
      <c r="N229" s="135">
        <f t="shared" si="34"/>
        <v>171070.63520720039</v>
      </c>
      <c r="P229" s="136">
        <f>Variables!$D$15</f>
        <v>10.755760368663594</v>
      </c>
      <c r="Q229" s="175">
        <f t="shared" si="35"/>
        <v>1839994.7584037129</v>
      </c>
      <c r="R229" s="172">
        <f>Variables!$D$14</f>
        <v>5.2703140174813869</v>
      </c>
      <c r="S229" s="175">
        <f t="shared" si="36"/>
        <v>649293.375878099</v>
      </c>
      <c r="T229" s="217">
        <f>Variables!$D$18</f>
        <v>5.032</v>
      </c>
      <c r="U229" s="177">
        <f t="shared" si="37"/>
        <v>860827.43636263243</v>
      </c>
    </row>
    <row r="230" spans="1:21" ht="15.75" customHeight="1" x14ac:dyDescent="0.35">
      <c r="A230" s="11">
        <v>7</v>
      </c>
      <c r="B230" s="12" t="s">
        <v>33</v>
      </c>
      <c r="C230" s="13">
        <v>2030</v>
      </c>
      <c r="D230" s="16">
        <f>Population!O8</f>
        <v>318652.6003004692</v>
      </c>
      <c r="E230" s="98">
        <f t="shared" si="38"/>
        <v>3.94</v>
      </c>
      <c r="F230" s="16">
        <f t="shared" si="30"/>
        <v>80876.29449250488</v>
      </c>
      <c r="G230" s="16" t="str">
        <f t="shared" si="31"/>
        <v>Medium</v>
      </c>
      <c r="H230" s="17"/>
      <c r="I230" s="121">
        <f>Variables!$B$3*POWER(SUM(1,Variables!$B$2/100),C230-2017)</f>
        <v>55871.883528430844</v>
      </c>
      <c r="J230" s="42">
        <f t="shared" si="32"/>
        <v>597.65734933890599</v>
      </c>
      <c r="K230" s="43">
        <f>VLOOKUP(A230,'Waste per capita'!$A$2:$F$21,6,FALSE)*(J230/J210)</f>
        <v>416.68253055033824</v>
      </c>
      <c r="L230" s="219">
        <f t="shared" si="33"/>
        <v>132776.97185964498</v>
      </c>
      <c r="M230" s="45">
        <f>1</f>
        <v>1</v>
      </c>
      <c r="N230" s="135">
        <f t="shared" si="34"/>
        <v>132776.97185964498</v>
      </c>
      <c r="P230" s="136">
        <f>Variables!$D$15</f>
        <v>10.755760368663594</v>
      </c>
      <c r="Q230" s="175">
        <f t="shared" si="35"/>
        <v>1428117.2917991308</v>
      </c>
      <c r="R230" s="172">
        <f>Variables!$D$14</f>
        <v>5.2703140174813869</v>
      </c>
      <c r="S230" s="175">
        <f t="shared" si="36"/>
        <v>426243.46854580118</v>
      </c>
      <c r="T230" s="217">
        <f>Variables!$D$18</f>
        <v>5.032</v>
      </c>
      <c r="U230" s="177">
        <f t="shared" si="37"/>
        <v>668133.7223977336</v>
      </c>
    </row>
    <row r="231" spans="1:21" ht="15.75" customHeight="1" x14ac:dyDescent="0.35">
      <c r="A231" s="11">
        <v>8</v>
      </c>
      <c r="B231" s="11" t="s">
        <v>36</v>
      </c>
      <c r="C231" s="13">
        <v>2030</v>
      </c>
      <c r="D231" s="16">
        <f>Population!O9</f>
        <v>1057191.6838136355</v>
      </c>
      <c r="E231" s="98">
        <f t="shared" si="38"/>
        <v>4.04</v>
      </c>
      <c r="F231" s="16">
        <f t="shared" si="30"/>
        <v>261681.10985486026</v>
      </c>
      <c r="G231" s="16" t="str">
        <f t="shared" si="31"/>
        <v>Large</v>
      </c>
      <c r="H231" s="17"/>
      <c r="I231" s="121">
        <f>Variables!$B$3*POWER(SUM(1,Variables!$B$2/100),C231-2017)</f>
        <v>55871.883528430844</v>
      </c>
      <c r="J231" s="42">
        <f t="shared" si="32"/>
        <v>597.65734933890599</v>
      </c>
      <c r="K231" s="43">
        <f>VLOOKUP(A231,'Waste per capita'!$A$2:$F$21,6,FALSE)*(J231/J211)</f>
        <v>308.2309130098393</v>
      </c>
      <c r="L231" s="219">
        <f t="shared" si="33"/>
        <v>325859.15792828618</v>
      </c>
      <c r="M231" s="45">
        <f>1</f>
        <v>1</v>
      </c>
      <c r="N231" s="135">
        <f t="shared" si="34"/>
        <v>325859.15792828618</v>
      </c>
      <c r="P231" s="136">
        <f>Variables!$D$15</f>
        <v>10.755760368663594</v>
      </c>
      <c r="Q231" s="175">
        <f t="shared" si="35"/>
        <v>3504863.0166111519</v>
      </c>
      <c r="R231" s="172">
        <f>Variables!$D$14</f>
        <v>5.2703140174813869</v>
      </c>
      <c r="S231" s="175">
        <f t="shared" si="36"/>
        <v>1379141.6213781568</v>
      </c>
      <c r="T231" s="217">
        <f>Variables!$D$18</f>
        <v>5.032</v>
      </c>
      <c r="U231" s="177">
        <f t="shared" si="37"/>
        <v>1639723.282695136</v>
      </c>
    </row>
    <row r="232" spans="1:21" ht="15.75" customHeight="1" x14ac:dyDescent="0.35">
      <c r="A232" s="11">
        <v>9</v>
      </c>
      <c r="B232" s="12" t="s">
        <v>38</v>
      </c>
      <c r="C232" s="13">
        <v>2030</v>
      </c>
      <c r="D232" s="16">
        <f>Population!O10</f>
        <v>18566.56216336837</v>
      </c>
      <c r="E232" s="98">
        <f t="shared" si="38"/>
        <v>4.26</v>
      </c>
      <c r="F232" s="16">
        <f t="shared" si="30"/>
        <v>4358.3479256733262</v>
      </c>
      <c r="G232" s="16" t="str">
        <f t="shared" si="31"/>
        <v>Small</v>
      </c>
      <c r="H232" s="17"/>
      <c r="I232" s="121">
        <f>Variables!$B$3*POWER(SUM(1,Variables!$B$2/100),C232-2017)</f>
        <v>55871.883528430844</v>
      </c>
      <c r="J232" s="42">
        <f t="shared" si="32"/>
        <v>597.65734933890599</v>
      </c>
      <c r="K232" s="43">
        <f>VLOOKUP(A232,'Waste per capita'!$A$2:$F$21,6,FALSE)*(J232/J212)</f>
        <v>281.12561616073219</v>
      </c>
      <c r="L232" s="219">
        <f t="shared" si="33"/>
        <v>5219.5362281634698</v>
      </c>
      <c r="M232" s="45">
        <f>1</f>
        <v>1</v>
      </c>
      <c r="N232" s="135">
        <f t="shared" si="34"/>
        <v>5219.5362281634698</v>
      </c>
      <c r="P232" s="136">
        <f>Variables!$D$15</f>
        <v>10.755760368663594</v>
      </c>
      <c r="Q232" s="175">
        <f t="shared" si="35"/>
        <v>56140.08090568451</v>
      </c>
      <c r="R232" s="172">
        <f>Variables!$D$14</f>
        <v>5.2703140174813869</v>
      </c>
      <c r="S232" s="175">
        <f t="shared" si="36"/>
        <v>22969.862165737057</v>
      </c>
      <c r="T232" s="217">
        <f>Variables!$D$18</f>
        <v>5.032</v>
      </c>
      <c r="U232" s="177">
        <f t="shared" si="37"/>
        <v>26264.706300118582</v>
      </c>
    </row>
    <row r="233" spans="1:21" ht="15.75" customHeight="1" x14ac:dyDescent="0.35">
      <c r="A233" s="11">
        <v>10</v>
      </c>
      <c r="B233" s="12" t="s">
        <v>40</v>
      </c>
      <c r="C233" s="13">
        <v>2030</v>
      </c>
      <c r="D233" s="16">
        <f>Population!O11</f>
        <v>726429.19841163047</v>
      </c>
      <c r="E233" s="98">
        <f t="shared" si="38"/>
        <v>5.88</v>
      </c>
      <c r="F233" s="16">
        <f t="shared" si="30"/>
        <v>123542.38068225008</v>
      </c>
      <c r="G233" s="16" t="str">
        <f t="shared" si="31"/>
        <v>Medium</v>
      </c>
      <c r="H233" s="17"/>
      <c r="I233" s="121">
        <f>Variables!$B$3*POWER(SUM(1,Variables!$B$2/100),C233-2017)</f>
        <v>55871.883528430844</v>
      </c>
      <c r="J233" s="42">
        <f t="shared" si="32"/>
        <v>597.65734933890599</v>
      </c>
      <c r="K233" s="43">
        <f>VLOOKUP(A233,'Waste per capita'!$A$2:$F$21,6,FALSE)*(J233/J213)</f>
        <v>341.30069088878429</v>
      </c>
      <c r="L233" s="219">
        <f t="shared" si="33"/>
        <v>247930.78729967523</v>
      </c>
      <c r="M233" s="45">
        <f>1</f>
        <v>1</v>
      </c>
      <c r="N233" s="135">
        <f t="shared" si="34"/>
        <v>247930.78729967523</v>
      </c>
      <c r="P233" s="136">
        <f>Variables!$D$15</f>
        <v>10.755760368663594</v>
      </c>
      <c r="Q233" s="175">
        <f t="shared" si="35"/>
        <v>2666684.1362094101</v>
      </c>
      <c r="R233" s="172">
        <f>Variables!$D$14</f>
        <v>5.2703140174813869</v>
      </c>
      <c r="S233" s="175">
        <f t="shared" si="36"/>
        <v>651107.14066268434</v>
      </c>
      <c r="T233" s="217">
        <f>Variables!$D$18</f>
        <v>5.032</v>
      </c>
      <c r="U233" s="177">
        <f t="shared" si="37"/>
        <v>1247587.7216919658</v>
      </c>
    </row>
    <row r="234" spans="1:21" ht="15.75" customHeight="1" x14ac:dyDescent="0.35">
      <c r="A234" s="11">
        <v>11</v>
      </c>
      <c r="B234" s="12" t="s">
        <v>42</v>
      </c>
      <c r="C234" s="13">
        <v>2030</v>
      </c>
      <c r="D234" s="16">
        <f>Population!O12</f>
        <v>961940.43124018377</v>
      </c>
      <c r="E234" s="98">
        <f t="shared" si="38"/>
        <v>4.47</v>
      </c>
      <c r="F234" s="16">
        <f t="shared" si="30"/>
        <v>215199.20161972792</v>
      </c>
      <c r="G234" s="16" t="str">
        <f t="shared" si="31"/>
        <v>Medium</v>
      </c>
      <c r="H234" s="17"/>
      <c r="I234" s="121">
        <f>Variables!$B$3*POWER(SUM(1,Variables!$B$2/100),C234-2017)</f>
        <v>55871.883528430844</v>
      </c>
      <c r="J234" s="42">
        <f t="shared" si="32"/>
        <v>597.65734933890599</v>
      </c>
      <c r="K234" s="43">
        <f>VLOOKUP(A234,'Waste per capita'!$A$2:$F$21,6,FALSE)*(J234/J214)</f>
        <v>442.42719920377527</v>
      </c>
      <c r="L234" s="219">
        <f t="shared" si="33"/>
        <v>425588.61079446628</v>
      </c>
      <c r="M234" s="45">
        <f>1</f>
        <v>1</v>
      </c>
      <c r="N234" s="135">
        <f t="shared" si="34"/>
        <v>425588.61079446628</v>
      </c>
      <c r="P234" s="136">
        <f>Variables!$D$15</f>
        <v>10.755760368663594</v>
      </c>
      <c r="Q234" s="175">
        <f t="shared" si="35"/>
        <v>4577529.1133377152</v>
      </c>
      <c r="R234" s="172">
        <f>Variables!$D$14</f>
        <v>5.2703140174813869</v>
      </c>
      <c r="S234" s="175">
        <f t="shared" si="36"/>
        <v>1134167.3688472551</v>
      </c>
      <c r="T234" s="217">
        <f>Variables!$D$18</f>
        <v>5.032</v>
      </c>
      <c r="U234" s="177">
        <f t="shared" si="37"/>
        <v>2141561.8895177543</v>
      </c>
    </row>
    <row r="235" spans="1:21" ht="15.75" customHeight="1" x14ac:dyDescent="0.35">
      <c r="A235" s="11">
        <v>12</v>
      </c>
      <c r="B235" s="12" t="s">
        <v>44</v>
      </c>
      <c r="C235" s="13">
        <v>2030</v>
      </c>
      <c r="D235" s="16">
        <f>Population!O13</f>
        <v>712230.29385255801</v>
      </c>
      <c r="E235" s="98">
        <f t="shared" si="38"/>
        <v>3.93</v>
      </c>
      <c r="F235" s="16">
        <f t="shared" si="30"/>
        <v>181229.08240523105</v>
      </c>
      <c r="G235" s="16" t="str">
        <f t="shared" si="31"/>
        <v>Medium</v>
      </c>
      <c r="H235" s="17"/>
      <c r="I235" s="121">
        <f>Variables!$B$3*POWER(SUM(1,Variables!$B$2/100),C235-2017)</f>
        <v>55871.883528430844</v>
      </c>
      <c r="J235" s="42">
        <f t="shared" si="32"/>
        <v>597.65734933890599</v>
      </c>
      <c r="K235" s="43">
        <f>VLOOKUP(A235,'Waste per capita'!$A$2:$F$21,6,FALSE)*(J235/J215)</f>
        <v>281.12561616073219</v>
      </c>
      <c r="L235" s="219">
        <f t="shared" si="33"/>
        <v>200226.18020763973</v>
      </c>
      <c r="M235" s="45">
        <f>1</f>
        <v>1</v>
      </c>
      <c r="N235" s="135">
        <f t="shared" si="34"/>
        <v>200226.18020763973</v>
      </c>
      <c r="P235" s="136">
        <f>Variables!$D$15</f>
        <v>10.755760368663594</v>
      </c>
      <c r="Q235" s="175">
        <f t="shared" si="35"/>
        <v>2153584.8138462263</v>
      </c>
      <c r="R235" s="172">
        <f>Variables!$D$14</f>
        <v>5.2703140174813869</v>
      </c>
      <c r="S235" s="175">
        <f t="shared" si="36"/>
        <v>955134.1733755786</v>
      </c>
      <c r="T235" s="217">
        <f>Variables!$D$18</f>
        <v>5.032</v>
      </c>
      <c r="U235" s="177">
        <f t="shared" si="37"/>
        <v>1007538.1388048431</v>
      </c>
    </row>
    <row r="236" spans="1:21" ht="15.75" customHeight="1" x14ac:dyDescent="0.35">
      <c r="A236" s="11">
        <v>13</v>
      </c>
      <c r="B236" s="12" t="s">
        <v>45</v>
      </c>
      <c r="C236" s="13">
        <v>2030</v>
      </c>
      <c r="D236" s="16">
        <f>Population!O14</f>
        <v>542426.7576537549</v>
      </c>
      <c r="E236" s="98">
        <f t="shared" si="38"/>
        <v>4.78</v>
      </c>
      <c r="F236" s="16">
        <f t="shared" si="30"/>
        <v>113478.40118279391</v>
      </c>
      <c r="G236" s="16" t="str">
        <f t="shared" si="31"/>
        <v>Medium</v>
      </c>
      <c r="H236" s="17"/>
      <c r="I236" s="121">
        <f>Variables!$B$3*POWER(SUM(1,Variables!$B$2/100),C236-2017)</f>
        <v>55871.883528430844</v>
      </c>
      <c r="J236" s="42">
        <f t="shared" si="32"/>
        <v>597.65734933890599</v>
      </c>
      <c r="K236" s="43">
        <f>VLOOKUP(A236,'Waste per capita'!$A$2:$F$21,6,FALSE)*(J236/J216)</f>
        <v>341.30069088878429</v>
      </c>
      <c r="L236" s="219">
        <f t="shared" si="33"/>
        <v>185130.62714378972</v>
      </c>
      <c r="M236" s="45">
        <f>1</f>
        <v>1</v>
      </c>
      <c r="N236" s="135">
        <f t="shared" si="34"/>
        <v>185130.62714378972</v>
      </c>
      <c r="P236" s="136">
        <f>Variables!$D$15</f>
        <v>10.755760368663594</v>
      </c>
      <c r="Q236" s="175">
        <f t="shared" si="35"/>
        <v>1991220.6624590103</v>
      </c>
      <c r="R236" s="172">
        <f>Variables!$D$14</f>
        <v>5.2703140174813869</v>
      </c>
      <c r="S236" s="175">
        <f t="shared" si="36"/>
        <v>598066.80843505519</v>
      </c>
      <c r="T236" s="217">
        <f>Variables!$D$18</f>
        <v>5.032</v>
      </c>
      <c r="U236" s="177">
        <f t="shared" si="37"/>
        <v>931577.31578754995</v>
      </c>
    </row>
    <row r="237" spans="1:21" ht="15.75" customHeight="1" x14ac:dyDescent="0.35">
      <c r="A237" s="11">
        <v>14</v>
      </c>
      <c r="B237" s="12" t="s">
        <v>46</v>
      </c>
      <c r="C237" s="13">
        <v>2030</v>
      </c>
      <c r="D237" s="16">
        <f>Population!O15</f>
        <v>2553022.8178164703</v>
      </c>
      <c r="E237" s="98">
        <f t="shared" si="38"/>
        <v>3.72</v>
      </c>
      <c r="F237" s="16">
        <f t="shared" si="30"/>
        <v>686296.45640227688</v>
      </c>
      <c r="G237" s="16" t="str">
        <f t="shared" si="31"/>
        <v>Large</v>
      </c>
      <c r="H237" s="17"/>
      <c r="I237" s="121">
        <f>Variables!$B$3*POWER(SUM(1,Variables!$B$2/100),C237-2017)</f>
        <v>55871.883528430844</v>
      </c>
      <c r="J237" s="42">
        <f t="shared" si="32"/>
        <v>597.65734933890599</v>
      </c>
      <c r="K237" s="43">
        <f>VLOOKUP(A237,'Waste per capita'!$A$2:$F$21,6,FALSE)*(J237/J217)</f>
        <v>736.32940330128258</v>
      </c>
      <c r="L237" s="219">
        <f t="shared" si="33"/>
        <v>1879865.7680573605</v>
      </c>
      <c r="M237" s="45">
        <f>1</f>
        <v>1</v>
      </c>
      <c r="N237" s="135">
        <f t="shared" si="34"/>
        <v>1879865.7680573605</v>
      </c>
      <c r="P237" s="136">
        <f>Variables!$D$15</f>
        <v>10.755760368663594</v>
      </c>
      <c r="Q237" s="175">
        <f t="shared" si="35"/>
        <v>20219385.726478707</v>
      </c>
      <c r="R237" s="172">
        <f>Variables!$D$14</f>
        <v>5.2703140174813869</v>
      </c>
      <c r="S237" s="175">
        <f t="shared" si="36"/>
        <v>3616997.8343247236</v>
      </c>
      <c r="T237" s="217">
        <f>Variables!$D$18</f>
        <v>5.032</v>
      </c>
      <c r="U237" s="177">
        <f t="shared" si="37"/>
        <v>9459484.5448646378</v>
      </c>
    </row>
    <row r="238" spans="1:21" ht="15.75" customHeight="1" x14ac:dyDescent="0.35">
      <c r="A238" s="11">
        <v>15</v>
      </c>
      <c r="B238" s="12" t="s">
        <v>47</v>
      </c>
      <c r="C238" s="13">
        <v>2030</v>
      </c>
      <c r="D238" s="16">
        <f>Population!O16</f>
        <v>110438.42402974334</v>
      </c>
      <c r="E238" s="98">
        <f t="shared" si="38"/>
        <v>4.72</v>
      </c>
      <c r="F238" s="16">
        <f t="shared" si="30"/>
        <v>23397.971192742236</v>
      </c>
      <c r="G238" s="16" t="str">
        <f t="shared" si="31"/>
        <v>Medium</v>
      </c>
      <c r="H238" s="17"/>
      <c r="I238" s="121">
        <f>Variables!$B$3*POWER(SUM(1,Variables!$B$2/100),C238-2017)</f>
        <v>55871.883528430844</v>
      </c>
      <c r="J238" s="42">
        <f t="shared" si="32"/>
        <v>597.65734933890599</v>
      </c>
      <c r="K238" s="43">
        <f>VLOOKUP(A238,'Waste per capita'!$A$2:$F$21,6,FALSE)*(J238/J218)</f>
        <v>281.12561616073219</v>
      </c>
      <c r="L238" s="219">
        <f t="shared" si="33"/>
        <v>31047.070003181812</v>
      </c>
      <c r="M238" s="45">
        <f>1</f>
        <v>1</v>
      </c>
      <c r="N238" s="135">
        <f t="shared" si="34"/>
        <v>31047.070003181812</v>
      </c>
      <c r="P238" s="136">
        <f>Variables!$D$15</f>
        <v>10.755760368663594</v>
      </c>
      <c r="Q238" s="175">
        <f t="shared" si="35"/>
        <v>333934.84510334721</v>
      </c>
      <c r="R238" s="172">
        <f>Variables!$D$14</f>
        <v>5.2703140174813869</v>
      </c>
      <c r="S238" s="175">
        <f t="shared" si="36"/>
        <v>123314.6555577351</v>
      </c>
      <c r="T238" s="217">
        <f>Variables!$D$18</f>
        <v>5.032</v>
      </c>
      <c r="U238" s="177">
        <f t="shared" si="37"/>
        <v>156228.85625601088</v>
      </c>
    </row>
    <row r="239" spans="1:21" ht="15.75" customHeight="1" x14ac:dyDescent="0.35">
      <c r="A239" s="11">
        <v>16</v>
      </c>
      <c r="B239" s="12" t="s">
        <v>48</v>
      </c>
      <c r="C239" s="13">
        <v>2030</v>
      </c>
      <c r="D239" s="16">
        <f>Population!O17</f>
        <v>109851.89164358881</v>
      </c>
      <c r="E239" s="98">
        <f t="shared" si="38"/>
        <v>3.45</v>
      </c>
      <c r="F239" s="16">
        <f t="shared" si="30"/>
        <v>31841.128012634435</v>
      </c>
      <c r="G239" s="16" t="str">
        <f t="shared" si="31"/>
        <v>Medium</v>
      </c>
      <c r="H239" s="17"/>
      <c r="I239" s="121">
        <f>Variables!$B$3*POWER(SUM(1,Variables!$B$2/100),C239-2017)</f>
        <v>55871.883528430844</v>
      </c>
      <c r="J239" s="42">
        <f t="shared" si="32"/>
        <v>597.65734933890599</v>
      </c>
      <c r="K239" s="43">
        <f>VLOOKUP(A239,'Waste per capita'!$A$2:$F$21,6,FALSE)*(J239/J219)</f>
        <v>281.12561616073219</v>
      </c>
      <c r="L239" s="219">
        <f t="shared" si="33"/>
        <v>30882.180724725891</v>
      </c>
      <c r="M239" s="45">
        <f>1</f>
        <v>1</v>
      </c>
      <c r="N239" s="135">
        <f t="shared" si="34"/>
        <v>30882.180724725891</v>
      </c>
      <c r="P239" s="136">
        <f>Variables!$D$15</f>
        <v>10.755760368663594</v>
      </c>
      <c r="Q239" s="175">
        <f t="shared" si="35"/>
        <v>332161.33553691348</v>
      </c>
      <c r="R239" s="172">
        <f>Variables!$D$14</f>
        <v>5.2703140174813869</v>
      </c>
      <c r="S239" s="175">
        <f t="shared" si="36"/>
        <v>167812.74329740653</v>
      </c>
      <c r="T239" s="217">
        <f>Variables!$D$18</f>
        <v>5.032</v>
      </c>
      <c r="U239" s="177">
        <f t="shared" si="37"/>
        <v>155399.13340682068</v>
      </c>
    </row>
    <row r="240" spans="1:21" ht="15.75" customHeight="1" x14ac:dyDescent="0.35">
      <c r="A240" s="11">
        <v>17</v>
      </c>
      <c r="B240" s="13" t="s">
        <v>49</v>
      </c>
      <c r="C240" s="13">
        <v>2030</v>
      </c>
      <c r="D240" s="16">
        <f>Population!O18</f>
        <v>27567.022149262975</v>
      </c>
      <c r="E240" s="98">
        <f t="shared" si="38"/>
        <v>4.78</v>
      </c>
      <c r="F240" s="16">
        <f t="shared" si="30"/>
        <v>5767.1594454525048</v>
      </c>
      <c r="G240" s="16" t="str">
        <f t="shared" si="31"/>
        <v>Small</v>
      </c>
      <c r="H240" s="17"/>
      <c r="I240" s="121">
        <f>Variables!$B$3*POWER(SUM(1,Variables!$B$2/100),C240-2017)</f>
        <v>55871.883528430844</v>
      </c>
      <c r="J240" s="42">
        <f t="shared" si="32"/>
        <v>597.65734933890599</v>
      </c>
      <c r="K240" s="43">
        <f>VLOOKUP(A240,'Waste per capita'!$A$2:$F$21,6,FALSE)*(J240/J220)</f>
        <v>281.12561616073219</v>
      </c>
      <c r="L240" s="219">
        <f t="shared" si="33"/>
        <v>7749.7960874281061</v>
      </c>
      <c r="M240" s="45">
        <f>1</f>
        <v>1</v>
      </c>
      <c r="N240" s="135">
        <f t="shared" si="34"/>
        <v>7749.7960874281061</v>
      </c>
      <c r="P240" s="136">
        <f>Variables!$D$15</f>
        <v>10.755760368663594</v>
      </c>
      <c r="Q240" s="175">
        <f t="shared" si="35"/>
        <v>83354.949622383414</v>
      </c>
      <c r="R240" s="172">
        <f>Variables!$D$14</f>
        <v>5.2703140174813869</v>
      </c>
      <c r="S240" s="175">
        <f t="shared" si="36"/>
        <v>30394.741266418518</v>
      </c>
      <c r="T240" s="217">
        <f>Variables!$D$18</f>
        <v>5.032</v>
      </c>
      <c r="U240" s="177">
        <f t="shared" si="37"/>
        <v>38996.973911938228</v>
      </c>
    </row>
    <row r="241" spans="1:21" ht="15.75" customHeight="1" x14ac:dyDescent="0.35">
      <c r="A241" s="11">
        <v>18</v>
      </c>
      <c r="B241" s="13" t="s">
        <v>51</v>
      </c>
      <c r="C241" s="13">
        <v>2030</v>
      </c>
      <c r="D241" s="16">
        <f>Population!O19</f>
        <v>2244.892447829809</v>
      </c>
      <c r="E241" s="98">
        <f t="shared" si="38"/>
        <v>5.88</v>
      </c>
      <c r="F241" s="16">
        <f t="shared" si="30"/>
        <v>381.78442990302875</v>
      </c>
      <c r="G241" s="16" t="str">
        <f t="shared" si="31"/>
        <v>Small</v>
      </c>
      <c r="H241" s="17"/>
      <c r="I241" s="121">
        <f>Variables!$B$3*POWER(SUM(1,Variables!$B$2/100),C241-2017)</f>
        <v>55871.883528430844</v>
      </c>
      <c r="J241" s="42">
        <f t="shared" si="32"/>
        <v>597.65734933890599</v>
      </c>
      <c r="K241" s="43">
        <f>VLOOKUP(A241,'Waste per capita'!$A$2:$F$21,6,FALSE)*(J241/J221)</f>
        <v>281.12561616073219</v>
      </c>
      <c r="L241" s="219">
        <f t="shared" si="33"/>
        <v>631.09677261072943</v>
      </c>
      <c r="M241" s="45">
        <f>1</f>
        <v>1</v>
      </c>
      <c r="N241" s="135">
        <f t="shared" si="34"/>
        <v>631.09677261072943</v>
      </c>
      <c r="P241" s="136">
        <f>Variables!$D$15</f>
        <v>10.755760368663594</v>
      </c>
      <c r="Q241" s="175">
        <f t="shared" si="35"/>
        <v>6787.9256556379842</v>
      </c>
      <c r="R241" s="172">
        <f>Variables!$D$14</f>
        <v>5.2703140174813869</v>
      </c>
      <c r="S241" s="175">
        <f t="shared" si="36"/>
        <v>2012.1238325740724</v>
      </c>
      <c r="T241" s="217">
        <f>Variables!$D$18</f>
        <v>5.032</v>
      </c>
      <c r="U241" s="177">
        <f t="shared" si="37"/>
        <v>3175.6789597771904</v>
      </c>
    </row>
    <row r="242" spans="1:21" ht="15.75" customHeight="1" x14ac:dyDescent="0.35">
      <c r="A242" s="11">
        <v>19</v>
      </c>
      <c r="B242" s="13" t="s">
        <v>52</v>
      </c>
      <c r="C242" s="13">
        <v>2030</v>
      </c>
      <c r="D242" s="16">
        <f>Population!O20</f>
        <v>32890.807889893011</v>
      </c>
      <c r="E242" s="98">
        <f t="shared" si="38"/>
        <v>3.93</v>
      </c>
      <c r="F242" s="16">
        <f t="shared" si="30"/>
        <v>8369.1623129498748</v>
      </c>
      <c r="G242" s="16" t="str">
        <f t="shared" si="31"/>
        <v>Small</v>
      </c>
      <c r="H242" s="17"/>
      <c r="I242" s="121">
        <f>Variables!$B$3*POWER(SUM(1,Variables!$B$2/100),C242-2017)</f>
        <v>55871.883528430844</v>
      </c>
      <c r="J242" s="42">
        <f t="shared" si="32"/>
        <v>597.65734933890599</v>
      </c>
      <c r="K242" s="43">
        <f>VLOOKUP(A242,'Waste per capita'!$A$2:$F$21,6,FALSE)*(J242/J222)</f>
        <v>281.12561616073219</v>
      </c>
      <c r="L242" s="219">
        <f t="shared" si="33"/>
        <v>9246.4486340704443</v>
      </c>
      <c r="M242" s="45">
        <f>1</f>
        <v>1</v>
      </c>
      <c r="N242" s="135">
        <f t="shared" si="34"/>
        <v>9246.4486340704443</v>
      </c>
      <c r="P242" s="136">
        <f>Variables!$D$15</f>
        <v>10.755760368663594</v>
      </c>
      <c r="Q242" s="175">
        <f t="shared" si="35"/>
        <v>99452.585769218509</v>
      </c>
      <c r="R242" s="172">
        <f>Variables!$D$14</f>
        <v>5.2703140174813869</v>
      </c>
      <c r="S242" s="175">
        <f t="shared" si="36"/>
        <v>44108.113452516671</v>
      </c>
      <c r="T242" s="217">
        <f>Variables!$D$18</f>
        <v>5.032</v>
      </c>
      <c r="U242" s="177">
        <f t="shared" si="37"/>
        <v>46528.129526642479</v>
      </c>
    </row>
    <row r="243" spans="1:21" ht="15.75" customHeight="1" x14ac:dyDescent="0.35">
      <c r="A243" s="11">
        <v>20</v>
      </c>
      <c r="B243" s="13" t="s">
        <v>53</v>
      </c>
      <c r="C243" s="13">
        <v>2030</v>
      </c>
      <c r="D243" s="16">
        <f>Population!O21</f>
        <v>3822.9056072921371</v>
      </c>
      <c r="E243" s="98">
        <f t="shared" si="38"/>
        <v>3.94</v>
      </c>
      <c r="F243" s="16">
        <f t="shared" si="30"/>
        <v>970.28061098785213</v>
      </c>
      <c r="G243" s="16" t="str">
        <f t="shared" si="31"/>
        <v>Small</v>
      </c>
      <c r="I243" s="121">
        <f>Variables!$B$3*POWER(SUM(1,Variables!$B$2/100),C243-2017)</f>
        <v>55871.883528430844</v>
      </c>
      <c r="J243" s="42">
        <f t="shared" si="32"/>
        <v>597.65734933890599</v>
      </c>
      <c r="K243" s="43">
        <f>VLOOKUP(A243,'Waste per capita'!$A$2:$F$21,6,FALSE)*(J243/J223)</f>
        <v>281.12561616073219</v>
      </c>
      <c r="L243" s="219">
        <f t="shared" si="33"/>
        <v>1074.71669437432</v>
      </c>
      <c r="M243" s="45">
        <f>1</f>
        <v>1</v>
      </c>
      <c r="N243" s="135">
        <f t="shared" si="34"/>
        <v>1074.71669437432</v>
      </c>
      <c r="P243" s="136">
        <f>Variables!$D$15</f>
        <v>10.755760368663594</v>
      </c>
      <c r="Q243" s="175">
        <f t="shared" si="35"/>
        <v>11559.395228892456</v>
      </c>
      <c r="R243" s="172">
        <f>Variables!$D$14</f>
        <v>5.2703140174813869</v>
      </c>
      <c r="S243" s="175">
        <f t="shared" si="36"/>
        <v>5113.6835049796819</v>
      </c>
      <c r="T243" s="217">
        <f>Variables!$D$18</f>
        <v>5.032</v>
      </c>
      <c r="U243" s="177">
        <f t="shared" si="37"/>
        <v>5407.9744060915782</v>
      </c>
    </row>
    <row r="244" spans="1:21" ht="15.75" customHeight="1" x14ac:dyDescent="0.5">
      <c r="Q244" s="228">
        <f>SUM(Q4:Q243)</f>
        <v>527141527.63478911</v>
      </c>
      <c r="R244" s="229"/>
      <c r="S244" s="228">
        <f>SUM(S4:S243)</f>
        <v>144150775.22685373</v>
      </c>
      <c r="T244" s="230"/>
      <c r="U244" s="231">
        <f>SUM(U4:U243)</f>
        <v>246619120.93043777</v>
      </c>
    </row>
    <row r="245" spans="1:21" ht="15.75" customHeight="1" x14ac:dyDescent="0.35"/>
    <row r="246" spans="1:21" ht="15.75" customHeight="1" x14ac:dyDescent="0.35"/>
    <row r="247" spans="1:21" ht="15.75" customHeight="1" x14ac:dyDescent="0.35"/>
    <row r="248" spans="1:21" ht="15.75" customHeight="1" x14ac:dyDescent="0.35"/>
    <row r="249" spans="1:21" ht="15.75" customHeight="1" x14ac:dyDescent="0.35"/>
    <row r="250" spans="1:21" ht="15.75" customHeight="1" x14ac:dyDescent="0.35"/>
    <row r="251" spans="1:21" ht="15.75" customHeight="1" x14ac:dyDescent="0.35"/>
    <row r="252" spans="1:21" ht="15.75" customHeight="1" x14ac:dyDescent="0.35"/>
    <row r="253" spans="1:21" ht="15.75" customHeight="1" x14ac:dyDescent="0.35"/>
    <row r="254" spans="1:21" ht="15.75" customHeight="1" x14ac:dyDescent="0.35"/>
    <row r="255" spans="1:21" ht="15.75" customHeight="1" x14ac:dyDescent="0.35"/>
    <row r="256" spans="1:2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9">
    <mergeCell ref="I1:N1"/>
    <mergeCell ref="I2:L2"/>
    <mergeCell ref="M2:N2"/>
    <mergeCell ref="T2:U2"/>
    <mergeCell ref="W1:AB1"/>
    <mergeCell ref="W2:Z2"/>
    <mergeCell ref="AA2:AB2"/>
    <mergeCell ref="P2:S2"/>
    <mergeCell ref="P1:U1"/>
  </mergeCells>
  <conditionalFormatting sqref="AA1:AA1048576">
    <cfRule type="cellIs" dxfId="0" priority="1" operator="equal">
      <formula>$AA$7</formula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6CE6742A-B338-4701-A5FD-EAA3E7DA3CA5}">
            <xm:f>'\Users\suzan\OneDrive\DOCUME~1\Adulting\Jobs\AIDDAT~1\UNHABI~1\WORKIN~1\RESEAR~1\India\[SOLID WASTE SHEET_India.xlsx]Variables'!#REF!</xm:f>
            <x14:dxf>
              <font>
                <color rgb="FFFF0000"/>
              </font>
            </x14:dxf>
          </x14:cfRule>
          <xm:sqref>W1:AB2</xm:sqref>
        </x14:conditionalFormatting>
        <x14:conditionalFormatting xmlns:xm="http://schemas.microsoft.com/office/excel/2006/main">
          <x14:cfRule type="cellIs" priority="2" operator="equal" id="{50D7CC5C-3EC3-41A5-A705-E3DD5A0DEB76}">
            <xm:f>'\Users\suzan\OneDrive\DOCUME~1\Adulting\Jobs\AIDDAT~1\UNHABI~1\WORKIN~1\RESEAR~1\India\[SOLID WASTE SHEET_India.xlsx]Variables'!#REF!</xm:f>
            <x14:dxf>
              <font>
                <color rgb="FFFF0000"/>
              </font>
            </x14:dxf>
          </x14:cfRule>
          <xm:sqref>AA3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1002"/>
  <sheetViews>
    <sheetView topLeftCell="A4" zoomScale="85" zoomScaleNormal="85" workbookViewId="0">
      <selection activeCell="D14" sqref="D14"/>
    </sheetView>
  </sheetViews>
  <sheetFormatPr defaultColWidth="11.23046875" defaultRowHeight="15" customHeight="1" x14ac:dyDescent="0.35"/>
  <cols>
    <col min="1" max="1" width="70.07421875" style="32" bestFit="1" customWidth="1"/>
    <col min="2" max="2" width="12.3046875" style="115" bestFit="1" customWidth="1"/>
    <col min="3" max="3" width="8.61328125" style="32" bestFit="1" customWidth="1"/>
    <col min="4" max="4" width="15.3828125" style="32" customWidth="1"/>
    <col min="5" max="5" width="11.53515625" style="13" customWidth="1"/>
    <col min="6" max="6" width="10.53515625" style="13" customWidth="1"/>
    <col min="7" max="7" width="10.53515625" style="32" customWidth="1"/>
    <col min="8" max="21" width="10.53515625" style="13" customWidth="1"/>
    <col min="22" max="16384" width="11.23046875" style="13"/>
  </cols>
  <sheetData>
    <row r="1" spans="1:7" s="9" customFormat="1" ht="42.5" customHeight="1" x14ac:dyDescent="0.35">
      <c r="A1" s="88" t="s">
        <v>0</v>
      </c>
      <c r="B1" s="110" t="s">
        <v>56</v>
      </c>
      <c r="C1" s="88" t="s">
        <v>2</v>
      </c>
      <c r="D1" s="111" t="s">
        <v>57</v>
      </c>
      <c r="E1" s="29" t="s">
        <v>3</v>
      </c>
      <c r="F1" s="30"/>
      <c r="G1" s="31"/>
    </row>
    <row r="2" spans="1:7" ht="14.25" customHeight="1" x14ac:dyDescent="0.35">
      <c r="A2" s="34" t="s">
        <v>4</v>
      </c>
      <c r="B2" s="112">
        <v>5.4</v>
      </c>
      <c r="C2" s="34"/>
      <c r="D2" s="37"/>
      <c r="E2" s="87" t="s">
        <v>135</v>
      </c>
    </row>
    <row r="3" spans="1:7" ht="15.75" customHeight="1" x14ac:dyDescent="0.35">
      <c r="A3" s="34" t="s">
        <v>150</v>
      </c>
      <c r="B3" s="112">
        <v>28201.056</v>
      </c>
      <c r="C3" s="35">
        <v>2018</v>
      </c>
      <c r="D3" s="36"/>
      <c r="E3" s="87" t="s">
        <v>25</v>
      </c>
      <c r="G3" s="33"/>
    </row>
    <row r="4" spans="1:7" ht="14.25" customHeight="1" x14ac:dyDescent="0.35">
      <c r="A4" s="105" t="s">
        <v>145</v>
      </c>
      <c r="B4" s="106">
        <v>2.4E-2</v>
      </c>
      <c r="C4" s="90" t="s">
        <v>146</v>
      </c>
      <c r="E4" s="107" t="s">
        <v>147</v>
      </c>
      <c r="G4" s="13"/>
    </row>
    <row r="5" spans="1:7" ht="15.75" customHeight="1" x14ac:dyDescent="0.35">
      <c r="A5" s="34" t="s">
        <v>85</v>
      </c>
      <c r="B5" s="76">
        <v>160000</v>
      </c>
      <c r="C5" s="38"/>
      <c r="D5" s="39"/>
      <c r="E5" s="13" t="s">
        <v>27</v>
      </c>
      <c r="G5" s="33"/>
    </row>
    <row r="6" spans="1:7" ht="15.75" customHeight="1" x14ac:dyDescent="0.35">
      <c r="A6" s="34" t="s">
        <v>58</v>
      </c>
      <c r="B6" s="112">
        <v>774000</v>
      </c>
      <c r="C6" s="35">
        <v>2005</v>
      </c>
      <c r="D6" s="36"/>
      <c r="E6" s="32" t="s">
        <v>29</v>
      </c>
      <c r="G6" s="33"/>
    </row>
    <row r="7" spans="1:7" ht="15.75" customHeight="1" x14ac:dyDescent="0.35">
      <c r="A7" s="89" t="s">
        <v>59</v>
      </c>
      <c r="B7" s="112">
        <v>0.33800000000000002</v>
      </c>
      <c r="C7" s="35">
        <v>2005</v>
      </c>
      <c r="E7" s="13" t="s">
        <v>14</v>
      </c>
      <c r="G7" s="33"/>
    </row>
    <row r="8" spans="1:7" ht="15.75" customHeight="1" x14ac:dyDescent="0.35">
      <c r="A8" s="35" t="s">
        <v>60</v>
      </c>
      <c r="B8" s="76">
        <f>B6*B7</f>
        <v>261612.00000000003</v>
      </c>
      <c r="C8" s="34">
        <v>2005</v>
      </c>
      <c r="D8" s="221">
        <f>B8*(B12/B9)*POWER(SUM(1,B13),2019-2017)</f>
        <v>369220.3273427402</v>
      </c>
      <c r="G8" s="33"/>
    </row>
    <row r="9" spans="1:7" ht="15.75" customHeight="1" x14ac:dyDescent="0.35">
      <c r="A9" s="35" t="s">
        <v>34</v>
      </c>
      <c r="B9" s="112">
        <v>87.772999999999996</v>
      </c>
      <c r="C9" s="35">
        <v>2005</v>
      </c>
      <c r="D9" s="36"/>
      <c r="E9" s="87" t="s">
        <v>35</v>
      </c>
      <c r="G9" s="33"/>
    </row>
    <row r="10" spans="1:7" ht="15.75" customHeight="1" x14ac:dyDescent="0.35">
      <c r="A10" s="35" t="s">
        <v>37</v>
      </c>
      <c r="B10" s="112">
        <v>104.89100000000001</v>
      </c>
      <c r="C10" s="35">
        <v>2012</v>
      </c>
      <c r="D10" s="36"/>
      <c r="E10" s="13" t="s">
        <v>14</v>
      </c>
      <c r="G10" s="33"/>
    </row>
    <row r="11" spans="1:7" ht="15.75" customHeight="1" x14ac:dyDescent="0.35">
      <c r="A11" s="35" t="s">
        <v>39</v>
      </c>
      <c r="B11" s="112">
        <v>100</v>
      </c>
      <c r="C11" s="35">
        <v>2010</v>
      </c>
      <c r="D11" s="36"/>
      <c r="E11" s="13" t="s">
        <v>14</v>
      </c>
      <c r="G11" s="33"/>
    </row>
    <row r="12" spans="1:7" ht="15.75" customHeight="1" x14ac:dyDescent="0.35">
      <c r="A12" s="35" t="s">
        <v>41</v>
      </c>
      <c r="B12" s="112">
        <v>119.605</v>
      </c>
      <c r="C12" s="35">
        <v>2017</v>
      </c>
      <c r="D12" s="36"/>
      <c r="E12" s="13" t="s">
        <v>14</v>
      </c>
      <c r="G12" s="33"/>
    </row>
    <row r="13" spans="1:7" ht="15.75" customHeight="1" x14ac:dyDescent="0.35">
      <c r="A13" s="34" t="s">
        <v>43</v>
      </c>
      <c r="B13" s="113">
        <f>0.0177</f>
        <v>1.77E-2</v>
      </c>
      <c r="C13" s="34"/>
      <c r="D13" s="37"/>
      <c r="E13" s="13" t="s">
        <v>14</v>
      </c>
      <c r="G13" s="33"/>
    </row>
    <row r="14" spans="1:7" ht="15.75" customHeight="1" x14ac:dyDescent="0.35">
      <c r="A14" s="34" t="s">
        <v>130</v>
      </c>
      <c r="B14" s="76">
        <f>14.8</f>
        <v>14.8</v>
      </c>
      <c r="C14" s="34">
        <v>2013</v>
      </c>
      <c r="D14" s="220">
        <f>B14/B22*B20</f>
        <v>5.2703140174813869</v>
      </c>
      <c r="E14" s="87" t="s">
        <v>127</v>
      </c>
      <c r="G14" s="33"/>
    </row>
    <row r="15" spans="1:7" ht="15.75" customHeight="1" x14ac:dyDescent="0.35">
      <c r="A15" s="34" t="s">
        <v>61</v>
      </c>
      <c r="B15" s="76">
        <f>AVERAGE(28.8,49)</f>
        <v>38.9</v>
      </c>
      <c r="C15" s="114">
        <v>2017</v>
      </c>
      <c r="D15" s="220">
        <f>B15/B23*B21</f>
        <v>10.755760368663594</v>
      </c>
      <c r="E15" s="75" t="s">
        <v>120</v>
      </c>
      <c r="G15" s="33"/>
    </row>
    <row r="16" spans="1:7" ht="15.75" customHeight="1" x14ac:dyDescent="0.35">
      <c r="A16" s="34" t="s">
        <v>62</v>
      </c>
      <c r="B16" s="112">
        <v>21035624</v>
      </c>
      <c r="C16" s="35">
        <v>2010</v>
      </c>
      <c r="D16" s="36"/>
      <c r="E16" s="87" t="s">
        <v>25</v>
      </c>
      <c r="G16" s="33"/>
    </row>
    <row r="17" spans="1:7" ht="15.75" customHeight="1" x14ac:dyDescent="0.35">
      <c r="A17" s="90" t="s">
        <v>153</v>
      </c>
      <c r="B17" s="78">
        <f>1647.41-417.73*LN(B16)+29.43*(LN(B16))^2</f>
        <v>2971.2352755627444</v>
      </c>
      <c r="C17" s="90">
        <v>2010</v>
      </c>
      <c r="D17" s="90"/>
      <c r="E17" s="13" t="s">
        <v>50</v>
      </c>
      <c r="G17" s="33"/>
    </row>
    <row r="18" spans="1:7" ht="15.75" customHeight="1" x14ac:dyDescent="0.35">
      <c r="A18" s="90" t="s">
        <v>81</v>
      </c>
      <c r="B18" s="78"/>
      <c r="C18" s="90">
        <v>2018</v>
      </c>
      <c r="D18" s="215">
        <f>'Sanitary Landfilling'!B22</f>
        <v>5.032</v>
      </c>
      <c r="E18" s="216" t="s">
        <v>222</v>
      </c>
      <c r="G18" s="77"/>
    </row>
    <row r="19" spans="1:7" ht="15.75" customHeight="1" x14ac:dyDescent="0.35">
      <c r="G19" s="33"/>
    </row>
    <row r="20" spans="1:7" ht="15.75" customHeight="1" x14ac:dyDescent="0.35">
      <c r="A20" s="32" t="s">
        <v>129</v>
      </c>
      <c r="B20" s="119">
        <v>1.1000000000000001</v>
      </c>
      <c r="E20" s="87" t="s">
        <v>152</v>
      </c>
      <c r="G20" s="77"/>
    </row>
    <row r="21" spans="1:7" ht="15.75" customHeight="1" x14ac:dyDescent="0.35">
      <c r="A21" s="32" t="s">
        <v>119</v>
      </c>
      <c r="B21" s="120">
        <v>1.08</v>
      </c>
      <c r="E21" s="87" t="s">
        <v>152</v>
      </c>
      <c r="G21" s="77"/>
    </row>
    <row r="22" spans="1:7" ht="15.75" customHeight="1" x14ac:dyDescent="0.35">
      <c r="A22" s="32" t="s">
        <v>128</v>
      </c>
      <c r="B22" s="78">
        <v>3.089</v>
      </c>
      <c r="E22" s="87" t="s">
        <v>149</v>
      </c>
      <c r="G22" s="77"/>
    </row>
    <row r="23" spans="1:7" ht="15.75" customHeight="1" x14ac:dyDescent="0.35">
      <c r="A23" s="32" t="s">
        <v>118</v>
      </c>
      <c r="B23" s="79">
        <v>3.9060000000000001</v>
      </c>
      <c r="E23" s="87" t="s">
        <v>149</v>
      </c>
    </row>
    <row r="24" spans="1:7" ht="15.75" customHeight="1" x14ac:dyDescent="0.35">
      <c r="A24" s="32" t="s">
        <v>54</v>
      </c>
      <c r="B24" s="78">
        <v>4.0350000000000001</v>
      </c>
      <c r="E24" s="87" t="s">
        <v>149</v>
      </c>
    </row>
    <row r="25" spans="1:7" ht="15.75" customHeight="1" x14ac:dyDescent="0.35">
      <c r="B25" s="78"/>
    </row>
    <row r="26" spans="1:7" ht="15.75" customHeight="1" x14ac:dyDescent="0.35">
      <c r="A26" s="89" t="s">
        <v>55</v>
      </c>
      <c r="B26" s="116">
        <v>0.35799999999999998</v>
      </c>
      <c r="C26" s="117"/>
      <c r="D26" s="118"/>
      <c r="E26" s="108" t="s">
        <v>148</v>
      </c>
    </row>
    <row r="27" spans="1:7" ht="15.75" customHeight="1" x14ac:dyDescent="0.35"/>
    <row r="28" spans="1:7" ht="15.75" customHeight="1" x14ac:dyDescent="0.35"/>
    <row r="29" spans="1:7" ht="15.75" customHeight="1" x14ac:dyDescent="0.35"/>
    <row r="30" spans="1:7" ht="15.75" customHeight="1" x14ac:dyDescent="0.35"/>
    <row r="31" spans="1:7" ht="15.75" customHeight="1" x14ac:dyDescent="0.35"/>
    <row r="32" spans="1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hyperlinks>
    <hyperlink ref="E14" r:id="rId1" xr:uid="{AC7A6CC1-57D0-459B-82E5-D5983025424E}"/>
    <hyperlink ref="E2" r:id="rId2" xr:uid="{259D10FA-C9FA-4566-9D34-8C9B532E06B8}"/>
    <hyperlink ref="E4" r:id="rId3" xr:uid="{C09C1152-A389-4E54-A95F-2876E9C54B88}"/>
    <hyperlink ref="E26" r:id="rId4" xr:uid="{D9CC776D-AF01-49E1-91D0-1CCE904597FB}"/>
    <hyperlink ref="E22" r:id="rId5" xr:uid="{8A1C21BB-08CD-4D8C-9D19-BC962D703532}"/>
    <hyperlink ref="E23" r:id="rId6" xr:uid="{8B63C04C-5903-4F17-8C6A-014387C00430}"/>
    <hyperlink ref="E24" r:id="rId7" xr:uid="{76FAEB43-4EA3-448F-81EA-651A5B41B4CB}"/>
    <hyperlink ref="E3" r:id="rId8" xr:uid="{C31DA504-2BE6-4FC4-A742-405172568463}"/>
    <hyperlink ref="E16" r:id="rId9" xr:uid="{7208E5C6-C251-4BC7-B054-80A48C614CD3}"/>
    <hyperlink ref="E9" r:id="rId10" xr:uid="{28D8469F-F2BE-4626-A6D9-EAF9EFA9C18A}"/>
    <hyperlink ref="E20" r:id="rId11" xr:uid="{35EA4852-8646-4F64-80CC-5C72DC175B78}"/>
    <hyperlink ref="E21" r:id="rId12" xr:uid="{3DD1206F-51EE-4912-BB65-0F6C0837C581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D685-7DCB-47AF-95C9-BBFDFEFE5300}">
  <dimension ref="A1:C22"/>
  <sheetViews>
    <sheetView workbookViewId="0">
      <selection activeCell="F8" sqref="F8"/>
    </sheetView>
  </sheetViews>
  <sheetFormatPr defaultRowHeight="15.5" x14ac:dyDescent="0.35"/>
  <cols>
    <col min="1" max="1" width="2.69140625" style="94" bestFit="1" customWidth="1"/>
    <col min="2" max="2" width="13.3046875" style="94" bestFit="1" customWidth="1"/>
    <col min="3" max="3" width="9.23046875" style="94"/>
  </cols>
  <sheetData>
    <row r="1" spans="1:3" ht="29" x14ac:dyDescent="0.35">
      <c r="A1" s="91" t="s">
        <v>11</v>
      </c>
      <c r="B1" s="91" t="s">
        <v>12</v>
      </c>
      <c r="C1" s="91" t="s">
        <v>132</v>
      </c>
    </row>
    <row r="2" spans="1:3" x14ac:dyDescent="0.35">
      <c r="A2" s="22">
        <v>1</v>
      </c>
      <c r="B2" s="92" t="s">
        <v>23</v>
      </c>
      <c r="C2" s="93">
        <v>4.17</v>
      </c>
    </row>
    <row r="3" spans="1:3" x14ac:dyDescent="0.35">
      <c r="A3" s="22">
        <v>2</v>
      </c>
      <c r="B3" s="92" t="s">
        <v>26</v>
      </c>
      <c r="C3" s="93">
        <v>4.29</v>
      </c>
    </row>
    <row r="4" spans="1:3" x14ac:dyDescent="0.35">
      <c r="A4" s="22">
        <v>3</v>
      </c>
      <c r="B4" s="92" t="s">
        <v>28</v>
      </c>
      <c r="C4" s="93">
        <v>4.8600000000000003</v>
      </c>
    </row>
    <row r="5" spans="1:3" x14ac:dyDescent="0.35">
      <c r="A5" s="22">
        <v>4</v>
      </c>
      <c r="B5" s="92" t="s">
        <v>30</v>
      </c>
      <c r="C5" s="93">
        <v>4.05</v>
      </c>
    </row>
    <row r="6" spans="1:3" x14ac:dyDescent="0.35">
      <c r="A6" s="22">
        <v>5</v>
      </c>
      <c r="B6" s="92" t="s">
        <v>31</v>
      </c>
      <c r="C6" s="93">
        <v>4.2</v>
      </c>
    </row>
    <row r="7" spans="1:3" x14ac:dyDescent="0.35">
      <c r="A7" s="22">
        <v>6</v>
      </c>
      <c r="B7" s="92" t="s">
        <v>32</v>
      </c>
      <c r="C7" s="93">
        <v>4.59</v>
      </c>
    </row>
    <row r="8" spans="1:3" x14ac:dyDescent="0.35">
      <c r="A8" s="22">
        <v>7</v>
      </c>
      <c r="B8" s="92" t="s">
        <v>33</v>
      </c>
      <c r="C8" s="93">
        <v>3.94</v>
      </c>
    </row>
    <row r="9" spans="1:3" x14ac:dyDescent="0.35">
      <c r="A9" s="22">
        <v>8</v>
      </c>
      <c r="B9" s="22" t="s">
        <v>36</v>
      </c>
      <c r="C9" s="93">
        <v>4.04</v>
      </c>
    </row>
    <row r="10" spans="1:3" x14ac:dyDescent="0.35">
      <c r="A10" s="22">
        <v>9</v>
      </c>
      <c r="B10" s="92" t="s">
        <v>38</v>
      </c>
      <c r="C10" s="93">
        <v>4.26</v>
      </c>
    </row>
    <row r="11" spans="1:3" x14ac:dyDescent="0.35">
      <c r="A11" s="22">
        <v>10</v>
      </c>
      <c r="B11" s="92" t="s">
        <v>40</v>
      </c>
      <c r="C11" s="93">
        <v>5.88</v>
      </c>
    </row>
    <row r="12" spans="1:3" x14ac:dyDescent="0.35">
      <c r="A12" s="22">
        <v>11</v>
      </c>
      <c r="B12" s="92" t="s">
        <v>42</v>
      </c>
      <c r="C12" s="93">
        <v>4.47</v>
      </c>
    </row>
    <row r="13" spans="1:3" x14ac:dyDescent="0.35">
      <c r="A13" s="22">
        <v>12</v>
      </c>
      <c r="B13" s="92" t="s">
        <v>44</v>
      </c>
      <c r="C13" s="93">
        <v>3.93</v>
      </c>
    </row>
    <row r="14" spans="1:3" x14ac:dyDescent="0.35">
      <c r="A14" s="22">
        <v>13</v>
      </c>
      <c r="B14" s="92" t="s">
        <v>45</v>
      </c>
      <c r="C14" s="93">
        <v>4.78</v>
      </c>
    </row>
    <row r="15" spans="1:3" x14ac:dyDescent="0.35">
      <c r="A15" s="22">
        <v>14</v>
      </c>
      <c r="B15" s="92" t="s">
        <v>46</v>
      </c>
      <c r="C15" s="93">
        <v>3.72</v>
      </c>
    </row>
    <row r="16" spans="1:3" x14ac:dyDescent="0.35">
      <c r="A16" s="22">
        <v>15</v>
      </c>
      <c r="B16" s="92" t="s">
        <v>47</v>
      </c>
      <c r="C16" s="93">
        <v>4.72</v>
      </c>
    </row>
    <row r="17" spans="1:3" x14ac:dyDescent="0.35">
      <c r="A17" s="22">
        <v>16</v>
      </c>
      <c r="B17" s="92" t="s">
        <v>48</v>
      </c>
      <c r="C17" s="93">
        <v>3.45</v>
      </c>
    </row>
    <row r="18" spans="1:3" x14ac:dyDescent="0.35">
      <c r="A18" s="22">
        <v>17</v>
      </c>
      <c r="B18" s="94" t="s">
        <v>49</v>
      </c>
      <c r="C18" s="93">
        <v>4.78</v>
      </c>
    </row>
    <row r="19" spans="1:3" x14ac:dyDescent="0.35">
      <c r="A19" s="22">
        <v>18</v>
      </c>
      <c r="B19" s="94" t="s">
        <v>51</v>
      </c>
      <c r="C19" s="93">
        <v>5.88</v>
      </c>
    </row>
    <row r="20" spans="1:3" x14ac:dyDescent="0.35">
      <c r="A20" s="22">
        <v>19</v>
      </c>
      <c r="B20" s="94" t="s">
        <v>52</v>
      </c>
      <c r="C20" s="93">
        <v>3.93</v>
      </c>
    </row>
    <row r="21" spans="1:3" x14ac:dyDescent="0.35">
      <c r="A21" s="22">
        <v>20</v>
      </c>
      <c r="B21" s="94" t="s">
        <v>53</v>
      </c>
      <c r="C21" s="93">
        <v>3.94</v>
      </c>
    </row>
    <row r="22" spans="1:3" x14ac:dyDescent="0.35">
      <c r="A22" s="260"/>
      <c r="B22" s="260"/>
      <c r="C22" s="95" t="s">
        <v>133</v>
      </c>
    </row>
  </sheetData>
  <mergeCells count="1">
    <mergeCell ref="A22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E663-3512-4569-8681-A40B8FD33CCB}">
  <dimension ref="A1:J21"/>
  <sheetViews>
    <sheetView zoomScale="85" zoomScaleNormal="85" workbookViewId="0">
      <selection activeCell="F11" sqref="F11"/>
    </sheetView>
  </sheetViews>
  <sheetFormatPr defaultRowHeight="14.5" x14ac:dyDescent="0.35"/>
  <cols>
    <col min="1" max="1" width="3.23046875" style="49" bestFit="1" customWidth="1"/>
    <col min="2" max="2" width="13.3046875" style="62" bestFit="1" customWidth="1"/>
    <col min="3" max="3" width="24.53515625" style="49" bestFit="1" customWidth="1"/>
    <col min="4" max="4" width="8.765625" style="143" bestFit="1" customWidth="1"/>
    <col min="5" max="5" width="9.3046875" style="159" bestFit="1" customWidth="1"/>
    <col min="6" max="6" width="52.53515625" style="46" bestFit="1" customWidth="1"/>
    <col min="7" max="7" width="6.15234375" style="46" bestFit="1" customWidth="1"/>
    <col min="8" max="8" width="4.3828125" style="46" bestFit="1" customWidth="1"/>
    <col min="9" max="9" width="19.53515625" style="46" customWidth="1"/>
    <col min="10" max="16384" width="9.23046875" style="46"/>
  </cols>
  <sheetData>
    <row r="1" spans="1:10" s="48" customFormat="1" ht="29" x14ac:dyDescent="0.35">
      <c r="A1" s="161" t="s">
        <v>65</v>
      </c>
      <c r="B1" s="162" t="s">
        <v>12</v>
      </c>
      <c r="C1" s="163" t="s">
        <v>94</v>
      </c>
      <c r="D1" s="164" t="s">
        <v>66</v>
      </c>
      <c r="E1" s="165" t="s">
        <v>141</v>
      </c>
      <c r="F1" s="166" t="s">
        <v>67</v>
      </c>
      <c r="G1" s="167" t="s">
        <v>3</v>
      </c>
      <c r="H1" s="166" t="s">
        <v>2</v>
      </c>
      <c r="I1" s="166" t="s">
        <v>68</v>
      </c>
    </row>
    <row r="2" spans="1:10" x14ac:dyDescent="0.35">
      <c r="A2" s="47">
        <v>1</v>
      </c>
      <c r="B2" s="61" t="s">
        <v>23</v>
      </c>
      <c r="C2" s="66" t="s">
        <v>95</v>
      </c>
      <c r="D2" s="140">
        <v>8.06</v>
      </c>
      <c r="E2" s="156">
        <v>1</v>
      </c>
      <c r="F2" s="100" t="s">
        <v>111</v>
      </c>
      <c r="G2" s="104" t="s">
        <v>112</v>
      </c>
      <c r="H2" s="66">
        <v>2018</v>
      </c>
      <c r="I2" s="66"/>
    </row>
    <row r="3" spans="1:10" x14ac:dyDescent="0.35">
      <c r="A3" s="47">
        <v>2</v>
      </c>
      <c r="B3" s="61" t="s">
        <v>26</v>
      </c>
      <c r="C3" s="56" t="s">
        <v>97</v>
      </c>
      <c r="D3" s="150">
        <v>26</v>
      </c>
      <c r="E3" s="156">
        <v>1</v>
      </c>
      <c r="F3" s="49" t="s">
        <v>158</v>
      </c>
      <c r="G3" s="108" t="s">
        <v>157</v>
      </c>
      <c r="H3" s="49">
        <v>2017</v>
      </c>
      <c r="I3" s="49"/>
      <c r="J3" s="49"/>
    </row>
    <row r="4" spans="1:10" x14ac:dyDescent="0.35">
      <c r="A4" s="47">
        <v>3</v>
      </c>
      <c r="B4" s="61" t="s">
        <v>28</v>
      </c>
      <c r="C4" s="56" t="s">
        <v>96</v>
      </c>
      <c r="D4" s="140">
        <v>0</v>
      </c>
      <c r="E4" s="156">
        <v>0</v>
      </c>
      <c r="F4" s="49"/>
      <c r="G4" s="102" t="s">
        <v>140</v>
      </c>
      <c r="H4" s="49"/>
      <c r="I4" s="49" t="s">
        <v>142</v>
      </c>
      <c r="J4" s="49"/>
    </row>
    <row r="5" spans="1:10" x14ac:dyDescent="0.35">
      <c r="A5" s="47">
        <v>4</v>
      </c>
      <c r="B5" s="61" t="s">
        <v>30</v>
      </c>
      <c r="C5" s="103" t="s">
        <v>136</v>
      </c>
      <c r="D5" s="140">
        <v>0</v>
      </c>
      <c r="E5" s="156">
        <v>1</v>
      </c>
      <c r="F5" s="49" t="s">
        <v>139</v>
      </c>
      <c r="G5" s="102" t="s">
        <v>137</v>
      </c>
      <c r="H5" s="49"/>
      <c r="I5" s="49" t="s">
        <v>138</v>
      </c>
      <c r="J5" s="49"/>
    </row>
    <row r="6" spans="1:10" x14ac:dyDescent="0.35">
      <c r="A6" s="47">
        <v>5</v>
      </c>
      <c r="B6" s="61" t="s">
        <v>31</v>
      </c>
      <c r="C6" s="49" t="s">
        <v>98</v>
      </c>
      <c r="D6" s="140">
        <v>0</v>
      </c>
      <c r="E6" s="156">
        <v>0</v>
      </c>
      <c r="F6" s="49"/>
      <c r="G6" s="102" t="s">
        <v>140</v>
      </c>
      <c r="H6" s="49"/>
      <c r="I6" s="49" t="s">
        <v>142</v>
      </c>
      <c r="J6" s="49"/>
    </row>
    <row r="7" spans="1:10" x14ac:dyDescent="0.35">
      <c r="A7" s="47">
        <v>6</v>
      </c>
      <c r="B7" s="61" t="s">
        <v>32</v>
      </c>
      <c r="C7" s="103" t="s">
        <v>99</v>
      </c>
      <c r="D7" s="140">
        <v>0</v>
      </c>
      <c r="E7" s="156">
        <v>0</v>
      </c>
      <c r="F7" s="49"/>
      <c r="G7" s="102" t="s">
        <v>140</v>
      </c>
      <c r="H7" s="66"/>
      <c r="I7" s="49" t="s">
        <v>142</v>
      </c>
      <c r="J7" s="49"/>
    </row>
    <row r="8" spans="1:10" x14ac:dyDescent="0.35">
      <c r="A8" s="47">
        <v>7</v>
      </c>
      <c r="B8" s="61" t="s">
        <v>33</v>
      </c>
      <c r="C8" s="103" t="s">
        <v>100</v>
      </c>
      <c r="D8" s="140">
        <v>0</v>
      </c>
      <c r="E8" s="156">
        <v>0</v>
      </c>
      <c r="F8" s="49"/>
      <c r="G8" s="102" t="s">
        <v>140</v>
      </c>
      <c r="H8" s="49"/>
      <c r="I8" s="49" t="s">
        <v>142</v>
      </c>
      <c r="J8" s="49"/>
    </row>
    <row r="9" spans="1:10" x14ac:dyDescent="0.35">
      <c r="A9" s="47">
        <v>8</v>
      </c>
      <c r="B9" s="160" t="s">
        <v>36</v>
      </c>
      <c r="C9" s="103" t="s">
        <v>101</v>
      </c>
      <c r="D9" s="140">
        <v>0</v>
      </c>
      <c r="E9" s="156">
        <v>0</v>
      </c>
      <c r="F9" s="49"/>
      <c r="G9" s="102" t="s">
        <v>140</v>
      </c>
      <c r="H9" s="66"/>
      <c r="I9" s="49" t="s">
        <v>142</v>
      </c>
      <c r="J9" s="49"/>
    </row>
    <row r="10" spans="1:10" x14ac:dyDescent="0.35">
      <c r="A10" s="47">
        <v>9</v>
      </c>
      <c r="B10" s="61" t="s">
        <v>38</v>
      </c>
      <c r="C10" s="103" t="s">
        <v>102</v>
      </c>
      <c r="D10" s="140">
        <f>30*(13/15)</f>
        <v>26</v>
      </c>
      <c r="E10" s="156">
        <v>1</v>
      </c>
      <c r="F10" s="49" t="s">
        <v>160</v>
      </c>
      <c r="G10" s="108" t="s">
        <v>157</v>
      </c>
      <c r="H10" s="49">
        <v>2017</v>
      </c>
      <c r="I10" s="49" t="s">
        <v>159</v>
      </c>
      <c r="J10" s="49"/>
    </row>
    <row r="11" spans="1:10" x14ac:dyDescent="0.35">
      <c r="A11" s="47">
        <v>10</v>
      </c>
      <c r="B11" s="61" t="s">
        <v>40</v>
      </c>
      <c r="C11" s="103" t="s">
        <v>103</v>
      </c>
      <c r="D11" s="140">
        <v>0</v>
      </c>
      <c r="E11" s="156">
        <v>0</v>
      </c>
      <c r="F11" s="49"/>
      <c r="G11" s="102" t="s">
        <v>140</v>
      </c>
      <c r="H11" s="66"/>
      <c r="I11" s="49" t="s">
        <v>142</v>
      </c>
      <c r="J11" s="49"/>
    </row>
    <row r="12" spans="1:10" s="83" customFormat="1" ht="58" x14ac:dyDescent="0.35">
      <c r="A12" s="83">
        <v>11</v>
      </c>
      <c r="B12" s="151" t="s">
        <v>42</v>
      </c>
      <c r="C12" s="152" t="s">
        <v>104</v>
      </c>
      <c r="D12" s="150">
        <f>112-(450*365*(2019-2004))/Variables!B5+4.588-(136*365*(2019-2003)/Variables!B5)</f>
        <v>96.225562499999995</v>
      </c>
      <c r="E12" s="157">
        <v>2</v>
      </c>
      <c r="F12" s="154" t="s">
        <v>154</v>
      </c>
      <c r="G12" s="155" t="s">
        <v>156</v>
      </c>
      <c r="H12" s="153"/>
      <c r="I12" s="153" t="s">
        <v>155</v>
      </c>
    </row>
    <row r="13" spans="1:10" x14ac:dyDescent="0.35">
      <c r="A13" s="47">
        <v>12</v>
      </c>
      <c r="B13" s="61" t="s">
        <v>44</v>
      </c>
      <c r="C13" s="67" t="s">
        <v>105</v>
      </c>
      <c r="D13" s="140">
        <v>4.2</v>
      </c>
      <c r="E13" s="156"/>
      <c r="F13" s="101" t="s">
        <v>110</v>
      </c>
      <c r="G13" s="102" t="s">
        <v>112</v>
      </c>
      <c r="H13" s="49">
        <v>2018</v>
      </c>
      <c r="I13" s="49"/>
    </row>
    <row r="14" spans="1:10" x14ac:dyDescent="0.35">
      <c r="A14" s="47">
        <v>13</v>
      </c>
      <c r="B14" s="61" t="s">
        <v>45</v>
      </c>
      <c r="C14" s="68" t="s">
        <v>106</v>
      </c>
      <c r="D14" s="140">
        <v>0</v>
      </c>
      <c r="E14" s="156">
        <v>0</v>
      </c>
      <c r="F14" s="49"/>
      <c r="G14" s="102" t="s">
        <v>140</v>
      </c>
      <c r="H14" s="49"/>
      <c r="I14" s="49" t="s">
        <v>142</v>
      </c>
    </row>
    <row r="15" spans="1:10" ht="29" x14ac:dyDescent="0.35">
      <c r="A15" s="47">
        <v>14</v>
      </c>
      <c r="B15" s="61" t="s">
        <v>46</v>
      </c>
      <c r="C15" s="67" t="s">
        <v>107</v>
      </c>
      <c r="D15" s="140">
        <v>0</v>
      </c>
      <c r="E15" s="156">
        <v>0</v>
      </c>
      <c r="F15" s="49" t="s">
        <v>126</v>
      </c>
      <c r="G15" s="102" t="s">
        <v>144</v>
      </c>
      <c r="H15" s="49" t="s">
        <v>125</v>
      </c>
      <c r="I15" s="49" t="s">
        <v>143</v>
      </c>
    </row>
    <row r="16" spans="1:10" x14ac:dyDescent="0.35">
      <c r="A16" s="47">
        <v>15</v>
      </c>
      <c r="B16" s="61" t="s">
        <v>47</v>
      </c>
      <c r="C16" s="68" t="s">
        <v>108</v>
      </c>
      <c r="D16" s="140">
        <v>0</v>
      </c>
      <c r="E16" s="156">
        <v>0</v>
      </c>
      <c r="F16" s="49"/>
      <c r="G16" s="102" t="s">
        <v>140</v>
      </c>
      <c r="H16" s="49"/>
      <c r="I16" s="49" t="s">
        <v>142</v>
      </c>
    </row>
    <row r="17" spans="1:9" x14ac:dyDescent="0.35">
      <c r="A17" s="47">
        <v>16</v>
      </c>
      <c r="B17" s="61" t="s">
        <v>48</v>
      </c>
      <c r="C17" s="66" t="s">
        <v>46</v>
      </c>
      <c r="D17" s="141">
        <v>5.25</v>
      </c>
      <c r="E17" s="156"/>
      <c r="F17" s="101" t="s">
        <v>109</v>
      </c>
      <c r="G17" s="104" t="s">
        <v>112</v>
      </c>
      <c r="H17" s="49">
        <v>2018</v>
      </c>
      <c r="I17" s="49"/>
    </row>
    <row r="18" spans="1:9" x14ac:dyDescent="0.35">
      <c r="A18" s="47">
        <v>17</v>
      </c>
      <c r="B18" s="62" t="s">
        <v>49</v>
      </c>
      <c r="C18" s="68" t="s">
        <v>106</v>
      </c>
      <c r="D18" s="142">
        <v>0</v>
      </c>
      <c r="E18" s="158">
        <v>0</v>
      </c>
      <c r="F18" s="66"/>
      <c r="G18" s="104" t="s">
        <v>140</v>
      </c>
      <c r="H18" s="66"/>
      <c r="I18" s="66" t="s">
        <v>142</v>
      </c>
    </row>
    <row r="19" spans="1:9" x14ac:dyDescent="0.35">
      <c r="A19" s="47">
        <v>18</v>
      </c>
      <c r="B19" s="62" t="s">
        <v>51</v>
      </c>
      <c r="C19" s="66" t="s">
        <v>103</v>
      </c>
      <c r="D19" s="142">
        <v>0</v>
      </c>
      <c r="E19" s="158">
        <v>0</v>
      </c>
      <c r="F19" s="99"/>
      <c r="G19" s="104" t="s">
        <v>140</v>
      </c>
      <c r="H19" s="66"/>
      <c r="I19" s="66" t="s">
        <v>142</v>
      </c>
    </row>
    <row r="20" spans="1:9" ht="15.5" x14ac:dyDescent="0.35">
      <c r="A20" s="47">
        <v>19</v>
      </c>
      <c r="B20" s="62" t="s">
        <v>52</v>
      </c>
      <c r="C20" s="68" t="s">
        <v>105</v>
      </c>
      <c r="D20" s="140">
        <f>'Cost Calculation'!X22</f>
        <v>0.61015870389805071</v>
      </c>
      <c r="E20" s="156">
        <v>1</v>
      </c>
      <c r="F20" s="49" t="s">
        <v>163</v>
      </c>
      <c r="G20" s="87" t="s">
        <v>161</v>
      </c>
      <c r="H20" s="49"/>
      <c r="I20" s="49" t="s">
        <v>162</v>
      </c>
    </row>
    <row r="21" spans="1:9" x14ac:dyDescent="0.35">
      <c r="A21" s="47">
        <v>20</v>
      </c>
      <c r="B21" s="62" t="s">
        <v>53</v>
      </c>
      <c r="C21" s="67" t="s">
        <v>101</v>
      </c>
      <c r="D21" s="140">
        <v>0</v>
      </c>
      <c r="E21" s="156">
        <v>0</v>
      </c>
      <c r="F21" s="49"/>
      <c r="G21" s="102" t="s">
        <v>140</v>
      </c>
      <c r="H21" s="49"/>
      <c r="I21" s="49" t="s">
        <v>142</v>
      </c>
    </row>
  </sheetData>
  <autoFilter ref="A1:I1" xr:uid="{E281F8DF-7405-4591-A35D-38C03CAEF24C}">
    <sortState xmlns:xlrd2="http://schemas.microsoft.com/office/spreadsheetml/2017/richdata2" ref="A2:I21">
      <sortCondition ref="A1"/>
    </sortState>
  </autoFilter>
  <hyperlinks>
    <hyperlink ref="G2" r:id="rId1" xr:uid="{D6FBAAC0-480F-4777-A04D-A4AEE51D76C2}"/>
    <hyperlink ref="G17" r:id="rId2" xr:uid="{8F7E46D9-E71E-4AFB-85C0-3A1CCB259E9D}"/>
    <hyperlink ref="G13" r:id="rId3" xr:uid="{10F44518-2795-44CE-9C68-970BADA3E3E3}"/>
    <hyperlink ref="G15" r:id="rId4" location="11_2_6" display="http://www.dbkl.gov.my/pskl2020/english/infrastructure_and_utilities/index.htm - 11_2_6" xr:uid="{C965F0A5-C993-4C76-9335-CDCA640E2A6F}"/>
    <hyperlink ref="G5" r:id="rId5" xr:uid="{41432BE5-99D3-4570-B542-8A6FA2B6FC75}"/>
    <hyperlink ref="G4" r:id="rId6" xr:uid="{9A652188-2E08-4E9A-96C3-2F0AFF3A564C}"/>
    <hyperlink ref="G16" r:id="rId7" xr:uid="{BA376FC7-3B87-4361-988E-1CA4C6DDF960}"/>
    <hyperlink ref="G14" r:id="rId8" xr:uid="{1FF91230-0257-442B-85EE-B801BE44B21D}"/>
    <hyperlink ref="G18" r:id="rId9" xr:uid="{40BAFED0-12AB-4203-8FE6-0D7ADDCFF33E}"/>
    <hyperlink ref="G11" r:id="rId10" xr:uid="{90C883B6-AF5C-4BD7-9352-7E871926A25F}"/>
    <hyperlink ref="G19" r:id="rId11" xr:uid="{CB11AC1F-C046-4A2E-81E6-463B7CCF2F0E}"/>
    <hyperlink ref="G7" r:id="rId12" xr:uid="{03CFD7A5-BD71-4EA9-B09E-A1C183B72CBF}"/>
    <hyperlink ref="G9" r:id="rId13" xr:uid="{02A47B86-6DEF-4027-AB26-C3085254C5A7}"/>
    <hyperlink ref="G21" r:id="rId14" xr:uid="{91673B98-323B-4D48-ADBE-FE2F69E4577E}"/>
    <hyperlink ref="G12" r:id="rId15" display="https://jpspn.kpkt.gov.my/resources/index/user_1/Sumber_Rujukan/statistik/Sarawak.pdf" xr:uid="{35C3B573-7C9A-4CB1-B9A7-EE1836EFDE7D}"/>
    <hyperlink ref="G6" r:id="rId16" xr:uid="{1B4A4102-EC72-4BD9-BE8D-2F6BB3600C5D}"/>
    <hyperlink ref="G8" r:id="rId17" xr:uid="{C4304270-D2D4-4695-BC11-F169B85AE29E}"/>
    <hyperlink ref="G3" r:id="rId18" xr:uid="{117D10BC-E6C0-4B6C-814D-D0A88726757E}"/>
    <hyperlink ref="G10" r:id="rId19" xr:uid="{94E492B2-F3CC-4573-9401-F02AC1F52FDB}"/>
    <hyperlink ref="G20" r:id="rId20" xr:uid="{91D09EFB-C851-405D-B15D-469898B2449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81CA-6EFF-48E8-9AB6-05C2272B3002}">
  <dimension ref="A1:P22"/>
  <sheetViews>
    <sheetView topLeftCell="A10" zoomScaleNormal="100" workbookViewId="0">
      <selection activeCell="E3" sqref="E3"/>
    </sheetView>
  </sheetViews>
  <sheetFormatPr defaultRowHeight="14.5" x14ac:dyDescent="0.35"/>
  <cols>
    <col min="1" max="1" width="3.15234375" style="49" bestFit="1" customWidth="1"/>
    <col min="2" max="2" width="13.3046875" style="49" bestFit="1" customWidth="1"/>
    <col min="3" max="3" width="13.3046875" style="49" customWidth="1"/>
    <col min="4" max="4" width="10.3828125" style="65" bestFit="1" customWidth="1"/>
    <col min="5" max="5" width="8.69140625" style="62" customWidth="1"/>
    <col min="6" max="6" width="13.4609375" style="170" customWidth="1"/>
    <col min="7" max="7" width="13.69140625" style="46" customWidth="1"/>
    <col min="8" max="8" width="4.69140625" style="46" customWidth="1"/>
    <col min="9" max="9" width="9.921875" style="46" customWidth="1"/>
    <col min="10" max="10" width="16.4609375" style="46" customWidth="1"/>
    <col min="11" max="11" width="1.15234375" style="46" bestFit="1" customWidth="1"/>
    <col min="12" max="12" width="9.23046875" style="46"/>
    <col min="13" max="13" width="17" style="46" bestFit="1" customWidth="1"/>
    <col min="14" max="14" width="17.765625" style="46" customWidth="1"/>
    <col min="15" max="16384" width="9.23046875" style="46"/>
  </cols>
  <sheetData>
    <row r="1" spans="1:16" ht="43.5" x14ac:dyDescent="0.35">
      <c r="A1" s="57" t="s">
        <v>65</v>
      </c>
      <c r="B1" s="57" t="s">
        <v>12</v>
      </c>
      <c r="C1" s="57" t="s">
        <v>94</v>
      </c>
      <c r="D1" s="58" t="s">
        <v>93</v>
      </c>
      <c r="E1" s="63" t="s">
        <v>76</v>
      </c>
      <c r="F1" s="169" t="s">
        <v>86</v>
      </c>
      <c r="G1" s="59" t="s">
        <v>87</v>
      </c>
      <c r="H1" s="81" t="s">
        <v>2</v>
      </c>
      <c r="I1" s="82" t="s">
        <v>3</v>
      </c>
      <c r="J1" s="83" t="s">
        <v>68</v>
      </c>
      <c r="K1" s="83" t="s">
        <v>117</v>
      </c>
      <c r="L1" s="147" t="s">
        <v>2</v>
      </c>
      <c r="M1" s="149" t="s">
        <v>22</v>
      </c>
      <c r="N1" s="148" t="s">
        <v>88</v>
      </c>
      <c r="P1" s="85"/>
    </row>
    <row r="2" spans="1:16" x14ac:dyDescent="0.35">
      <c r="A2" s="60">
        <v>1</v>
      </c>
      <c r="B2" s="56" t="s">
        <v>23</v>
      </c>
      <c r="C2" s="66" t="s">
        <v>95</v>
      </c>
      <c r="D2" s="65">
        <f>'Cost Calculation'!D4</f>
        <v>638111.04853012064</v>
      </c>
      <c r="E2" s="64" t="str">
        <f t="shared" ref="E2:E21" si="0">IF(D2&lt;100000,"Small",IF(D2&lt;1000000,"Medium","Large"))</f>
        <v>Medium</v>
      </c>
      <c r="F2" s="171">
        <f>$M$12</f>
        <v>334.56984462061013</v>
      </c>
      <c r="G2" s="51"/>
      <c r="H2" s="83"/>
      <c r="I2" s="83"/>
      <c r="J2" s="83"/>
      <c r="K2" s="83" t="s">
        <v>117</v>
      </c>
      <c r="L2" s="52">
        <v>1990</v>
      </c>
      <c r="M2" s="247">
        <v>10556.6</v>
      </c>
      <c r="N2" s="53">
        <f t="shared" ref="N2:N3" si="1">1647.41-419.73*LN(M2)+29.43*LN(M2)^2</f>
        <v>284.82739590446363</v>
      </c>
      <c r="O2" s="84"/>
      <c r="P2" s="85"/>
    </row>
    <row r="3" spans="1:16" x14ac:dyDescent="0.35">
      <c r="A3" s="60">
        <v>2</v>
      </c>
      <c r="B3" s="56" t="s">
        <v>26</v>
      </c>
      <c r="C3" s="56" t="s">
        <v>97</v>
      </c>
      <c r="D3" s="65">
        <f>'Cost Calculation'!D5</f>
        <v>442162.47147179494</v>
      </c>
      <c r="E3" s="64" t="str">
        <f t="shared" si="0"/>
        <v>Medium</v>
      </c>
      <c r="F3" s="171">
        <f>$M$12</f>
        <v>334.56984462061013</v>
      </c>
      <c r="H3" s="83"/>
      <c r="I3" s="83"/>
      <c r="J3" s="83"/>
      <c r="K3" s="83" t="s">
        <v>117</v>
      </c>
      <c r="L3" s="69">
        <v>2003</v>
      </c>
      <c r="M3" s="65">
        <v>17158.649000000001</v>
      </c>
      <c r="N3" s="53">
        <f t="shared" si="1"/>
        <v>352.771593499961</v>
      </c>
      <c r="O3" s="86"/>
      <c r="P3" s="84"/>
    </row>
    <row r="4" spans="1:16" x14ac:dyDescent="0.35">
      <c r="A4" s="60">
        <v>3</v>
      </c>
      <c r="B4" s="56" t="s">
        <v>28</v>
      </c>
      <c r="C4" s="56" t="s">
        <v>96</v>
      </c>
      <c r="D4" s="65">
        <f>'Cost Calculation'!D6</f>
        <v>316636.58942829666</v>
      </c>
      <c r="E4" s="64" t="str">
        <f t="shared" si="0"/>
        <v>Medium</v>
      </c>
      <c r="F4" s="170">
        <f>G4*($N$6/$N$2)</f>
        <v>290.96141744569019</v>
      </c>
      <c r="G4" s="46">
        <f>0.52*365</f>
        <v>189.8</v>
      </c>
      <c r="H4" s="83">
        <v>1990</v>
      </c>
      <c r="I4" s="83" t="s">
        <v>121</v>
      </c>
      <c r="J4" s="83"/>
      <c r="K4" s="83" t="s">
        <v>117</v>
      </c>
      <c r="L4" s="52">
        <v>2009</v>
      </c>
      <c r="M4" s="248">
        <v>19915.7</v>
      </c>
      <c r="N4" s="53">
        <f>1647.41-419.73*LN(M4)+29.43*LN(M4)^2</f>
        <v>376.39730177362571</v>
      </c>
    </row>
    <row r="5" spans="1:16" x14ac:dyDescent="0.35">
      <c r="A5" s="60">
        <v>4</v>
      </c>
      <c r="B5" s="56" t="s">
        <v>30</v>
      </c>
      <c r="C5" s="67" t="s">
        <v>96</v>
      </c>
      <c r="D5" s="65">
        <f>'Cost Calculation'!D7</f>
        <v>600258.55594889156</v>
      </c>
      <c r="E5" s="64" t="str">
        <f t="shared" si="0"/>
        <v>Medium</v>
      </c>
      <c r="F5" s="170">
        <f>G5</f>
        <v>273.75</v>
      </c>
      <c r="G5" s="46">
        <f>0.75*365</f>
        <v>273.75</v>
      </c>
      <c r="H5" s="83">
        <v>2019</v>
      </c>
      <c r="I5" s="108" t="s">
        <v>137</v>
      </c>
      <c r="J5" s="83" t="s">
        <v>123</v>
      </c>
      <c r="K5" s="83" t="s">
        <v>117</v>
      </c>
      <c r="L5" s="52">
        <v>2011</v>
      </c>
      <c r="M5" s="248">
        <v>21806.799999999999</v>
      </c>
      <c r="N5" s="53">
        <f>1647.41-419.73*LN(M5)+29.43*LN(M5)^2</f>
        <v>391.4203938718033</v>
      </c>
      <c r="P5" s="48"/>
    </row>
    <row r="6" spans="1:16" ht="15" thickBot="1" x14ac:dyDescent="0.4">
      <c r="A6" s="60">
        <v>5</v>
      </c>
      <c r="B6" s="56" t="s">
        <v>31</v>
      </c>
      <c r="C6" s="46" t="s">
        <v>98</v>
      </c>
      <c r="D6" s="65">
        <f>'Cost Calculation'!D8</f>
        <v>382457.86131710035</v>
      </c>
      <c r="E6" s="64" t="str">
        <f t="shared" si="0"/>
        <v>Medium</v>
      </c>
      <c r="F6" s="171">
        <f>$M$12</f>
        <v>334.56984462061013</v>
      </c>
      <c r="H6" s="83"/>
      <c r="I6" s="83"/>
      <c r="J6" s="83"/>
      <c r="K6" s="83" t="s">
        <v>117</v>
      </c>
      <c r="L6" s="54">
        <v>2019</v>
      </c>
      <c r="M6" s="249">
        <f>Variables!B3</f>
        <v>28201.056</v>
      </c>
      <c r="N6" s="55">
        <f>1647.41-419.73*LN(M6)+29.43*LN(M6)^2</f>
        <v>436.63742275936511</v>
      </c>
      <c r="O6" s="66"/>
      <c r="P6" s="48"/>
    </row>
    <row r="7" spans="1:16" x14ac:dyDescent="0.35">
      <c r="A7" s="60">
        <v>6</v>
      </c>
      <c r="B7" s="56" t="s">
        <v>32</v>
      </c>
      <c r="C7" s="67" t="s">
        <v>99</v>
      </c>
      <c r="D7" s="65">
        <f>'Cost Calculation'!D9</f>
        <v>435629.86188448599</v>
      </c>
      <c r="E7" s="64" t="str">
        <f t="shared" si="0"/>
        <v>Medium</v>
      </c>
      <c r="F7" s="170">
        <f>G7*($N$6/$N$2)</f>
        <v>296.55682931964577</v>
      </c>
      <c r="G7" s="46">
        <f>0.53*365</f>
        <v>193.45000000000002</v>
      </c>
      <c r="H7" s="83">
        <v>1990</v>
      </c>
      <c r="I7" s="83" t="s">
        <v>121</v>
      </c>
      <c r="J7" s="83"/>
      <c r="K7" s="83" t="s">
        <v>117</v>
      </c>
      <c r="L7" s="109" t="s">
        <v>151</v>
      </c>
      <c r="P7" s="48"/>
    </row>
    <row r="8" spans="1:16" x14ac:dyDescent="0.35">
      <c r="A8" s="60">
        <v>7</v>
      </c>
      <c r="B8" s="56" t="s">
        <v>33</v>
      </c>
      <c r="C8" s="67" t="s">
        <v>100</v>
      </c>
      <c r="D8" s="65">
        <f>'Cost Calculation'!D10</f>
        <v>245481.03391021231</v>
      </c>
      <c r="E8" s="64" t="str">
        <f t="shared" si="0"/>
        <v>Medium</v>
      </c>
      <c r="F8" s="170">
        <f>G8*($N$6/$N$2)</f>
        <v>408.46506679875733</v>
      </c>
      <c r="G8" s="46">
        <f>0.73*365</f>
        <v>266.45</v>
      </c>
      <c r="H8" s="83">
        <v>1990</v>
      </c>
      <c r="I8" s="83" t="s">
        <v>121</v>
      </c>
      <c r="J8" s="83" t="s">
        <v>123</v>
      </c>
      <c r="K8" s="83" t="s">
        <v>117</v>
      </c>
      <c r="P8" s="48"/>
    </row>
    <row r="9" spans="1:16" ht="15" thickBot="1" x14ac:dyDescent="0.4">
      <c r="A9" s="60">
        <v>8</v>
      </c>
      <c r="B9" s="60" t="s">
        <v>36</v>
      </c>
      <c r="C9" s="67" t="s">
        <v>101</v>
      </c>
      <c r="D9" s="65">
        <f>'Cost Calculation'!D11</f>
        <v>814430.84832553728</v>
      </c>
      <c r="E9" s="64" t="str">
        <f t="shared" si="0"/>
        <v>Medium</v>
      </c>
      <c r="F9" s="170">
        <f>G9*($N$6/$N$2)</f>
        <v>302.15224119360136</v>
      </c>
      <c r="G9" s="46">
        <f>0.54*365</f>
        <v>197.10000000000002</v>
      </c>
      <c r="H9" s="83">
        <v>1990</v>
      </c>
      <c r="I9" s="83" t="s">
        <v>121</v>
      </c>
      <c r="J9" s="83" t="s">
        <v>123</v>
      </c>
      <c r="K9" s="83" t="s">
        <v>117</v>
      </c>
      <c r="P9" s="48"/>
    </row>
    <row r="10" spans="1:16" x14ac:dyDescent="0.35">
      <c r="A10" s="60">
        <v>9</v>
      </c>
      <c r="B10" s="56" t="s">
        <v>38</v>
      </c>
      <c r="C10" s="67" t="s">
        <v>102</v>
      </c>
      <c r="D10" s="65">
        <f>'Cost Calculation'!D12</f>
        <v>14303.159213903282</v>
      </c>
      <c r="E10" s="64" t="str">
        <f t="shared" si="0"/>
        <v>Small</v>
      </c>
      <c r="F10" s="171">
        <f>$M$13</f>
        <v>275.58149229887863</v>
      </c>
      <c r="H10" s="83"/>
      <c r="I10" s="83"/>
      <c r="J10" s="83" t="s">
        <v>123</v>
      </c>
      <c r="K10" s="83" t="s">
        <v>117</v>
      </c>
      <c r="L10" s="147" t="s">
        <v>76</v>
      </c>
      <c r="M10" s="148" t="s">
        <v>89</v>
      </c>
      <c r="N10" s="56"/>
      <c r="O10" s="56"/>
      <c r="P10" s="48"/>
    </row>
    <row r="11" spans="1:16" x14ac:dyDescent="0.35">
      <c r="A11" s="60">
        <v>10</v>
      </c>
      <c r="B11" s="56" t="s">
        <v>40</v>
      </c>
      <c r="C11" s="67" t="s">
        <v>103</v>
      </c>
      <c r="D11" s="65">
        <f>'Cost Calculation'!D13</f>
        <v>559620.69827927032</v>
      </c>
      <c r="E11" s="64" t="str">
        <f t="shared" si="0"/>
        <v>Medium</v>
      </c>
      <c r="F11" s="171">
        <f>$M$12</f>
        <v>334.56984462061013</v>
      </c>
      <c r="H11" s="83"/>
      <c r="I11" s="83"/>
      <c r="J11" s="83"/>
      <c r="K11" s="83" t="s">
        <v>117</v>
      </c>
      <c r="L11" s="52" t="s">
        <v>90</v>
      </c>
      <c r="M11" s="53">
        <f>F15</f>
        <v>721.8081317402698</v>
      </c>
      <c r="N11" s="56"/>
      <c r="O11" s="56"/>
      <c r="P11" s="48"/>
    </row>
    <row r="12" spans="1:16" x14ac:dyDescent="0.35">
      <c r="A12" s="60">
        <v>11</v>
      </c>
      <c r="B12" s="56" t="s">
        <v>42</v>
      </c>
      <c r="C12" s="67" t="s">
        <v>104</v>
      </c>
      <c r="D12" s="65">
        <f>'Cost Calculation'!D14</f>
        <v>741051.95249689638</v>
      </c>
      <c r="E12" s="64" t="str">
        <f t="shared" si="0"/>
        <v>Medium</v>
      </c>
      <c r="F12" s="170">
        <f>G12*($N$6/$N$3)</f>
        <v>433.70202066708765</v>
      </c>
      <c r="G12" s="46">
        <f>0.96*365</f>
        <v>350.4</v>
      </c>
      <c r="H12" s="83">
        <v>2003</v>
      </c>
      <c r="I12" s="83" t="s">
        <v>122</v>
      </c>
      <c r="J12" s="83"/>
      <c r="K12" s="83" t="s">
        <v>117</v>
      </c>
      <c r="L12" s="52" t="s">
        <v>91</v>
      </c>
      <c r="M12" s="53">
        <f>AVERAGE(F12:F13,F7:F9,F4)</f>
        <v>334.56984462061013</v>
      </c>
      <c r="N12" s="56"/>
      <c r="O12" s="56"/>
      <c r="P12" s="48"/>
    </row>
    <row r="13" spans="1:16" ht="15" thickBot="1" x14ac:dyDescent="0.4">
      <c r="A13" s="60">
        <v>12</v>
      </c>
      <c r="B13" s="56" t="s">
        <v>44</v>
      </c>
      <c r="C13" s="67" t="s">
        <v>105</v>
      </c>
      <c r="D13" s="65">
        <f>'Cost Calculation'!D15</f>
        <v>548682.26009214472</v>
      </c>
      <c r="E13" s="64" t="str">
        <f t="shared" si="0"/>
        <v>Medium</v>
      </c>
      <c r="F13" s="170">
        <f>G13*($N$6/$N$3)</f>
        <v>275.58149229887863</v>
      </c>
      <c r="G13" s="80">
        <f>0.61*365</f>
        <v>222.65</v>
      </c>
      <c r="H13" s="83">
        <v>2003</v>
      </c>
      <c r="I13" s="83" t="s">
        <v>121</v>
      </c>
      <c r="J13" s="83"/>
      <c r="K13" s="83" t="s">
        <v>117</v>
      </c>
      <c r="L13" s="54" t="s">
        <v>92</v>
      </c>
      <c r="M13" s="55">
        <f>AVERAGE(F20)</f>
        <v>275.58149229887863</v>
      </c>
      <c r="N13" s="56"/>
      <c r="O13" s="56"/>
    </row>
    <row r="14" spans="1:16" x14ac:dyDescent="0.35">
      <c r="A14" s="60">
        <v>13</v>
      </c>
      <c r="B14" s="56" t="s">
        <v>45</v>
      </c>
      <c r="C14" s="67" t="s">
        <v>106</v>
      </c>
      <c r="D14" s="65">
        <f>'Cost Calculation'!D16</f>
        <v>417870.37408089789</v>
      </c>
      <c r="E14" s="64" t="str">
        <f t="shared" si="0"/>
        <v>Medium</v>
      </c>
      <c r="F14" s="171">
        <f>$M$12</f>
        <v>334.56984462061013</v>
      </c>
      <c r="H14" s="83"/>
      <c r="I14" s="83"/>
      <c r="J14" s="83" t="s">
        <v>124</v>
      </c>
      <c r="K14" s="83" t="s">
        <v>117</v>
      </c>
      <c r="L14" s="52"/>
      <c r="M14" s="56"/>
      <c r="N14" s="144"/>
      <c r="O14" s="144"/>
    </row>
    <row r="15" spans="1:16" ht="29" x14ac:dyDescent="0.35">
      <c r="A15" s="60">
        <v>14</v>
      </c>
      <c r="B15" s="56" t="s">
        <v>46</v>
      </c>
      <c r="C15" s="67" t="s">
        <v>107</v>
      </c>
      <c r="D15" s="65">
        <f>'Cost Calculation'!D17</f>
        <v>1966777.2374146476</v>
      </c>
      <c r="E15" s="64" t="str">
        <f t="shared" si="0"/>
        <v>Large</v>
      </c>
      <c r="F15" s="170">
        <f>G15*($N$6/$N$2)</f>
        <v>721.8081317402698</v>
      </c>
      <c r="G15" s="46">
        <f>1.29*365</f>
        <v>470.85</v>
      </c>
      <c r="H15" s="83">
        <v>1990</v>
      </c>
      <c r="I15" s="83" t="s">
        <v>121</v>
      </c>
      <c r="J15" s="83"/>
      <c r="K15" s="83" t="s">
        <v>117</v>
      </c>
      <c r="L15" s="145"/>
      <c r="M15" s="146"/>
      <c r="N15" s="56"/>
      <c r="O15" s="56"/>
    </row>
    <row r="16" spans="1:16" ht="29" x14ac:dyDescent="0.35">
      <c r="A16" s="60">
        <v>15</v>
      </c>
      <c r="B16" s="56" t="s">
        <v>47</v>
      </c>
      <c r="C16" s="67" t="s">
        <v>108</v>
      </c>
      <c r="D16" s="65">
        <f>'Cost Calculation'!D18</f>
        <v>85078.667139927027</v>
      </c>
      <c r="E16" s="64" t="str">
        <f t="shared" si="0"/>
        <v>Small</v>
      </c>
      <c r="F16" s="171">
        <f>$M$13</f>
        <v>275.58149229887863</v>
      </c>
      <c r="H16" s="83"/>
      <c r="I16" s="83"/>
      <c r="J16" s="83" t="s">
        <v>123</v>
      </c>
      <c r="K16" s="83" t="s">
        <v>117</v>
      </c>
      <c r="L16" s="66"/>
      <c r="M16" s="66"/>
      <c r="N16" s="66"/>
      <c r="O16" s="66"/>
    </row>
    <row r="17" spans="1:15" x14ac:dyDescent="0.35">
      <c r="A17" s="60">
        <v>16</v>
      </c>
      <c r="B17" s="56" t="s">
        <v>48</v>
      </c>
      <c r="C17" s="46" t="s">
        <v>46</v>
      </c>
      <c r="D17" s="65">
        <f>'Cost Calculation'!D19</f>
        <v>84626.819025587873</v>
      </c>
      <c r="E17" s="64" t="str">
        <f t="shared" si="0"/>
        <v>Small</v>
      </c>
      <c r="F17" s="171">
        <f>$M$13</f>
        <v>275.58149229887863</v>
      </c>
      <c r="H17" s="83"/>
      <c r="I17" s="83"/>
      <c r="J17" s="83"/>
      <c r="K17" s="83" t="s">
        <v>117</v>
      </c>
      <c r="L17" s="66"/>
      <c r="M17" s="66"/>
      <c r="N17" s="66"/>
      <c r="O17" s="66"/>
    </row>
    <row r="18" spans="1:15" x14ac:dyDescent="0.35">
      <c r="A18" s="60">
        <v>17</v>
      </c>
      <c r="B18" s="49" t="s">
        <v>49</v>
      </c>
      <c r="C18" s="67" t="s">
        <v>106</v>
      </c>
      <c r="D18" s="65">
        <f>'Cost Calculation'!D20</f>
        <v>21236.861373940697</v>
      </c>
      <c r="E18" s="64" t="str">
        <f t="shared" si="0"/>
        <v>Small</v>
      </c>
      <c r="F18" s="171">
        <f>$M$13</f>
        <v>275.58149229887863</v>
      </c>
      <c r="H18" s="83"/>
      <c r="I18" s="83"/>
      <c r="J18" s="83"/>
      <c r="K18" s="83" t="s">
        <v>117</v>
      </c>
      <c r="L18" s="66"/>
      <c r="M18" s="66"/>
      <c r="N18" s="66"/>
      <c r="O18" s="66"/>
    </row>
    <row r="19" spans="1:15" x14ac:dyDescent="0.35">
      <c r="A19" s="60">
        <v>18</v>
      </c>
      <c r="B19" s="49" t="s">
        <v>51</v>
      </c>
      <c r="C19" s="46" t="s">
        <v>103</v>
      </c>
      <c r="D19" s="65">
        <f>'Cost Calculation'!D21</f>
        <v>1729.4022348816759</v>
      </c>
      <c r="E19" s="64" t="str">
        <f t="shared" si="0"/>
        <v>Small</v>
      </c>
      <c r="F19" s="171">
        <f>$M$13</f>
        <v>275.58149229887863</v>
      </c>
      <c r="H19" s="83"/>
      <c r="I19" s="83"/>
      <c r="J19" s="83"/>
      <c r="K19" s="83" t="s">
        <v>117</v>
      </c>
    </row>
    <row r="20" spans="1:15" x14ac:dyDescent="0.35">
      <c r="A20" s="60">
        <v>19</v>
      </c>
      <c r="B20" s="49" t="s">
        <v>52</v>
      </c>
      <c r="C20" s="67" t="s">
        <v>105</v>
      </c>
      <c r="D20" s="65">
        <f>'Cost Calculation'!D22</f>
        <v>25338.156724093158</v>
      </c>
      <c r="E20" s="64" t="str">
        <f t="shared" si="0"/>
        <v>Small</v>
      </c>
      <c r="F20" s="170">
        <f>G20*($N$6/$N$3)</f>
        <v>275.58149229887863</v>
      </c>
      <c r="G20" s="80">
        <f>0.61*365</f>
        <v>222.65</v>
      </c>
      <c r="H20" s="83">
        <v>2003</v>
      </c>
      <c r="I20" s="83" t="s">
        <v>121</v>
      </c>
      <c r="J20" s="83"/>
      <c r="K20" s="83" t="s">
        <v>117</v>
      </c>
    </row>
    <row r="21" spans="1:15" x14ac:dyDescent="0.35">
      <c r="A21" s="60">
        <v>20</v>
      </c>
      <c r="B21" s="49" t="s">
        <v>53</v>
      </c>
      <c r="C21" s="67" t="s">
        <v>101</v>
      </c>
      <c r="D21" s="65">
        <f>'Cost Calculation'!D23</f>
        <v>2945.0593534599193</v>
      </c>
      <c r="E21" s="64" t="str">
        <f t="shared" si="0"/>
        <v>Small</v>
      </c>
      <c r="F21" s="171">
        <f>$M$13</f>
        <v>275.58149229887863</v>
      </c>
      <c r="J21" s="83" t="s">
        <v>124</v>
      </c>
      <c r="K21" s="83" t="s">
        <v>117</v>
      </c>
    </row>
    <row r="22" spans="1:15" x14ac:dyDescent="0.35">
      <c r="A22" s="46"/>
      <c r="B22" s="46"/>
      <c r="C22" s="46"/>
      <c r="D22" s="46"/>
    </row>
  </sheetData>
  <autoFilter ref="A1:I1" xr:uid="{E22C5AF6-B3A6-4A33-866B-1C2C6386C39D}"/>
  <hyperlinks>
    <hyperlink ref="I5" r:id="rId1" xr:uid="{51F897C2-DCA5-4410-8598-53BFD37496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23D7-A25A-4C85-8CF7-D6440B031AC8}">
  <dimension ref="A1:O1000"/>
  <sheetViews>
    <sheetView workbookViewId="0">
      <selection activeCell="B18" sqref="B18"/>
    </sheetView>
  </sheetViews>
  <sheetFormatPr defaultColWidth="11.69140625" defaultRowHeight="15.5" x14ac:dyDescent="0.35"/>
  <cols>
    <col min="1" max="1" width="2.69140625" style="27" bestFit="1" customWidth="1"/>
    <col min="2" max="2" width="14.23046875" style="28" customWidth="1"/>
    <col min="3" max="3" width="13.3046875" style="22" customWidth="1"/>
    <col min="4" max="15" width="10.765625" customWidth="1"/>
    <col min="16" max="20" width="7.07421875" customWidth="1"/>
  </cols>
  <sheetData>
    <row r="1" spans="1:15" s="21" customFormat="1" ht="16" thickBot="1" x14ac:dyDescent="0.4">
      <c r="A1" s="18" t="s">
        <v>11</v>
      </c>
      <c r="B1" s="19" t="s">
        <v>12</v>
      </c>
      <c r="C1" s="232">
        <v>2010</v>
      </c>
      <c r="D1" s="20">
        <v>2019</v>
      </c>
      <c r="E1" s="20">
        <v>2020</v>
      </c>
      <c r="F1" s="20">
        <v>2021</v>
      </c>
      <c r="G1" s="20">
        <v>2022</v>
      </c>
      <c r="H1" s="20">
        <v>2023</v>
      </c>
      <c r="I1" s="20">
        <v>2024</v>
      </c>
      <c r="J1" s="20">
        <v>2025</v>
      </c>
      <c r="K1" s="20">
        <v>2026</v>
      </c>
      <c r="L1" s="20">
        <v>2027</v>
      </c>
      <c r="M1" s="20">
        <v>2028</v>
      </c>
      <c r="N1" s="20">
        <v>2029</v>
      </c>
      <c r="O1" s="20">
        <v>2030</v>
      </c>
    </row>
    <row r="2" spans="1:15" x14ac:dyDescent="0.35">
      <c r="A2" s="22">
        <v>1</v>
      </c>
      <c r="B2" s="23" t="s">
        <v>23</v>
      </c>
      <c r="C2" s="233">
        <v>515462</v>
      </c>
      <c r="D2" s="24">
        <f>$C2*POWER(SUM(1,Variables!$B$4), D$1-$C$1)</f>
        <v>638111.04853012064</v>
      </c>
      <c r="E2" s="24">
        <f>$C2*POWER(SUM(1,Variables!$B$4), E$1-$C$1)</f>
        <v>653425.71369484358</v>
      </c>
      <c r="F2" s="24">
        <f>$C2*POWER(SUM(1,Variables!$B$4), F$1-$C$1)</f>
        <v>669107.93082351983</v>
      </c>
      <c r="G2" s="24">
        <f>$C2*POWER(SUM(1,Variables!$B$4), G$1-$C$1)</f>
        <v>685166.52116328431</v>
      </c>
      <c r="H2" s="24">
        <f>$C2*POWER(SUM(1,Variables!$B$4), H$1-$C$1)</f>
        <v>701610.51767120312</v>
      </c>
      <c r="I2" s="24">
        <f>$C2*POWER(SUM(1,Variables!$B$4), I$1-$C$1)</f>
        <v>718449.17009531194</v>
      </c>
      <c r="J2" s="24">
        <f>$C2*POWER(SUM(1,Variables!$B$4), J$1-$C$1)</f>
        <v>735691.95017759944</v>
      </c>
      <c r="K2" s="24">
        <f>$C2*POWER(SUM(1,Variables!$B$4), K$1-$C$1)</f>
        <v>753348.55698186171</v>
      </c>
      <c r="L2" s="24">
        <f>$C2*POWER(SUM(1,Variables!$B$4), L$1-$C$1)</f>
        <v>771428.92234942643</v>
      </c>
      <c r="M2" s="24">
        <f>$C2*POWER(SUM(1,Variables!$B$4), M$1-$C$1)</f>
        <v>789943.21648581256</v>
      </c>
      <c r="N2" s="24">
        <f>$C2*POWER(SUM(1,Variables!$B$4), N$1-$C$1)</f>
        <v>808901.85368147225</v>
      </c>
      <c r="O2" s="24">
        <f>$C2*POWER(SUM(1,Variables!$B$4), O$1-$C$1)</f>
        <v>828315.49816982751</v>
      </c>
    </row>
    <row r="3" spans="1:15" x14ac:dyDescent="0.35">
      <c r="A3" s="22">
        <v>2</v>
      </c>
      <c r="B3" s="23" t="s">
        <v>26</v>
      </c>
      <c r="C3" s="234">
        <f>357176</f>
        <v>357176</v>
      </c>
      <c r="D3" s="24">
        <f>$C3*POWER(SUM(1,Variables!$B$4), D$1-$C$1)</f>
        <v>442162.47147179494</v>
      </c>
      <c r="E3" s="24">
        <f>$C3*POWER(SUM(1,Variables!$B$4), E$1-$C$1)</f>
        <v>452774.37078711804</v>
      </c>
      <c r="F3" s="24">
        <f>$C3*POWER(SUM(1,Variables!$B$4), F$1-$C$1)</f>
        <v>463640.95568600891</v>
      </c>
      <c r="G3" s="24">
        <f>$C3*POWER(SUM(1,Variables!$B$4), G$1-$C$1)</f>
        <v>474768.33862247306</v>
      </c>
      <c r="H3" s="24">
        <f>$C3*POWER(SUM(1,Variables!$B$4), H$1-$C$1)</f>
        <v>486162.77874941245</v>
      </c>
      <c r="I3" s="24">
        <f>$C3*POWER(SUM(1,Variables!$B$4), I$1-$C$1)</f>
        <v>497830.68543939828</v>
      </c>
      <c r="J3" s="24">
        <f>$C3*POWER(SUM(1,Variables!$B$4), J$1-$C$1)</f>
        <v>509778.6218899439</v>
      </c>
      <c r="K3" s="24">
        <f>$C3*POWER(SUM(1,Variables!$B$4), K$1-$C$1)</f>
        <v>522013.3088153025</v>
      </c>
      <c r="L3" s="24">
        <f>$C3*POWER(SUM(1,Variables!$B$4), L$1-$C$1)</f>
        <v>534541.62822686974</v>
      </c>
      <c r="M3" s="24">
        <f>$C3*POWER(SUM(1,Variables!$B$4), M$1-$C$1)</f>
        <v>547370.62730431452</v>
      </c>
      <c r="N3" s="24">
        <f>$C3*POWER(SUM(1,Variables!$B$4), N$1-$C$1)</f>
        <v>560507.52235961822</v>
      </c>
      <c r="O3" s="24">
        <f>$C3*POWER(SUM(1,Variables!$B$4), O$1-$C$1)</f>
        <v>573959.70289624901</v>
      </c>
    </row>
    <row r="4" spans="1:15" x14ac:dyDescent="0.35">
      <c r="A4" s="22">
        <v>3</v>
      </c>
      <c r="B4" s="23" t="s">
        <v>28</v>
      </c>
      <c r="C4" s="235">
        <v>255777</v>
      </c>
      <c r="D4" s="24">
        <f>$C4*POWER(SUM(1,Variables!$B$4), D$1-$C$1)</f>
        <v>316636.58942829666</v>
      </c>
      <c r="E4" s="24">
        <f>$C4*POWER(SUM(1,Variables!$B$4), E$1-$C$1)</f>
        <v>324235.86757457582</v>
      </c>
      <c r="F4" s="24">
        <f>$C4*POWER(SUM(1,Variables!$B$4), F$1-$C$1)</f>
        <v>332017.5283963657</v>
      </c>
      <c r="G4" s="24">
        <f>$C4*POWER(SUM(1,Variables!$B$4), G$1-$C$1)</f>
        <v>339985.94907787838</v>
      </c>
      <c r="H4" s="24">
        <f>$C4*POWER(SUM(1,Variables!$B$4), H$1-$C$1)</f>
        <v>348145.61185574747</v>
      </c>
      <c r="I4" s="24">
        <f>$C4*POWER(SUM(1,Variables!$B$4), I$1-$C$1)</f>
        <v>356501.1065402854</v>
      </c>
      <c r="J4" s="24">
        <f>$C4*POWER(SUM(1,Variables!$B$4), J$1-$C$1)</f>
        <v>365057.13309725228</v>
      </c>
      <c r="K4" s="24">
        <f>$C4*POWER(SUM(1,Variables!$B$4), K$1-$C$1)</f>
        <v>373818.50429158629</v>
      </c>
      <c r="L4" s="24">
        <f>$C4*POWER(SUM(1,Variables!$B$4), L$1-$C$1)</f>
        <v>382790.14839458436</v>
      </c>
      <c r="M4" s="24">
        <f>$C4*POWER(SUM(1,Variables!$B$4), M$1-$C$1)</f>
        <v>391977.11195605434</v>
      </c>
      <c r="N4" s="24">
        <f>$C4*POWER(SUM(1,Variables!$B$4), N$1-$C$1)</f>
        <v>401384.56264299975</v>
      </c>
      <c r="O4" s="24">
        <f>$C4*POWER(SUM(1,Variables!$B$4), O$1-$C$1)</f>
        <v>411017.79214643169</v>
      </c>
    </row>
    <row r="5" spans="1:15" x14ac:dyDescent="0.35">
      <c r="A5" s="22">
        <v>4</v>
      </c>
      <c r="B5" s="23" t="s">
        <v>30</v>
      </c>
      <c r="C5" s="236">
        <v>484885</v>
      </c>
      <c r="D5" s="24">
        <f>$C5*POWER(SUM(1,Variables!$B$4), D$1-$C$1)</f>
        <v>600258.55594889156</v>
      </c>
      <c r="E5" s="24">
        <f>$C5*POWER(SUM(1,Variables!$B$4), E$1-$C$1)</f>
        <v>614664.76129166491</v>
      </c>
      <c r="F5" s="24">
        <f>$C5*POWER(SUM(1,Variables!$B$4), F$1-$C$1)</f>
        <v>629416.71556266502</v>
      </c>
      <c r="G5" s="24">
        <f>$C5*POWER(SUM(1,Variables!$B$4), G$1-$C$1)</f>
        <v>644522.71673616895</v>
      </c>
      <c r="H5" s="24">
        <f>$C5*POWER(SUM(1,Variables!$B$4), H$1-$C$1)</f>
        <v>659991.26193783688</v>
      </c>
      <c r="I5" s="24">
        <f>$C5*POWER(SUM(1,Variables!$B$4), I$1-$C$1)</f>
        <v>675831.05222434504</v>
      </c>
      <c r="J5" s="24">
        <f>$C5*POWER(SUM(1,Variables!$B$4), J$1-$C$1)</f>
        <v>692050.99747772934</v>
      </c>
      <c r="K5" s="24">
        <f>$C5*POWER(SUM(1,Variables!$B$4), K$1-$C$1)</f>
        <v>708660.2214171947</v>
      </c>
      <c r="L5" s="24">
        <f>$C5*POWER(SUM(1,Variables!$B$4), L$1-$C$1)</f>
        <v>725668.06673120742</v>
      </c>
      <c r="M5" s="24">
        <f>$C5*POWER(SUM(1,Variables!$B$4), M$1-$C$1)</f>
        <v>743084.10033275629</v>
      </c>
      <c r="N5" s="24">
        <f>$C5*POWER(SUM(1,Variables!$B$4), N$1-$C$1)</f>
        <v>760918.11874074268</v>
      </c>
      <c r="O5" s="24">
        <f>$C5*POWER(SUM(1,Variables!$B$4), O$1-$C$1)</f>
        <v>779180.15359052038</v>
      </c>
    </row>
    <row r="6" spans="1:15" x14ac:dyDescent="0.35">
      <c r="A6" s="22">
        <v>5</v>
      </c>
      <c r="B6" s="23" t="s">
        <v>31</v>
      </c>
      <c r="C6" s="237">
        <v>308947</v>
      </c>
      <c r="D6" s="24">
        <f>$C6*POWER(SUM(1,Variables!$B$4), D$1-$C$1)</f>
        <v>382457.86131710035</v>
      </c>
      <c r="E6" s="24">
        <f>$C6*POWER(SUM(1,Variables!$B$4), E$1-$C$1)</f>
        <v>391636.84998871078</v>
      </c>
      <c r="F6" s="24">
        <f>$C6*POWER(SUM(1,Variables!$B$4), F$1-$C$1)</f>
        <v>401036.13438843988</v>
      </c>
      <c r="G6" s="24">
        <f>$C6*POWER(SUM(1,Variables!$B$4), G$1-$C$1)</f>
        <v>410661.0016137624</v>
      </c>
      <c r="H6" s="24">
        <f>$C6*POWER(SUM(1,Variables!$B$4), H$1-$C$1)</f>
        <v>420516.86565249268</v>
      </c>
      <c r="I6" s="24">
        <f>$C6*POWER(SUM(1,Variables!$B$4), I$1-$C$1)</f>
        <v>430609.27042815246</v>
      </c>
      <c r="J6" s="24">
        <f>$C6*POWER(SUM(1,Variables!$B$4), J$1-$C$1)</f>
        <v>440943.89291842817</v>
      </c>
      <c r="K6" s="24">
        <f>$C6*POWER(SUM(1,Variables!$B$4), K$1-$C$1)</f>
        <v>451526.54634847038</v>
      </c>
      <c r="L6" s="24">
        <f>$C6*POWER(SUM(1,Variables!$B$4), L$1-$C$1)</f>
        <v>462363.18346083368</v>
      </c>
      <c r="M6" s="24">
        <f>$C6*POWER(SUM(1,Variables!$B$4), M$1-$C$1)</f>
        <v>473459.89986389363</v>
      </c>
      <c r="N6" s="24">
        <f>$C6*POWER(SUM(1,Variables!$B$4), N$1-$C$1)</f>
        <v>484822.93746062717</v>
      </c>
      <c r="O6" s="24">
        <f>$C6*POWER(SUM(1,Variables!$B$4), O$1-$C$1)</f>
        <v>496458.6879596822</v>
      </c>
    </row>
    <row r="7" spans="1:15" x14ac:dyDescent="0.35">
      <c r="A7" s="22">
        <v>6</v>
      </c>
      <c r="B7" s="23" t="s">
        <v>32</v>
      </c>
      <c r="C7" s="235">
        <f>4695+347204</f>
        <v>351899</v>
      </c>
      <c r="D7" s="24">
        <f>$C7*POWER(SUM(1,Variables!$B$4), D$1-$C$1)</f>
        <v>435629.86188448599</v>
      </c>
      <c r="E7" s="24">
        <f>$C7*POWER(SUM(1,Variables!$B$4), E$1-$C$1)</f>
        <v>446084.97856971365</v>
      </c>
      <c r="F7" s="24">
        <f>$C7*POWER(SUM(1,Variables!$B$4), F$1-$C$1)</f>
        <v>456791.01805538684</v>
      </c>
      <c r="G7" s="24">
        <f>$C7*POWER(SUM(1,Variables!$B$4), G$1-$C$1)</f>
        <v>467754.0024887161</v>
      </c>
      <c r="H7" s="24">
        <f>$C7*POWER(SUM(1,Variables!$B$4), H$1-$C$1)</f>
        <v>478980.09854844527</v>
      </c>
      <c r="I7" s="24">
        <f>$C7*POWER(SUM(1,Variables!$B$4), I$1-$C$1)</f>
        <v>490475.62091360794</v>
      </c>
      <c r="J7" s="24">
        <f>$C7*POWER(SUM(1,Variables!$B$4), J$1-$C$1)</f>
        <v>502247.03581553459</v>
      </c>
      <c r="K7" s="24">
        <f>$C7*POWER(SUM(1,Variables!$B$4), K$1-$C$1)</f>
        <v>514300.96467510733</v>
      </c>
      <c r="L7" s="24">
        <f>$C7*POWER(SUM(1,Variables!$B$4), L$1-$C$1)</f>
        <v>526644.18782730994</v>
      </c>
      <c r="M7" s="24">
        <f>$C7*POWER(SUM(1,Variables!$B$4), M$1-$C$1)</f>
        <v>539283.64833516523</v>
      </c>
      <c r="N7" s="24">
        <f>$C7*POWER(SUM(1,Variables!$B$4), N$1-$C$1)</f>
        <v>552226.45589520934</v>
      </c>
      <c r="O7" s="24">
        <f>$C7*POWER(SUM(1,Variables!$B$4), O$1-$C$1)</f>
        <v>565479.89083669428</v>
      </c>
    </row>
    <row r="8" spans="1:15" x14ac:dyDescent="0.35">
      <c r="A8" s="22">
        <v>7</v>
      </c>
      <c r="B8" s="23" t="s">
        <v>33</v>
      </c>
      <c r="C8" s="238">
        <v>198298</v>
      </c>
      <c r="D8" s="24">
        <f>$C8*POWER(SUM(1,Variables!$B$4), D$1-$C$1)</f>
        <v>245481.03391021231</v>
      </c>
      <c r="E8" s="24">
        <f>$C8*POWER(SUM(1,Variables!$B$4), E$1-$C$1)</f>
        <v>251372.57872405741</v>
      </c>
      <c r="F8" s="24">
        <f>$C8*POWER(SUM(1,Variables!$B$4), F$1-$C$1)</f>
        <v>257405.52061343484</v>
      </c>
      <c r="G8" s="24">
        <f>$C8*POWER(SUM(1,Variables!$B$4), G$1-$C$1)</f>
        <v>263583.25310815725</v>
      </c>
      <c r="H8" s="24">
        <f>$C8*POWER(SUM(1,Variables!$B$4), H$1-$C$1)</f>
        <v>269909.25118275301</v>
      </c>
      <c r="I8" s="24">
        <f>$C8*POWER(SUM(1,Variables!$B$4), I$1-$C$1)</f>
        <v>276387.07321113907</v>
      </c>
      <c r="J8" s="24">
        <f>$C8*POWER(SUM(1,Variables!$B$4), J$1-$C$1)</f>
        <v>283020.36296820641</v>
      </c>
      <c r="K8" s="24">
        <f>$C8*POWER(SUM(1,Variables!$B$4), K$1-$C$1)</f>
        <v>289812.85167944332</v>
      </c>
      <c r="L8" s="24">
        <f>$C8*POWER(SUM(1,Variables!$B$4), L$1-$C$1)</f>
        <v>296768.36011974997</v>
      </c>
      <c r="M8" s="24">
        <f>$C8*POWER(SUM(1,Variables!$B$4), M$1-$C$1)</f>
        <v>303890.80076262396</v>
      </c>
      <c r="N8" s="24">
        <f>$C8*POWER(SUM(1,Variables!$B$4), N$1-$C$1)</f>
        <v>311184.17998092697</v>
      </c>
      <c r="O8" s="24">
        <f>$C8*POWER(SUM(1,Variables!$B$4), O$1-$C$1)</f>
        <v>318652.6003004692</v>
      </c>
    </row>
    <row r="9" spans="1:15" x14ac:dyDescent="0.35">
      <c r="A9" s="22">
        <v>8</v>
      </c>
      <c r="B9" s="25" t="s">
        <v>36</v>
      </c>
      <c r="C9" s="239">
        <v>657892</v>
      </c>
      <c r="D9" s="24">
        <f>$C9*POWER(SUM(1,Variables!$B$4), D$1-$C$1)</f>
        <v>814430.84832553728</v>
      </c>
      <c r="E9" s="24">
        <f>$C9*POWER(SUM(1,Variables!$B$4), E$1-$C$1)</f>
        <v>833977.18868535024</v>
      </c>
      <c r="F9" s="24">
        <f>$C9*POWER(SUM(1,Variables!$B$4), F$1-$C$1)</f>
        <v>853992.64121379878</v>
      </c>
      <c r="G9" s="24">
        <f>$C9*POWER(SUM(1,Variables!$B$4), G$1-$C$1)</f>
        <v>874488.46460292977</v>
      </c>
      <c r="H9" s="24">
        <f>$C9*POWER(SUM(1,Variables!$B$4), H$1-$C$1)</f>
        <v>895476.18775340018</v>
      </c>
      <c r="I9" s="24">
        <f>$C9*POWER(SUM(1,Variables!$B$4), I$1-$C$1)</f>
        <v>916967.61625948164</v>
      </c>
      <c r="J9" s="24">
        <f>$C9*POWER(SUM(1,Variables!$B$4), J$1-$C$1)</f>
        <v>938974.83904970938</v>
      </c>
      <c r="K9" s="24">
        <f>$C9*POWER(SUM(1,Variables!$B$4), K$1-$C$1)</f>
        <v>961510.23518690222</v>
      </c>
      <c r="L9" s="24">
        <f>$C9*POWER(SUM(1,Variables!$B$4), L$1-$C$1)</f>
        <v>984586.48083138792</v>
      </c>
      <c r="M9" s="24">
        <f>$C9*POWER(SUM(1,Variables!$B$4), M$1-$C$1)</f>
        <v>1008216.5563713411</v>
      </c>
      <c r="N9" s="24">
        <f>$C9*POWER(SUM(1,Variables!$B$4), N$1-$C$1)</f>
        <v>1032413.7537242535</v>
      </c>
      <c r="O9" s="24">
        <f>$C9*POWER(SUM(1,Variables!$B$4), O$1-$C$1)</f>
        <v>1057191.6838136355</v>
      </c>
    </row>
    <row r="10" spans="1:15" x14ac:dyDescent="0.35">
      <c r="A10" s="22">
        <v>9</v>
      </c>
      <c r="B10" s="23" t="s">
        <v>38</v>
      </c>
      <c r="C10" s="234">
        <f>10024+1530</f>
        <v>11554</v>
      </c>
      <c r="D10" s="24">
        <f>$C10*POWER(SUM(1,Variables!$B$4), D$1-$C$1)</f>
        <v>14303.159213903282</v>
      </c>
      <c r="E10" s="24">
        <f>$C10*POWER(SUM(1,Variables!$B$4), E$1-$C$1)</f>
        <v>14646.43503503696</v>
      </c>
      <c r="F10" s="24">
        <f>$C10*POWER(SUM(1,Variables!$B$4), F$1-$C$1)</f>
        <v>14997.949475877851</v>
      </c>
      <c r="G10" s="24">
        <f>$C10*POWER(SUM(1,Variables!$B$4), G$1-$C$1)</f>
        <v>15357.900263298918</v>
      </c>
      <c r="H10" s="24">
        <f>$C10*POWER(SUM(1,Variables!$B$4), H$1-$C$1)</f>
        <v>15726.489869618092</v>
      </c>
      <c r="I10" s="24">
        <f>$C10*POWER(SUM(1,Variables!$B$4), I$1-$C$1)</f>
        <v>16103.925626488925</v>
      </c>
      <c r="J10" s="24">
        <f>$C10*POWER(SUM(1,Variables!$B$4), J$1-$C$1)</f>
        <v>16490.419841524661</v>
      </c>
      <c r="K10" s="24">
        <f>$C10*POWER(SUM(1,Variables!$B$4), K$1-$C$1)</f>
        <v>16886.189917721251</v>
      </c>
      <c r="L10" s="24">
        <f>$C10*POWER(SUM(1,Variables!$B$4), L$1-$C$1)</f>
        <v>17291.45847574656</v>
      </c>
      <c r="M10" s="24">
        <f>$C10*POWER(SUM(1,Variables!$B$4), M$1-$C$1)</f>
        <v>17706.453479164476</v>
      </c>
      <c r="N10" s="24">
        <f>$C10*POWER(SUM(1,Variables!$B$4), N$1-$C$1)</f>
        <v>18131.408362664428</v>
      </c>
      <c r="O10" s="24">
        <f>$C10*POWER(SUM(1,Variables!$B$4), O$1-$C$1)</f>
        <v>18566.56216336837</v>
      </c>
    </row>
    <row r="11" spans="1:15" x14ac:dyDescent="0.35">
      <c r="A11" s="22">
        <v>10</v>
      </c>
      <c r="B11" s="23" t="s">
        <v>40</v>
      </c>
      <c r="C11" s="240">
        <v>452058</v>
      </c>
      <c r="D11" s="24">
        <f>$C11*POWER(SUM(1,Variables!$B$4), D$1-$C$1)</f>
        <v>559620.69827927032</v>
      </c>
      <c r="E11" s="24">
        <f>$C11*POWER(SUM(1,Variables!$B$4), E$1-$C$1)</f>
        <v>573051.5950379729</v>
      </c>
      <c r="F11" s="24">
        <f>$C11*POWER(SUM(1,Variables!$B$4), F$1-$C$1)</f>
        <v>586804.83331888425</v>
      </c>
      <c r="G11" s="24">
        <f>$C11*POWER(SUM(1,Variables!$B$4), G$1-$C$1)</f>
        <v>600888.14931853744</v>
      </c>
      <c r="H11" s="24">
        <f>$C11*POWER(SUM(1,Variables!$B$4), H$1-$C$1)</f>
        <v>615309.46490218234</v>
      </c>
      <c r="I11" s="24">
        <f>$C11*POWER(SUM(1,Variables!$B$4), I$1-$C$1)</f>
        <v>630076.89205983467</v>
      </c>
      <c r="J11" s="24">
        <f>$C11*POWER(SUM(1,Variables!$B$4), J$1-$C$1)</f>
        <v>645198.73746927083</v>
      </c>
      <c r="K11" s="24">
        <f>$C11*POWER(SUM(1,Variables!$B$4), K$1-$C$1)</f>
        <v>660683.50716853316</v>
      </c>
      <c r="L11" s="24">
        <f>$C11*POWER(SUM(1,Variables!$B$4), L$1-$C$1)</f>
        <v>676539.91134057799</v>
      </c>
      <c r="M11" s="24">
        <f>$C11*POWER(SUM(1,Variables!$B$4), M$1-$C$1)</f>
        <v>692776.86921275186</v>
      </c>
      <c r="N11" s="24">
        <f>$C11*POWER(SUM(1,Variables!$B$4), N$1-$C$1)</f>
        <v>709403.51407385804</v>
      </c>
      <c r="O11" s="24">
        <f>$C11*POWER(SUM(1,Variables!$B$4), O$1-$C$1)</f>
        <v>726429.19841163047</v>
      </c>
    </row>
    <row r="12" spans="1:15" x14ac:dyDescent="0.35">
      <c r="A12" s="22">
        <v>11</v>
      </c>
      <c r="B12" s="23" t="s">
        <v>42</v>
      </c>
      <c r="C12" s="234">
        <f>165642+273485+159490</f>
        <v>598617</v>
      </c>
      <c r="D12" s="24">
        <f>$C12*POWER(SUM(1,Variables!$B$4), D$1-$C$1)</f>
        <v>741051.95249689638</v>
      </c>
      <c r="E12" s="24">
        <f>$C12*POWER(SUM(1,Variables!$B$4), E$1-$C$1)</f>
        <v>758837.19935682195</v>
      </c>
      <c r="F12" s="24">
        <f>$C12*POWER(SUM(1,Variables!$B$4), F$1-$C$1)</f>
        <v>777049.29214138573</v>
      </c>
      <c r="G12" s="24">
        <f>$C12*POWER(SUM(1,Variables!$B$4), G$1-$C$1)</f>
        <v>795698.4751527789</v>
      </c>
      <c r="H12" s="24">
        <f>$C12*POWER(SUM(1,Variables!$B$4), H$1-$C$1)</f>
        <v>814795.23855644558</v>
      </c>
      <c r="I12" s="24">
        <f>$C12*POWER(SUM(1,Variables!$B$4), I$1-$C$1)</f>
        <v>834350.32428180031</v>
      </c>
      <c r="J12" s="24">
        <f>$C12*POWER(SUM(1,Variables!$B$4), J$1-$C$1)</f>
        <v>854374.73206456355</v>
      </c>
      <c r="K12" s="24">
        <f>$C12*POWER(SUM(1,Variables!$B$4), K$1-$C$1)</f>
        <v>874879.72563411295</v>
      </c>
      <c r="L12" s="24">
        <f>$C12*POWER(SUM(1,Variables!$B$4), L$1-$C$1)</f>
        <v>895876.83904933173</v>
      </c>
      <c r="M12" s="24">
        <f>$C12*POWER(SUM(1,Variables!$B$4), M$1-$C$1)</f>
        <v>917377.88318651554</v>
      </c>
      <c r="N12" s="24">
        <f>$C12*POWER(SUM(1,Variables!$B$4), N$1-$C$1)</f>
        <v>939394.95238299214</v>
      </c>
      <c r="O12" s="24">
        <f>$C12*POWER(SUM(1,Variables!$B$4), O$1-$C$1)</f>
        <v>961940.43124018377</v>
      </c>
    </row>
    <row r="13" spans="1:15" x14ac:dyDescent="0.35">
      <c r="A13" s="22">
        <v>12</v>
      </c>
      <c r="B13" s="23" t="s">
        <v>44</v>
      </c>
      <c r="C13" s="241">
        <v>443222</v>
      </c>
      <c r="D13" s="24">
        <f>$C13*POWER(SUM(1,Variables!$B$4), D$1-$C$1)</f>
        <v>548682.26009214472</v>
      </c>
      <c r="E13" s="24">
        <f>$C13*POWER(SUM(1,Variables!$B$4), E$1-$C$1)</f>
        <v>561850.63433435629</v>
      </c>
      <c r="F13" s="24">
        <f>$C13*POWER(SUM(1,Variables!$B$4), F$1-$C$1)</f>
        <v>575335.04955838085</v>
      </c>
      <c r="G13" s="24">
        <f>$C13*POWER(SUM(1,Variables!$B$4), G$1-$C$1)</f>
        <v>589143.09074778191</v>
      </c>
      <c r="H13" s="24">
        <f>$C13*POWER(SUM(1,Variables!$B$4), H$1-$C$1)</f>
        <v>603282.52492572868</v>
      </c>
      <c r="I13" s="24">
        <f>$C13*POWER(SUM(1,Variables!$B$4), I$1-$C$1)</f>
        <v>617761.30552394618</v>
      </c>
      <c r="J13" s="24">
        <f>$C13*POWER(SUM(1,Variables!$B$4), J$1-$C$1)</f>
        <v>632587.57685652096</v>
      </c>
      <c r="K13" s="24">
        <f>$C13*POWER(SUM(1,Variables!$B$4), K$1-$C$1)</f>
        <v>647769.67870107736</v>
      </c>
      <c r="L13" s="24">
        <f>$C13*POWER(SUM(1,Variables!$B$4), L$1-$C$1)</f>
        <v>663316.15098990325</v>
      </c>
      <c r="M13" s="24">
        <f>$C13*POWER(SUM(1,Variables!$B$4), M$1-$C$1)</f>
        <v>679235.7386136608</v>
      </c>
      <c r="N13" s="24">
        <f>$C13*POWER(SUM(1,Variables!$B$4), N$1-$C$1)</f>
        <v>695537.3963403888</v>
      </c>
      <c r="O13" s="24">
        <f>$C13*POWER(SUM(1,Variables!$B$4), O$1-$C$1)</f>
        <v>712230.29385255801</v>
      </c>
    </row>
    <row r="14" spans="1:15" x14ac:dyDescent="0.35">
      <c r="A14" s="22">
        <v>13</v>
      </c>
      <c r="B14" s="23" t="s">
        <v>45</v>
      </c>
      <c r="C14" s="242">
        <v>337553</v>
      </c>
      <c r="D14" s="24">
        <f>$C14*POWER(SUM(1,Variables!$B$4), D$1-$C$1)</f>
        <v>417870.37408089789</v>
      </c>
      <c r="E14" s="24">
        <f>$C14*POWER(SUM(1,Variables!$B$4), E$1-$C$1)</f>
        <v>427899.26305883948</v>
      </c>
      <c r="F14" s="24">
        <f>$C14*POWER(SUM(1,Variables!$B$4), F$1-$C$1)</f>
        <v>438168.8453722517</v>
      </c>
      <c r="G14" s="24">
        <f>$C14*POWER(SUM(1,Variables!$B$4), G$1-$C$1)</f>
        <v>448684.89766118571</v>
      </c>
      <c r="H14" s="24">
        <f>$C14*POWER(SUM(1,Variables!$B$4), H$1-$C$1)</f>
        <v>459453.33520505414</v>
      </c>
      <c r="I14" s="24">
        <f>$C14*POWER(SUM(1,Variables!$B$4), I$1-$C$1)</f>
        <v>470480.21524997539</v>
      </c>
      <c r="J14" s="24">
        <f>$C14*POWER(SUM(1,Variables!$B$4), J$1-$C$1)</f>
        <v>481771.74041597487</v>
      </c>
      <c r="K14" s="24">
        <f>$C14*POWER(SUM(1,Variables!$B$4), K$1-$C$1)</f>
        <v>493334.26218595821</v>
      </c>
      <c r="L14" s="24">
        <f>$C14*POWER(SUM(1,Variables!$B$4), L$1-$C$1)</f>
        <v>505174.28447842121</v>
      </c>
      <c r="M14" s="24">
        <f>$C14*POWER(SUM(1,Variables!$B$4), M$1-$C$1)</f>
        <v>517298.46730590326</v>
      </c>
      <c r="N14" s="24">
        <f>$C14*POWER(SUM(1,Variables!$B$4), N$1-$C$1)</f>
        <v>529713.63052124507</v>
      </c>
      <c r="O14" s="24">
        <f>$C14*POWER(SUM(1,Variables!$B$4), O$1-$C$1)</f>
        <v>542426.7576537549</v>
      </c>
    </row>
    <row r="15" spans="1:15" x14ac:dyDescent="0.35">
      <c r="A15" s="22">
        <v>14</v>
      </c>
      <c r="B15" s="23" t="s">
        <v>46</v>
      </c>
      <c r="C15" s="243">
        <v>1588750</v>
      </c>
      <c r="D15" s="24">
        <f>$C15*POWER(SUM(1,Variables!$B$4), D$1-$C$1)</f>
        <v>1966777.2374146476</v>
      </c>
      <c r="E15" s="24">
        <f>$C15*POWER(SUM(1,Variables!$B$4), E$1-$C$1)</f>
        <v>2013979.8911125993</v>
      </c>
      <c r="F15" s="24">
        <f>$C15*POWER(SUM(1,Variables!$B$4), F$1-$C$1)</f>
        <v>2062315.4084993019</v>
      </c>
      <c r="G15" s="24">
        <f>$C15*POWER(SUM(1,Variables!$B$4), G$1-$C$1)</f>
        <v>2111810.9783032848</v>
      </c>
      <c r="H15" s="24">
        <f>$C15*POWER(SUM(1,Variables!$B$4), H$1-$C$1)</f>
        <v>2162494.4417825639</v>
      </c>
      <c r="I15" s="24">
        <f>$C15*POWER(SUM(1,Variables!$B$4), I$1-$C$1)</f>
        <v>2214394.3083853452</v>
      </c>
      <c r="J15" s="24">
        <f>$C15*POWER(SUM(1,Variables!$B$4), J$1-$C$1)</f>
        <v>2267539.7717865938</v>
      </c>
      <c r="K15" s="24">
        <f>$C15*POWER(SUM(1,Variables!$B$4), K$1-$C$1)</f>
        <v>2321960.7263094718</v>
      </c>
      <c r="L15" s="24">
        <f>$C15*POWER(SUM(1,Variables!$B$4), L$1-$C$1)</f>
        <v>2377687.7837408991</v>
      </c>
      <c r="M15" s="24">
        <f>$C15*POWER(SUM(1,Variables!$B$4), M$1-$C$1)</f>
        <v>2434752.2905506804</v>
      </c>
      <c r="N15" s="24">
        <f>$C15*POWER(SUM(1,Variables!$B$4), N$1-$C$1)</f>
        <v>2493186.3455238971</v>
      </c>
      <c r="O15" s="24">
        <f>$C15*POWER(SUM(1,Variables!$B$4), O$1-$C$1)</f>
        <v>2553022.8178164703</v>
      </c>
    </row>
    <row r="16" spans="1:15" x14ac:dyDescent="0.35">
      <c r="A16" s="22">
        <v>15</v>
      </c>
      <c r="B16" s="23" t="s">
        <v>47</v>
      </c>
      <c r="C16" s="234">
        <v>68726</v>
      </c>
      <c r="D16" s="24">
        <f>$C16*POWER(SUM(1,Variables!$B$4), D$1-$C$1)</f>
        <v>85078.667139927027</v>
      </c>
      <c r="E16" s="24">
        <f>$C16*POWER(SUM(1,Variables!$B$4), E$1-$C$1)</f>
        <v>87120.555151285284</v>
      </c>
      <c r="F16" s="24">
        <f>$C16*POWER(SUM(1,Variables!$B$4), F$1-$C$1)</f>
        <v>89211.448474916149</v>
      </c>
      <c r="G16" s="24">
        <f>$C16*POWER(SUM(1,Variables!$B$4), G$1-$C$1)</f>
        <v>91352.523238314127</v>
      </c>
      <c r="H16" s="24">
        <f>$C16*POWER(SUM(1,Variables!$B$4), H$1-$C$1)</f>
        <v>93544.983796033659</v>
      </c>
      <c r="I16" s="24">
        <f>$C16*POWER(SUM(1,Variables!$B$4), I$1-$C$1)</f>
        <v>95790.06340713847</v>
      </c>
      <c r="J16" s="24">
        <f>$C16*POWER(SUM(1,Variables!$B$4), J$1-$C$1)</f>
        <v>98089.024928909799</v>
      </c>
      <c r="K16" s="24">
        <f>$C16*POWER(SUM(1,Variables!$B$4), K$1-$C$1)</f>
        <v>100443.16152720361</v>
      </c>
      <c r="L16" s="24">
        <f>$C16*POWER(SUM(1,Variables!$B$4), L$1-$C$1)</f>
        <v>102853.7974038565</v>
      </c>
      <c r="M16" s="24">
        <f>$C16*POWER(SUM(1,Variables!$B$4), M$1-$C$1)</f>
        <v>105322.28854154905</v>
      </c>
      <c r="N16" s="24">
        <f>$C16*POWER(SUM(1,Variables!$B$4), N$1-$C$1)</f>
        <v>107850.02346654625</v>
      </c>
      <c r="O16" s="24">
        <f>$C16*POWER(SUM(1,Variables!$B$4), O$1-$C$1)</f>
        <v>110438.42402974334</v>
      </c>
    </row>
    <row r="17" spans="1:15" x14ac:dyDescent="0.35">
      <c r="A17" s="22">
        <v>16</v>
      </c>
      <c r="B17" s="23" t="s">
        <v>48</v>
      </c>
      <c r="C17" s="244">
        <v>68361</v>
      </c>
      <c r="D17" s="24">
        <f>$C17*POWER(SUM(1,Variables!$B$4), D$1-$C$1)</f>
        <v>84626.819025587873</v>
      </c>
      <c r="E17" s="24">
        <f>$C17*POWER(SUM(1,Variables!$B$4), E$1-$C$1)</f>
        <v>86657.862682201987</v>
      </c>
      <c r="F17" s="24">
        <f>$C17*POWER(SUM(1,Variables!$B$4), F$1-$C$1)</f>
        <v>88737.651386574842</v>
      </c>
      <c r="G17" s="24">
        <f>$C17*POWER(SUM(1,Variables!$B$4), G$1-$C$1)</f>
        <v>90867.355019852635</v>
      </c>
      <c r="H17" s="24">
        <f>$C17*POWER(SUM(1,Variables!$B$4), H$1-$C$1)</f>
        <v>93048.171540329087</v>
      </c>
      <c r="I17" s="24">
        <f>$C17*POWER(SUM(1,Variables!$B$4), I$1-$C$1)</f>
        <v>95281.327657296977</v>
      </c>
      <c r="J17" s="24">
        <f>$C17*POWER(SUM(1,Variables!$B$4), J$1-$C$1)</f>
        <v>97568.079521072126</v>
      </c>
      <c r="K17" s="24">
        <f>$C17*POWER(SUM(1,Variables!$B$4), K$1-$C$1)</f>
        <v>99909.713429577838</v>
      </c>
      <c r="L17" s="24">
        <f>$C17*POWER(SUM(1,Variables!$B$4), L$1-$C$1)</f>
        <v>102307.5465518877</v>
      </c>
      <c r="M17" s="24">
        <f>$C17*POWER(SUM(1,Variables!$B$4), M$1-$C$1)</f>
        <v>104762.927669133</v>
      </c>
      <c r="N17" s="24">
        <f>$C17*POWER(SUM(1,Variables!$B$4), N$1-$C$1)</f>
        <v>107277.23793319221</v>
      </c>
      <c r="O17" s="24">
        <f>$C17*POWER(SUM(1,Variables!$B$4), O$1-$C$1)</f>
        <v>109851.89164358881</v>
      </c>
    </row>
    <row r="18" spans="1:15" x14ac:dyDescent="0.35">
      <c r="A18" s="22">
        <v>17</v>
      </c>
      <c r="B18" s="26" t="s">
        <v>49</v>
      </c>
      <c r="C18" s="242">
        <v>17155</v>
      </c>
      <c r="D18" s="24">
        <f>$C18*POWER(SUM(1,Variables!$B$4), D$1-$C$1)</f>
        <v>21236.861373940697</v>
      </c>
      <c r="E18" s="24">
        <f>$C18*POWER(SUM(1,Variables!$B$4), E$1-$C$1)</f>
        <v>21746.546046915275</v>
      </c>
      <c r="F18" s="24">
        <f>$C18*POWER(SUM(1,Variables!$B$4), F$1-$C$1)</f>
        <v>22268.463152041244</v>
      </c>
      <c r="G18" s="24">
        <f>$C18*POWER(SUM(1,Variables!$B$4), G$1-$C$1)</f>
        <v>22802.906267690232</v>
      </c>
      <c r="H18" s="24">
        <f>$C18*POWER(SUM(1,Variables!$B$4), H$1-$C$1)</f>
        <v>23350.176018114795</v>
      </c>
      <c r="I18" s="24">
        <f>$C18*POWER(SUM(1,Variables!$B$4), I$1-$C$1)</f>
        <v>23910.580242549549</v>
      </c>
      <c r="J18" s="24">
        <f>$C18*POWER(SUM(1,Variables!$B$4), J$1-$C$1)</f>
        <v>24484.434168370743</v>
      </c>
      <c r="K18" s="24">
        <f>$C18*POWER(SUM(1,Variables!$B$4), K$1-$C$1)</f>
        <v>25072.060588411634</v>
      </c>
      <c r="L18" s="24">
        <f>$C18*POWER(SUM(1,Variables!$B$4), L$1-$C$1)</f>
        <v>25673.790042533514</v>
      </c>
      <c r="M18" s="24">
        <f>$C18*POWER(SUM(1,Variables!$B$4), M$1-$C$1)</f>
        <v>26289.961003554316</v>
      </c>
      <c r="N18" s="24">
        <f>$C18*POWER(SUM(1,Variables!$B$4), N$1-$C$1)</f>
        <v>26920.920067639625</v>
      </c>
      <c r="O18" s="24">
        <f>$C18*POWER(SUM(1,Variables!$B$4), O$1-$C$1)</f>
        <v>27567.022149262975</v>
      </c>
    </row>
    <row r="19" spans="1:15" x14ac:dyDescent="0.35">
      <c r="A19" s="22">
        <v>18</v>
      </c>
      <c r="B19" s="26" t="s">
        <v>51</v>
      </c>
      <c r="C19" s="236">
        <v>1397</v>
      </c>
      <c r="D19" s="24">
        <f>$C19*POWER(SUM(1,Variables!$B$4), D$1-$C$1)</f>
        <v>1729.4022348816759</v>
      </c>
      <c r="E19" s="24">
        <f>$C19*POWER(SUM(1,Variables!$B$4), E$1-$C$1)</f>
        <v>1770.9078885188362</v>
      </c>
      <c r="F19" s="24">
        <f>$C19*POWER(SUM(1,Variables!$B$4), F$1-$C$1)</f>
        <v>1813.4096778432886</v>
      </c>
      <c r="G19" s="24">
        <f>$C19*POWER(SUM(1,Variables!$B$4), G$1-$C$1)</f>
        <v>1856.9315101115274</v>
      </c>
      <c r="H19" s="24">
        <f>$C19*POWER(SUM(1,Variables!$B$4), H$1-$C$1)</f>
        <v>1901.497866354204</v>
      </c>
      <c r="I19" s="24">
        <f>$C19*POWER(SUM(1,Variables!$B$4), I$1-$C$1)</f>
        <v>1947.1338151467048</v>
      </c>
      <c r="J19" s="24">
        <f>$C19*POWER(SUM(1,Variables!$B$4), J$1-$C$1)</f>
        <v>1993.8650267102259</v>
      </c>
      <c r="K19" s="24">
        <f>$C19*POWER(SUM(1,Variables!$B$4), K$1-$C$1)</f>
        <v>2041.717787351271</v>
      </c>
      <c r="L19" s="24">
        <f>$C19*POWER(SUM(1,Variables!$B$4), L$1-$C$1)</f>
        <v>2090.7190142477016</v>
      </c>
      <c r="M19" s="24">
        <f>$C19*POWER(SUM(1,Variables!$B$4), M$1-$C$1)</f>
        <v>2140.8962705896461</v>
      </c>
      <c r="N19" s="24">
        <f>$C19*POWER(SUM(1,Variables!$B$4), N$1-$C$1)</f>
        <v>2192.2777810837983</v>
      </c>
      <c r="O19" s="24">
        <f>$C19*POWER(SUM(1,Variables!$B$4), O$1-$C$1)</f>
        <v>2244.892447829809</v>
      </c>
    </row>
    <row r="20" spans="1:15" ht="15.75" customHeight="1" x14ac:dyDescent="0.35">
      <c r="A20" s="22">
        <v>19</v>
      </c>
      <c r="B20" s="26" t="s">
        <v>52</v>
      </c>
      <c r="C20" s="242">
        <v>20468</v>
      </c>
      <c r="D20" s="24">
        <f>$C20*POWER(SUM(1,Variables!$B$4), D$1-$C$1)</f>
        <v>25338.156724093158</v>
      </c>
      <c r="E20" s="24">
        <f>$C20*POWER(SUM(1,Variables!$B$4), E$1-$C$1)</f>
        <v>25946.272485471396</v>
      </c>
      <c r="F20" s="24">
        <f>$C20*POWER(SUM(1,Variables!$B$4), F$1-$C$1)</f>
        <v>26568.983025122714</v>
      </c>
      <c r="G20" s="24">
        <f>$C20*POWER(SUM(1,Variables!$B$4), G$1-$C$1)</f>
        <v>27206.638617725657</v>
      </c>
      <c r="H20" s="24">
        <f>$C20*POWER(SUM(1,Variables!$B$4), H$1-$C$1)</f>
        <v>27859.597944551071</v>
      </c>
      <c r="I20" s="24">
        <f>$C20*POWER(SUM(1,Variables!$B$4), I$1-$C$1)</f>
        <v>28528.228295220295</v>
      </c>
      <c r="J20" s="24">
        <f>$C20*POWER(SUM(1,Variables!$B$4), J$1-$C$1)</f>
        <v>29212.905774305586</v>
      </c>
      <c r="K20" s="24">
        <f>$C20*POWER(SUM(1,Variables!$B$4), K$1-$C$1)</f>
        <v>29914.015512888916</v>
      </c>
      <c r="L20" s="24">
        <f>$C20*POWER(SUM(1,Variables!$B$4), L$1-$C$1)</f>
        <v>30631.95188519825</v>
      </c>
      <c r="M20" s="24">
        <f>$C20*POWER(SUM(1,Variables!$B$4), M$1-$C$1)</f>
        <v>31367.118730443006</v>
      </c>
      <c r="N20" s="24">
        <f>$C20*POWER(SUM(1,Variables!$B$4), N$1-$C$1)</f>
        <v>32119.929579973643</v>
      </c>
      <c r="O20" s="24">
        <f>$C20*POWER(SUM(1,Variables!$B$4), O$1-$C$1)</f>
        <v>32890.807889893011</v>
      </c>
    </row>
    <row r="21" spans="1:15" ht="15.75" customHeight="1" x14ac:dyDescent="0.35">
      <c r="A21" s="22">
        <v>20</v>
      </c>
      <c r="B21" s="26" t="s">
        <v>53</v>
      </c>
      <c r="C21" s="245">
        <v>2379</v>
      </c>
      <c r="D21" s="24">
        <f>$C21*POWER(SUM(1,Variables!$B$4), D$1-$C$1)</f>
        <v>2945.0593534599193</v>
      </c>
      <c r="E21" s="24">
        <f>$C21*POWER(SUM(1,Variables!$B$4), E$1-$C$1)</f>
        <v>3015.7407779429573</v>
      </c>
      <c r="F21" s="24">
        <f>$C21*POWER(SUM(1,Variables!$B$4), F$1-$C$1)</f>
        <v>3088.1185566135887</v>
      </c>
      <c r="G21" s="24">
        <f>$C21*POWER(SUM(1,Variables!$B$4), G$1-$C$1)</f>
        <v>3162.2334019723148</v>
      </c>
      <c r="H21" s="24">
        <f>$C21*POWER(SUM(1,Variables!$B$4), H$1-$C$1)</f>
        <v>3238.1270036196502</v>
      </c>
      <c r="I21" s="24">
        <f>$C21*POWER(SUM(1,Variables!$B$4), I$1-$C$1)</f>
        <v>3315.8420517065215</v>
      </c>
      <c r="J21" s="24">
        <f>$C21*POWER(SUM(1,Variables!$B$4), J$1-$C$1)</f>
        <v>3395.4222609474787</v>
      </c>
      <c r="K21" s="24">
        <f>$C21*POWER(SUM(1,Variables!$B$4), K$1-$C$1)</f>
        <v>3476.9123952102173</v>
      </c>
      <c r="L21" s="24">
        <f>$C21*POWER(SUM(1,Variables!$B$4), L$1-$C$1)</f>
        <v>3560.3582926952627</v>
      </c>
      <c r="M21" s="24">
        <f>$C21*POWER(SUM(1,Variables!$B$4), M$1-$C$1)</f>
        <v>3645.8068917199485</v>
      </c>
      <c r="N21" s="24">
        <f>$C21*POWER(SUM(1,Variables!$B$4), N$1-$C$1)</f>
        <v>3733.3062571212281</v>
      </c>
      <c r="O21" s="24">
        <f>$C21*POWER(SUM(1,Variables!$B$4), O$1-$C$1)</f>
        <v>3822.9056072921371</v>
      </c>
    </row>
    <row r="22" spans="1:15" ht="15.75" customHeight="1" x14ac:dyDescent="0.35">
      <c r="B22" s="50"/>
      <c r="C22" s="50" t="s">
        <v>224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ht="15.75" customHeight="1" x14ac:dyDescent="0.35">
      <c r="C23" s="246"/>
    </row>
    <row r="24" spans="1:15" ht="15.75" customHeight="1" x14ac:dyDescent="0.35">
      <c r="C24" s="246"/>
    </row>
    <row r="25" spans="1:15" ht="15.75" customHeight="1" x14ac:dyDescent="0.35">
      <c r="C25" s="246"/>
    </row>
    <row r="26" spans="1:15" ht="15.75" customHeight="1" x14ac:dyDescent="0.35">
      <c r="C26" s="246"/>
    </row>
    <row r="27" spans="1:15" ht="15.75" customHeight="1" x14ac:dyDescent="0.35">
      <c r="C27" s="246"/>
    </row>
    <row r="28" spans="1:15" ht="15.75" customHeight="1" x14ac:dyDescent="0.35">
      <c r="C28" s="246"/>
    </row>
    <row r="29" spans="1:15" ht="15.75" customHeight="1" x14ac:dyDescent="0.35">
      <c r="C29" s="246"/>
    </row>
    <row r="30" spans="1:15" ht="15.75" customHeight="1" x14ac:dyDescent="0.35">
      <c r="C30" s="246"/>
    </row>
    <row r="31" spans="1:15" ht="15.75" customHeight="1" x14ac:dyDescent="0.35">
      <c r="C31" s="246"/>
    </row>
    <row r="32" spans="1:15" ht="15.75" customHeight="1" x14ac:dyDescent="0.35">
      <c r="C32" s="246"/>
    </row>
    <row r="33" spans="3:3" ht="15.75" customHeight="1" x14ac:dyDescent="0.35">
      <c r="C33" s="246"/>
    </row>
    <row r="34" spans="3:3" ht="15.75" customHeight="1" x14ac:dyDescent="0.35">
      <c r="C34" s="246"/>
    </row>
    <row r="35" spans="3:3" ht="15.75" customHeight="1" x14ac:dyDescent="0.35">
      <c r="C35" s="246"/>
    </row>
    <row r="36" spans="3:3" ht="15.75" customHeight="1" x14ac:dyDescent="0.35">
      <c r="C36" s="246"/>
    </row>
    <row r="37" spans="3:3" ht="15.75" customHeight="1" x14ac:dyDescent="0.35">
      <c r="C37" s="246"/>
    </row>
    <row r="38" spans="3:3" ht="15.75" customHeight="1" x14ac:dyDescent="0.35">
      <c r="C38" s="246"/>
    </row>
    <row r="39" spans="3:3" ht="15.75" customHeight="1" x14ac:dyDescent="0.35">
      <c r="C39" s="246"/>
    </row>
    <row r="40" spans="3:3" ht="15.75" customHeight="1" x14ac:dyDescent="0.35">
      <c r="C40" s="246"/>
    </row>
    <row r="41" spans="3:3" ht="15.75" customHeight="1" x14ac:dyDescent="0.35">
      <c r="C41" s="246"/>
    </row>
    <row r="42" spans="3:3" ht="15.75" customHeight="1" x14ac:dyDescent="0.35">
      <c r="C42" s="246"/>
    </row>
    <row r="43" spans="3:3" ht="15.75" customHeight="1" x14ac:dyDescent="0.35">
      <c r="C43" s="246"/>
    </row>
    <row r="44" spans="3:3" ht="15.75" customHeight="1" x14ac:dyDescent="0.35">
      <c r="C44" s="246"/>
    </row>
    <row r="45" spans="3:3" ht="15.75" customHeight="1" x14ac:dyDescent="0.35">
      <c r="C45" s="246"/>
    </row>
    <row r="46" spans="3:3" ht="15.75" customHeight="1" x14ac:dyDescent="0.35">
      <c r="C46" s="246"/>
    </row>
    <row r="47" spans="3:3" ht="15.75" customHeight="1" x14ac:dyDescent="0.35">
      <c r="C47" s="246"/>
    </row>
    <row r="48" spans="3:3" ht="15.75" customHeight="1" x14ac:dyDescent="0.35">
      <c r="C48" s="246"/>
    </row>
    <row r="49" spans="3:3" ht="15.75" customHeight="1" x14ac:dyDescent="0.35">
      <c r="C49" s="246"/>
    </row>
    <row r="50" spans="3:3" ht="15.75" customHeight="1" x14ac:dyDescent="0.35">
      <c r="C50" s="246"/>
    </row>
    <row r="51" spans="3:3" ht="15.75" customHeight="1" x14ac:dyDescent="0.35">
      <c r="C51" s="246"/>
    </row>
    <row r="52" spans="3:3" ht="15.75" customHeight="1" x14ac:dyDescent="0.35">
      <c r="C52" s="246"/>
    </row>
    <row r="53" spans="3:3" ht="15.75" customHeight="1" x14ac:dyDescent="0.35">
      <c r="C53" s="246"/>
    </row>
    <row r="54" spans="3:3" ht="15.75" customHeight="1" x14ac:dyDescent="0.35">
      <c r="C54" s="246"/>
    </row>
    <row r="55" spans="3:3" ht="15.75" customHeight="1" x14ac:dyDescent="0.35">
      <c r="C55" s="246"/>
    </row>
    <row r="56" spans="3:3" ht="15.75" customHeight="1" x14ac:dyDescent="0.35">
      <c r="C56" s="246"/>
    </row>
    <row r="57" spans="3:3" ht="15.75" customHeight="1" x14ac:dyDescent="0.35">
      <c r="C57" s="246"/>
    </row>
    <row r="58" spans="3:3" ht="15.75" customHeight="1" x14ac:dyDescent="0.35">
      <c r="C58" s="246"/>
    </row>
    <row r="59" spans="3:3" ht="15.75" customHeight="1" x14ac:dyDescent="0.35">
      <c r="C59" s="246"/>
    </row>
    <row r="60" spans="3:3" ht="15.75" customHeight="1" x14ac:dyDescent="0.35">
      <c r="C60" s="246"/>
    </row>
    <row r="61" spans="3:3" ht="15.75" customHeight="1" x14ac:dyDescent="0.35">
      <c r="C61" s="246"/>
    </row>
    <row r="62" spans="3:3" ht="15.75" customHeight="1" x14ac:dyDescent="0.35">
      <c r="C62" s="246"/>
    </row>
    <row r="63" spans="3:3" ht="15.75" customHeight="1" x14ac:dyDescent="0.35">
      <c r="C63" s="246"/>
    </row>
    <row r="64" spans="3:3" ht="15.75" customHeight="1" x14ac:dyDescent="0.35">
      <c r="C64" s="246"/>
    </row>
    <row r="65" spans="3:3" ht="15.75" customHeight="1" x14ac:dyDescent="0.35">
      <c r="C65" s="246"/>
    </row>
    <row r="66" spans="3:3" ht="15.75" customHeight="1" x14ac:dyDescent="0.35">
      <c r="C66" s="246"/>
    </row>
    <row r="67" spans="3:3" ht="15.75" customHeight="1" x14ac:dyDescent="0.35">
      <c r="C67" s="246"/>
    </row>
    <row r="68" spans="3:3" ht="15.75" customHeight="1" x14ac:dyDescent="0.35">
      <c r="C68" s="246"/>
    </row>
    <row r="69" spans="3:3" ht="15.75" customHeight="1" x14ac:dyDescent="0.35">
      <c r="C69" s="246"/>
    </row>
    <row r="70" spans="3:3" ht="15.75" customHeight="1" x14ac:dyDescent="0.35">
      <c r="C70" s="246"/>
    </row>
    <row r="71" spans="3:3" ht="15.75" customHeight="1" x14ac:dyDescent="0.35">
      <c r="C71" s="246"/>
    </row>
    <row r="72" spans="3:3" ht="15.75" customHeight="1" x14ac:dyDescent="0.35">
      <c r="C72" s="246"/>
    </row>
    <row r="73" spans="3:3" ht="15.75" customHeight="1" x14ac:dyDescent="0.35">
      <c r="C73" s="246"/>
    </row>
    <row r="74" spans="3:3" ht="15.75" customHeight="1" x14ac:dyDescent="0.35">
      <c r="C74" s="246"/>
    </row>
    <row r="75" spans="3:3" ht="15.75" customHeight="1" x14ac:dyDescent="0.35">
      <c r="C75" s="246"/>
    </row>
    <row r="76" spans="3:3" ht="15.75" customHeight="1" x14ac:dyDescent="0.35">
      <c r="C76" s="246"/>
    </row>
    <row r="77" spans="3:3" ht="15.75" customHeight="1" x14ac:dyDescent="0.35">
      <c r="C77" s="246"/>
    </row>
    <row r="78" spans="3:3" ht="15.75" customHeight="1" x14ac:dyDescent="0.35">
      <c r="C78" s="246"/>
    </row>
    <row r="79" spans="3:3" ht="15.75" customHeight="1" x14ac:dyDescent="0.35">
      <c r="C79" s="246"/>
    </row>
    <row r="80" spans="3:3" ht="15.75" customHeight="1" x14ac:dyDescent="0.35">
      <c r="C80" s="246"/>
    </row>
    <row r="81" spans="3:3" ht="15.75" customHeight="1" x14ac:dyDescent="0.35">
      <c r="C81" s="246"/>
    </row>
    <row r="82" spans="3:3" ht="15.75" customHeight="1" x14ac:dyDescent="0.35">
      <c r="C82" s="246"/>
    </row>
    <row r="83" spans="3:3" ht="15.75" customHeight="1" x14ac:dyDescent="0.35">
      <c r="C83" s="246"/>
    </row>
    <row r="84" spans="3:3" ht="15.75" customHeight="1" x14ac:dyDescent="0.35">
      <c r="C84" s="246"/>
    </row>
    <row r="85" spans="3:3" ht="15.75" customHeight="1" x14ac:dyDescent="0.35">
      <c r="C85" s="246"/>
    </row>
    <row r="86" spans="3:3" ht="15.75" customHeight="1" x14ac:dyDescent="0.35">
      <c r="C86" s="246"/>
    </row>
    <row r="87" spans="3:3" ht="15.75" customHeight="1" x14ac:dyDescent="0.35">
      <c r="C87" s="246"/>
    </row>
    <row r="88" spans="3:3" ht="15.75" customHeight="1" x14ac:dyDescent="0.35">
      <c r="C88" s="246"/>
    </row>
    <row r="89" spans="3:3" ht="15.75" customHeight="1" x14ac:dyDescent="0.35">
      <c r="C89" s="246"/>
    </row>
    <row r="90" spans="3:3" ht="15.75" customHeight="1" x14ac:dyDescent="0.35">
      <c r="C90" s="246"/>
    </row>
    <row r="91" spans="3:3" ht="15.75" customHeight="1" x14ac:dyDescent="0.35">
      <c r="C91" s="246"/>
    </row>
    <row r="92" spans="3:3" ht="15.75" customHeight="1" x14ac:dyDescent="0.35">
      <c r="C92" s="246"/>
    </row>
    <row r="93" spans="3:3" ht="15.75" customHeight="1" x14ac:dyDescent="0.35">
      <c r="C93" s="246"/>
    </row>
    <row r="94" spans="3:3" ht="15.75" customHeight="1" x14ac:dyDescent="0.35">
      <c r="C94" s="246"/>
    </row>
    <row r="95" spans="3:3" ht="15.75" customHeight="1" x14ac:dyDescent="0.35">
      <c r="C95" s="246"/>
    </row>
    <row r="96" spans="3:3" ht="15.75" customHeight="1" x14ac:dyDescent="0.35">
      <c r="C96" s="246"/>
    </row>
    <row r="97" spans="3:3" ht="15.75" customHeight="1" x14ac:dyDescent="0.35">
      <c r="C97" s="246"/>
    </row>
    <row r="98" spans="3:3" ht="15.75" customHeight="1" x14ac:dyDescent="0.35">
      <c r="C98" s="246"/>
    </row>
    <row r="99" spans="3:3" ht="15.75" customHeight="1" x14ac:dyDescent="0.35">
      <c r="C99" s="246"/>
    </row>
    <row r="100" spans="3:3" ht="15.75" customHeight="1" x14ac:dyDescent="0.35">
      <c r="C100" s="246"/>
    </row>
    <row r="101" spans="3:3" ht="15.75" customHeight="1" x14ac:dyDescent="0.35">
      <c r="C101" s="246"/>
    </row>
    <row r="102" spans="3:3" ht="15.75" customHeight="1" x14ac:dyDescent="0.35">
      <c r="C102" s="246"/>
    </row>
    <row r="103" spans="3:3" ht="15.75" customHeight="1" x14ac:dyDescent="0.35">
      <c r="C103" s="246"/>
    </row>
    <row r="104" spans="3:3" ht="15.75" customHeight="1" x14ac:dyDescent="0.35">
      <c r="C104" s="246"/>
    </row>
    <row r="105" spans="3:3" ht="15.75" customHeight="1" x14ac:dyDescent="0.35">
      <c r="C105" s="246"/>
    </row>
    <row r="106" spans="3:3" ht="15.75" customHeight="1" x14ac:dyDescent="0.35">
      <c r="C106" s="246"/>
    </row>
    <row r="107" spans="3:3" ht="15.75" customHeight="1" x14ac:dyDescent="0.35">
      <c r="C107" s="246"/>
    </row>
    <row r="108" spans="3:3" ht="15.75" customHeight="1" x14ac:dyDescent="0.35">
      <c r="C108" s="246"/>
    </row>
    <row r="109" spans="3:3" ht="15.75" customHeight="1" x14ac:dyDescent="0.35">
      <c r="C109" s="246"/>
    </row>
    <row r="110" spans="3:3" ht="15.75" customHeight="1" x14ac:dyDescent="0.35">
      <c r="C110" s="246"/>
    </row>
    <row r="111" spans="3:3" ht="15.75" customHeight="1" x14ac:dyDescent="0.35">
      <c r="C111" s="246"/>
    </row>
    <row r="112" spans="3:3" ht="15.75" customHeight="1" x14ac:dyDescent="0.35">
      <c r="C112" s="246"/>
    </row>
    <row r="113" spans="3:3" ht="15.75" customHeight="1" x14ac:dyDescent="0.35">
      <c r="C113" s="246"/>
    </row>
    <row r="114" spans="3:3" ht="15.75" customHeight="1" x14ac:dyDescent="0.35">
      <c r="C114" s="246"/>
    </row>
    <row r="115" spans="3:3" ht="15.75" customHeight="1" x14ac:dyDescent="0.35">
      <c r="C115" s="246"/>
    </row>
    <row r="116" spans="3:3" ht="15.75" customHeight="1" x14ac:dyDescent="0.35">
      <c r="C116" s="246"/>
    </row>
    <row r="117" spans="3:3" ht="15.75" customHeight="1" x14ac:dyDescent="0.35">
      <c r="C117" s="246"/>
    </row>
    <row r="118" spans="3:3" ht="15.75" customHeight="1" x14ac:dyDescent="0.35">
      <c r="C118" s="246"/>
    </row>
    <row r="119" spans="3:3" ht="15.75" customHeight="1" x14ac:dyDescent="0.35">
      <c r="C119" s="246"/>
    </row>
    <row r="120" spans="3:3" ht="15.75" customHeight="1" x14ac:dyDescent="0.35">
      <c r="C120" s="246"/>
    </row>
    <row r="121" spans="3:3" ht="15.75" customHeight="1" x14ac:dyDescent="0.35">
      <c r="C121" s="246"/>
    </row>
    <row r="122" spans="3:3" ht="15.75" customHeight="1" x14ac:dyDescent="0.35">
      <c r="C122" s="246"/>
    </row>
    <row r="123" spans="3:3" ht="15.75" customHeight="1" x14ac:dyDescent="0.35">
      <c r="C123" s="246"/>
    </row>
    <row r="124" spans="3:3" ht="15.75" customHeight="1" x14ac:dyDescent="0.35">
      <c r="C124" s="246"/>
    </row>
    <row r="125" spans="3:3" ht="15.75" customHeight="1" x14ac:dyDescent="0.35">
      <c r="C125" s="246"/>
    </row>
    <row r="126" spans="3:3" ht="15.75" customHeight="1" x14ac:dyDescent="0.35">
      <c r="C126" s="246"/>
    </row>
    <row r="127" spans="3:3" ht="15.75" customHeight="1" x14ac:dyDescent="0.35">
      <c r="C127" s="246"/>
    </row>
    <row r="128" spans="3:3" ht="15.75" customHeight="1" x14ac:dyDescent="0.35">
      <c r="C128" s="246"/>
    </row>
    <row r="129" spans="3:3" ht="15.75" customHeight="1" x14ac:dyDescent="0.35">
      <c r="C129" s="246"/>
    </row>
    <row r="130" spans="3:3" ht="15.75" customHeight="1" x14ac:dyDescent="0.35">
      <c r="C130" s="246"/>
    </row>
    <row r="131" spans="3:3" ht="15.75" customHeight="1" x14ac:dyDescent="0.35">
      <c r="C131" s="246"/>
    </row>
    <row r="132" spans="3:3" ht="15.75" customHeight="1" x14ac:dyDescent="0.35">
      <c r="C132" s="246"/>
    </row>
    <row r="133" spans="3:3" ht="15.75" customHeight="1" x14ac:dyDescent="0.35">
      <c r="C133" s="246"/>
    </row>
    <row r="134" spans="3:3" ht="15.75" customHeight="1" x14ac:dyDescent="0.35">
      <c r="C134" s="246"/>
    </row>
    <row r="135" spans="3:3" ht="15.75" customHeight="1" x14ac:dyDescent="0.35">
      <c r="C135" s="246"/>
    </row>
    <row r="136" spans="3:3" ht="15.75" customHeight="1" x14ac:dyDescent="0.35">
      <c r="C136" s="246"/>
    </row>
    <row r="137" spans="3:3" ht="15.75" customHeight="1" x14ac:dyDescent="0.35">
      <c r="C137" s="246"/>
    </row>
    <row r="138" spans="3:3" ht="15.75" customHeight="1" x14ac:dyDescent="0.35">
      <c r="C138" s="246"/>
    </row>
    <row r="139" spans="3:3" ht="15.75" customHeight="1" x14ac:dyDescent="0.35">
      <c r="C139" s="246"/>
    </row>
    <row r="140" spans="3:3" ht="15.75" customHeight="1" x14ac:dyDescent="0.35">
      <c r="C140" s="246"/>
    </row>
    <row r="141" spans="3:3" ht="15.75" customHeight="1" x14ac:dyDescent="0.35">
      <c r="C141" s="246"/>
    </row>
    <row r="142" spans="3:3" ht="15.75" customHeight="1" x14ac:dyDescent="0.35">
      <c r="C142" s="246"/>
    </row>
    <row r="143" spans="3:3" ht="15.75" customHeight="1" x14ac:dyDescent="0.35">
      <c r="C143" s="246"/>
    </row>
    <row r="144" spans="3:3" ht="15.75" customHeight="1" x14ac:dyDescent="0.35">
      <c r="C144" s="246"/>
    </row>
    <row r="145" spans="3:3" ht="15.75" customHeight="1" x14ac:dyDescent="0.35">
      <c r="C145" s="246"/>
    </row>
    <row r="146" spans="3:3" ht="15.75" customHeight="1" x14ac:dyDescent="0.35">
      <c r="C146" s="246"/>
    </row>
    <row r="147" spans="3:3" ht="15.75" customHeight="1" x14ac:dyDescent="0.35">
      <c r="C147" s="246"/>
    </row>
    <row r="148" spans="3:3" ht="15.75" customHeight="1" x14ac:dyDescent="0.35">
      <c r="C148" s="246"/>
    </row>
    <row r="149" spans="3:3" ht="15.75" customHeight="1" x14ac:dyDescent="0.35">
      <c r="C149" s="246"/>
    </row>
    <row r="150" spans="3:3" ht="15.75" customHeight="1" x14ac:dyDescent="0.35">
      <c r="C150" s="246"/>
    </row>
    <row r="151" spans="3:3" ht="15.75" customHeight="1" x14ac:dyDescent="0.35">
      <c r="C151" s="246"/>
    </row>
    <row r="152" spans="3:3" ht="15.75" customHeight="1" x14ac:dyDescent="0.35">
      <c r="C152" s="246"/>
    </row>
    <row r="153" spans="3:3" ht="15.75" customHeight="1" x14ac:dyDescent="0.35">
      <c r="C153" s="246"/>
    </row>
    <row r="154" spans="3:3" ht="15.75" customHeight="1" x14ac:dyDescent="0.35">
      <c r="C154" s="246"/>
    </row>
    <row r="155" spans="3:3" ht="15.75" customHeight="1" x14ac:dyDescent="0.35">
      <c r="C155" s="246"/>
    </row>
    <row r="156" spans="3:3" ht="15.75" customHeight="1" x14ac:dyDescent="0.35">
      <c r="C156" s="246"/>
    </row>
    <row r="157" spans="3:3" ht="15.75" customHeight="1" x14ac:dyDescent="0.35">
      <c r="C157" s="246"/>
    </row>
    <row r="158" spans="3:3" ht="15.75" customHeight="1" x14ac:dyDescent="0.35">
      <c r="C158" s="246"/>
    </row>
    <row r="159" spans="3:3" ht="15.75" customHeight="1" x14ac:dyDescent="0.35">
      <c r="C159" s="246"/>
    </row>
    <row r="160" spans="3:3" ht="15.75" customHeight="1" x14ac:dyDescent="0.35">
      <c r="C160" s="246"/>
    </row>
    <row r="161" spans="3:3" ht="15.75" customHeight="1" x14ac:dyDescent="0.35">
      <c r="C161" s="246"/>
    </row>
    <row r="162" spans="3:3" ht="15.75" customHeight="1" x14ac:dyDescent="0.35">
      <c r="C162" s="246"/>
    </row>
    <row r="163" spans="3:3" ht="15.75" customHeight="1" x14ac:dyDescent="0.35">
      <c r="C163" s="246"/>
    </row>
    <row r="164" spans="3:3" ht="15.75" customHeight="1" x14ac:dyDescent="0.35">
      <c r="C164" s="246"/>
    </row>
    <row r="165" spans="3:3" ht="15.75" customHeight="1" x14ac:dyDescent="0.35">
      <c r="C165" s="246"/>
    </row>
    <row r="166" spans="3:3" ht="15.75" customHeight="1" x14ac:dyDescent="0.35">
      <c r="C166" s="246"/>
    </row>
    <row r="167" spans="3:3" ht="15.75" customHeight="1" x14ac:dyDescent="0.35">
      <c r="C167" s="246"/>
    </row>
    <row r="168" spans="3:3" ht="15.75" customHeight="1" x14ac:dyDescent="0.35">
      <c r="C168" s="246"/>
    </row>
    <row r="169" spans="3:3" ht="15.75" customHeight="1" x14ac:dyDescent="0.35">
      <c r="C169" s="246"/>
    </row>
    <row r="170" spans="3:3" ht="15.75" customHeight="1" x14ac:dyDescent="0.35">
      <c r="C170" s="246"/>
    </row>
    <row r="171" spans="3:3" ht="15.75" customHeight="1" x14ac:dyDescent="0.35">
      <c r="C171" s="246"/>
    </row>
    <row r="172" spans="3:3" ht="15.75" customHeight="1" x14ac:dyDescent="0.35">
      <c r="C172" s="246"/>
    </row>
    <row r="173" spans="3:3" ht="15.75" customHeight="1" x14ac:dyDescent="0.35">
      <c r="C173" s="246"/>
    </row>
    <row r="174" spans="3:3" ht="15.75" customHeight="1" x14ac:dyDescent="0.35">
      <c r="C174" s="246"/>
    </row>
    <row r="175" spans="3:3" ht="15.75" customHeight="1" x14ac:dyDescent="0.35">
      <c r="C175" s="246"/>
    </row>
    <row r="176" spans="3:3" ht="15.75" customHeight="1" x14ac:dyDescent="0.35">
      <c r="C176" s="246"/>
    </row>
    <row r="177" spans="3:3" ht="15.75" customHeight="1" x14ac:dyDescent="0.35">
      <c r="C177" s="246"/>
    </row>
    <row r="178" spans="3:3" ht="15.75" customHeight="1" x14ac:dyDescent="0.35">
      <c r="C178" s="246"/>
    </row>
    <row r="179" spans="3:3" ht="15.75" customHeight="1" x14ac:dyDescent="0.35">
      <c r="C179" s="246"/>
    </row>
    <row r="180" spans="3:3" ht="15.75" customHeight="1" x14ac:dyDescent="0.35">
      <c r="C180" s="246"/>
    </row>
    <row r="181" spans="3:3" ht="15.75" customHeight="1" x14ac:dyDescent="0.35">
      <c r="C181" s="246"/>
    </row>
    <row r="182" spans="3:3" ht="15.75" customHeight="1" x14ac:dyDescent="0.35">
      <c r="C182" s="246"/>
    </row>
    <row r="183" spans="3:3" ht="15.75" customHeight="1" x14ac:dyDescent="0.35">
      <c r="C183" s="246"/>
    </row>
    <row r="184" spans="3:3" ht="15.75" customHeight="1" x14ac:dyDescent="0.35">
      <c r="C184" s="246"/>
    </row>
    <row r="185" spans="3:3" ht="15.75" customHeight="1" x14ac:dyDescent="0.35">
      <c r="C185" s="246"/>
    </row>
    <row r="186" spans="3:3" ht="15.75" customHeight="1" x14ac:dyDescent="0.35">
      <c r="C186" s="246"/>
    </row>
    <row r="187" spans="3:3" ht="15.75" customHeight="1" x14ac:dyDescent="0.35">
      <c r="C187" s="246"/>
    </row>
    <row r="188" spans="3:3" ht="15.75" customHeight="1" x14ac:dyDescent="0.35">
      <c r="C188" s="246"/>
    </row>
    <row r="189" spans="3:3" ht="15.75" customHeight="1" x14ac:dyDescent="0.35">
      <c r="C189" s="246"/>
    </row>
    <row r="190" spans="3:3" ht="15.75" customHeight="1" x14ac:dyDescent="0.35">
      <c r="C190" s="246"/>
    </row>
    <row r="191" spans="3:3" ht="15.75" customHeight="1" x14ac:dyDescent="0.35">
      <c r="C191" s="246"/>
    </row>
    <row r="192" spans="3:3" ht="15.75" customHeight="1" x14ac:dyDescent="0.35">
      <c r="C192" s="246"/>
    </row>
    <row r="193" spans="3:3" ht="15.75" customHeight="1" x14ac:dyDescent="0.35">
      <c r="C193" s="246"/>
    </row>
    <row r="194" spans="3:3" ht="15.75" customHeight="1" x14ac:dyDescent="0.35">
      <c r="C194" s="246"/>
    </row>
    <row r="195" spans="3:3" ht="15.75" customHeight="1" x14ac:dyDescent="0.35">
      <c r="C195" s="246"/>
    </row>
    <row r="196" spans="3:3" ht="15.75" customHeight="1" x14ac:dyDescent="0.35">
      <c r="C196" s="246"/>
    </row>
    <row r="197" spans="3:3" ht="15.75" customHeight="1" x14ac:dyDescent="0.35">
      <c r="C197" s="246"/>
    </row>
    <row r="198" spans="3:3" ht="15.75" customHeight="1" x14ac:dyDescent="0.35">
      <c r="C198" s="246"/>
    </row>
    <row r="199" spans="3:3" ht="15.75" customHeight="1" x14ac:dyDescent="0.35">
      <c r="C199" s="246"/>
    </row>
    <row r="200" spans="3:3" ht="15.75" customHeight="1" x14ac:dyDescent="0.35">
      <c r="C200" s="246"/>
    </row>
    <row r="201" spans="3:3" ht="15.75" customHeight="1" x14ac:dyDescent="0.35">
      <c r="C201" s="246"/>
    </row>
    <row r="202" spans="3:3" ht="15.75" customHeight="1" x14ac:dyDescent="0.35">
      <c r="C202" s="246"/>
    </row>
    <row r="203" spans="3:3" ht="15.75" customHeight="1" x14ac:dyDescent="0.35">
      <c r="C203" s="246"/>
    </row>
    <row r="204" spans="3:3" ht="15.75" customHeight="1" x14ac:dyDescent="0.35">
      <c r="C204" s="246"/>
    </row>
    <row r="205" spans="3:3" ht="15.75" customHeight="1" x14ac:dyDescent="0.35">
      <c r="C205" s="246"/>
    </row>
    <row r="206" spans="3:3" ht="15.75" customHeight="1" x14ac:dyDescent="0.35">
      <c r="C206" s="246"/>
    </row>
    <row r="207" spans="3:3" ht="15.75" customHeight="1" x14ac:dyDescent="0.35">
      <c r="C207" s="246"/>
    </row>
    <row r="208" spans="3:3" ht="15.75" customHeight="1" x14ac:dyDescent="0.35">
      <c r="C208" s="246"/>
    </row>
    <row r="209" spans="3:3" ht="15.75" customHeight="1" x14ac:dyDescent="0.35">
      <c r="C209" s="246"/>
    </row>
    <row r="210" spans="3:3" ht="15.75" customHeight="1" x14ac:dyDescent="0.35">
      <c r="C210" s="246"/>
    </row>
    <row r="211" spans="3:3" ht="15.75" customHeight="1" x14ac:dyDescent="0.35">
      <c r="C211" s="246"/>
    </row>
    <row r="212" spans="3:3" ht="15.75" customHeight="1" x14ac:dyDescent="0.35">
      <c r="C212" s="246"/>
    </row>
    <row r="213" spans="3:3" ht="15.75" customHeight="1" x14ac:dyDescent="0.35">
      <c r="C213" s="246"/>
    </row>
    <row r="214" spans="3:3" ht="15.75" customHeight="1" x14ac:dyDescent="0.35">
      <c r="C214" s="246"/>
    </row>
    <row r="215" spans="3:3" ht="15.75" customHeight="1" x14ac:dyDescent="0.35">
      <c r="C215" s="246"/>
    </row>
    <row r="216" spans="3:3" ht="15.75" customHeight="1" x14ac:dyDescent="0.35">
      <c r="C216" s="246"/>
    </row>
    <row r="217" spans="3:3" ht="15.75" customHeight="1" x14ac:dyDescent="0.35">
      <c r="C217" s="246"/>
    </row>
    <row r="218" spans="3:3" ht="15.75" customHeight="1" x14ac:dyDescent="0.35">
      <c r="C218" s="246"/>
    </row>
    <row r="219" spans="3:3" ht="15.75" customHeight="1" x14ac:dyDescent="0.35">
      <c r="C219" s="246"/>
    </row>
    <row r="220" spans="3:3" ht="15.75" customHeight="1" x14ac:dyDescent="0.35">
      <c r="C220" s="246"/>
    </row>
    <row r="221" spans="3:3" ht="15.75" customHeight="1" x14ac:dyDescent="0.35">
      <c r="C221" s="246"/>
    </row>
    <row r="222" spans="3:3" ht="15.75" customHeight="1" x14ac:dyDescent="0.35">
      <c r="C222" s="246"/>
    </row>
    <row r="223" spans="3:3" ht="15.75" customHeight="1" x14ac:dyDescent="0.35">
      <c r="C223" s="246"/>
    </row>
    <row r="224" spans="3:3" ht="15.75" customHeight="1" x14ac:dyDescent="0.35">
      <c r="C224" s="246"/>
    </row>
    <row r="225" spans="3:3" ht="15.75" customHeight="1" x14ac:dyDescent="0.35">
      <c r="C225" s="246"/>
    </row>
    <row r="226" spans="3:3" ht="15.75" customHeight="1" x14ac:dyDescent="0.35">
      <c r="C226" s="246"/>
    </row>
    <row r="227" spans="3:3" ht="15.75" customHeight="1" x14ac:dyDescent="0.35">
      <c r="C227" s="246"/>
    </row>
    <row r="228" spans="3:3" ht="15.75" customHeight="1" x14ac:dyDescent="0.35">
      <c r="C228" s="246"/>
    </row>
    <row r="229" spans="3:3" ht="15.75" customHeight="1" x14ac:dyDescent="0.35">
      <c r="C229" s="246"/>
    </row>
    <row r="230" spans="3:3" ht="15.75" customHeight="1" x14ac:dyDescent="0.35">
      <c r="C230" s="246"/>
    </row>
    <row r="231" spans="3:3" ht="15.75" customHeight="1" x14ac:dyDescent="0.35">
      <c r="C231" s="246"/>
    </row>
    <row r="232" spans="3:3" ht="15.75" customHeight="1" x14ac:dyDescent="0.35">
      <c r="C232" s="246"/>
    </row>
    <row r="233" spans="3:3" ht="15.75" customHeight="1" x14ac:dyDescent="0.35">
      <c r="C233" s="246"/>
    </row>
    <row r="234" spans="3:3" ht="15.75" customHeight="1" x14ac:dyDescent="0.35">
      <c r="C234" s="246"/>
    </row>
    <row r="235" spans="3:3" ht="15.75" customHeight="1" x14ac:dyDescent="0.35">
      <c r="C235" s="246"/>
    </row>
    <row r="236" spans="3:3" ht="15.75" customHeight="1" x14ac:dyDescent="0.35">
      <c r="C236" s="246"/>
    </row>
    <row r="237" spans="3:3" ht="15.75" customHeight="1" x14ac:dyDescent="0.35">
      <c r="C237" s="246"/>
    </row>
    <row r="238" spans="3:3" ht="15.75" customHeight="1" x14ac:dyDescent="0.35">
      <c r="C238" s="246"/>
    </row>
    <row r="239" spans="3:3" ht="15.75" customHeight="1" x14ac:dyDescent="0.35">
      <c r="C239" s="246"/>
    </row>
    <row r="240" spans="3:3" ht="15.75" customHeight="1" x14ac:dyDescent="0.35">
      <c r="C240" s="246"/>
    </row>
    <row r="241" spans="3:3" ht="15.75" customHeight="1" x14ac:dyDescent="0.35">
      <c r="C241" s="246"/>
    </row>
    <row r="242" spans="3:3" ht="15.75" customHeight="1" x14ac:dyDescent="0.35">
      <c r="C242" s="246"/>
    </row>
    <row r="243" spans="3:3" ht="15.75" customHeight="1" x14ac:dyDescent="0.35">
      <c r="C243" s="246"/>
    </row>
    <row r="244" spans="3:3" ht="15.75" customHeight="1" x14ac:dyDescent="0.35">
      <c r="C244" s="246"/>
    </row>
    <row r="245" spans="3:3" ht="15.75" customHeight="1" x14ac:dyDescent="0.35">
      <c r="C245" s="246"/>
    </row>
    <row r="246" spans="3:3" ht="15.75" customHeight="1" x14ac:dyDescent="0.35">
      <c r="C246" s="246"/>
    </row>
    <row r="247" spans="3:3" ht="15.75" customHeight="1" x14ac:dyDescent="0.35">
      <c r="C247" s="246"/>
    </row>
    <row r="248" spans="3:3" ht="15.75" customHeight="1" x14ac:dyDescent="0.35">
      <c r="C248" s="246"/>
    </row>
    <row r="249" spans="3:3" ht="15.75" customHeight="1" x14ac:dyDescent="0.35">
      <c r="C249" s="246"/>
    </row>
    <row r="250" spans="3:3" ht="15.75" customHeight="1" x14ac:dyDescent="0.35">
      <c r="C250" s="246"/>
    </row>
    <row r="251" spans="3:3" ht="15.75" customHeight="1" x14ac:dyDescent="0.35">
      <c r="C251" s="246"/>
    </row>
    <row r="252" spans="3:3" ht="15.75" customHeight="1" x14ac:dyDescent="0.35">
      <c r="C252" s="246"/>
    </row>
    <row r="253" spans="3:3" ht="15.75" customHeight="1" x14ac:dyDescent="0.35">
      <c r="C253" s="246"/>
    </row>
    <row r="254" spans="3:3" ht="15.75" customHeight="1" x14ac:dyDescent="0.35">
      <c r="C254" s="246"/>
    </row>
    <row r="255" spans="3:3" ht="15.75" customHeight="1" x14ac:dyDescent="0.35">
      <c r="C255" s="246"/>
    </row>
    <row r="256" spans="3:3" ht="15.75" customHeight="1" x14ac:dyDescent="0.35">
      <c r="C256" s="246"/>
    </row>
    <row r="257" spans="3:3" ht="15.75" customHeight="1" x14ac:dyDescent="0.35">
      <c r="C257" s="246"/>
    </row>
    <row r="258" spans="3:3" ht="15.75" customHeight="1" x14ac:dyDescent="0.35">
      <c r="C258" s="246"/>
    </row>
    <row r="259" spans="3:3" ht="15.75" customHeight="1" x14ac:dyDescent="0.35">
      <c r="C259" s="246"/>
    </row>
    <row r="260" spans="3:3" ht="15.75" customHeight="1" x14ac:dyDescent="0.35">
      <c r="C260" s="246"/>
    </row>
    <row r="261" spans="3:3" ht="15.75" customHeight="1" x14ac:dyDescent="0.35">
      <c r="C261" s="246"/>
    </row>
    <row r="262" spans="3:3" ht="15.75" customHeight="1" x14ac:dyDescent="0.35">
      <c r="C262" s="246"/>
    </row>
    <row r="263" spans="3:3" ht="15.75" customHeight="1" x14ac:dyDescent="0.35">
      <c r="C263" s="246"/>
    </row>
    <row r="264" spans="3:3" ht="15.75" customHeight="1" x14ac:dyDescent="0.35">
      <c r="C264" s="246"/>
    </row>
    <row r="265" spans="3:3" ht="15.75" customHeight="1" x14ac:dyDescent="0.35">
      <c r="C265" s="246"/>
    </row>
    <row r="266" spans="3:3" ht="15.75" customHeight="1" x14ac:dyDescent="0.35">
      <c r="C266" s="246"/>
    </row>
    <row r="267" spans="3:3" ht="15.75" customHeight="1" x14ac:dyDescent="0.35">
      <c r="C267" s="246"/>
    </row>
    <row r="268" spans="3:3" ht="15.75" customHeight="1" x14ac:dyDescent="0.35">
      <c r="C268" s="246"/>
    </row>
    <row r="269" spans="3:3" ht="15.75" customHeight="1" x14ac:dyDescent="0.35">
      <c r="C269" s="246"/>
    </row>
    <row r="270" spans="3:3" ht="15.75" customHeight="1" x14ac:dyDescent="0.35">
      <c r="C270" s="246"/>
    </row>
    <row r="271" spans="3:3" ht="15.75" customHeight="1" x14ac:dyDescent="0.35">
      <c r="C271" s="246"/>
    </row>
    <row r="272" spans="3:3" ht="15.75" customHeight="1" x14ac:dyDescent="0.35">
      <c r="C272" s="246"/>
    </row>
    <row r="273" spans="3:3" ht="15.75" customHeight="1" x14ac:dyDescent="0.35">
      <c r="C273" s="246"/>
    </row>
    <row r="274" spans="3:3" ht="15.75" customHeight="1" x14ac:dyDescent="0.35">
      <c r="C274" s="246"/>
    </row>
    <row r="275" spans="3:3" ht="15.75" customHeight="1" x14ac:dyDescent="0.35">
      <c r="C275" s="246"/>
    </row>
    <row r="276" spans="3:3" ht="15.75" customHeight="1" x14ac:dyDescent="0.35">
      <c r="C276" s="246"/>
    </row>
    <row r="277" spans="3:3" ht="15.75" customHeight="1" x14ac:dyDescent="0.35">
      <c r="C277" s="246"/>
    </row>
    <row r="278" spans="3:3" ht="15.75" customHeight="1" x14ac:dyDescent="0.35">
      <c r="C278" s="246"/>
    </row>
    <row r="279" spans="3:3" ht="15.75" customHeight="1" x14ac:dyDescent="0.35">
      <c r="C279" s="246"/>
    </row>
    <row r="280" spans="3:3" ht="15.75" customHeight="1" x14ac:dyDescent="0.35">
      <c r="C280" s="246"/>
    </row>
    <row r="281" spans="3:3" ht="15.75" customHeight="1" x14ac:dyDescent="0.35">
      <c r="C281" s="246"/>
    </row>
    <row r="282" spans="3:3" ht="15.75" customHeight="1" x14ac:dyDescent="0.35">
      <c r="C282" s="246"/>
    </row>
    <row r="283" spans="3:3" ht="15.75" customHeight="1" x14ac:dyDescent="0.35">
      <c r="C283" s="246"/>
    </row>
    <row r="284" spans="3:3" ht="15.75" customHeight="1" x14ac:dyDescent="0.35">
      <c r="C284" s="246"/>
    </row>
    <row r="285" spans="3:3" ht="15.75" customHeight="1" x14ac:dyDescent="0.35">
      <c r="C285" s="246"/>
    </row>
    <row r="286" spans="3:3" ht="15.75" customHeight="1" x14ac:dyDescent="0.35">
      <c r="C286" s="246"/>
    </row>
    <row r="287" spans="3:3" ht="15.75" customHeight="1" x14ac:dyDescent="0.35">
      <c r="C287" s="246"/>
    </row>
    <row r="288" spans="3:3" ht="15.75" customHeight="1" x14ac:dyDescent="0.35">
      <c r="C288" s="246"/>
    </row>
    <row r="289" spans="3:3" ht="15.75" customHeight="1" x14ac:dyDescent="0.35">
      <c r="C289" s="246"/>
    </row>
    <row r="290" spans="3:3" ht="15.75" customHeight="1" x14ac:dyDescent="0.35">
      <c r="C290" s="246"/>
    </row>
    <row r="291" spans="3:3" ht="15.75" customHeight="1" x14ac:dyDescent="0.35">
      <c r="C291" s="246"/>
    </row>
    <row r="292" spans="3:3" ht="15.75" customHeight="1" x14ac:dyDescent="0.35">
      <c r="C292" s="246"/>
    </row>
    <row r="293" spans="3:3" ht="15.75" customHeight="1" x14ac:dyDescent="0.35">
      <c r="C293" s="246"/>
    </row>
    <row r="294" spans="3:3" ht="15.75" customHeight="1" x14ac:dyDescent="0.35">
      <c r="C294" s="246"/>
    </row>
    <row r="295" spans="3:3" ht="15.75" customHeight="1" x14ac:dyDescent="0.35">
      <c r="C295" s="246"/>
    </row>
    <row r="296" spans="3:3" ht="15.75" customHeight="1" x14ac:dyDescent="0.35">
      <c r="C296" s="246"/>
    </row>
    <row r="297" spans="3:3" ht="15.75" customHeight="1" x14ac:dyDescent="0.35">
      <c r="C297" s="246"/>
    </row>
    <row r="298" spans="3:3" ht="15.75" customHeight="1" x14ac:dyDescent="0.35">
      <c r="C298" s="246"/>
    </row>
    <row r="299" spans="3:3" ht="15.75" customHeight="1" x14ac:dyDescent="0.35">
      <c r="C299" s="246"/>
    </row>
    <row r="300" spans="3:3" ht="15.75" customHeight="1" x14ac:dyDescent="0.35">
      <c r="C300" s="246"/>
    </row>
    <row r="301" spans="3:3" ht="15.75" customHeight="1" x14ac:dyDescent="0.35">
      <c r="C301" s="246"/>
    </row>
    <row r="302" spans="3:3" ht="15.75" customHeight="1" x14ac:dyDescent="0.35">
      <c r="C302" s="246"/>
    </row>
    <row r="303" spans="3:3" ht="15.75" customHeight="1" x14ac:dyDescent="0.35">
      <c r="C303" s="246"/>
    </row>
    <row r="304" spans="3:3" ht="15.75" customHeight="1" x14ac:dyDescent="0.35">
      <c r="C304" s="246"/>
    </row>
    <row r="305" spans="3:3" ht="15.75" customHeight="1" x14ac:dyDescent="0.35">
      <c r="C305" s="246"/>
    </row>
    <row r="306" spans="3:3" ht="15.75" customHeight="1" x14ac:dyDescent="0.35">
      <c r="C306" s="246"/>
    </row>
    <row r="307" spans="3:3" ht="15.75" customHeight="1" x14ac:dyDescent="0.35">
      <c r="C307" s="246"/>
    </row>
    <row r="308" spans="3:3" ht="15.75" customHeight="1" x14ac:dyDescent="0.35">
      <c r="C308" s="246"/>
    </row>
    <row r="309" spans="3:3" ht="15.75" customHeight="1" x14ac:dyDescent="0.35">
      <c r="C309" s="246"/>
    </row>
    <row r="310" spans="3:3" ht="15.75" customHeight="1" x14ac:dyDescent="0.35">
      <c r="C310" s="246"/>
    </row>
    <row r="311" spans="3:3" ht="15.75" customHeight="1" x14ac:dyDescent="0.35">
      <c r="C311" s="246"/>
    </row>
    <row r="312" spans="3:3" ht="15.75" customHeight="1" x14ac:dyDescent="0.35">
      <c r="C312" s="246"/>
    </row>
    <row r="313" spans="3:3" ht="15.75" customHeight="1" x14ac:dyDescent="0.35">
      <c r="C313" s="246"/>
    </row>
    <row r="314" spans="3:3" ht="15.75" customHeight="1" x14ac:dyDescent="0.35">
      <c r="C314" s="246"/>
    </row>
    <row r="315" spans="3:3" ht="15.75" customHeight="1" x14ac:dyDescent="0.35">
      <c r="C315" s="246"/>
    </row>
    <row r="316" spans="3:3" ht="15.75" customHeight="1" x14ac:dyDescent="0.35">
      <c r="C316" s="246"/>
    </row>
    <row r="317" spans="3:3" ht="15.75" customHeight="1" x14ac:dyDescent="0.35">
      <c r="C317" s="246"/>
    </row>
    <row r="318" spans="3:3" ht="15.75" customHeight="1" x14ac:dyDescent="0.35">
      <c r="C318" s="246"/>
    </row>
    <row r="319" spans="3:3" ht="15.75" customHeight="1" x14ac:dyDescent="0.35">
      <c r="C319" s="246"/>
    </row>
    <row r="320" spans="3:3" ht="15.75" customHeight="1" x14ac:dyDescent="0.35">
      <c r="C320" s="246"/>
    </row>
    <row r="321" spans="3:3" ht="15.75" customHeight="1" x14ac:dyDescent="0.35">
      <c r="C321" s="246"/>
    </row>
    <row r="322" spans="3:3" ht="15.75" customHeight="1" x14ac:dyDescent="0.35">
      <c r="C322" s="246"/>
    </row>
    <row r="323" spans="3:3" ht="15.75" customHeight="1" x14ac:dyDescent="0.35">
      <c r="C323" s="246"/>
    </row>
    <row r="324" spans="3:3" ht="15.75" customHeight="1" x14ac:dyDescent="0.35">
      <c r="C324" s="246"/>
    </row>
    <row r="325" spans="3:3" ht="15.75" customHeight="1" x14ac:dyDescent="0.35">
      <c r="C325" s="246"/>
    </row>
    <row r="326" spans="3:3" ht="15.75" customHeight="1" x14ac:dyDescent="0.35">
      <c r="C326" s="246"/>
    </row>
    <row r="327" spans="3:3" ht="15.75" customHeight="1" x14ac:dyDescent="0.35">
      <c r="C327" s="246"/>
    </row>
    <row r="328" spans="3:3" ht="15.75" customHeight="1" x14ac:dyDescent="0.35">
      <c r="C328" s="246"/>
    </row>
    <row r="329" spans="3:3" ht="15.75" customHeight="1" x14ac:dyDescent="0.35">
      <c r="C329" s="246"/>
    </row>
    <row r="330" spans="3:3" ht="15.75" customHeight="1" x14ac:dyDescent="0.35">
      <c r="C330" s="246"/>
    </row>
    <row r="331" spans="3:3" ht="15.75" customHeight="1" x14ac:dyDescent="0.35">
      <c r="C331" s="246"/>
    </row>
    <row r="332" spans="3:3" ht="15.75" customHeight="1" x14ac:dyDescent="0.35">
      <c r="C332" s="246"/>
    </row>
    <row r="333" spans="3:3" ht="15.75" customHeight="1" x14ac:dyDescent="0.35">
      <c r="C333" s="246"/>
    </row>
    <row r="334" spans="3:3" ht="15.75" customHeight="1" x14ac:dyDescent="0.35">
      <c r="C334" s="246"/>
    </row>
    <row r="335" spans="3:3" ht="15.75" customHeight="1" x14ac:dyDescent="0.35">
      <c r="C335" s="246"/>
    </row>
    <row r="336" spans="3:3" ht="15.75" customHeight="1" x14ac:dyDescent="0.35">
      <c r="C336" s="246"/>
    </row>
    <row r="337" spans="3:3" ht="15.75" customHeight="1" x14ac:dyDescent="0.35">
      <c r="C337" s="246"/>
    </row>
    <row r="338" spans="3:3" ht="15.75" customHeight="1" x14ac:dyDescent="0.35">
      <c r="C338" s="246"/>
    </row>
    <row r="339" spans="3:3" ht="15.75" customHeight="1" x14ac:dyDescent="0.35">
      <c r="C339" s="246"/>
    </row>
    <row r="340" spans="3:3" ht="15.75" customHeight="1" x14ac:dyDescent="0.35">
      <c r="C340" s="246"/>
    </row>
    <row r="341" spans="3:3" ht="15.75" customHeight="1" x14ac:dyDescent="0.35">
      <c r="C341" s="246"/>
    </row>
    <row r="342" spans="3:3" ht="15.75" customHeight="1" x14ac:dyDescent="0.35">
      <c r="C342" s="246"/>
    </row>
    <row r="343" spans="3:3" ht="15.75" customHeight="1" x14ac:dyDescent="0.35">
      <c r="C343" s="246"/>
    </row>
    <row r="344" spans="3:3" ht="15.75" customHeight="1" x14ac:dyDescent="0.35">
      <c r="C344" s="246"/>
    </row>
    <row r="345" spans="3:3" ht="15.75" customHeight="1" x14ac:dyDescent="0.35">
      <c r="C345" s="246"/>
    </row>
    <row r="346" spans="3:3" ht="15.75" customHeight="1" x14ac:dyDescent="0.35">
      <c r="C346" s="246"/>
    </row>
    <row r="347" spans="3:3" ht="15.75" customHeight="1" x14ac:dyDescent="0.35">
      <c r="C347" s="246"/>
    </row>
    <row r="348" spans="3:3" ht="15.75" customHeight="1" x14ac:dyDescent="0.35">
      <c r="C348" s="246"/>
    </row>
    <row r="349" spans="3:3" ht="15.75" customHeight="1" x14ac:dyDescent="0.35">
      <c r="C349" s="246"/>
    </row>
    <row r="350" spans="3:3" ht="15.75" customHeight="1" x14ac:dyDescent="0.35">
      <c r="C350" s="246"/>
    </row>
    <row r="351" spans="3:3" ht="15.75" customHeight="1" x14ac:dyDescent="0.35">
      <c r="C351" s="246"/>
    </row>
    <row r="352" spans="3:3" ht="15.75" customHeight="1" x14ac:dyDescent="0.35">
      <c r="C352" s="246"/>
    </row>
    <row r="353" spans="3:3" ht="15.75" customHeight="1" x14ac:dyDescent="0.35">
      <c r="C353" s="246"/>
    </row>
    <row r="354" spans="3:3" ht="15.75" customHeight="1" x14ac:dyDescent="0.35">
      <c r="C354" s="246"/>
    </row>
    <row r="355" spans="3:3" ht="15.75" customHeight="1" x14ac:dyDescent="0.35">
      <c r="C355" s="246"/>
    </row>
    <row r="356" spans="3:3" ht="15.75" customHeight="1" x14ac:dyDescent="0.35">
      <c r="C356" s="246"/>
    </row>
    <row r="357" spans="3:3" ht="15.75" customHeight="1" x14ac:dyDescent="0.35">
      <c r="C357" s="246"/>
    </row>
    <row r="358" spans="3:3" ht="15.75" customHeight="1" x14ac:dyDescent="0.35">
      <c r="C358" s="246"/>
    </row>
    <row r="359" spans="3:3" ht="15.75" customHeight="1" x14ac:dyDescent="0.35">
      <c r="C359" s="246"/>
    </row>
    <row r="360" spans="3:3" ht="15.75" customHeight="1" x14ac:dyDescent="0.35">
      <c r="C360" s="246"/>
    </row>
    <row r="361" spans="3:3" ht="15.75" customHeight="1" x14ac:dyDescent="0.35">
      <c r="C361" s="246"/>
    </row>
    <row r="362" spans="3:3" ht="15.75" customHeight="1" x14ac:dyDescent="0.35">
      <c r="C362" s="246"/>
    </row>
    <row r="363" spans="3:3" ht="15.75" customHeight="1" x14ac:dyDescent="0.35">
      <c r="C363" s="246"/>
    </row>
    <row r="364" spans="3:3" ht="15.75" customHeight="1" x14ac:dyDescent="0.35">
      <c r="C364" s="246"/>
    </row>
    <row r="365" spans="3:3" ht="15.75" customHeight="1" x14ac:dyDescent="0.35">
      <c r="C365" s="246"/>
    </row>
    <row r="366" spans="3:3" ht="15.75" customHeight="1" x14ac:dyDescent="0.35">
      <c r="C366" s="246"/>
    </row>
    <row r="367" spans="3:3" ht="15.75" customHeight="1" x14ac:dyDescent="0.35">
      <c r="C367" s="246"/>
    </row>
    <row r="368" spans="3:3" ht="15.75" customHeight="1" x14ac:dyDescent="0.35">
      <c r="C368" s="246"/>
    </row>
    <row r="369" spans="3:3" ht="15.75" customHeight="1" x14ac:dyDescent="0.35">
      <c r="C369" s="246"/>
    </row>
    <row r="370" spans="3:3" ht="15.75" customHeight="1" x14ac:dyDescent="0.35">
      <c r="C370" s="246"/>
    </row>
    <row r="371" spans="3:3" ht="15.75" customHeight="1" x14ac:dyDescent="0.35">
      <c r="C371" s="246"/>
    </row>
    <row r="372" spans="3:3" ht="15.75" customHeight="1" x14ac:dyDescent="0.35">
      <c r="C372" s="246"/>
    </row>
    <row r="373" spans="3:3" ht="15.75" customHeight="1" x14ac:dyDescent="0.35">
      <c r="C373" s="246"/>
    </row>
    <row r="374" spans="3:3" ht="15.75" customHeight="1" x14ac:dyDescent="0.35">
      <c r="C374" s="246"/>
    </row>
    <row r="375" spans="3:3" ht="15.75" customHeight="1" x14ac:dyDescent="0.35">
      <c r="C375" s="246"/>
    </row>
    <row r="376" spans="3:3" ht="15.75" customHeight="1" x14ac:dyDescent="0.35">
      <c r="C376" s="246"/>
    </row>
    <row r="377" spans="3:3" ht="15.75" customHeight="1" x14ac:dyDescent="0.35">
      <c r="C377" s="246"/>
    </row>
    <row r="378" spans="3:3" ht="15.75" customHeight="1" x14ac:dyDescent="0.35">
      <c r="C378" s="246"/>
    </row>
    <row r="379" spans="3:3" ht="15.75" customHeight="1" x14ac:dyDescent="0.35">
      <c r="C379" s="246"/>
    </row>
    <row r="380" spans="3:3" ht="15.75" customHeight="1" x14ac:dyDescent="0.35">
      <c r="C380" s="246"/>
    </row>
    <row r="381" spans="3:3" ht="15.75" customHeight="1" x14ac:dyDescent="0.35">
      <c r="C381" s="246"/>
    </row>
    <row r="382" spans="3:3" ht="15.75" customHeight="1" x14ac:dyDescent="0.35">
      <c r="C382" s="246"/>
    </row>
    <row r="383" spans="3:3" ht="15.75" customHeight="1" x14ac:dyDescent="0.35">
      <c r="C383" s="246"/>
    </row>
    <row r="384" spans="3:3" ht="15.75" customHeight="1" x14ac:dyDescent="0.35">
      <c r="C384" s="246"/>
    </row>
    <row r="385" spans="3:3" ht="15.75" customHeight="1" x14ac:dyDescent="0.35">
      <c r="C385" s="246"/>
    </row>
    <row r="386" spans="3:3" ht="15.75" customHeight="1" x14ac:dyDescent="0.35">
      <c r="C386" s="246"/>
    </row>
    <row r="387" spans="3:3" ht="15.75" customHeight="1" x14ac:dyDescent="0.35">
      <c r="C387" s="246"/>
    </row>
    <row r="388" spans="3:3" ht="15.75" customHeight="1" x14ac:dyDescent="0.35">
      <c r="C388" s="246"/>
    </row>
    <row r="389" spans="3:3" ht="15.75" customHeight="1" x14ac:dyDescent="0.35">
      <c r="C389" s="246"/>
    </row>
    <row r="390" spans="3:3" ht="15.75" customHeight="1" x14ac:dyDescent="0.35">
      <c r="C390" s="246"/>
    </row>
    <row r="391" spans="3:3" ht="15.75" customHeight="1" x14ac:dyDescent="0.35">
      <c r="C391" s="246"/>
    </row>
    <row r="392" spans="3:3" ht="15.75" customHeight="1" x14ac:dyDescent="0.35">
      <c r="C392" s="246"/>
    </row>
    <row r="393" spans="3:3" ht="15.75" customHeight="1" x14ac:dyDescent="0.35">
      <c r="C393" s="246"/>
    </row>
    <row r="394" spans="3:3" ht="15.75" customHeight="1" x14ac:dyDescent="0.35">
      <c r="C394" s="246"/>
    </row>
    <row r="395" spans="3:3" ht="15.75" customHeight="1" x14ac:dyDescent="0.35">
      <c r="C395" s="246"/>
    </row>
    <row r="396" spans="3:3" ht="15.75" customHeight="1" x14ac:dyDescent="0.35">
      <c r="C396" s="246"/>
    </row>
    <row r="397" spans="3:3" ht="15.75" customHeight="1" x14ac:dyDescent="0.35">
      <c r="C397" s="246"/>
    </row>
    <row r="398" spans="3:3" ht="15.75" customHeight="1" x14ac:dyDescent="0.35">
      <c r="C398" s="246"/>
    </row>
    <row r="399" spans="3:3" ht="15.75" customHeight="1" x14ac:dyDescent="0.35">
      <c r="C399" s="246"/>
    </row>
    <row r="400" spans="3:3" ht="15.75" customHeight="1" x14ac:dyDescent="0.35">
      <c r="C400" s="246"/>
    </row>
    <row r="401" spans="3:3" ht="15.75" customHeight="1" x14ac:dyDescent="0.35">
      <c r="C401" s="246"/>
    </row>
    <row r="402" spans="3:3" ht="15.75" customHeight="1" x14ac:dyDescent="0.35">
      <c r="C402" s="246"/>
    </row>
    <row r="403" spans="3:3" ht="15.75" customHeight="1" x14ac:dyDescent="0.35">
      <c r="C403" s="246"/>
    </row>
    <row r="404" spans="3:3" ht="15.75" customHeight="1" x14ac:dyDescent="0.35">
      <c r="C404" s="246"/>
    </row>
    <row r="405" spans="3:3" ht="15.75" customHeight="1" x14ac:dyDescent="0.35">
      <c r="C405" s="246"/>
    </row>
    <row r="406" spans="3:3" ht="15.75" customHeight="1" x14ac:dyDescent="0.35">
      <c r="C406" s="246"/>
    </row>
    <row r="407" spans="3:3" ht="15.75" customHeight="1" x14ac:dyDescent="0.35">
      <c r="C407" s="246"/>
    </row>
    <row r="408" spans="3:3" ht="15.75" customHeight="1" x14ac:dyDescent="0.35">
      <c r="C408" s="246"/>
    </row>
    <row r="409" spans="3:3" ht="15.75" customHeight="1" x14ac:dyDescent="0.35">
      <c r="C409" s="246"/>
    </row>
    <row r="410" spans="3:3" ht="15.75" customHeight="1" x14ac:dyDescent="0.35">
      <c r="C410" s="246"/>
    </row>
    <row r="411" spans="3:3" ht="15.75" customHeight="1" x14ac:dyDescent="0.35">
      <c r="C411" s="246"/>
    </row>
    <row r="412" spans="3:3" ht="15.75" customHeight="1" x14ac:dyDescent="0.35">
      <c r="C412" s="246"/>
    </row>
    <row r="413" spans="3:3" ht="15.75" customHeight="1" x14ac:dyDescent="0.35">
      <c r="C413" s="246"/>
    </row>
    <row r="414" spans="3:3" ht="15.75" customHeight="1" x14ac:dyDescent="0.35">
      <c r="C414" s="246"/>
    </row>
    <row r="415" spans="3:3" ht="15.75" customHeight="1" x14ac:dyDescent="0.35">
      <c r="C415" s="246"/>
    </row>
    <row r="416" spans="3:3" ht="15.75" customHeight="1" x14ac:dyDescent="0.35">
      <c r="C416" s="246"/>
    </row>
    <row r="417" spans="3:3" ht="15.75" customHeight="1" x14ac:dyDescent="0.35">
      <c r="C417" s="246"/>
    </row>
    <row r="418" spans="3:3" ht="15.75" customHeight="1" x14ac:dyDescent="0.35">
      <c r="C418" s="246"/>
    </row>
    <row r="419" spans="3:3" ht="15.75" customHeight="1" x14ac:dyDescent="0.35">
      <c r="C419" s="246"/>
    </row>
    <row r="420" spans="3:3" ht="15.75" customHeight="1" x14ac:dyDescent="0.35">
      <c r="C420" s="246"/>
    </row>
    <row r="421" spans="3:3" ht="15.75" customHeight="1" x14ac:dyDescent="0.35">
      <c r="C421" s="246"/>
    </row>
    <row r="422" spans="3:3" ht="15.75" customHeight="1" x14ac:dyDescent="0.35">
      <c r="C422" s="246"/>
    </row>
    <row r="423" spans="3:3" ht="15.75" customHeight="1" x14ac:dyDescent="0.35">
      <c r="C423" s="246"/>
    </row>
    <row r="424" spans="3:3" ht="15.75" customHeight="1" x14ac:dyDescent="0.35">
      <c r="C424" s="246"/>
    </row>
    <row r="425" spans="3:3" ht="15.75" customHeight="1" x14ac:dyDescent="0.35">
      <c r="C425" s="246"/>
    </row>
    <row r="426" spans="3:3" ht="15.75" customHeight="1" x14ac:dyDescent="0.35">
      <c r="C426" s="246"/>
    </row>
    <row r="427" spans="3:3" ht="15.75" customHeight="1" x14ac:dyDescent="0.35">
      <c r="C427" s="246"/>
    </row>
    <row r="428" spans="3:3" ht="15.75" customHeight="1" x14ac:dyDescent="0.35">
      <c r="C428" s="246"/>
    </row>
    <row r="429" spans="3:3" ht="15.75" customHeight="1" x14ac:dyDescent="0.35">
      <c r="C429" s="246"/>
    </row>
    <row r="430" spans="3:3" ht="15.75" customHeight="1" x14ac:dyDescent="0.35">
      <c r="C430" s="246"/>
    </row>
    <row r="431" spans="3:3" ht="15.75" customHeight="1" x14ac:dyDescent="0.35">
      <c r="C431" s="246"/>
    </row>
    <row r="432" spans="3:3" ht="15.75" customHeight="1" x14ac:dyDescent="0.35">
      <c r="C432" s="246"/>
    </row>
    <row r="433" spans="3:3" ht="15.75" customHeight="1" x14ac:dyDescent="0.35">
      <c r="C433" s="246"/>
    </row>
    <row r="434" spans="3:3" ht="15.75" customHeight="1" x14ac:dyDescent="0.35">
      <c r="C434" s="246"/>
    </row>
    <row r="435" spans="3:3" ht="15.75" customHeight="1" x14ac:dyDescent="0.35">
      <c r="C435" s="246"/>
    </row>
    <row r="436" spans="3:3" ht="15.75" customHeight="1" x14ac:dyDescent="0.35">
      <c r="C436" s="246"/>
    </row>
    <row r="437" spans="3:3" ht="15.75" customHeight="1" x14ac:dyDescent="0.35">
      <c r="C437" s="246"/>
    </row>
    <row r="438" spans="3:3" ht="15.75" customHeight="1" x14ac:dyDescent="0.35">
      <c r="C438" s="246"/>
    </row>
    <row r="439" spans="3:3" ht="15.75" customHeight="1" x14ac:dyDescent="0.35">
      <c r="C439" s="246"/>
    </row>
    <row r="440" spans="3:3" ht="15.75" customHeight="1" x14ac:dyDescent="0.35">
      <c r="C440" s="246"/>
    </row>
    <row r="441" spans="3:3" ht="15.75" customHeight="1" x14ac:dyDescent="0.35">
      <c r="C441" s="246"/>
    </row>
    <row r="442" spans="3:3" ht="15.75" customHeight="1" x14ac:dyDescent="0.35">
      <c r="C442" s="246"/>
    </row>
    <row r="443" spans="3:3" ht="15.75" customHeight="1" x14ac:dyDescent="0.35">
      <c r="C443" s="246"/>
    </row>
    <row r="444" spans="3:3" ht="15.75" customHeight="1" x14ac:dyDescent="0.35">
      <c r="C444" s="246"/>
    </row>
    <row r="445" spans="3:3" ht="15.75" customHeight="1" x14ac:dyDescent="0.35">
      <c r="C445" s="246"/>
    </row>
    <row r="446" spans="3:3" ht="15.75" customHeight="1" x14ac:dyDescent="0.35">
      <c r="C446" s="246"/>
    </row>
    <row r="447" spans="3:3" ht="15.75" customHeight="1" x14ac:dyDescent="0.35">
      <c r="C447" s="246"/>
    </row>
    <row r="448" spans="3:3" ht="15.75" customHeight="1" x14ac:dyDescent="0.35">
      <c r="C448" s="246"/>
    </row>
    <row r="449" spans="3:3" ht="15.75" customHeight="1" x14ac:dyDescent="0.35">
      <c r="C449" s="246"/>
    </row>
    <row r="450" spans="3:3" ht="15.75" customHeight="1" x14ac:dyDescent="0.35">
      <c r="C450" s="246"/>
    </row>
    <row r="451" spans="3:3" ht="15.75" customHeight="1" x14ac:dyDescent="0.35">
      <c r="C451" s="246"/>
    </row>
    <row r="452" spans="3:3" ht="15.75" customHeight="1" x14ac:dyDescent="0.35">
      <c r="C452" s="246"/>
    </row>
    <row r="453" spans="3:3" ht="15.75" customHeight="1" x14ac:dyDescent="0.35">
      <c r="C453" s="246"/>
    </row>
    <row r="454" spans="3:3" ht="15.75" customHeight="1" x14ac:dyDescent="0.35">
      <c r="C454" s="246"/>
    </row>
    <row r="455" spans="3:3" ht="15.75" customHeight="1" x14ac:dyDescent="0.35">
      <c r="C455" s="246"/>
    </row>
    <row r="456" spans="3:3" ht="15.75" customHeight="1" x14ac:dyDescent="0.35">
      <c r="C456" s="246"/>
    </row>
    <row r="457" spans="3:3" ht="15.75" customHeight="1" x14ac:dyDescent="0.35">
      <c r="C457" s="246"/>
    </row>
    <row r="458" spans="3:3" ht="15.75" customHeight="1" x14ac:dyDescent="0.35">
      <c r="C458" s="246"/>
    </row>
    <row r="459" spans="3:3" ht="15.75" customHeight="1" x14ac:dyDescent="0.35">
      <c r="C459" s="246"/>
    </row>
    <row r="460" spans="3:3" ht="15.75" customHeight="1" x14ac:dyDescent="0.35">
      <c r="C460" s="246"/>
    </row>
    <row r="461" spans="3:3" ht="15.75" customHeight="1" x14ac:dyDescent="0.35">
      <c r="C461" s="246"/>
    </row>
    <row r="462" spans="3:3" ht="15.75" customHeight="1" x14ac:dyDescent="0.35">
      <c r="C462" s="246"/>
    </row>
    <row r="463" spans="3:3" ht="15.75" customHeight="1" x14ac:dyDescent="0.35">
      <c r="C463" s="246"/>
    </row>
    <row r="464" spans="3:3" ht="15.75" customHeight="1" x14ac:dyDescent="0.35">
      <c r="C464" s="246"/>
    </row>
    <row r="465" spans="3:3" ht="15.75" customHeight="1" x14ac:dyDescent="0.35">
      <c r="C465" s="246"/>
    </row>
    <row r="466" spans="3:3" ht="15.75" customHeight="1" x14ac:dyDescent="0.35">
      <c r="C466" s="246"/>
    </row>
    <row r="467" spans="3:3" ht="15.75" customHeight="1" x14ac:dyDescent="0.35">
      <c r="C467" s="246"/>
    </row>
    <row r="468" spans="3:3" ht="15.75" customHeight="1" x14ac:dyDescent="0.35">
      <c r="C468" s="246"/>
    </row>
    <row r="469" spans="3:3" ht="15.75" customHeight="1" x14ac:dyDescent="0.35">
      <c r="C469" s="246"/>
    </row>
    <row r="470" spans="3:3" ht="15.75" customHeight="1" x14ac:dyDescent="0.35">
      <c r="C470" s="246"/>
    </row>
    <row r="471" spans="3:3" ht="15.75" customHeight="1" x14ac:dyDescent="0.35">
      <c r="C471" s="246"/>
    </row>
    <row r="472" spans="3:3" ht="15.75" customHeight="1" x14ac:dyDescent="0.35">
      <c r="C472" s="246"/>
    </row>
    <row r="473" spans="3:3" ht="15.75" customHeight="1" x14ac:dyDescent="0.35">
      <c r="C473" s="246"/>
    </row>
    <row r="474" spans="3:3" ht="15.75" customHeight="1" x14ac:dyDescent="0.35">
      <c r="C474" s="246"/>
    </row>
    <row r="475" spans="3:3" ht="15.75" customHeight="1" x14ac:dyDescent="0.35">
      <c r="C475" s="246"/>
    </row>
    <row r="476" spans="3:3" ht="15.75" customHeight="1" x14ac:dyDescent="0.35">
      <c r="C476" s="246"/>
    </row>
    <row r="477" spans="3:3" ht="15.75" customHeight="1" x14ac:dyDescent="0.35">
      <c r="C477" s="246"/>
    </row>
    <row r="478" spans="3:3" ht="15.75" customHeight="1" x14ac:dyDescent="0.35">
      <c r="C478" s="246"/>
    </row>
    <row r="479" spans="3:3" ht="15.75" customHeight="1" x14ac:dyDescent="0.35">
      <c r="C479" s="246"/>
    </row>
    <row r="480" spans="3:3" ht="15.75" customHeight="1" x14ac:dyDescent="0.35">
      <c r="C480" s="246"/>
    </row>
    <row r="481" spans="3:3" ht="15.75" customHeight="1" x14ac:dyDescent="0.35">
      <c r="C481" s="246"/>
    </row>
    <row r="482" spans="3:3" ht="15.75" customHeight="1" x14ac:dyDescent="0.35">
      <c r="C482" s="246"/>
    </row>
    <row r="483" spans="3:3" ht="15.75" customHeight="1" x14ac:dyDescent="0.35">
      <c r="C483" s="246"/>
    </row>
    <row r="484" spans="3:3" ht="15.75" customHeight="1" x14ac:dyDescent="0.35">
      <c r="C484" s="246"/>
    </row>
    <row r="485" spans="3:3" ht="15.75" customHeight="1" x14ac:dyDescent="0.35">
      <c r="C485" s="246"/>
    </row>
    <row r="486" spans="3:3" ht="15.75" customHeight="1" x14ac:dyDescent="0.35">
      <c r="C486" s="246"/>
    </row>
    <row r="487" spans="3:3" ht="15.75" customHeight="1" x14ac:dyDescent="0.35">
      <c r="C487" s="246"/>
    </row>
    <row r="488" spans="3:3" ht="15.75" customHeight="1" x14ac:dyDescent="0.35">
      <c r="C488" s="246"/>
    </row>
    <row r="489" spans="3:3" ht="15.75" customHeight="1" x14ac:dyDescent="0.35">
      <c r="C489" s="246"/>
    </row>
    <row r="490" spans="3:3" ht="15.75" customHeight="1" x14ac:dyDescent="0.35">
      <c r="C490" s="246"/>
    </row>
    <row r="491" spans="3:3" ht="15.75" customHeight="1" x14ac:dyDescent="0.35">
      <c r="C491" s="246"/>
    </row>
    <row r="492" spans="3:3" ht="15.75" customHeight="1" x14ac:dyDescent="0.35">
      <c r="C492" s="246"/>
    </row>
    <row r="493" spans="3:3" ht="15.75" customHeight="1" x14ac:dyDescent="0.35">
      <c r="C493" s="246"/>
    </row>
    <row r="494" spans="3:3" ht="15.75" customHeight="1" x14ac:dyDescent="0.35">
      <c r="C494" s="246"/>
    </row>
    <row r="495" spans="3:3" ht="15.75" customHeight="1" x14ac:dyDescent="0.35">
      <c r="C495" s="246"/>
    </row>
    <row r="496" spans="3:3" ht="15.75" customHeight="1" x14ac:dyDescent="0.35">
      <c r="C496" s="246"/>
    </row>
    <row r="497" spans="3:3" ht="15.75" customHeight="1" x14ac:dyDescent="0.35">
      <c r="C497" s="246"/>
    </row>
    <row r="498" spans="3:3" ht="15.75" customHeight="1" x14ac:dyDescent="0.35">
      <c r="C498" s="246"/>
    </row>
    <row r="499" spans="3:3" ht="15.75" customHeight="1" x14ac:dyDescent="0.35">
      <c r="C499" s="246"/>
    </row>
    <row r="500" spans="3:3" ht="15.75" customHeight="1" x14ac:dyDescent="0.35">
      <c r="C500" s="246"/>
    </row>
    <row r="501" spans="3:3" ht="15.75" customHeight="1" x14ac:dyDescent="0.35">
      <c r="C501" s="246"/>
    </row>
    <row r="502" spans="3:3" ht="15.75" customHeight="1" x14ac:dyDescent="0.35">
      <c r="C502" s="246"/>
    </row>
    <row r="503" spans="3:3" ht="15.75" customHeight="1" x14ac:dyDescent="0.35">
      <c r="C503" s="246"/>
    </row>
    <row r="504" spans="3:3" ht="15.75" customHeight="1" x14ac:dyDescent="0.35">
      <c r="C504" s="246"/>
    </row>
    <row r="505" spans="3:3" ht="15.75" customHeight="1" x14ac:dyDescent="0.35">
      <c r="C505" s="246"/>
    </row>
    <row r="506" spans="3:3" ht="15.75" customHeight="1" x14ac:dyDescent="0.35">
      <c r="C506" s="246"/>
    </row>
    <row r="507" spans="3:3" ht="15.75" customHeight="1" x14ac:dyDescent="0.35">
      <c r="C507" s="246"/>
    </row>
    <row r="508" spans="3:3" ht="15.75" customHeight="1" x14ac:dyDescent="0.35">
      <c r="C508" s="246"/>
    </row>
    <row r="509" spans="3:3" ht="15.75" customHeight="1" x14ac:dyDescent="0.35">
      <c r="C509" s="246"/>
    </row>
    <row r="510" spans="3:3" ht="15.75" customHeight="1" x14ac:dyDescent="0.35">
      <c r="C510" s="246"/>
    </row>
    <row r="511" spans="3:3" ht="15.75" customHeight="1" x14ac:dyDescent="0.35">
      <c r="C511" s="246"/>
    </row>
    <row r="512" spans="3:3" ht="15.75" customHeight="1" x14ac:dyDescent="0.35">
      <c r="C512" s="246"/>
    </row>
    <row r="513" spans="3:3" ht="15.75" customHeight="1" x14ac:dyDescent="0.35">
      <c r="C513" s="246"/>
    </row>
    <row r="514" spans="3:3" ht="15.75" customHeight="1" x14ac:dyDescent="0.35">
      <c r="C514" s="246"/>
    </row>
    <row r="515" spans="3:3" ht="15.75" customHeight="1" x14ac:dyDescent="0.35">
      <c r="C515" s="246"/>
    </row>
    <row r="516" spans="3:3" ht="15.75" customHeight="1" x14ac:dyDescent="0.35">
      <c r="C516" s="246"/>
    </row>
    <row r="517" spans="3:3" ht="15.75" customHeight="1" x14ac:dyDescent="0.35">
      <c r="C517" s="246"/>
    </row>
    <row r="518" spans="3:3" ht="15.75" customHeight="1" x14ac:dyDescent="0.35">
      <c r="C518" s="246"/>
    </row>
    <row r="519" spans="3:3" ht="15.75" customHeight="1" x14ac:dyDescent="0.35">
      <c r="C519" s="246"/>
    </row>
    <row r="520" spans="3:3" ht="15.75" customHeight="1" x14ac:dyDescent="0.35">
      <c r="C520" s="246"/>
    </row>
    <row r="521" spans="3:3" ht="15.75" customHeight="1" x14ac:dyDescent="0.35">
      <c r="C521" s="246"/>
    </row>
    <row r="522" spans="3:3" ht="15.75" customHeight="1" x14ac:dyDescent="0.35">
      <c r="C522" s="246"/>
    </row>
    <row r="523" spans="3:3" ht="15.75" customHeight="1" x14ac:dyDescent="0.35">
      <c r="C523" s="246"/>
    </row>
    <row r="524" spans="3:3" ht="15.75" customHeight="1" x14ac:dyDescent="0.35">
      <c r="C524" s="246"/>
    </row>
    <row r="525" spans="3:3" ht="15.75" customHeight="1" x14ac:dyDescent="0.35">
      <c r="C525" s="246"/>
    </row>
    <row r="526" spans="3:3" ht="15.75" customHeight="1" x14ac:dyDescent="0.35">
      <c r="C526" s="246"/>
    </row>
    <row r="527" spans="3:3" ht="15.75" customHeight="1" x14ac:dyDescent="0.35">
      <c r="C527" s="246"/>
    </row>
    <row r="528" spans="3:3" ht="15.75" customHeight="1" x14ac:dyDescent="0.35">
      <c r="C528" s="246"/>
    </row>
    <row r="529" spans="3:3" ht="15.75" customHeight="1" x14ac:dyDescent="0.35">
      <c r="C529" s="246"/>
    </row>
    <row r="530" spans="3:3" ht="15.75" customHeight="1" x14ac:dyDescent="0.35">
      <c r="C530" s="246"/>
    </row>
    <row r="531" spans="3:3" ht="15.75" customHeight="1" x14ac:dyDescent="0.35">
      <c r="C531" s="246"/>
    </row>
    <row r="532" spans="3:3" ht="15.75" customHeight="1" x14ac:dyDescent="0.35">
      <c r="C532" s="246"/>
    </row>
    <row r="533" spans="3:3" ht="15.75" customHeight="1" x14ac:dyDescent="0.35">
      <c r="C533" s="246"/>
    </row>
    <row r="534" spans="3:3" ht="15.75" customHeight="1" x14ac:dyDescent="0.35">
      <c r="C534" s="246"/>
    </row>
    <row r="535" spans="3:3" ht="15.75" customHeight="1" x14ac:dyDescent="0.35">
      <c r="C535" s="246"/>
    </row>
    <row r="536" spans="3:3" ht="15.75" customHeight="1" x14ac:dyDescent="0.35">
      <c r="C536" s="246"/>
    </row>
    <row r="537" spans="3:3" ht="15.75" customHeight="1" x14ac:dyDescent="0.35">
      <c r="C537" s="246"/>
    </row>
    <row r="538" spans="3:3" ht="15.75" customHeight="1" x14ac:dyDescent="0.35">
      <c r="C538" s="246"/>
    </row>
    <row r="539" spans="3:3" ht="15.75" customHeight="1" x14ac:dyDescent="0.35">
      <c r="C539" s="246"/>
    </row>
    <row r="540" spans="3:3" ht="15.75" customHeight="1" x14ac:dyDescent="0.35">
      <c r="C540" s="246"/>
    </row>
    <row r="541" spans="3:3" ht="15.75" customHeight="1" x14ac:dyDescent="0.35">
      <c r="C541" s="246"/>
    </row>
    <row r="542" spans="3:3" ht="15.75" customHeight="1" x14ac:dyDescent="0.35">
      <c r="C542" s="246"/>
    </row>
    <row r="543" spans="3:3" ht="15.75" customHeight="1" x14ac:dyDescent="0.35">
      <c r="C543" s="246"/>
    </row>
    <row r="544" spans="3:3" ht="15.75" customHeight="1" x14ac:dyDescent="0.35">
      <c r="C544" s="246"/>
    </row>
    <row r="545" spans="3:3" ht="15.75" customHeight="1" x14ac:dyDescent="0.35">
      <c r="C545" s="246"/>
    </row>
    <row r="546" spans="3:3" ht="15.75" customHeight="1" x14ac:dyDescent="0.35">
      <c r="C546" s="246"/>
    </row>
    <row r="547" spans="3:3" ht="15.75" customHeight="1" x14ac:dyDescent="0.35">
      <c r="C547" s="246"/>
    </row>
    <row r="548" spans="3:3" ht="15.75" customHeight="1" x14ac:dyDescent="0.35">
      <c r="C548" s="246"/>
    </row>
    <row r="549" spans="3:3" ht="15.75" customHeight="1" x14ac:dyDescent="0.35">
      <c r="C549" s="246"/>
    </row>
    <row r="550" spans="3:3" ht="15.75" customHeight="1" x14ac:dyDescent="0.35">
      <c r="C550" s="246"/>
    </row>
    <row r="551" spans="3:3" ht="15.75" customHeight="1" x14ac:dyDescent="0.35">
      <c r="C551" s="246"/>
    </row>
    <row r="552" spans="3:3" ht="15.75" customHeight="1" x14ac:dyDescent="0.35">
      <c r="C552" s="246"/>
    </row>
    <row r="553" spans="3:3" ht="15.75" customHeight="1" x14ac:dyDescent="0.35">
      <c r="C553" s="246"/>
    </row>
    <row r="554" spans="3:3" ht="15.75" customHeight="1" x14ac:dyDescent="0.35">
      <c r="C554" s="246"/>
    </row>
    <row r="555" spans="3:3" ht="15.75" customHeight="1" x14ac:dyDescent="0.35">
      <c r="C555" s="246"/>
    </row>
    <row r="556" spans="3:3" ht="15.75" customHeight="1" x14ac:dyDescent="0.35">
      <c r="C556" s="246"/>
    </row>
    <row r="557" spans="3:3" ht="15.75" customHeight="1" x14ac:dyDescent="0.35">
      <c r="C557" s="246"/>
    </row>
    <row r="558" spans="3:3" ht="15.75" customHeight="1" x14ac:dyDescent="0.35">
      <c r="C558" s="246"/>
    </row>
    <row r="559" spans="3:3" ht="15.75" customHeight="1" x14ac:dyDescent="0.35">
      <c r="C559" s="246"/>
    </row>
    <row r="560" spans="3:3" ht="15.75" customHeight="1" x14ac:dyDescent="0.35">
      <c r="C560" s="246"/>
    </row>
    <row r="561" spans="3:3" ht="15.75" customHeight="1" x14ac:dyDescent="0.35">
      <c r="C561" s="246"/>
    </row>
    <row r="562" spans="3:3" ht="15.75" customHeight="1" x14ac:dyDescent="0.35">
      <c r="C562" s="246"/>
    </row>
    <row r="563" spans="3:3" ht="15.75" customHeight="1" x14ac:dyDescent="0.35">
      <c r="C563" s="246"/>
    </row>
    <row r="564" spans="3:3" ht="15.75" customHeight="1" x14ac:dyDescent="0.35">
      <c r="C564" s="246"/>
    </row>
    <row r="565" spans="3:3" ht="15.75" customHeight="1" x14ac:dyDescent="0.35">
      <c r="C565" s="246"/>
    </row>
    <row r="566" spans="3:3" ht="15.75" customHeight="1" x14ac:dyDescent="0.35">
      <c r="C566" s="246"/>
    </row>
    <row r="567" spans="3:3" ht="15.75" customHeight="1" x14ac:dyDescent="0.35">
      <c r="C567" s="246"/>
    </row>
    <row r="568" spans="3:3" ht="15.75" customHeight="1" x14ac:dyDescent="0.35">
      <c r="C568" s="246"/>
    </row>
    <row r="569" spans="3:3" ht="15.75" customHeight="1" x14ac:dyDescent="0.35">
      <c r="C569" s="246"/>
    </row>
    <row r="570" spans="3:3" ht="15.75" customHeight="1" x14ac:dyDescent="0.35">
      <c r="C570" s="246"/>
    </row>
    <row r="571" spans="3:3" ht="15.75" customHeight="1" x14ac:dyDescent="0.35">
      <c r="C571" s="246"/>
    </row>
    <row r="572" spans="3:3" ht="15.75" customHeight="1" x14ac:dyDescent="0.35">
      <c r="C572" s="246"/>
    </row>
    <row r="573" spans="3:3" ht="15.75" customHeight="1" x14ac:dyDescent="0.35">
      <c r="C573" s="246"/>
    </row>
    <row r="574" spans="3:3" ht="15.75" customHeight="1" x14ac:dyDescent="0.35">
      <c r="C574" s="246"/>
    </row>
    <row r="575" spans="3:3" ht="15.75" customHeight="1" x14ac:dyDescent="0.35">
      <c r="C575" s="246"/>
    </row>
    <row r="576" spans="3:3" ht="15.75" customHeight="1" x14ac:dyDescent="0.35">
      <c r="C576" s="246"/>
    </row>
    <row r="577" spans="3:3" ht="15.75" customHeight="1" x14ac:dyDescent="0.35">
      <c r="C577" s="246"/>
    </row>
    <row r="578" spans="3:3" ht="15.75" customHeight="1" x14ac:dyDescent="0.35">
      <c r="C578" s="246"/>
    </row>
    <row r="579" spans="3:3" ht="15.75" customHeight="1" x14ac:dyDescent="0.35">
      <c r="C579" s="246"/>
    </row>
    <row r="580" spans="3:3" ht="15.75" customHeight="1" x14ac:dyDescent="0.35">
      <c r="C580" s="246"/>
    </row>
    <row r="581" spans="3:3" ht="15.75" customHeight="1" x14ac:dyDescent="0.35">
      <c r="C581" s="246"/>
    </row>
    <row r="582" spans="3:3" ht="15.75" customHeight="1" x14ac:dyDescent="0.35">
      <c r="C582" s="246"/>
    </row>
    <row r="583" spans="3:3" ht="15.75" customHeight="1" x14ac:dyDescent="0.35">
      <c r="C583" s="246"/>
    </row>
    <row r="584" spans="3:3" ht="15.75" customHeight="1" x14ac:dyDescent="0.35">
      <c r="C584" s="246"/>
    </row>
    <row r="585" spans="3:3" ht="15.75" customHeight="1" x14ac:dyDescent="0.35">
      <c r="C585" s="246"/>
    </row>
    <row r="586" spans="3:3" ht="15.75" customHeight="1" x14ac:dyDescent="0.35">
      <c r="C586" s="246"/>
    </row>
    <row r="587" spans="3:3" ht="15.75" customHeight="1" x14ac:dyDescent="0.35">
      <c r="C587" s="246"/>
    </row>
    <row r="588" spans="3:3" ht="15.75" customHeight="1" x14ac:dyDescent="0.35">
      <c r="C588" s="246"/>
    </row>
    <row r="589" spans="3:3" ht="15.75" customHeight="1" x14ac:dyDescent="0.35">
      <c r="C589" s="246"/>
    </row>
    <row r="590" spans="3:3" ht="15.75" customHeight="1" x14ac:dyDescent="0.35">
      <c r="C590" s="246"/>
    </row>
    <row r="591" spans="3:3" ht="15.75" customHeight="1" x14ac:dyDescent="0.35">
      <c r="C591" s="246"/>
    </row>
    <row r="592" spans="3:3" ht="15.75" customHeight="1" x14ac:dyDescent="0.35">
      <c r="C592" s="246"/>
    </row>
    <row r="593" spans="3:3" ht="15.75" customHeight="1" x14ac:dyDescent="0.35">
      <c r="C593" s="246"/>
    </row>
    <row r="594" spans="3:3" ht="15.75" customHeight="1" x14ac:dyDescent="0.35">
      <c r="C594" s="246"/>
    </row>
    <row r="595" spans="3:3" ht="15.75" customHeight="1" x14ac:dyDescent="0.35">
      <c r="C595" s="246"/>
    </row>
    <row r="596" spans="3:3" ht="15.75" customHeight="1" x14ac:dyDescent="0.35">
      <c r="C596" s="246"/>
    </row>
    <row r="597" spans="3:3" ht="15.75" customHeight="1" x14ac:dyDescent="0.35">
      <c r="C597" s="246"/>
    </row>
    <row r="598" spans="3:3" ht="15.75" customHeight="1" x14ac:dyDescent="0.35">
      <c r="C598" s="246"/>
    </row>
    <row r="599" spans="3:3" ht="15.75" customHeight="1" x14ac:dyDescent="0.35">
      <c r="C599" s="246"/>
    </row>
    <row r="600" spans="3:3" ht="15.75" customHeight="1" x14ac:dyDescent="0.35">
      <c r="C600" s="246"/>
    </row>
    <row r="601" spans="3:3" ht="15.75" customHeight="1" x14ac:dyDescent="0.35">
      <c r="C601" s="246"/>
    </row>
    <row r="602" spans="3:3" ht="15.75" customHeight="1" x14ac:dyDescent="0.35">
      <c r="C602" s="246"/>
    </row>
    <row r="603" spans="3:3" ht="15.75" customHeight="1" x14ac:dyDescent="0.35">
      <c r="C603" s="246"/>
    </row>
    <row r="604" spans="3:3" ht="15.75" customHeight="1" x14ac:dyDescent="0.35">
      <c r="C604" s="246"/>
    </row>
    <row r="605" spans="3:3" ht="15.75" customHeight="1" x14ac:dyDescent="0.35">
      <c r="C605" s="246"/>
    </row>
    <row r="606" spans="3:3" ht="15.75" customHeight="1" x14ac:dyDescent="0.35">
      <c r="C606" s="246"/>
    </row>
    <row r="607" spans="3:3" ht="15.75" customHeight="1" x14ac:dyDescent="0.35">
      <c r="C607" s="246"/>
    </row>
    <row r="608" spans="3:3" ht="15.75" customHeight="1" x14ac:dyDescent="0.35">
      <c r="C608" s="246"/>
    </row>
    <row r="609" spans="3:3" ht="15.75" customHeight="1" x14ac:dyDescent="0.35">
      <c r="C609" s="246"/>
    </row>
    <row r="610" spans="3:3" ht="15.75" customHeight="1" x14ac:dyDescent="0.35">
      <c r="C610" s="246"/>
    </row>
    <row r="611" spans="3:3" ht="15.75" customHeight="1" x14ac:dyDescent="0.35">
      <c r="C611" s="246"/>
    </row>
    <row r="612" spans="3:3" ht="15.75" customHeight="1" x14ac:dyDescent="0.35">
      <c r="C612" s="246"/>
    </row>
    <row r="613" spans="3:3" ht="15.75" customHeight="1" x14ac:dyDescent="0.35">
      <c r="C613" s="246"/>
    </row>
    <row r="614" spans="3:3" ht="15.75" customHeight="1" x14ac:dyDescent="0.35">
      <c r="C614" s="246"/>
    </row>
    <row r="615" spans="3:3" ht="15.75" customHeight="1" x14ac:dyDescent="0.35">
      <c r="C615" s="246"/>
    </row>
    <row r="616" spans="3:3" ht="15.75" customHeight="1" x14ac:dyDescent="0.35">
      <c r="C616" s="246"/>
    </row>
    <row r="617" spans="3:3" ht="15.75" customHeight="1" x14ac:dyDescent="0.35">
      <c r="C617" s="246"/>
    </row>
    <row r="618" spans="3:3" ht="15.75" customHeight="1" x14ac:dyDescent="0.35">
      <c r="C618" s="246"/>
    </row>
    <row r="619" spans="3:3" ht="15.75" customHeight="1" x14ac:dyDescent="0.35">
      <c r="C619" s="246"/>
    </row>
    <row r="620" spans="3:3" ht="15.75" customHeight="1" x14ac:dyDescent="0.35">
      <c r="C620" s="246"/>
    </row>
    <row r="621" spans="3:3" ht="15.75" customHeight="1" x14ac:dyDescent="0.35">
      <c r="C621" s="246"/>
    </row>
    <row r="622" spans="3:3" ht="15.75" customHeight="1" x14ac:dyDescent="0.35">
      <c r="C622" s="246"/>
    </row>
    <row r="623" spans="3:3" ht="15.75" customHeight="1" x14ac:dyDescent="0.35">
      <c r="C623" s="246"/>
    </row>
    <row r="624" spans="3:3" ht="15.75" customHeight="1" x14ac:dyDescent="0.35">
      <c r="C624" s="246"/>
    </row>
    <row r="625" spans="3:3" ht="15.75" customHeight="1" x14ac:dyDescent="0.35">
      <c r="C625" s="246"/>
    </row>
    <row r="626" spans="3:3" ht="15.75" customHeight="1" x14ac:dyDescent="0.35">
      <c r="C626" s="246"/>
    </row>
    <row r="627" spans="3:3" ht="15.75" customHeight="1" x14ac:dyDescent="0.35">
      <c r="C627" s="246"/>
    </row>
    <row r="628" spans="3:3" ht="15.75" customHeight="1" x14ac:dyDescent="0.35">
      <c r="C628" s="246"/>
    </row>
    <row r="629" spans="3:3" ht="15.75" customHeight="1" x14ac:dyDescent="0.35">
      <c r="C629" s="246"/>
    </row>
    <row r="630" spans="3:3" ht="15.75" customHeight="1" x14ac:dyDescent="0.35">
      <c r="C630" s="246"/>
    </row>
    <row r="631" spans="3:3" ht="15.75" customHeight="1" x14ac:dyDescent="0.35">
      <c r="C631" s="246"/>
    </row>
    <row r="632" spans="3:3" ht="15.75" customHeight="1" x14ac:dyDescent="0.35">
      <c r="C632" s="246"/>
    </row>
    <row r="633" spans="3:3" ht="15.75" customHeight="1" x14ac:dyDescent="0.35">
      <c r="C633" s="246"/>
    </row>
    <row r="634" spans="3:3" ht="15.75" customHeight="1" x14ac:dyDescent="0.35">
      <c r="C634" s="246"/>
    </row>
    <row r="635" spans="3:3" ht="15.75" customHeight="1" x14ac:dyDescent="0.35">
      <c r="C635" s="246"/>
    </row>
    <row r="636" spans="3:3" ht="15.75" customHeight="1" x14ac:dyDescent="0.35">
      <c r="C636" s="246"/>
    </row>
    <row r="637" spans="3:3" ht="15.75" customHeight="1" x14ac:dyDescent="0.35">
      <c r="C637" s="246"/>
    </row>
    <row r="638" spans="3:3" ht="15.75" customHeight="1" x14ac:dyDescent="0.35">
      <c r="C638" s="246"/>
    </row>
    <row r="639" spans="3:3" ht="15.75" customHeight="1" x14ac:dyDescent="0.35">
      <c r="C639" s="246"/>
    </row>
    <row r="640" spans="3:3" ht="15.75" customHeight="1" x14ac:dyDescent="0.35">
      <c r="C640" s="246"/>
    </row>
    <row r="641" spans="3:3" ht="15.75" customHeight="1" x14ac:dyDescent="0.35">
      <c r="C641" s="246"/>
    </row>
    <row r="642" spans="3:3" ht="15.75" customHeight="1" x14ac:dyDescent="0.35">
      <c r="C642" s="246"/>
    </row>
    <row r="643" spans="3:3" ht="15.75" customHeight="1" x14ac:dyDescent="0.35">
      <c r="C643" s="246"/>
    </row>
    <row r="644" spans="3:3" ht="15.75" customHeight="1" x14ac:dyDescent="0.35">
      <c r="C644" s="246"/>
    </row>
    <row r="645" spans="3:3" ht="15.75" customHeight="1" x14ac:dyDescent="0.35">
      <c r="C645" s="246"/>
    </row>
    <row r="646" spans="3:3" ht="15.75" customHeight="1" x14ac:dyDescent="0.35">
      <c r="C646" s="246"/>
    </row>
    <row r="647" spans="3:3" ht="15.75" customHeight="1" x14ac:dyDescent="0.35">
      <c r="C647" s="246"/>
    </row>
    <row r="648" spans="3:3" ht="15.75" customHeight="1" x14ac:dyDescent="0.35">
      <c r="C648" s="246"/>
    </row>
    <row r="649" spans="3:3" ht="15.75" customHeight="1" x14ac:dyDescent="0.35">
      <c r="C649" s="246"/>
    </row>
    <row r="650" spans="3:3" ht="15.75" customHeight="1" x14ac:dyDescent="0.35">
      <c r="C650" s="246"/>
    </row>
    <row r="651" spans="3:3" ht="15.75" customHeight="1" x14ac:dyDescent="0.35">
      <c r="C651" s="246"/>
    </row>
    <row r="652" spans="3:3" ht="15.75" customHeight="1" x14ac:dyDescent="0.35">
      <c r="C652" s="246"/>
    </row>
    <row r="653" spans="3:3" ht="15.75" customHeight="1" x14ac:dyDescent="0.35">
      <c r="C653" s="246"/>
    </row>
    <row r="654" spans="3:3" ht="15.75" customHeight="1" x14ac:dyDescent="0.35">
      <c r="C654" s="246"/>
    </row>
    <row r="655" spans="3:3" ht="15.75" customHeight="1" x14ac:dyDescent="0.35">
      <c r="C655" s="246"/>
    </row>
    <row r="656" spans="3:3" ht="15.75" customHeight="1" x14ac:dyDescent="0.35">
      <c r="C656" s="246"/>
    </row>
    <row r="657" spans="3:3" ht="15.75" customHeight="1" x14ac:dyDescent="0.35">
      <c r="C657" s="246"/>
    </row>
    <row r="658" spans="3:3" ht="15.75" customHeight="1" x14ac:dyDescent="0.35">
      <c r="C658" s="246"/>
    </row>
    <row r="659" spans="3:3" ht="15.75" customHeight="1" x14ac:dyDescent="0.35">
      <c r="C659" s="246"/>
    </row>
    <row r="660" spans="3:3" ht="15.75" customHeight="1" x14ac:dyDescent="0.35">
      <c r="C660" s="246"/>
    </row>
    <row r="661" spans="3:3" ht="15.75" customHeight="1" x14ac:dyDescent="0.35">
      <c r="C661" s="246"/>
    </row>
    <row r="662" spans="3:3" ht="15.75" customHeight="1" x14ac:dyDescent="0.35">
      <c r="C662" s="246"/>
    </row>
    <row r="663" spans="3:3" ht="15.75" customHeight="1" x14ac:dyDescent="0.35">
      <c r="C663" s="246"/>
    </row>
    <row r="664" spans="3:3" ht="15.75" customHeight="1" x14ac:dyDescent="0.35">
      <c r="C664" s="246"/>
    </row>
    <row r="665" spans="3:3" ht="15.75" customHeight="1" x14ac:dyDescent="0.35">
      <c r="C665" s="246"/>
    </row>
    <row r="666" spans="3:3" ht="15.75" customHeight="1" x14ac:dyDescent="0.35">
      <c r="C666" s="246"/>
    </row>
    <row r="667" spans="3:3" ht="15.75" customHeight="1" x14ac:dyDescent="0.35">
      <c r="C667" s="246"/>
    </row>
    <row r="668" spans="3:3" ht="15.75" customHeight="1" x14ac:dyDescent="0.35">
      <c r="C668" s="246"/>
    </row>
    <row r="669" spans="3:3" ht="15.75" customHeight="1" x14ac:dyDescent="0.35">
      <c r="C669" s="246"/>
    </row>
    <row r="670" spans="3:3" ht="15.75" customHeight="1" x14ac:dyDescent="0.35">
      <c r="C670" s="246"/>
    </row>
    <row r="671" spans="3:3" ht="15.75" customHeight="1" x14ac:dyDescent="0.35">
      <c r="C671" s="246"/>
    </row>
    <row r="672" spans="3:3" ht="15.75" customHeight="1" x14ac:dyDescent="0.35">
      <c r="C672" s="246"/>
    </row>
    <row r="673" spans="3:3" ht="15.75" customHeight="1" x14ac:dyDescent="0.35">
      <c r="C673" s="246"/>
    </row>
    <row r="674" spans="3:3" ht="15.75" customHeight="1" x14ac:dyDescent="0.35">
      <c r="C674" s="246"/>
    </row>
    <row r="675" spans="3:3" ht="15.75" customHeight="1" x14ac:dyDescent="0.35">
      <c r="C675" s="246"/>
    </row>
    <row r="676" spans="3:3" ht="15.75" customHeight="1" x14ac:dyDescent="0.35">
      <c r="C676" s="246"/>
    </row>
    <row r="677" spans="3:3" ht="15.75" customHeight="1" x14ac:dyDescent="0.35">
      <c r="C677" s="246"/>
    </row>
    <row r="678" spans="3:3" ht="15.75" customHeight="1" x14ac:dyDescent="0.35">
      <c r="C678" s="246"/>
    </row>
    <row r="679" spans="3:3" ht="15.75" customHeight="1" x14ac:dyDescent="0.35">
      <c r="C679" s="246"/>
    </row>
    <row r="680" spans="3:3" ht="15.75" customHeight="1" x14ac:dyDescent="0.35">
      <c r="C680" s="246"/>
    </row>
    <row r="681" spans="3:3" ht="15.75" customHeight="1" x14ac:dyDescent="0.35">
      <c r="C681" s="246"/>
    </row>
    <row r="682" spans="3:3" ht="15.75" customHeight="1" x14ac:dyDescent="0.35">
      <c r="C682" s="246"/>
    </row>
    <row r="683" spans="3:3" ht="15.75" customHeight="1" x14ac:dyDescent="0.35">
      <c r="C683" s="246"/>
    </row>
    <row r="684" spans="3:3" ht="15.75" customHeight="1" x14ac:dyDescent="0.35">
      <c r="C684" s="246"/>
    </row>
    <row r="685" spans="3:3" ht="15.75" customHeight="1" x14ac:dyDescent="0.35">
      <c r="C685" s="246"/>
    </row>
    <row r="686" spans="3:3" ht="15.75" customHeight="1" x14ac:dyDescent="0.35">
      <c r="C686" s="246"/>
    </row>
    <row r="687" spans="3:3" ht="15.75" customHeight="1" x14ac:dyDescent="0.35">
      <c r="C687" s="246"/>
    </row>
    <row r="688" spans="3:3" ht="15.75" customHeight="1" x14ac:dyDescent="0.35">
      <c r="C688" s="246"/>
    </row>
    <row r="689" spans="3:3" ht="15.75" customHeight="1" x14ac:dyDescent="0.35">
      <c r="C689" s="246"/>
    </row>
    <row r="690" spans="3:3" ht="15.75" customHeight="1" x14ac:dyDescent="0.35">
      <c r="C690" s="246"/>
    </row>
    <row r="691" spans="3:3" ht="15.75" customHeight="1" x14ac:dyDescent="0.35">
      <c r="C691" s="246"/>
    </row>
    <row r="692" spans="3:3" ht="15.75" customHeight="1" x14ac:dyDescent="0.35">
      <c r="C692" s="246"/>
    </row>
    <row r="693" spans="3:3" ht="15.75" customHeight="1" x14ac:dyDescent="0.35">
      <c r="C693" s="246"/>
    </row>
    <row r="694" spans="3:3" ht="15.75" customHeight="1" x14ac:dyDescent="0.35">
      <c r="C694" s="246"/>
    </row>
    <row r="695" spans="3:3" ht="15.75" customHeight="1" x14ac:dyDescent="0.35">
      <c r="C695" s="246"/>
    </row>
    <row r="696" spans="3:3" ht="15.75" customHeight="1" x14ac:dyDescent="0.35">
      <c r="C696" s="246"/>
    </row>
    <row r="697" spans="3:3" ht="15.75" customHeight="1" x14ac:dyDescent="0.35">
      <c r="C697" s="246"/>
    </row>
    <row r="698" spans="3:3" ht="15.75" customHeight="1" x14ac:dyDescent="0.35">
      <c r="C698" s="246"/>
    </row>
    <row r="699" spans="3:3" ht="15.75" customHeight="1" x14ac:dyDescent="0.35">
      <c r="C699" s="246"/>
    </row>
    <row r="700" spans="3:3" ht="15.75" customHeight="1" x14ac:dyDescent="0.35">
      <c r="C700" s="246"/>
    </row>
    <row r="701" spans="3:3" ht="15.75" customHeight="1" x14ac:dyDescent="0.35">
      <c r="C701" s="246"/>
    </row>
    <row r="702" spans="3:3" ht="15.75" customHeight="1" x14ac:dyDescent="0.35">
      <c r="C702" s="246"/>
    </row>
    <row r="703" spans="3:3" ht="15.75" customHeight="1" x14ac:dyDescent="0.35">
      <c r="C703" s="246"/>
    </row>
    <row r="704" spans="3:3" ht="15.75" customHeight="1" x14ac:dyDescent="0.35">
      <c r="C704" s="246"/>
    </row>
    <row r="705" spans="3:3" ht="15.75" customHeight="1" x14ac:dyDescent="0.35">
      <c r="C705" s="246"/>
    </row>
    <row r="706" spans="3:3" ht="15.75" customHeight="1" x14ac:dyDescent="0.35">
      <c r="C706" s="246"/>
    </row>
    <row r="707" spans="3:3" ht="15.75" customHeight="1" x14ac:dyDescent="0.35">
      <c r="C707" s="246"/>
    </row>
    <row r="708" spans="3:3" ht="15.75" customHeight="1" x14ac:dyDescent="0.35">
      <c r="C708" s="246"/>
    </row>
    <row r="709" spans="3:3" ht="15.75" customHeight="1" x14ac:dyDescent="0.35">
      <c r="C709" s="246"/>
    </row>
    <row r="710" spans="3:3" ht="15.75" customHeight="1" x14ac:dyDescent="0.35">
      <c r="C710" s="246"/>
    </row>
    <row r="711" spans="3:3" ht="15.75" customHeight="1" x14ac:dyDescent="0.35">
      <c r="C711" s="246"/>
    </row>
    <row r="712" spans="3:3" ht="15.75" customHeight="1" x14ac:dyDescent="0.35">
      <c r="C712" s="246"/>
    </row>
    <row r="713" spans="3:3" ht="15.75" customHeight="1" x14ac:dyDescent="0.35">
      <c r="C713" s="246"/>
    </row>
    <row r="714" spans="3:3" ht="15.75" customHeight="1" x14ac:dyDescent="0.35">
      <c r="C714" s="246"/>
    </row>
    <row r="715" spans="3:3" ht="15.75" customHeight="1" x14ac:dyDescent="0.35">
      <c r="C715" s="246"/>
    </row>
    <row r="716" spans="3:3" ht="15.75" customHeight="1" x14ac:dyDescent="0.35">
      <c r="C716" s="246"/>
    </row>
    <row r="717" spans="3:3" ht="15.75" customHeight="1" x14ac:dyDescent="0.35">
      <c r="C717" s="246"/>
    </row>
    <row r="718" spans="3:3" ht="15.75" customHeight="1" x14ac:dyDescent="0.35">
      <c r="C718" s="246"/>
    </row>
    <row r="719" spans="3:3" ht="15.75" customHeight="1" x14ac:dyDescent="0.35">
      <c r="C719" s="246"/>
    </row>
    <row r="720" spans="3:3" ht="15.75" customHeight="1" x14ac:dyDescent="0.35">
      <c r="C720" s="246"/>
    </row>
    <row r="721" spans="3:3" ht="15.75" customHeight="1" x14ac:dyDescent="0.35">
      <c r="C721" s="246"/>
    </row>
    <row r="722" spans="3:3" ht="15.75" customHeight="1" x14ac:dyDescent="0.35">
      <c r="C722" s="246"/>
    </row>
    <row r="723" spans="3:3" ht="15.75" customHeight="1" x14ac:dyDescent="0.35">
      <c r="C723" s="246"/>
    </row>
    <row r="724" spans="3:3" ht="15.75" customHeight="1" x14ac:dyDescent="0.35">
      <c r="C724" s="246"/>
    </row>
    <row r="725" spans="3:3" ht="15.75" customHeight="1" x14ac:dyDescent="0.35">
      <c r="C725" s="246"/>
    </row>
    <row r="726" spans="3:3" ht="15.75" customHeight="1" x14ac:dyDescent="0.35">
      <c r="C726" s="246"/>
    </row>
    <row r="727" spans="3:3" ht="15.75" customHeight="1" x14ac:dyDescent="0.35">
      <c r="C727" s="246"/>
    </row>
    <row r="728" spans="3:3" ht="15.75" customHeight="1" x14ac:dyDescent="0.35">
      <c r="C728" s="246"/>
    </row>
    <row r="729" spans="3:3" ht="15.75" customHeight="1" x14ac:dyDescent="0.35">
      <c r="C729" s="246"/>
    </row>
    <row r="730" spans="3:3" ht="15.75" customHeight="1" x14ac:dyDescent="0.35">
      <c r="C730" s="246"/>
    </row>
    <row r="731" spans="3:3" ht="15.75" customHeight="1" x14ac:dyDescent="0.35">
      <c r="C731" s="246"/>
    </row>
    <row r="732" spans="3:3" ht="15.75" customHeight="1" x14ac:dyDescent="0.35">
      <c r="C732" s="246"/>
    </row>
    <row r="733" spans="3:3" ht="15.75" customHeight="1" x14ac:dyDescent="0.35">
      <c r="C733" s="246"/>
    </row>
    <row r="734" spans="3:3" ht="15.75" customHeight="1" x14ac:dyDescent="0.35">
      <c r="C734" s="246"/>
    </row>
    <row r="735" spans="3:3" ht="15.75" customHeight="1" x14ac:dyDescent="0.35">
      <c r="C735" s="246"/>
    </row>
    <row r="736" spans="3:3" ht="15.75" customHeight="1" x14ac:dyDescent="0.35">
      <c r="C736" s="246"/>
    </row>
    <row r="737" spans="3:3" ht="15.75" customHeight="1" x14ac:dyDescent="0.35">
      <c r="C737" s="246"/>
    </row>
    <row r="738" spans="3:3" ht="15.75" customHeight="1" x14ac:dyDescent="0.35">
      <c r="C738" s="246"/>
    </row>
    <row r="739" spans="3:3" ht="15.75" customHeight="1" x14ac:dyDescent="0.35">
      <c r="C739" s="246"/>
    </row>
    <row r="740" spans="3:3" ht="15.75" customHeight="1" x14ac:dyDescent="0.35">
      <c r="C740" s="246"/>
    </row>
    <row r="741" spans="3:3" ht="15.75" customHeight="1" x14ac:dyDescent="0.35">
      <c r="C741" s="246"/>
    </row>
    <row r="742" spans="3:3" ht="15.75" customHeight="1" x14ac:dyDescent="0.35">
      <c r="C742" s="246"/>
    </row>
    <row r="743" spans="3:3" ht="15.75" customHeight="1" x14ac:dyDescent="0.35">
      <c r="C743" s="246"/>
    </row>
    <row r="744" spans="3:3" ht="15.75" customHeight="1" x14ac:dyDescent="0.35">
      <c r="C744" s="246"/>
    </row>
    <row r="745" spans="3:3" ht="15.75" customHeight="1" x14ac:dyDescent="0.35">
      <c r="C745" s="246"/>
    </row>
    <row r="746" spans="3:3" ht="15.75" customHeight="1" x14ac:dyDescent="0.35">
      <c r="C746" s="246"/>
    </row>
    <row r="747" spans="3:3" ht="15.75" customHeight="1" x14ac:dyDescent="0.35">
      <c r="C747" s="246"/>
    </row>
    <row r="748" spans="3:3" ht="15.75" customHeight="1" x14ac:dyDescent="0.35">
      <c r="C748" s="246"/>
    </row>
    <row r="749" spans="3:3" ht="15.75" customHeight="1" x14ac:dyDescent="0.35">
      <c r="C749" s="246"/>
    </row>
    <row r="750" spans="3:3" ht="15.75" customHeight="1" x14ac:dyDescent="0.35">
      <c r="C750" s="246"/>
    </row>
    <row r="751" spans="3:3" ht="15.75" customHeight="1" x14ac:dyDescent="0.35">
      <c r="C751" s="246"/>
    </row>
    <row r="752" spans="3:3" ht="15.75" customHeight="1" x14ac:dyDescent="0.35">
      <c r="C752" s="246"/>
    </row>
    <row r="753" spans="3:3" ht="15.75" customHeight="1" x14ac:dyDescent="0.35">
      <c r="C753" s="246"/>
    </row>
    <row r="754" spans="3:3" ht="15.75" customHeight="1" x14ac:dyDescent="0.35">
      <c r="C754" s="246"/>
    </row>
    <row r="755" spans="3:3" ht="15.75" customHeight="1" x14ac:dyDescent="0.35">
      <c r="C755" s="246"/>
    </row>
    <row r="756" spans="3:3" ht="15.75" customHeight="1" x14ac:dyDescent="0.35">
      <c r="C756" s="246"/>
    </row>
    <row r="757" spans="3:3" ht="15.75" customHeight="1" x14ac:dyDescent="0.35">
      <c r="C757" s="246"/>
    </row>
    <row r="758" spans="3:3" ht="15.75" customHeight="1" x14ac:dyDescent="0.35">
      <c r="C758" s="246"/>
    </row>
    <row r="759" spans="3:3" ht="15.75" customHeight="1" x14ac:dyDescent="0.35">
      <c r="C759" s="246"/>
    </row>
    <row r="760" spans="3:3" ht="15.75" customHeight="1" x14ac:dyDescent="0.35">
      <c r="C760" s="246"/>
    </row>
    <row r="761" spans="3:3" ht="15.75" customHeight="1" x14ac:dyDescent="0.35">
      <c r="C761" s="246"/>
    </row>
    <row r="762" spans="3:3" ht="15.75" customHeight="1" x14ac:dyDescent="0.35">
      <c r="C762" s="246"/>
    </row>
    <row r="763" spans="3:3" ht="15.75" customHeight="1" x14ac:dyDescent="0.35">
      <c r="C763" s="246"/>
    </row>
    <row r="764" spans="3:3" ht="15.75" customHeight="1" x14ac:dyDescent="0.35">
      <c r="C764" s="246"/>
    </row>
    <row r="765" spans="3:3" ht="15.75" customHeight="1" x14ac:dyDescent="0.35">
      <c r="C765" s="246"/>
    </row>
    <row r="766" spans="3:3" ht="15.75" customHeight="1" x14ac:dyDescent="0.35">
      <c r="C766" s="246"/>
    </row>
    <row r="767" spans="3:3" ht="15.75" customHeight="1" x14ac:dyDescent="0.35">
      <c r="C767" s="246"/>
    </row>
    <row r="768" spans="3:3" ht="15.75" customHeight="1" x14ac:dyDescent="0.35">
      <c r="C768" s="246"/>
    </row>
    <row r="769" spans="3:3" ht="15.75" customHeight="1" x14ac:dyDescent="0.35">
      <c r="C769" s="246"/>
    </row>
    <row r="770" spans="3:3" ht="15.75" customHeight="1" x14ac:dyDescent="0.35">
      <c r="C770" s="246"/>
    </row>
    <row r="771" spans="3:3" ht="15.75" customHeight="1" x14ac:dyDescent="0.35">
      <c r="C771" s="246"/>
    </row>
    <row r="772" spans="3:3" ht="15.75" customHeight="1" x14ac:dyDescent="0.35">
      <c r="C772" s="246"/>
    </row>
    <row r="773" spans="3:3" ht="15.75" customHeight="1" x14ac:dyDescent="0.35">
      <c r="C773" s="246"/>
    </row>
    <row r="774" spans="3:3" ht="15.75" customHeight="1" x14ac:dyDescent="0.35">
      <c r="C774" s="246"/>
    </row>
    <row r="775" spans="3:3" ht="15.75" customHeight="1" x14ac:dyDescent="0.35">
      <c r="C775" s="246"/>
    </row>
    <row r="776" spans="3:3" ht="15.75" customHeight="1" x14ac:dyDescent="0.35">
      <c r="C776" s="246"/>
    </row>
    <row r="777" spans="3:3" ht="15.75" customHeight="1" x14ac:dyDescent="0.35">
      <c r="C777" s="246"/>
    </row>
    <row r="778" spans="3:3" ht="15.75" customHeight="1" x14ac:dyDescent="0.35">
      <c r="C778" s="246"/>
    </row>
    <row r="779" spans="3:3" ht="15.75" customHeight="1" x14ac:dyDescent="0.35">
      <c r="C779" s="246"/>
    </row>
    <row r="780" spans="3:3" ht="15.75" customHeight="1" x14ac:dyDescent="0.35">
      <c r="C780" s="246"/>
    </row>
    <row r="781" spans="3:3" ht="15.75" customHeight="1" x14ac:dyDescent="0.35">
      <c r="C781" s="246"/>
    </row>
    <row r="782" spans="3:3" ht="15.75" customHeight="1" x14ac:dyDescent="0.35">
      <c r="C782" s="246"/>
    </row>
    <row r="783" spans="3:3" ht="15.75" customHeight="1" x14ac:dyDescent="0.35">
      <c r="C783" s="246"/>
    </row>
    <row r="784" spans="3:3" ht="15.75" customHeight="1" x14ac:dyDescent="0.35">
      <c r="C784" s="246"/>
    </row>
    <row r="785" spans="3:3" ht="15.75" customHeight="1" x14ac:dyDescent="0.35">
      <c r="C785" s="246"/>
    </row>
    <row r="786" spans="3:3" ht="15.75" customHeight="1" x14ac:dyDescent="0.35">
      <c r="C786" s="246"/>
    </row>
    <row r="787" spans="3:3" ht="15.75" customHeight="1" x14ac:dyDescent="0.35">
      <c r="C787" s="246"/>
    </row>
    <row r="788" spans="3:3" ht="15.75" customHeight="1" x14ac:dyDescent="0.35">
      <c r="C788" s="246"/>
    </row>
    <row r="789" spans="3:3" ht="15.75" customHeight="1" x14ac:dyDescent="0.35">
      <c r="C789" s="246"/>
    </row>
    <row r="790" spans="3:3" ht="15.75" customHeight="1" x14ac:dyDescent="0.35">
      <c r="C790" s="246"/>
    </row>
    <row r="791" spans="3:3" ht="15.75" customHeight="1" x14ac:dyDescent="0.35">
      <c r="C791" s="246"/>
    </row>
    <row r="792" spans="3:3" ht="15.75" customHeight="1" x14ac:dyDescent="0.35">
      <c r="C792" s="246"/>
    </row>
    <row r="793" spans="3:3" ht="15.75" customHeight="1" x14ac:dyDescent="0.35">
      <c r="C793" s="246"/>
    </row>
    <row r="794" spans="3:3" ht="15.75" customHeight="1" x14ac:dyDescent="0.35">
      <c r="C794" s="246"/>
    </row>
    <row r="795" spans="3:3" ht="15.75" customHeight="1" x14ac:dyDescent="0.35">
      <c r="C795" s="246"/>
    </row>
    <row r="796" spans="3:3" ht="15.75" customHeight="1" x14ac:dyDescent="0.35">
      <c r="C796" s="246"/>
    </row>
    <row r="797" spans="3:3" ht="15.75" customHeight="1" x14ac:dyDescent="0.35">
      <c r="C797" s="246"/>
    </row>
    <row r="798" spans="3:3" ht="15.75" customHeight="1" x14ac:dyDescent="0.35">
      <c r="C798" s="246"/>
    </row>
    <row r="799" spans="3:3" ht="15.75" customHeight="1" x14ac:dyDescent="0.35">
      <c r="C799" s="246"/>
    </row>
    <row r="800" spans="3:3" ht="15.75" customHeight="1" x14ac:dyDescent="0.35">
      <c r="C800" s="246"/>
    </row>
    <row r="801" spans="3:3" ht="15.75" customHeight="1" x14ac:dyDescent="0.35">
      <c r="C801" s="246"/>
    </row>
    <row r="802" spans="3:3" ht="15.75" customHeight="1" x14ac:dyDescent="0.35">
      <c r="C802" s="246"/>
    </row>
    <row r="803" spans="3:3" ht="15.75" customHeight="1" x14ac:dyDescent="0.35">
      <c r="C803" s="246"/>
    </row>
    <row r="804" spans="3:3" ht="15.75" customHeight="1" x14ac:dyDescent="0.35">
      <c r="C804" s="246"/>
    </row>
    <row r="805" spans="3:3" ht="15.75" customHeight="1" x14ac:dyDescent="0.35">
      <c r="C805" s="246"/>
    </row>
    <row r="806" spans="3:3" ht="15.75" customHeight="1" x14ac:dyDescent="0.35">
      <c r="C806" s="246"/>
    </row>
    <row r="807" spans="3:3" ht="15.75" customHeight="1" x14ac:dyDescent="0.35">
      <c r="C807" s="246"/>
    </row>
    <row r="808" spans="3:3" ht="15.75" customHeight="1" x14ac:dyDescent="0.35">
      <c r="C808" s="246"/>
    </row>
    <row r="809" spans="3:3" ht="15.75" customHeight="1" x14ac:dyDescent="0.35">
      <c r="C809" s="246"/>
    </row>
    <row r="810" spans="3:3" ht="15.75" customHeight="1" x14ac:dyDescent="0.35">
      <c r="C810" s="246"/>
    </row>
    <row r="811" spans="3:3" ht="15.75" customHeight="1" x14ac:dyDescent="0.35">
      <c r="C811" s="246"/>
    </row>
    <row r="812" spans="3:3" ht="15.75" customHeight="1" x14ac:dyDescent="0.35">
      <c r="C812" s="246"/>
    </row>
    <row r="813" spans="3:3" ht="15.75" customHeight="1" x14ac:dyDescent="0.35">
      <c r="C813" s="246"/>
    </row>
    <row r="814" spans="3:3" ht="15.75" customHeight="1" x14ac:dyDescent="0.35">
      <c r="C814" s="246"/>
    </row>
    <row r="815" spans="3:3" ht="15.75" customHeight="1" x14ac:dyDescent="0.35">
      <c r="C815" s="246"/>
    </row>
    <row r="816" spans="3:3" ht="15.75" customHeight="1" x14ac:dyDescent="0.35">
      <c r="C816" s="246"/>
    </row>
    <row r="817" spans="3:3" ht="15.75" customHeight="1" x14ac:dyDescent="0.35">
      <c r="C817" s="246"/>
    </row>
    <row r="818" spans="3:3" ht="15.75" customHeight="1" x14ac:dyDescent="0.35">
      <c r="C818" s="246"/>
    </row>
    <row r="819" spans="3:3" ht="15.75" customHeight="1" x14ac:dyDescent="0.35">
      <c r="C819" s="246"/>
    </row>
    <row r="820" spans="3:3" ht="15.75" customHeight="1" x14ac:dyDescent="0.35">
      <c r="C820" s="246"/>
    </row>
    <row r="821" spans="3:3" ht="15.75" customHeight="1" x14ac:dyDescent="0.35">
      <c r="C821" s="246"/>
    </row>
    <row r="822" spans="3:3" ht="15.75" customHeight="1" x14ac:dyDescent="0.35">
      <c r="C822" s="246"/>
    </row>
    <row r="823" spans="3:3" ht="15.75" customHeight="1" x14ac:dyDescent="0.35">
      <c r="C823" s="246"/>
    </row>
    <row r="824" spans="3:3" ht="15.75" customHeight="1" x14ac:dyDescent="0.35">
      <c r="C824" s="246"/>
    </row>
    <row r="825" spans="3:3" ht="15.75" customHeight="1" x14ac:dyDescent="0.35">
      <c r="C825" s="246"/>
    </row>
    <row r="826" spans="3:3" ht="15.75" customHeight="1" x14ac:dyDescent="0.35">
      <c r="C826" s="246"/>
    </row>
    <row r="827" spans="3:3" ht="15.75" customHeight="1" x14ac:dyDescent="0.35">
      <c r="C827" s="246"/>
    </row>
    <row r="828" spans="3:3" ht="15.75" customHeight="1" x14ac:dyDescent="0.35">
      <c r="C828" s="246"/>
    </row>
    <row r="829" spans="3:3" ht="15.75" customHeight="1" x14ac:dyDescent="0.35">
      <c r="C829" s="246"/>
    </row>
    <row r="830" spans="3:3" ht="15.75" customHeight="1" x14ac:dyDescent="0.35">
      <c r="C830" s="246"/>
    </row>
    <row r="831" spans="3:3" ht="15.75" customHeight="1" x14ac:dyDescent="0.35">
      <c r="C831" s="246"/>
    </row>
    <row r="832" spans="3:3" ht="15.75" customHeight="1" x14ac:dyDescent="0.35">
      <c r="C832" s="246"/>
    </row>
    <row r="833" spans="3:3" ht="15.75" customHeight="1" x14ac:dyDescent="0.35">
      <c r="C833" s="246"/>
    </row>
    <row r="834" spans="3:3" ht="15.75" customHeight="1" x14ac:dyDescent="0.35">
      <c r="C834" s="246"/>
    </row>
    <row r="835" spans="3:3" ht="15.75" customHeight="1" x14ac:dyDescent="0.35">
      <c r="C835" s="246"/>
    </row>
    <row r="836" spans="3:3" ht="15.75" customHeight="1" x14ac:dyDescent="0.35">
      <c r="C836" s="246"/>
    </row>
    <row r="837" spans="3:3" ht="15.75" customHeight="1" x14ac:dyDescent="0.35">
      <c r="C837" s="246"/>
    </row>
    <row r="838" spans="3:3" ht="15.75" customHeight="1" x14ac:dyDescent="0.35">
      <c r="C838" s="246"/>
    </row>
    <row r="839" spans="3:3" ht="15.75" customHeight="1" x14ac:dyDescent="0.35">
      <c r="C839" s="246"/>
    </row>
    <row r="840" spans="3:3" ht="15.75" customHeight="1" x14ac:dyDescent="0.35">
      <c r="C840" s="246"/>
    </row>
    <row r="841" spans="3:3" ht="15.75" customHeight="1" x14ac:dyDescent="0.35">
      <c r="C841" s="246"/>
    </row>
    <row r="842" spans="3:3" ht="15.75" customHeight="1" x14ac:dyDescent="0.35">
      <c r="C842" s="246"/>
    </row>
    <row r="843" spans="3:3" ht="15.75" customHeight="1" x14ac:dyDescent="0.35">
      <c r="C843" s="246"/>
    </row>
    <row r="844" spans="3:3" ht="15.75" customHeight="1" x14ac:dyDescent="0.35">
      <c r="C844" s="246"/>
    </row>
    <row r="845" spans="3:3" ht="15.75" customHeight="1" x14ac:dyDescent="0.35">
      <c r="C845" s="246"/>
    </row>
    <row r="846" spans="3:3" ht="15.75" customHeight="1" x14ac:dyDescent="0.35">
      <c r="C846" s="246"/>
    </row>
    <row r="847" spans="3:3" ht="15.75" customHeight="1" x14ac:dyDescent="0.35">
      <c r="C847" s="246"/>
    </row>
    <row r="848" spans="3:3" ht="15.75" customHeight="1" x14ac:dyDescent="0.35">
      <c r="C848" s="246"/>
    </row>
    <row r="849" spans="3:3" ht="15.75" customHeight="1" x14ac:dyDescent="0.35">
      <c r="C849" s="246"/>
    </row>
    <row r="850" spans="3:3" ht="15.75" customHeight="1" x14ac:dyDescent="0.35">
      <c r="C850" s="246"/>
    </row>
    <row r="851" spans="3:3" ht="15.75" customHeight="1" x14ac:dyDescent="0.35">
      <c r="C851" s="246"/>
    </row>
    <row r="852" spans="3:3" ht="15.75" customHeight="1" x14ac:dyDescent="0.35">
      <c r="C852" s="246"/>
    </row>
    <row r="853" spans="3:3" ht="15.75" customHeight="1" x14ac:dyDescent="0.35">
      <c r="C853" s="246"/>
    </row>
    <row r="854" spans="3:3" ht="15.75" customHeight="1" x14ac:dyDescent="0.35">
      <c r="C854" s="246"/>
    </row>
    <row r="855" spans="3:3" ht="15.75" customHeight="1" x14ac:dyDescent="0.35">
      <c r="C855" s="246"/>
    </row>
    <row r="856" spans="3:3" ht="15.75" customHeight="1" x14ac:dyDescent="0.35">
      <c r="C856" s="246"/>
    </row>
    <row r="857" spans="3:3" ht="15.75" customHeight="1" x14ac:dyDescent="0.35">
      <c r="C857" s="246"/>
    </row>
    <row r="858" spans="3:3" ht="15.75" customHeight="1" x14ac:dyDescent="0.35">
      <c r="C858" s="246"/>
    </row>
    <row r="859" spans="3:3" ht="15.75" customHeight="1" x14ac:dyDescent="0.35">
      <c r="C859" s="246"/>
    </row>
    <row r="860" spans="3:3" ht="15.75" customHeight="1" x14ac:dyDescent="0.35">
      <c r="C860" s="246"/>
    </row>
    <row r="861" spans="3:3" ht="15.75" customHeight="1" x14ac:dyDescent="0.35">
      <c r="C861" s="246"/>
    </row>
    <row r="862" spans="3:3" ht="15.75" customHeight="1" x14ac:dyDescent="0.35">
      <c r="C862" s="246"/>
    </row>
    <row r="863" spans="3:3" ht="15.75" customHeight="1" x14ac:dyDescent="0.35">
      <c r="C863" s="246"/>
    </row>
    <row r="864" spans="3:3" ht="15.75" customHeight="1" x14ac:dyDescent="0.35">
      <c r="C864" s="246"/>
    </row>
    <row r="865" spans="3:3" ht="15.75" customHeight="1" x14ac:dyDescent="0.35">
      <c r="C865" s="246"/>
    </row>
    <row r="866" spans="3:3" ht="15.75" customHeight="1" x14ac:dyDescent="0.35">
      <c r="C866" s="246"/>
    </row>
    <row r="867" spans="3:3" ht="15.75" customHeight="1" x14ac:dyDescent="0.35">
      <c r="C867" s="246"/>
    </row>
    <row r="868" spans="3:3" ht="15.75" customHeight="1" x14ac:dyDescent="0.35">
      <c r="C868" s="246"/>
    </row>
    <row r="869" spans="3:3" ht="15.75" customHeight="1" x14ac:dyDescent="0.35">
      <c r="C869" s="246"/>
    </row>
    <row r="870" spans="3:3" ht="15.75" customHeight="1" x14ac:dyDescent="0.35">
      <c r="C870" s="246"/>
    </row>
    <row r="871" spans="3:3" ht="15.75" customHeight="1" x14ac:dyDescent="0.35">
      <c r="C871" s="246"/>
    </row>
    <row r="872" spans="3:3" ht="15.75" customHeight="1" x14ac:dyDescent="0.35">
      <c r="C872" s="246"/>
    </row>
    <row r="873" spans="3:3" ht="15.75" customHeight="1" x14ac:dyDescent="0.35">
      <c r="C873" s="246"/>
    </row>
    <row r="874" spans="3:3" ht="15.75" customHeight="1" x14ac:dyDescent="0.35">
      <c r="C874" s="246"/>
    </row>
    <row r="875" spans="3:3" ht="15.75" customHeight="1" x14ac:dyDescent="0.35">
      <c r="C875" s="246"/>
    </row>
    <row r="876" spans="3:3" ht="15.75" customHeight="1" x14ac:dyDescent="0.35">
      <c r="C876" s="246"/>
    </row>
    <row r="877" spans="3:3" ht="15.75" customHeight="1" x14ac:dyDescent="0.35">
      <c r="C877" s="246"/>
    </row>
    <row r="878" spans="3:3" ht="15.75" customHeight="1" x14ac:dyDescent="0.35">
      <c r="C878" s="246"/>
    </row>
    <row r="879" spans="3:3" ht="15.75" customHeight="1" x14ac:dyDescent="0.35">
      <c r="C879" s="246"/>
    </row>
    <row r="880" spans="3:3" ht="15.75" customHeight="1" x14ac:dyDescent="0.35">
      <c r="C880" s="246"/>
    </row>
    <row r="881" spans="3:3" ht="15.75" customHeight="1" x14ac:dyDescent="0.35">
      <c r="C881" s="246"/>
    </row>
    <row r="882" spans="3:3" ht="15.75" customHeight="1" x14ac:dyDescent="0.35">
      <c r="C882" s="246"/>
    </row>
    <row r="883" spans="3:3" ht="15.75" customHeight="1" x14ac:dyDescent="0.35">
      <c r="C883" s="246"/>
    </row>
    <row r="884" spans="3:3" ht="15.75" customHeight="1" x14ac:dyDescent="0.35">
      <c r="C884" s="246"/>
    </row>
    <row r="885" spans="3:3" ht="15.75" customHeight="1" x14ac:dyDescent="0.35">
      <c r="C885" s="246"/>
    </row>
    <row r="886" spans="3:3" ht="15.75" customHeight="1" x14ac:dyDescent="0.35">
      <c r="C886" s="246"/>
    </row>
    <row r="887" spans="3:3" ht="15.75" customHeight="1" x14ac:dyDescent="0.35">
      <c r="C887" s="246"/>
    </row>
    <row r="888" spans="3:3" ht="15.75" customHeight="1" x14ac:dyDescent="0.35">
      <c r="C888" s="246"/>
    </row>
    <row r="889" spans="3:3" ht="15.75" customHeight="1" x14ac:dyDescent="0.35">
      <c r="C889" s="246"/>
    </row>
    <row r="890" spans="3:3" ht="15.75" customHeight="1" x14ac:dyDescent="0.35">
      <c r="C890" s="246"/>
    </row>
    <row r="891" spans="3:3" ht="15.75" customHeight="1" x14ac:dyDescent="0.35">
      <c r="C891" s="246"/>
    </row>
    <row r="892" spans="3:3" ht="15.75" customHeight="1" x14ac:dyDescent="0.35">
      <c r="C892" s="246"/>
    </row>
    <row r="893" spans="3:3" ht="15.75" customHeight="1" x14ac:dyDescent="0.35">
      <c r="C893" s="246"/>
    </row>
    <row r="894" spans="3:3" ht="15.75" customHeight="1" x14ac:dyDescent="0.35">
      <c r="C894" s="246"/>
    </row>
    <row r="895" spans="3:3" ht="15.75" customHeight="1" x14ac:dyDescent="0.35">
      <c r="C895" s="246"/>
    </row>
    <row r="896" spans="3:3" ht="15.75" customHeight="1" x14ac:dyDescent="0.35">
      <c r="C896" s="246"/>
    </row>
    <row r="897" spans="3:3" ht="15.75" customHeight="1" x14ac:dyDescent="0.35">
      <c r="C897" s="246"/>
    </row>
    <row r="898" spans="3:3" ht="15.75" customHeight="1" x14ac:dyDescent="0.35">
      <c r="C898" s="246"/>
    </row>
    <row r="899" spans="3:3" ht="15.75" customHeight="1" x14ac:dyDescent="0.35">
      <c r="C899" s="246"/>
    </row>
    <row r="900" spans="3:3" ht="15.75" customHeight="1" x14ac:dyDescent="0.35">
      <c r="C900" s="246"/>
    </row>
    <row r="901" spans="3:3" ht="15.75" customHeight="1" x14ac:dyDescent="0.35">
      <c r="C901" s="246"/>
    </row>
    <row r="902" spans="3:3" ht="15.75" customHeight="1" x14ac:dyDescent="0.35">
      <c r="C902" s="246"/>
    </row>
    <row r="903" spans="3:3" ht="15.75" customHeight="1" x14ac:dyDescent="0.35">
      <c r="C903" s="246"/>
    </row>
    <row r="904" spans="3:3" ht="15.75" customHeight="1" x14ac:dyDescent="0.35">
      <c r="C904" s="246"/>
    </row>
    <row r="905" spans="3:3" ht="15.75" customHeight="1" x14ac:dyDescent="0.35">
      <c r="C905" s="246"/>
    </row>
    <row r="906" spans="3:3" ht="15.75" customHeight="1" x14ac:dyDescent="0.35">
      <c r="C906" s="246"/>
    </row>
    <row r="907" spans="3:3" ht="15.75" customHeight="1" x14ac:dyDescent="0.35">
      <c r="C907" s="246"/>
    </row>
    <row r="908" spans="3:3" ht="15.75" customHeight="1" x14ac:dyDescent="0.35">
      <c r="C908" s="246"/>
    </row>
    <row r="909" spans="3:3" ht="15.75" customHeight="1" x14ac:dyDescent="0.35">
      <c r="C909" s="246"/>
    </row>
    <row r="910" spans="3:3" ht="15.75" customHeight="1" x14ac:dyDescent="0.35">
      <c r="C910" s="246"/>
    </row>
    <row r="911" spans="3:3" ht="15.75" customHeight="1" x14ac:dyDescent="0.35">
      <c r="C911" s="246"/>
    </row>
    <row r="912" spans="3:3" ht="15.75" customHeight="1" x14ac:dyDescent="0.35">
      <c r="C912" s="246"/>
    </row>
    <row r="913" spans="3:3" ht="15.75" customHeight="1" x14ac:dyDescent="0.35">
      <c r="C913" s="246"/>
    </row>
    <row r="914" spans="3:3" ht="15.75" customHeight="1" x14ac:dyDescent="0.35">
      <c r="C914" s="246"/>
    </row>
    <row r="915" spans="3:3" ht="15.75" customHeight="1" x14ac:dyDescent="0.35">
      <c r="C915" s="246"/>
    </row>
    <row r="916" spans="3:3" ht="15.75" customHeight="1" x14ac:dyDescent="0.35">
      <c r="C916" s="246"/>
    </row>
    <row r="917" spans="3:3" ht="15.75" customHeight="1" x14ac:dyDescent="0.35">
      <c r="C917" s="246"/>
    </row>
    <row r="918" spans="3:3" ht="15.75" customHeight="1" x14ac:dyDescent="0.35">
      <c r="C918" s="246"/>
    </row>
    <row r="919" spans="3:3" ht="15.75" customHeight="1" x14ac:dyDescent="0.35">
      <c r="C919" s="246"/>
    </row>
    <row r="920" spans="3:3" ht="15.75" customHeight="1" x14ac:dyDescent="0.35">
      <c r="C920" s="246"/>
    </row>
    <row r="921" spans="3:3" ht="15.75" customHeight="1" x14ac:dyDescent="0.35">
      <c r="C921" s="246"/>
    </row>
    <row r="922" spans="3:3" ht="15.75" customHeight="1" x14ac:dyDescent="0.35">
      <c r="C922" s="246"/>
    </row>
    <row r="923" spans="3:3" ht="15.75" customHeight="1" x14ac:dyDescent="0.35">
      <c r="C923" s="246"/>
    </row>
    <row r="924" spans="3:3" ht="15.75" customHeight="1" x14ac:dyDescent="0.35">
      <c r="C924" s="246"/>
    </row>
    <row r="925" spans="3:3" ht="15.75" customHeight="1" x14ac:dyDescent="0.35">
      <c r="C925" s="246"/>
    </row>
    <row r="926" spans="3:3" ht="15.75" customHeight="1" x14ac:dyDescent="0.35">
      <c r="C926" s="246"/>
    </row>
    <row r="927" spans="3:3" ht="15.75" customHeight="1" x14ac:dyDescent="0.35">
      <c r="C927" s="246"/>
    </row>
    <row r="928" spans="3:3" ht="15.75" customHeight="1" x14ac:dyDescent="0.35">
      <c r="C928" s="246"/>
    </row>
    <row r="929" spans="3:3" ht="15.75" customHeight="1" x14ac:dyDescent="0.35">
      <c r="C929" s="246"/>
    </row>
    <row r="930" spans="3:3" ht="15.75" customHeight="1" x14ac:dyDescent="0.35">
      <c r="C930" s="246"/>
    </row>
    <row r="931" spans="3:3" ht="15.75" customHeight="1" x14ac:dyDescent="0.35">
      <c r="C931" s="246"/>
    </row>
    <row r="932" spans="3:3" ht="15.75" customHeight="1" x14ac:dyDescent="0.35">
      <c r="C932" s="246"/>
    </row>
    <row r="933" spans="3:3" ht="15.75" customHeight="1" x14ac:dyDescent="0.35">
      <c r="C933" s="246"/>
    </row>
    <row r="934" spans="3:3" ht="15.75" customHeight="1" x14ac:dyDescent="0.35">
      <c r="C934" s="246"/>
    </row>
    <row r="935" spans="3:3" ht="15.75" customHeight="1" x14ac:dyDescent="0.35">
      <c r="C935" s="246"/>
    </row>
    <row r="936" spans="3:3" ht="15.75" customHeight="1" x14ac:dyDescent="0.35">
      <c r="C936" s="246"/>
    </row>
    <row r="937" spans="3:3" ht="15.75" customHeight="1" x14ac:dyDescent="0.35">
      <c r="C937" s="246"/>
    </row>
    <row r="938" spans="3:3" ht="15.75" customHeight="1" x14ac:dyDescent="0.35">
      <c r="C938" s="246"/>
    </row>
    <row r="939" spans="3:3" ht="15.75" customHeight="1" x14ac:dyDescent="0.35">
      <c r="C939" s="246"/>
    </row>
    <row r="940" spans="3:3" ht="15.75" customHeight="1" x14ac:dyDescent="0.35">
      <c r="C940" s="246"/>
    </row>
    <row r="941" spans="3:3" ht="15.75" customHeight="1" x14ac:dyDescent="0.35">
      <c r="C941" s="246"/>
    </row>
    <row r="942" spans="3:3" ht="15.75" customHeight="1" x14ac:dyDescent="0.35">
      <c r="C942" s="246"/>
    </row>
    <row r="943" spans="3:3" ht="15.75" customHeight="1" x14ac:dyDescent="0.35">
      <c r="C943" s="246"/>
    </row>
    <row r="944" spans="3:3" ht="15.75" customHeight="1" x14ac:dyDescent="0.35">
      <c r="C944" s="246"/>
    </row>
    <row r="945" spans="3:3" ht="15.75" customHeight="1" x14ac:dyDescent="0.35">
      <c r="C945" s="246"/>
    </row>
    <row r="946" spans="3:3" ht="15.75" customHeight="1" x14ac:dyDescent="0.35">
      <c r="C946" s="246"/>
    </row>
    <row r="947" spans="3:3" ht="15.75" customHeight="1" x14ac:dyDescent="0.35">
      <c r="C947" s="246"/>
    </row>
    <row r="948" spans="3:3" ht="15.75" customHeight="1" x14ac:dyDescent="0.35">
      <c r="C948" s="246"/>
    </row>
    <row r="949" spans="3:3" ht="15.75" customHeight="1" x14ac:dyDescent="0.35">
      <c r="C949" s="246"/>
    </row>
    <row r="950" spans="3:3" ht="15.75" customHeight="1" x14ac:dyDescent="0.35">
      <c r="C950" s="246"/>
    </row>
    <row r="951" spans="3:3" ht="15.75" customHeight="1" x14ac:dyDescent="0.35">
      <c r="C951" s="246"/>
    </row>
    <row r="952" spans="3:3" ht="15.75" customHeight="1" x14ac:dyDescent="0.35">
      <c r="C952" s="246"/>
    </row>
    <row r="953" spans="3:3" ht="15.75" customHeight="1" x14ac:dyDescent="0.35">
      <c r="C953" s="246"/>
    </row>
    <row r="954" spans="3:3" ht="15.75" customHeight="1" x14ac:dyDescent="0.35">
      <c r="C954" s="246"/>
    </row>
    <row r="955" spans="3:3" ht="15.75" customHeight="1" x14ac:dyDescent="0.35">
      <c r="C955" s="246"/>
    </row>
    <row r="956" spans="3:3" ht="15.75" customHeight="1" x14ac:dyDescent="0.35">
      <c r="C956" s="246"/>
    </row>
    <row r="957" spans="3:3" ht="15.75" customHeight="1" x14ac:dyDescent="0.35">
      <c r="C957" s="246"/>
    </row>
    <row r="958" spans="3:3" ht="15.75" customHeight="1" x14ac:dyDescent="0.35">
      <c r="C958" s="246"/>
    </row>
    <row r="959" spans="3:3" ht="15.75" customHeight="1" x14ac:dyDescent="0.35">
      <c r="C959" s="246"/>
    </row>
    <row r="960" spans="3:3" ht="15.75" customHeight="1" x14ac:dyDescent="0.35">
      <c r="C960" s="246"/>
    </row>
    <row r="961" spans="3:3" ht="15.75" customHeight="1" x14ac:dyDescent="0.35">
      <c r="C961" s="246"/>
    </row>
    <row r="962" spans="3:3" ht="15.75" customHeight="1" x14ac:dyDescent="0.35">
      <c r="C962" s="246"/>
    </row>
    <row r="963" spans="3:3" ht="15.75" customHeight="1" x14ac:dyDescent="0.35">
      <c r="C963" s="246"/>
    </row>
    <row r="964" spans="3:3" ht="15.75" customHeight="1" x14ac:dyDescent="0.35">
      <c r="C964" s="246"/>
    </row>
    <row r="965" spans="3:3" ht="15.75" customHeight="1" x14ac:dyDescent="0.35">
      <c r="C965" s="246"/>
    </row>
    <row r="966" spans="3:3" ht="15.75" customHeight="1" x14ac:dyDescent="0.35">
      <c r="C966" s="246"/>
    </row>
    <row r="967" spans="3:3" ht="15.75" customHeight="1" x14ac:dyDescent="0.35">
      <c r="C967" s="246"/>
    </row>
    <row r="968" spans="3:3" ht="15.75" customHeight="1" x14ac:dyDescent="0.35">
      <c r="C968" s="246"/>
    </row>
    <row r="969" spans="3:3" ht="15.75" customHeight="1" x14ac:dyDescent="0.35">
      <c r="C969" s="246"/>
    </row>
    <row r="970" spans="3:3" ht="15.75" customHeight="1" x14ac:dyDescent="0.35">
      <c r="C970" s="246"/>
    </row>
    <row r="971" spans="3:3" ht="15.75" customHeight="1" x14ac:dyDescent="0.35">
      <c r="C971" s="246"/>
    </row>
    <row r="972" spans="3:3" ht="15.75" customHeight="1" x14ac:dyDescent="0.35">
      <c r="C972" s="246"/>
    </row>
    <row r="973" spans="3:3" ht="15.75" customHeight="1" x14ac:dyDescent="0.35">
      <c r="C973" s="246"/>
    </row>
    <row r="974" spans="3:3" ht="15.75" customHeight="1" x14ac:dyDescent="0.35">
      <c r="C974" s="246"/>
    </row>
    <row r="975" spans="3:3" ht="15.75" customHeight="1" x14ac:dyDescent="0.35">
      <c r="C975" s="246"/>
    </row>
    <row r="976" spans="3:3" ht="15.75" customHeight="1" x14ac:dyDescent="0.35">
      <c r="C976" s="246"/>
    </row>
    <row r="977" spans="3:3" ht="15.75" customHeight="1" x14ac:dyDescent="0.35">
      <c r="C977" s="246"/>
    </row>
    <row r="978" spans="3:3" x14ac:dyDescent="0.35">
      <c r="C978" s="246"/>
    </row>
    <row r="979" spans="3:3" x14ac:dyDescent="0.35">
      <c r="C979" s="246"/>
    </row>
    <row r="980" spans="3:3" x14ac:dyDescent="0.35">
      <c r="C980" s="246"/>
    </row>
    <row r="981" spans="3:3" x14ac:dyDescent="0.35">
      <c r="C981" s="246"/>
    </row>
    <row r="982" spans="3:3" x14ac:dyDescent="0.35">
      <c r="C982" s="246"/>
    </row>
    <row r="983" spans="3:3" x14ac:dyDescent="0.35">
      <c r="C983" s="246"/>
    </row>
    <row r="984" spans="3:3" x14ac:dyDescent="0.35">
      <c r="C984" s="246"/>
    </row>
    <row r="985" spans="3:3" x14ac:dyDescent="0.35">
      <c r="C985" s="246"/>
    </row>
    <row r="986" spans="3:3" x14ac:dyDescent="0.35">
      <c r="C986" s="246"/>
    </row>
    <row r="987" spans="3:3" x14ac:dyDescent="0.35">
      <c r="C987" s="246"/>
    </row>
    <row r="988" spans="3:3" x14ac:dyDescent="0.35">
      <c r="C988" s="246"/>
    </row>
    <row r="989" spans="3:3" x14ac:dyDescent="0.35">
      <c r="C989" s="246"/>
    </row>
    <row r="990" spans="3:3" x14ac:dyDescent="0.35">
      <c r="C990" s="246"/>
    </row>
    <row r="991" spans="3:3" x14ac:dyDescent="0.35">
      <c r="C991" s="246"/>
    </row>
    <row r="992" spans="3:3" x14ac:dyDescent="0.35">
      <c r="C992" s="246"/>
    </row>
    <row r="993" spans="3:3" x14ac:dyDescent="0.35">
      <c r="C993" s="246"/>
    </row>
    <row r="994" spans="3:3" x14ac:dyDescent="0.35">
      <c r="C994" s="246"/>
    </row>
    <row r="995" spans="3:3" x14ac:dyDescent="0.35">
      <c r="C995" s="246"/>
    </row>
    <row r="996" spans="3:3" x14ac:dyDescent="0.35">
      <c r="C996" s="246"/>
    </row>
    <row r="997" spans="3:3" x14ac:dyDescent="0.35">
      <c r="C997" s="246"/>
    </row>
    <row r="998" spans="3:3" x14ac:dyDescent="0.35">
      <c r="C998" s="246"/>
    </row>
    <row r="999" spans="3:3" x14ac:dyDescent="0.35">
      <c r="C999" s="246"/>
    </row>
    <row r="1000" spans="3:3" x14ac:dyDescent="0.35">
      <c r="C1000" s="24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3240-B536-44C8-AD71-1F0078B4EEF7}">
  <dimension ref="A1:K40"/>
  <sheetViews>
    <sheetView workbookViewId="0">
      <selection activeCell="F7" sqref="F7"/>
    </sheetView>
  </sheetViews>
  <sheetFormatPr defaultRowHeight="14.5" x14ac:dyDescent="0.35"/>
  <cols>
    <col min="1" max="1" width="3.15234375" style="49" bestFit="1" customWidth="1"/>
    <col min="2" max="2" width="13.3046875" style="49" bestFit="1" customWidth="1"/>
    <col min="3" max="3" width="10.3828125" style="65" bestFit="1" customWidth="1"/>
    <col min="4" max="4" width="8.69140625" style="62" customWidth="1"/>
    <col min="5" max="5" width="16.69140625" style="180" customWidth="1"/>
    <col min="6" max="6" width="17.921875" style="180" customWidth="1"/>
    <col min="7" max="7" width="17.921875" style="170" customWidth="1"/>
    <col min="8" max="9" width="9.23046875" style="46"/>
    <col min="10" max="10" width="10.15234375" style="46" customWidth="1"/>
    <col min="11" max="11" width="14.07421875" style="46" customWidth="1"/>
    <col min="12" max="16384" width="9.23046875" style="46"/>
  </cols>
  <sheetData>
    <row r="1" spans="1:11" ht="58.5" thickBot="1" x14ac:dyDescent="0.4">
      <c r="A1" s="72" t="s">
        <v>65</v>
      </c>
      <c r="B1" s="72" t="s">
        <v>12</v>
      </c>
      <c r="C1" s="73" t="s">
        <v>93</v>
      </c>
      <c r="D1" s="63" t="s">
        <v>76</v>
      </c>
      <c r="E1" s="181" t="s">
        <v>113</v>
      </c>
      <c r="F1" s="181" t="s">
        <v>83</v>
      </c>
      <c r="G1" s="179" t="s">
        <v>169</v>
      </c>
      <c r="H1" s="74" t="s">
        <v>3</v>
      </c>
      <c r="I1" s="46" t="s">
        <v>117</v>
      </c>
      <c r="J1" s="261" t="s">
        <v>114</v>
      </c>
      <c r="K1" s="262"/>
    </row>
    <row r="2" spans="1:11" ht="15.5" x14ac:dyDescent="0.35">
      <c r="A2" s="60">
        <v>1</v>
      </c>
      <c r="B2" s="56" t="s">
        <v>23</v>
      </c>
      <c r="C2" s="65">
        <f>'Cost Calculation'!D4</f>
        <v>638111.04853012064</v>
      </c>
      <c r="D2" s="64" t="str">
        <f t="shared" ref="D2" si="0">IF(C2&lt;100000,"Small",IF(C2&lt;1000000,"Medium","Large"))</f>
        <v>Medium</v>
      </c>
      <c r="E2" s="225">
        <f>AVERAGE(F2:F3)</f>
        <v>106778.12728370349</v>
      </c>
      <c r="F2" s="180">
        <f>G2*$K$7/Variables!$B$24</f>
        <v>199031.28872366791</v>
      </c>
      <c r="G2" s="170">
        <f>1300000/4</f>
        <v>325000</v>
      </c>
      <c r="H2" s="87" t="s">
        <v>170</v>
      </c>
      <c r="I2" s="46" t="s">
        <v>117</v>
      </c>
      <c r="J2" s="182" t="s">
        <v>115</v>
      </c>
      <c r="K2" s="183" t="s">
        <v>116</v>
      </c>
    </row>
    <row r="3" spans="1:11" ht="15.5" x14ac:dyDescent="0.35">
      <c r="A3" s="46"/>
      <c r="B3" s="46"/>
      <c r="C3" s="46"/>
      <c r="D3" s="46"/>
      <c r="F3" s="180">
        <f>G3*$K$7/Variables!$B$24</f>
        <v>14524.965843739077</v>
      </c>
      <c r="G3" s="170">
        <f>185000/7.8</f>
        <v>23717.948717948719</v>
      </c>
      <c r="H3" s="87" t="s">
        <v>171</v>
      </c>
      <c r="I3" s="46" t="s">
        <v>117</v>
      </c>
      <c r="J3" s="69" t="s">
        <v>90</v>
      </c>
      <c r="K3" s="70" t="s">
        <v>201</v>
      </c>
    </row>
    <row r="4" spans="1:11" ht="15.5" x14ac:dyDescent="0.35">
      <c r="A4" s="60">
        <v>2</v>
      </c>
      <c r="B4" s="56" t="s">
        <v>26</v>
      </c>
      <c r="C4" s="65">
        <f>'Cost Calculation'!D5</f>
        <v>442162.47147179494</v>
      </c>
      <c r="D4" s="64" t="str">
        <f>IF(C4&lt;100000,"Small",IF(C4&lt;1000000,"Medium","Large"))</f>
        <v>Medium</v>
      </c>
      <c r="E4" s="225">
        <f>AVERAGE(F4:F5)</f>
        <v>203415.9831200029</v>
      </c>
      <c r="F4" s="180">
        <f>G4*$K$7/Variables!$B$24</f>
        <v>119257.61429596295</v>
      </c>
      <c r="G4" s="170">
        <f>3700000/19</f>
        <v>194736.84210526315</v>
      </c>
      <c r="H4" s="87" t="s">
        <v>172</v>
      </c>
      <c r="I4" s="46" t="s">
        <v>117</v>
      </c>
      <c r="J4" s="69" t="s">
        <v>91</v>
      </c>
      <c r="K4" s="184">
        <f>AVERAGE(F2:F16,F18:F27)</f>
        <v>135963.3213006501</v>
      </c>
    </row>
    <row r="5" spans="1:11" ht="16" thickBot="1" x14ac:dyDescent="0.4">
      <c r="F5" s="180">
        <f>G5*$K$7/Variables!$B$24</f>
        <v>287574.35194404284</v>
      </c>
      <c r="G5" s="170">
        <f>3489000/7.43</f>
        <v>469582.77254374162</v>
      </c>
      <c r="H5" s="87" t="s">
        <v>173</v>
      </c>
      <c r="I5" s="46" t="s">
        <v>117</v>
      </c>
      <c r="J5" s="71" t="s">
        <v>92</v>
      </c>
      <c r="K5" s="185">
        <f>AVERAGE(F17,F30,F33:F35)</f>
        <v>396249.24457112991</v>
      </c>
    </row>
    <row r="6" spans="1:11" ht="16" thickBot="1" x14ac:dyDescent="0.4">
      <c r="A6" s="60">
        <v>3</v>
      </c>
      <c r="B6" s="56" t="s">
        <v>28</v>
      </c>
      <c r="C6" s="65">
        <f>'Cost Calculation'!D6</f>
        <v>316636.58942829666</v>
      </c>
      <c r="D6" s="64" t="str">
        <f>IF(C6&lt;100000,"Small",IF(C6&lt;1000000,"Medium","Large"))</f>
        <v>Medium</v>
      </c>
      <c r="E6" s="180">
        <f>AVERAGE(F6:F8)</f>
        <v>85799.36580561116</v>
      </c>
      <c r="F6" s="180">
        <f>G6*$K$7/Variables!$B$24</f>
        <v>73488.475836431229</v>
      </c>
      <c r="G6" s="170">
        <f>1200000/10</f>
        <v>120000</v>
      </c>
      <c r="H6" s="87" t="s">
        <v>174</v>
      </c>
      <c r="I6" s="46" t="s">
        <v>117</v>
      </c>
      <c r="J6" s="223" t="s">
        <v>202</v>
      </c>
      <c r="K6" s="224">
        <f>AVERAGE(F2:F28,F30,F33:F35)</f>
        <v>174382.13184708232</v>
      </c>
    </row>
    <row r="7" spans="1:11" ht="15.5" x14ac:dyDescent="0.35">
      <c r="F7" s="180">
        <f>G7*$K$7/Variables!$B$24</f>
        <v>183721.18959107806</v>
      </c>
      <c r="G7" s="170">
        <f>285000/0.95</f>
        <v>300000</v>
      </c>
      <c r="H7" s="87" t="s">
        <v>175</v>
      </c>
      <c r="I7" s="46" t="s">
        <v>117</v>
      </c>
      <c r="J7" s="222" t="s">
        <v>168</v>
      </c>
      <c r="K7" s="222">
        <v>2.47105</v>
      </c>
    </row>
    <row r="8" spans="1:11" ht="15.5" x14ac:dyDescent="0.35">
      <c r="F8" s="180">
        <f>G8*$K$7/Variables!$B$24</f>
        <v>188.43198932418261</v>
      </c>
      <c r="G8" s="170">
        <f>160000/520</f>
        <v>307.69230769230768</v>
      </c>
      <c r="H8" s="87" t="s">
        <v>176</v>
      </c>
      <c r="I8" s="46" t="s">
        <v>117</v>
      </c>
    </row>
    <row r="9" spans="1:11" ht="15.5" x14ac:dyDescent="0.35">
      <c r="A9" s="60">
        <v>4</v>
      </c>
      <c r="B9" s="56" t="s">
        <v>30</v>
      </c>
      <c r="C9" s="65">
        <f>'Cost Calculation'!D7</f>
        <v>600258.55594889156</v>
      </c>
      <c r="D9" s="64" t="str">
        <f>IF(C9&lt;100000,"Small",IF(C9&lt;1000000,"Medium","Large"))</f>
        <v>Medium</v>
      </c>
      <c r="E9" s="225">
        <f>$K$6</f>
        <v>174382.13184708232</v>
      </c>
      <c r="F9" s="180">
        <f>G9*$K$7/Variables!$B$24</f>
        <v>196844.13170472649</v>
      </c>
      <c r="G9" s="170">
        <f>1800000/5.6</f>
        <v>321428.57142857142</v>
      </c>
      <c r="H9" s="87" t="s">
        <v>177</v>
      </c>
      <c r="I9" s="46" t="s">
        <v>117</v>
      </c>
    </row>
    <row r="10" spans="1:11" ht="15.5" x14ac:dyDescent="0.35">
      <c r="A10" s="60"/>
      <c r="B10" s="56"/>
      <c r="D10" s="64"/>
      <c r="F10" s="180">
        <f>G10*$K$7/Variables!$B$24</f>
        <v>91860.594795539029</v>
      </c>
      <c r="G10" s="170">
        <f>150000</f>
        <v>150000</v>
      </c>
      <c r="H10" s="87" t="s">
        <v>178</v>
      </c>
      <c r="I10" s="46" t="s">
        <v>117</v>
      </c>
    </row>
    <row r="11" spans="1:11" ht="15.5" x14ac:dyDescent="0.35">
      <c r="A11" s="60">
        <v>5</v>
      </c>
      <c r="B11" s="56" t="s">
        <v>31</v>
      </c>
      <c r="C11" s="65">
        <f>'Cost Calculation'!D8</f>
        <v>382457.86131710035</v>
      </c>
      <c r="D11" s="64" t="str">
        <f>IF(C11&lt;100000,"Small",IF(C11&lt;1000000,"Medium","Large"))</f>
        <v>Medium</v>
      </c>
      <c r="E11" s="225">
        <f>$K$6</f>
        <v>174382.13184708232</v>
      </c>
      <c r="F11" s="180">
        <f>G11*$K$7/Variables!$B$24</f>
        <v>71664.293812122662</v>
      </c>
      <c r="G11" s="170">
        <f>550000/4.7</f>
        <v>117021.27659574468</v>
      </c>
      <c r="H11" s="87" t="s">
        <v>179</v>
      </c>
      <c r="I11" s="46" t="s">
        <v>117</v>
      </c>
    </row>
    <row r="12" spans="1:11" ht="15.5" x14ac:dyDescent="0.35">
      <c r="A12" s="60">
        <v>6</v>
      </c>
      <c r="B12" s="56" t="s">
        <v>32</v>
      </c>
      <c r="C12" s="65">
        <f>'Cost Calculation'!D9</f>
        <v>435629.86188448599</v>
      </c>
      <c r="D12" s="64" t="str">
        <f>IF(C12&lt;100000,"Small",IF(C12&lt;1000000,"Medium","Large"))</f>
        <v>Medium</v>
      </c>
      <c r="E12" s="180">
        <f>AVERAGE(F12:F14)</f>
        <v>265554.3267970442</v>
      </c>
      <c r="F12" s="180">
        <f>G12*$K$7/Variables!$B$24</f>
        <v>312763.45370862097</v>
      </c>
      <c r="G12" s="170">
        <f>1430000/2.8</f>
        <v>510714.28571428574</v>
      </c>
      <c r="H12" s="87" t="s">
        <v>180</v>
      </c>
      <c r="I12" s="46" t="s">
        <v>117</v>
      </c>
    </row>
    <row r="13" spans="1:11" ht="15.5" x14ac:dyDescent="0.35">
      <c r="F13" s="180">
        <f>G13*$K$7/Variables!$B$24</f>
        <v>122480.7930607187</v>
      </c>
      <c r="G13" s="170">
        <f>660000/3.3</f>
        <v>200000</v>
      </c>
      <c r="H13" s="87" t="s">
        <v>181</v>
      </c>
      <c r="I13" s="46" t="s">
        <v>117</v>
      </c>
    </row>
    <row r="14" spans="1:11" ht="15.5" x14ac:dyDescent="0.35">
      <c r="F14" s="180">
        <f>G14*$K$7/Variables!$B$24</f>
        <v>361418.73362179293</v>
      </c>
      <c r="G14" s="170">
        <f>9000000/15.25</f>
        <v>590163.93442622956</v>
      </c>
      <c r="H14" s="87" t="s">
        <v>182</v>
      </c>
      <c r="I14" s="46" t="s">
        <v>117</v>
      </c>
    </row>
    <row r="15" spans="1:11" ht="15.5" x14ac:dyDescent="0.35">
      <c r="A15" s="60">
        <v>7</v>
      </c>
      <c r="B15" s="56" t="s">
        <v>33</v>
      </c>
      <c r="C15" s="65">
        <f>'Cost Calculation'!D10</f>
        <v>245481.03391021231</v>
      </c>
      <c r="D15" s="64" t="str">
        <f>IF(C15&lt;100000,"Small",IF(C15&lt;1000000,"Medium","Large"))</f>
        <v>Medium</v>
      </c>
      <c r="E15" s="225">
        <f>$K$6</f>
        <v>174382.13184708232</v>
      </c>
      <c r="F15" s="180">
        <f>G15*$K$7/Variables!$B$24</f>
        <v>33682.218091697643</v>
      </c>
      <c r="G15" s="170">
        <f>220000/4</f>
        <v>55000</v>
      </c>
      <c r="H15" s="87" t="s">
        <v>183</v>
      </c>
      <c r="I15" s="46" t="s">
        <v>117</v>
      </c>
    </row>
    <row r="16" spans="1:11" ht="15.5" x14ac:dyDescent="0.35">
      <c r="A16" s="60">
        <v>8</v>
      </c>
      <c r="B16" s="60" t="s">
        <v>36</v>
      </c>
      <c r="C16" s="65">
        <f>'Cost Calculation'!D11</f>
        <v>814430.84832553728</v>
      </c>
      <c r="D16" s="64" t="str">
        <f>IF(C16&lt;100000,"Small",IF(C16&lt;1000000,"Medium","Large"))</f>
        <v>Medium</v>
      </c>
      <c r="E16" s="225">
        <f t="shared" ref="E16:E17" si="1">$K$6</f>
        <v>174382.13184708232</v>
      </c>
      <c r="F16" s="180">
        <f>G16*$K$7/Variables!$B$24</f>
        <v>18226.308491178377</v>
      </c>
      <c r="G16" s="170">
        <f>250000/8.4</f>
        <v>29761.90476190476</v>
      </c>
      <c r="H16" s="87" t="s">
        <v>184</v>
      </c>
      <c r="I16" s="46" t="s">
        <v>117</v>
      </c>
    </row>
    <row r="17" spans="1:9" ht="15.5" x14ac:dyDescent="0.35">
      <c r="A17" s="60">
        <v>9</v>
      </c>
      <c r="B17" s="56" t="s">
        <v>38</v>
      </c>
      <c r="C17" s="65">
        <f>'Cost Calculation'!D12</f>
        <v>14303.159213903282</v>
      </c>
      <c r="D17" s="64" t="str">
        <f>IF(C17&lt;100000,"Small",IF(C17&lt;1000000,"Medium","Large"))</f>
        <v>Small</v>
      </c>
      <c r="E17" s="225">
        <f t="shared" si="1"/>
        <v>174382.13184708232</v>
      </c>
      <c r="F17" s="180">
        <f>G17*$K$7/Variables!$B$24</f>
        <v>55967.250840856781</v>
      </c>
      <c r="G17" s="170">
        <f>467000/5.11</f>
        <v>91389.43248532289</v>
      </c>
      <c r="H17" s="87" t="s">
        <v>185</v>
      </c>
      <c r="I17" s="46" t="s">
        <v>117</v>
      </c>
    </row>
    <row r="18" spans="1:9" ht="15.5" x14ac:dyDescent="0.35">
      <c r="A18" s="60">
        <v>10</v>
      </c>
      <c r="B18" s="56" t="s">
        <v>40</v>
      </c>
      <c r="C18" s="65">
        <f>'Cost Calculation'!D13</f>
        <v>559620.69827927032</v>
      </c>
      <c r="D18" s="64" t="str">
        <f>IF(C18&lt;100000,"Small",IF(C18&lt;1000000,"Medium","Large"))</f>
        <v>Medium</v>
      </c>
      <c r="E18" s="180">
        <f>AVERAGE(F18:F20)</f>
        <v>29718.720789904695</v>
      </c>
      <c r="F18" s="180">
        <f>G18*$K$7/Variables!$B$24</f>
        <v>29365.490925630031</v>
      </c>
      <c r="G18" s="170">
        <f>550000/11.47</f>
        <v>47951.176983435049</v>
      </c>
      <c r="H18" s="87" t="s">
        <v>186</v>
      </c>
      <c r="I18" s="46" t="s">
        <v>117</v>
      </c>
    </row>
    <row r="19" spans="1:9" ht="15.5" x14ac:dyDescent="0.35">
      <c r="F19" s="180">
        <f>G19*$K$7/Variables!$B$24</f>
        <v>7348.8475836431217</v>
      </c>
      <c r="G19" s="170">
        <f>180000/15</f>
        <v>12000</v>
      </c>
      <c r="H19" s="87" t="s">
        <v>187</v>
      </c>
      <c r="I19" s="46" t="s">
        <v>117</v>
      </c>
    </row>
    <row r="20" spans="1:9" ht="15.5" x14ac:dyDescent="0.35">
      <c r="A20" s="46"/>
      <c r="B20" s="46"/>
      <c r="C20" s="46"/>
      <c r="D20" s="46"/>
      <c r="F20" s="180">
        <f>G20*$K$7/Variables!$B$24</f>
        <v>52441.823860440927</v>
      </c>
      <c r="G20" s="170">
        <f>900000/10.51</f>
        <v>85632.73073263558</v>
      </c>
      <c r="H20" s="87" t="s">
        <v>188</v>
      </c>
      <c r="I20" s="46" t="s">
        <v>117</v>
      </c>
    </row>
    <row r="21" spans="1:9" ht="15.5" x14ac:dyDescent="0.35">
      <c r="A21" s="60">
        <v>11</v>
      </c>
      <c r="B21" s="56" t="s">
        <v>42</v>
      </c>
      <c r="C21" s="65">
        <f>'Cost Calculation'!D14</f>
        <v>741051.95249689638</v>
      </c>
      <c r="D21" s="64" t="str">
        <f>IF(C21&lt;100000,"Small",IF(C21&lt;1000000,"Medium","Large"))</f>
        <v>Medium</v>
      </c>
      <c r="E21" s="180">
        <f>AVERAGE(F21:F23)</f>
        <v>118921.07651317226</v>
      </c>
      <c r="F21" s="180">
        <f>G21*$K$7/Variables!$B$24</f>
        <v>283236.83395291201</v>
      </c>
      <c r="G21" s="170">
        <f>1665000/3.6</f>
        <v>462500</v>
      </c>
      <c r="H21" s="87" t="s">
        <v>189</v>
      </c>
      <c r="I21" s="46" t="s">
        <v>117</v>
      </c>
    </row>
    <row r="22" spans="1:9" ht="15.5" x14ac:dyDescent="0.35">
      <c r="F22" s="180">
        <f>G22*$K$7/Variables!$B$24</f>
        <v>6161.9594032095329</v>
      </c>
      <c r="G22" s="170">
        <f>130000/12.92</f>
        <v>10061.919504643964</v>
      </c>
      <c r="H22" s="87" t="s">
        <v>190</v>
      </c>
      <c r="I22" s="46" t="s">
        <v>117</v>
      </c>
    </row>
    <row r="23" spans="1:9" ht="15.5" x14ac:dyDescent="0.35">
      <c r="F23" s="180">
        <f>G23*$K$7/Variables!$B$24</f>
        <v>67364.436183395286</v>
      </c>
      <c r="G23" s="170">
        <f>979000/8.9</f>
        <v>110000</v>
      </c>
      <c r="H23" s="87" t="s">
        <v>191</v>
      </c>
      <c r="I23" s="46" t="s">
        <v>117</v>
      </c>
    </row>
    <row r="24" spans="1:9" ht="15.5" x14ac:dyDescent="0.35">
      <c r="A24" s="60">
        <v>12</v>
      </c>
      <c r="B24" s="56" t="s">
        <v>44</v>
      </c>
      <c r="C24" s="65">
        <f>'Cost Calculation'!D15</f>
        <v>548682.26009214472</v>
      </c>
      <c r="D24" s="64" t="str">
        <f>IF(C24&lt;100000,"Small",IF(C24&lt;1000000,"Medium","Large"))</f>
        <v>Medium</v>
      </c>
      <c r="E24" s="225">
        <f t="shared" ref="E24" si="2">$K$6</f>
        <v>174382.13184708232</v>
      </c>
      <c r="F24" s="180">
        <f>G24*$K$7/Variables!$B$24</f>
        <v>79612.515489467158</v>
      </c>
      <c r="G24" s="170">
        <f>13000000/100</f>
        <v>130000</v>
      </c>
      <c r="H24" s="87" t="s">
        <v>192</v>
      </c>
      <c r="I24" s="46" t="s">
        <v>117</v>
      </c>
    </row>
    <row r="25" spans="1:9" ht="15.5" x14ac:dyDescent="0.35">
      <c r="F25" s="180">
        <f>G25*$K$7/Variables!$B$24</f>
        <v>559065.55542231281</v>
      </c>
      <c r="G25" s="170">
        <f>2830000/3.1</f>
        <v>912903.22580645164</v>
      </c>
      <c r="H25" s="87" t="s">
        <v>193</v>
      </c>
      <c r="I25" s="46" t="s">
        <v>117</v>
      </c>
    </row>
    <row r="26" spans="1:9" ht="15.5" x14ac:dyDescent="0.35">
      <c r="A26" s="60">
        <v>13</v>
      </c>
      <c r="B26" s="56" t="s">
        <v>45</v>
      </c>
      <c r="C26" s="65">
        <f>'Cost Calculation'!D16</f>
        <v>417870.37408089789</v>
      </c>
      <c r="D26" s="64" t="str">
        <f>IF(C26&lt;100000,"Small",IF(C26&lt;1000000,"Medium","Large"))</f>
        <v>Medium</v>
      </c>
      <c r="E26" s="225">
        <f t="shared" ref="E26" si="3">$K$6</f>
        <v>174382.13184708232</v>
      </c>
      <c r="F26" s="180">
        <f>G26*$K$7/Variables!$B$24</f>
        <v>105277.93112388038</v>
      </c>
      <c r="G26" s="170">
        <f>4700000/27.34</f>
        <v>171909.29041697146</v>
      </c>
      <c r="H26" s="87" t="s">
        <v>194</v>
      </c>
      <c r="I26" s="46" t="s">
        <v>117</v>
      </c>
    </row>
    <row r="27" spans="1:9" ht="15.5" x14ac:dyDescent="0.35">
      <c r="F27" s="180">
        <f>G27*$K$7/Variables!$B$24</f>
        <v>122480.7930607187</v>
      </c>
      <c r="G27" s="170">
        <f>2600000/13</f>
        <v>200000</v>
      </c>
      <c r="H27" s="87" t="s">
        <v>195</v>
      </c>
      <c r="I27" s="46" t="s">
        <v>117</v>
      </c>
    </row>
    <row r="28" spans="1:9" ht="15.5" x14ac:dyDescent="0.35">
      <c r="A28" s="60">
        <v>14</v>
      </c>
      <c r="B28" s="56" t="s">
        <v>46</v>
      </c>
      <c r="C28" s="65">
        <f>'Cost Calculation'!D17</f>
        <v>1966777.2374146476</v>
      </c>
      <c r="D28" s="64" t="str">
        <f t="shared" ref="D28:D33" si="4">IF(C28&lt;100000,"Small",IF(C28&lt;1000000,"Medium","Large"))</f>
        <v>Large</v>
      </c>
      <c r="E28" s="225">
        <f t="shared" ref="E28:E32" si="5">$K$6</f>
        <v>174382.13184708232</v>
      </c>
      <c r="F28" s="180">
        <f>G28*$K$7/Variables!$B$24</f>
        <v>25516.831887649729</v>
      </c>
      <c r="G28" s="170">
        <f>500000/12</f>
        <v>41666.666666666664</v>
      </c>
      <c r="H28" s="87" t="s">
        <v>196</v>
      </c>
      <c r="I28" s="46" t="s">
        <v>117</v>
      </c>
    </row>
    <row r="29" spans="1:9" x14ac:dyDescent="0.35">
      <c r="A29" s="60">
        <v>15</v>
      </c>
      <c r="B29" s="56" t="s">
        <v>47</v>
      </c>
      <c r="C29" s="65">
        <f>'Cost Calculation'!D18</f>
        <v>85078.667139927027</v>
      </c>
      <c r="D29" s="64" t="str">
        <f t="shared" si="4"/>
        <v>Small</v>
      </c>
      <c r="E29" s="225">
        <f t="shared" si="5"/>
        <v>174382.13184708232</v>
      </c>
      <c r="F29" s="180">
        <f>G29*$K$7/Variables!$B$24</f>
        <v>0</v>
      </c>
      <c r="I29" s="46" t="s">
        <v>117</v>
      </c>
    </row>
    <row r="30" spans="1:9" ht="15.5" x14ac:dyDescent="0.35">
      <c r="A30" s="60">
        <v>16</v>
      </c>
      <c r="B30" s="56" t="s">
        <v>48</v>
      </c>
      <c r="C30" s="65">
        <f>'Cost Calculation'!D19</f>
        <v>84626.819025587873</v>
      </c>
      <c r="D30" s="64" t="str">
        <f t="shared" si="4"/>
        <v>Small</v>
      </c>
      <c r="E30" s="225">
        <f t="shared" si="5"/>
        <v>174382.13184708232</v>
      </c>
      <c r="F30" s="180">
        <f>G30*$K$7/Variables!$B$24</f>
        <v>565992.57421773893</v>
      </c>
      <c r="G30" s="46">
        <f>5000000/5.41</f>
        <v>924214.41774491675</v>
      </c>
      <c r="H30" s="87" t="s">
        <v>197</v>
      </c>
      <c r="I30" s="46" t="s">
        <v>117</v>
      </c>
    </row>
    <row r="31" spans="1:9" x14ac:dyDescent="0.35">
      <c r="A31" s="60">
        <v>17</v>
      </c>
      <c r="B31" s="49" t="s">
        <v>49</v>
      </c>
      <c r="C31" s="65">
        <f>'Cost Calculation'!D20</f>
        <v>21236.861373940697</v>
      </c>
      <c r="D31" s="64" t="str">
        <f t="shared" si="4"/>
        <v>Small</v>
      </c>
      <c r="E31" s="225">
        <f t="shared" si="5"/>
        <v>174382.13184708232</v>
      </c>
      <c r="I31" s="46" t="s">
        <v>117</v>
      </c>
    </row>
    <row r="32" spans="1:9" x14ac:dyDescent="0.35">
      <c r="A32" s="60">
        <v>18</v>
      </c>
      <c r="B32" s="49" t="s">
        <v>51</v>
      </c>
      <c r="C32" s="65">
        <f>'Cost Calculation'!D21</f>
        <v>1729.4022348816759</v>
      </c>
      <c r="D32" s="64" t="str">
        <f t="shared" si="4"/>
        <v>Small</v>
      </c>
      <c r="E32" s="225">
        <f t="shared" si="5"/>
        <v>174382.13184708232</v>
      </c>
      <c r="I32" s="46" t="s">
        <v>117</v>
      </c>
    </row>
    <row r="33" spans="1:9" ht="15.5" x14ac:dyDescent="0.35">
      <c r="A33" s="60">
        <v>19</v>
      </c>
      <c r="B33" s="49" t="s">
        <v>52</v>
      </c>
      <c r="C33" s="65">
        <f>'Cost Calculation'!D22</f>
        <v>25338.156724093158</v>
      </c>
      <c r="D33" s="64" t="str">
        <f t="shared" si="4"/>
        <v>Small</v>
      </c>
      <c r="E33" s="180">
        <f>AVERAGE(F33:F35)</f>
        <v>453095.46593235113</v>
      </c>
      <c r="F33" s="180">
        <f>G33*$K$7/Variables!$B$24</f>
        <v>213410.53382899627</v>
      </c>
      <c r="G33" s="170">
        <f>2265120/6.5</f>
        <v>348480</v>
      </c>
      <c r="H33" s="87" t="s">
        <v>198</v>
      </c>
      <c r="I33" s="46" t="s">
        <v>117</v>
      </c>
    </row>
    <row r="34" spans="1:9" ht="15.5" x14ac:dyDescent="0.35">
      <c r="F34" s="180">
        <f>G34*$K$7/Variables!$B$24</f>
        <v>612403.96530359355</v>
      </c>
      <c r="G34" s="170">
        <f>11000000/11</f>
        <v>1000000</v>
      </c>
      <c r="H34" s="87" t="s">
        <v>199</v>
      </c>
      <c r="I34" s="46" t="s">
        <v>117</v>
      </c>
    </row>
    <row r="35" spans="1:9" ht="15.5" x14ac:dyDescent="0.35">
      <c r="F35" s="180">
        <f>G35*$K$7/Variables!$B$24</f>
        <v>533471.89866446366</v>
      </c>
      <c r="G35" s="170">
        <f>5880000/6.75</f>
        <v>871111.11111111112</v>
      </c>
      <c r="H35" s="87" t="s">
        <v>200</v>
      </c>
      <c r="I35" s="46" t="s">
        <v>117</v>
      </c>
    </row>
    <row r="36" spans="1:9" x14ac:dyDescent="0.35">
      <c r="A36" s="60">
        <v>20</v>
      </c>
      <c r="B36" s="49" t="s">
        <v>53</v>
      </c>
      <c r="C36" s="65">
        <f>'Cost Calculation'!D23</f>
        <v>2945.0593534599193</v>
      </c>
      <c r="D36" s="64" t="str">
        <f>IF(C36&lt;100000,"Small",IF(C36&lt;1000000,"Medium","Large"))</f>
        <v>Small</v>
      </c>
      <c r="E36" s="225">
        <f t="shared" ref="E36" si="6">$K$6</f>
        <v>174382.13184708232</v>
      </c>
      <c r="I36" s="46" t="s">
        <v>117</v>
      </c>
    </row>
    <row r="37" spans="1:9" x14ac:dyDescent="0.35">
      <c r="I37" s="46" t="s">
        <v>117</v>
      </c>
    </row>
    <row r="38" spans="1:9" x14ac:dyDescent="0.35">
      <c r="I38" s="46" t="s">
        <v>117</v>
      </c>
    </row>
    <row r="39" spans="1:9" x14ac:dyDescent="0.35">
      <c r="I39" s="46" t="s">
        <v>117</v>
      </c>
    </row>
    <row r="40" spans="1:9" x14ac:dyDescent="0.35">
      <c r="I40" s="46" t="s">
        <v>117</v>
      </c>
    </row>
  </sheetData>
  <mergeCells count="1">
    <mergeCell ref="J1:K1"/>
  </mergeCells>
  <hyperlinks>
    <hyperlink ref="H2" r:id="rId1" xr:uid="{073BA3AD-D89C-43AE-9C8A-FA5A1716545D}"/>
    <hyperlink ref="H3" r:id="rId2" xr:uid="{CEC4B1D0-3208-4FA0-B6F5-8B2862B9C2C9}"/>
    <hyperlink ref="H4" r:id="rId3" xr:uid="{5F1EECF3-1CDF-45BB-A266-CEB20C610FD2}"/>
    <hyperlink ref="H5" r:id="rId4" xr:uid="{58A4D518-5B2B-4919-A077-C45DCFB43C80}"/>
    <hyperlink ref="H6" r:id="rId5" xr:uid="{81909EFE-F704-443C-B562-81CC65F2E16D}"/>
    <hyperlink ref="H7" r:id="rId6" xr:uid="{2FBBDCDA-DE5A-4F98-A128-5FDD2F9D7977}"/>
    <hyperlink ref="H8" r:id="rId7" xr:uid="{61BD58CF-B540-4CE4-A9C4-D9B2BAFBC7BA}"/>
    <hyperlink ref="H9" r:id="rId8" xr:uid="{5C6A7791-39A1-4BB0-9297-542ED1717F6B}"/>
    <hyperlink ref="H10" r:id="rId9" xr:uid="{49C651B4-BBF2-4A2B-AEF8-44478E7F9802}"/>
    <hyperlink ref="H11" r:id="rId10" xr:uid="{90FDD80B-C0CC-4E6F-9B0F-25BD9D162FDC}"/>
    <hyperlink ref="H12" r:id="rId11" xr:uid="{AF75A476-73C8-4E03-B420-1FCCD2C3C688}"/>
    <hyperlink ref="H13" r:id="rId12" xr:uid="{5203313B-47CD-41D7-A888-9E4DFEF1B7AA}"/>
    <hyperlink ref="H14" r:id="rId13" xr:uid="{D68B6E5A-CE85-4EE4-B10E-63EA71A713C9}"/>
    <hyperlink ref="H15" r:id="rId14" xr:uid="{66685A1C-E028-49B1-B3EE-1B3553D6A930}"/>
    <hyperlink ref="H16" r:id="rId15" xr:uid="{04D4C9AF-7350-4D89-9338-46083CFED0AB}"/>
    <hyperlink ref="H17" r:id="rId16" location="show" display="https://www.mudah.my/Tanah+Sesuai+untuk+buat+sawah+Ladang+harumanis+Pusat-76578352.htm - show" xr:uid="{C4A9573E-87CA-40FC-8853-B1B476D4D654}"/>
    <hyperlink ref="H18" r:id="rId17" xr:uid="{B710D6F0-1570-4E08-9AF4-ED11F64A026F}"/>
    <hyperlink ref="H19" r:id="rId18" xr:uid="{E190843C-4585-4AF0-AC8B-B8ACD27067C2}"/>
    <hyperlink ref="H20" r:id="rId19" xr:uid="{7179D33F-8DC5-4C65-AC2A-EF1B87BB346E}"/>
    <hyperlink ref="H21" r:id="rId20" xr:uid="{3047DA0C-678D-41AB-B526-0FD8E0499828}"/>
    <hyperlink ref="H22" r:id="rId21" xr:uid="{99DE5B8D-264A-4526-9027-0C753F9ED2D0}"/>
    <hyperlink ref="H23" r:id="rId22" xr:uid="{65A9207F-6420-48DB-A762-B354DE0299A5}"/>
    <hyperlink ref="H24" r:id="rId23" location="show" display="https://www.mudah.my/Shah+Alam+Land+for+Sale+Residential+Industrial+Zone+-70832584.htm - show" xr:uid="{52F8B148-146C-4150-8ECD-14D3A1831C7B}"/>
    <hyperlink ref="H25" r:id="rId24" xr:uid="{CB0FA0E3-456A-4DAC-9A81-F0B4296F81C9}"/>
    <hyperlink ref="H26" r:id="rId25" xr:uid="{A28B8315-8265-4594-BFA7-9FF9DE9F1939}"/>
    <hyperlink ref="H27" r:id="rId26" location="show" display="https://www.mudah.my/Tanah+CANTIK+FREEHOLD+13EKAR+KG+JERAM+HULU+MANIR+Kuala+Terengganu-74484466.htm - show" xr:uid="{F060D43A-6619-4BCF-82F7-10A08B3244FE}"/>
    <hyperlink ref="H28" r:id="rId27" xr:uid="{8D38CFC1-2A8C-4795-B3E6-C400E119781D}"/>
    <hyperlink ref="H30" r:id="rId28" xr:uid="{CF8160F2-B56F-40A4-8513-3710B50DD2D2}"/>
    <hyperlink ref="H33" r:id="rId29" xr:uid="{447DAB51-60BE-4D40-B1A3-7B1EA352CFB1}"/>
    <hyperlink ref="H34" r:id="rId30" xr:uid="{CC6B878D-4B60-41AB-8E7A-1D087791B5B9}"/>
    <hyperlink ref="H35" r:id="rId31" xr:uid="{831932F6-ED4D-4CA0-8AF9-F959C38D58F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99F0641-5D03-4CCB-956D-B01A5E47986C}">
            <xm:f>'\Users\suzan\OneDrive\DOCUME~1\Adulting\Jobs\AIDDAT~1\UNHABI~1\WORKIN~1\RESEAR~1\India\[SOLID WASTE SHEET_India.xlsx]Variables'!#REF!</xm:f>
            <x14:dxf>
              <font>
                <color rgb="FFFF0000"/>
              </font>
            </x14:dxf>
          </x14:cfRule>
          <xm:sqref>E1</xm:sqref>
        </x14:conditionalFormatting>
        <x14:conditionalFormatting xmlns:xm="http://schemas.microsoft.com/office/excel/2006/main">
          <x14:cfRule type="cellIs" priority="1" operator="equal" id="{ED7BF71A-1DBB-47E2-83FC-FDD351D2F273}">
            <xm:f>'\Users\suzan\OneDrive\DOCUME~1\Adulting\Jobs\AIDDAT~1\UNHABI~1\WORKIN~1\RESEAR~1\India\[SOLID WASTE SHEET_India.xlsx]Variables'!#REF!</xm:f>
            <x14:dxf>
              <font>
                <color rgb="FFFF0000"/>
              </font>
            </x14:dxf>
          </x14:cfRule>
          <xm:sqref>F1:G1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D6AF-4009-40E4-892C-820C46B6C431}">
  <dimension ref="A1:E22"/>
  <sheetViews>
    <sheetView topLeftCell="A10" workbookViewId="0">
      <selection activeCell="A5" sqref="A5"/>
    </sheetView>
  </sheetViews>
  <sheetFormatPr defaultColWidth="8.15234375" defaultRowHeight="14.5" x14ac:dyDescent="0.35"/>
  <cols>
    <col min="1" max="1" width="54.69140625" style="48" customWidth="1"/>
    <col min="2" max="2" width="14.921875" style="48" customWidth="1"/>
    <col min="3" max="3" width="7.07421875" style="48" customWidth="1"/>
    <col min="4" max="4" width="8.15234375" style="48"/>
    <col min="5" max="5" width="10" style="48" bestFit="1" customWidth="1"/>
    <col min="6" max="16384" width="8.15234375" style="48"/>
  </cols>
  <sheetData>
    <row r="1" spans="1:5" ht="58" x14ac:dyDescent="0.35">
      <c r="A1" s="186" t="s">
        <v>203</v>
      </c>
    </row>
    <row r="2" spans="1:5" x14ac:dyDescent="0.35">
      <c r="A2" s="48" t="s">
        <v>204</v>
      </c>
    </row>
    <row r="3" spans="1:5" ht="15" thickBot="1" x14ac:dyDescent="0.4"/>
    <row r="4" spans="1:5" ht="15" thickBot="1" x14ac:dyDescent="0.4">
      <c r="A4" s="187" t="s">
        <v>205</v>
      </c>
      <c r="B4" s="188"/>
    </row>
    <row r="5" spans="1:5" x14ac:dyDescent="0.35">
      <c r="A5" s="189" t="s">
        <v>206</v>
      </c>
      <c r="B5" s="190">
        <v>500000</v>
      </c>
    </row>
    <row r="6" spans="1:5" x14ac:dyDescent="0.35">
      <c r="A6" s="191" t="s">
        <v>207</v>
      </c>
      <c r="B6" s="192">
        <v>110000</v>
      </c>
    </row>
    <row r="7" spans="1:5" x14ac:dyDescent="0.35">
      <c r="A7" s="191" t="s">
        <v>208</v>
      </c>
      <c r="B7" s="193">
        <v>20</v>
      </c>
    </row>
    <row r="8" spans="1:5" x14ac:dyDescent="0.35">
      <c r="A8" s="191" t="s">
        <v>209</v>
      </c>
      <c r="B8" s="193">
        <v>11</v>
      </c>
    </row>
    <row r="9" spans="1:5" x14ac:dyDescent="0.35">
      <c r="A9" s="191" t="s">
        <v>210</v>
      </c>
      <c r="B9" s="193">
        <f>200000/10^4</f>
        <v>20</v>
      </c>
    </row>
    <row r="10" spans="1:5" ht="15" thickBot="1" x14ac:dyDescent="0.4">
      <c r="A10" s="194" t="s">
        <v>211</v>
      </c>
      <c r="B10" s="195">
        <f>B7*B5</f>
        <v>10000000</v>
      </c>
    </row>
    <row r="11" spans="1:5" s="196" customFormat="1" ht="15" thickBot="1" x14ac:dyDescent="0.4">
      <c r="B11" s="197"/>
    </row>
    <row r="12" spans="1:5" ht="15" thickBot="1" x14ac:dyDescent="0.4">
      <c r="A12" s="187" t="s">
        <v>205</v>
      </c>
      <c r="B12" s="188"/>
      <c r="E12" s="198"/>
    </row>
    <row r="13" spans="1:5" x14ac:dyDescent="0.35">
      <c r="A13" s="199" t="s">
        <v>212</v>
      </c>
      <c r="B13" s="200">
        <v>400000</v>
      </c>
      <c r="E13" s="198"/>
    </row>
    <row r="14" spans="1:5" x14ac:dyDescent="0.35">
      <c r="A14" s="201" t="s">
        <v>213</v>
      </c>
      <c r="B14" s="202">
        <v>1200000</v>
      </c>
    </row>
    <row r="15" spans="1:5" x14ac:dyDescent="0.35">
      <c r="A15" s="203" t="s">
        <v>214</v>
      </c>
      <c r="B15" s="204">
        <v>250000</v>
      </c>
    </row>
    <row r="16" spans="1:5" x14ac:dyDescent="0.35">
      <c r="A16" s="201" t="s">
        <v>215</v>
      </c>
      <c r="B16" s="205">
        <f>(B13*[2]Variables!$C$26)*[2]Variables!$E$27/[2]Variables!$C$17</f>
        <v>544000</v>
      </c>
    </row>
    <row r="17" spans="1:4" x14ac:dyDescent="0.35">
      <c r="A17" s="201" t="s">
        <v>216</v>
      </c>
      <c r="B17" s="205">
        <f>(B14*[2]Variables!$C$26)*[2]Variables!$E$27/[2]Variables!$C$17</f>
        <v>1632000</v>
      </c>
    </row>
    <row r="18" spans="1:4" ht="15" thickBot="1" x14ac:dyDescent="0.4">
      <c r="A18" s="201" t="s">
        <v>217</v>
      </c>
      <c r="B18" s="205">
        <f>(B15*[2]Variables!$C$26)*[2]Variables!$E$27/[2]Variables!$C$17</f>
        <v>340000</v>
      </c>
      <c r="D18" s="206"/>
    </row>
    <row r="19" spans="1:4" x14ac:dyDescent="0.35">
      <c r="A19" s="207" t="s">
        <v>218</v>
      </c>
      <c r="B19" s="208">
        <f>B16/$B$5</f>
        <v>1.0880000000000001</v>
      </c>
    </row>
    <row r="20" spans="1:4" x14ac:dyDescent="0.35">
      <c r="A20" s="209" t="s">
        <v>219</v>
      </c>
      <c r="B20" s="210">
        <f t="shared" ref="B20:B21" si="0">B17/$B$5</f>
        <v>3.2639999999999998</v>
      </c>
    </row>
    <row r="21" spans="1:4" ht="15" thickBot="1" x14ac:dyDescent="0.4">
      <c r="A21" s="211" t="s">
        <v>220</v>
      </c>
      <c r="B21" s="212">
        <f t="shared" si="0"/>
        <v>0.68</v>
      </c>
    </row>
    <row r="22" spans="1:4" ht="15" thickBot="1" x14ac:dyDescent="0.4">
      <c r="A22" s="213" t="s">
        <v>221</v>
      </c>
      <c r="B22" s="214">
        <f>SUM(B19:B21)</f>
        <v>5.032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Sheet - Solid Waste</vt:lpstr>
      <vt:lpstr>Cost Calculation</vt:lpstr>
      <vt:lpstr>Variables</vt:lpstr>
      <vt:lpstr>Household Information</vt:lpstr>
      <vt:lpstr>Existing landfills</vt:lpstr>
      <vt:lpstr>Waste per capita</vt:lpstr>
      <vt:lpstr>Population</vt:lpstr>
      <vt:lpstr>Land costs</vt:lpstr>
      <vt:lpstr>Sanitary Landfilling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Suzanne Schadel</cp:lastModifiedBy>
  <dcterms:created xsi:type="dcterms:W3CDTF">2019-05-13T20:30:56Z</dcterms:created>
  <dcterms:modified xsi:type="dcterms:W3CDTF">2020-01-28T22:14:21Z</dcterms:modified>
</cp:coreProperties>
</file>