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nina/Projects/Larval-Respiration/"/>
    </mc:Choice>
  </mc:AlternateContent>
  <xr:revisionPtr revIDLastSave="0" documentId="13_ncr:1_{2B71F68D-AC4E-6343-A9DE-ADAB01E66D7D}" xr6:coauthVersionLast="45" xr6:coauthVersionMax="45" xr10:uidLastSave="{00000000-0000-0000-0000-000000000000}"/>
  <bookViews>
    <workbookView xWindow="0" yWindow="460" windowWidth="21720" windowHeight="15540" xr2:uid="{58B56C0E-0AE6-3342-801F-329F1481DB40}"/>
  </bookViews>
  <sheets>
    <sheet name="Repiration.Photosynthesis" sheetId="4" r:id="rId1"/>
    <sheet name="Studies" sheetId="26" r:id="rId2"/>
    <sheet name="Fits" sheetId="24" r:id="rId3"/>
    <sheet name="biomass conversions" sheetId="16" r:id="rId4"/>
    <sheet name="Meta-analysis_Conversions" sheetId="9" r:id="rId5"/>
    <sheet name="Lipids" sheetId="25" r:id="rId6"/>
    <sheet name="Lipid_material" sheetId="27" r:id="rId7"/>
    <sheet name="Sheet2" sheetId="28" r:id="rId8"/>
    <sheet name="Classic_meta_brooding" sheetId="18" r:id="rId9"/>
    <sheet name="Classic_meta_broadcasting" sheetId="19" r:id="rId10"/>
    <sheet name="Classic_meta_exp_norm_resp" sheetId="20" r:id="rId11"/>
    <sheet name="Classic_meta_quad_norm_resp" sheetId="21" r:id="rId12"/>
    <sheet name="Energy Budget" sheetId="7" r:id="rId13"/>
    <sheet name="References_Notes" sheetId="8" r:id="rId14"/>
    <sheet name="test" sheetId="11" r:id="rId15"/>
    <sheet name="Example" sheetId="15" r:id="rId16"/>
    <sheet name="Symbiont.density" sheetId="5" r:id="rId17"/>
    <sheet name="Size" sheetId="1" r:id="rId18"/>
    <sheet name="Classic_quad_norm_resp_brooding" sheetId="22" r:id="rId19"/>
    <sheet name="Classic_quad_norm_resp_broadcas" sheetId="23" r:id="rId20"/>
    <sheet name="Polyp_diameter" sheetId="2" r:id="rId21"/>
    <sheet name="Graphs" sheetId="3"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26" l="1"/>
  <c r="AD176" i="4" l="1"/>
  <c r="AD177" i="4"/>
  <c r="AD178" i="4"/>
  <c r="AD168" i="4"/>
  <c r="AE168" i="4"/>
  <c r="AD169" i="4"/>
  <c r="AE169" i="4"/>
  <c r="AD170" i="4"/>
  <c r="AE170" i="4"/>
  <c r="AD171" i="4"/>
  <c r="AE171" i="4"/>
  <c r="AD172" i="4"/>
  <c r="AE172" i="4"/>
  <c r="AD173" i="4"/>
  <c r="AE173" i="4"/>
  <c r="AD174" i="4"/>
  <c r="AE174" i="4"/>
  <c r="AD175" i="4"/>
  <c r="AE175" i="4"/>
  <c r="AE176" i="4"/>
  <c r="AE167" i="4"/>
  <c r="AD167" i="4"/>
  <c r="AD166" i="4"/>
  <c r="AD140" i="4"/>
  <c r="AE140" i="4"/>
  <c r="AD141" i="4"/>
  <c r="AE141" i="4"/>
  <c r="AD142" i="4"/>
  <c r="AE142" i="4"/>
  <c r="AD143" i="4"/>
  <c r="AE143" i="4"/>
  <c r="AD144" i="4"/>
  <c r="AE144" i="4"/>
  <c r="AD145" i="4"/>
  <c r="AE145" i="4"/>
  <c r="AD146" i="4"/>
  <c r="AE146" i="4"/>
  <c r="AD147" i="4"/>
  <c r="AE147" i="4"/>
  <c r="AD148" i="4"/>
  <c r="AE148" i="4"/>
  <c r="AD149" i="4"/>
  <c r="AE149" i="4"/>
  <c r="AD150" i="4"/>
  <c r="AE150" i="4"/>
  <c r="AD151" i="4"/>
  <c r="AE151" i="4"/>
  <c r="AD152" i="4"/>
  <c r="AE152" i="4"/>
  <c r="AD153" i="4"/>
  <c r="AE153" i="4"/>
  <c r="AD154" i="4"/>
  <c r="AE154" i="4"/>
  <c r="AD155" i="4"/>
  <c r="AE155" i="4"/>
  <c r="AD156" i="4"/>
  <c r="AE156" i="4"/>
  <c r="AD157" i="4"/>
  <c r="AE157" i="4"/>
  <c r="AD158" i="4"/>
  <c r="AE158" i="4"/>
  <c r="AD159" i="4"/>
  <c r="AE159" i="4"/>
  <c r="AD160" i="4"/>
  <c r="AE160" i="4"/>
  <c r="AD161" i="4"/>
  <c r="AE161" i="4"/>
  <c r="AD162" i="4"/>
  <c r="AE162" i="4"/>
  <c r="AD163" i="4"/>
  <c r="AE163" i="4"/>
  <c r="AD164" i="4"/>
  <c r="AE164" i="4"/>
  <c r="AD165" i="4"/>
  <c r="AE165" i="4"/>
  <c r="AE139" i="4"/>
  <c r="AD139" i="4"/>
  <c r="AE137" i="4"/>
  <c r="AD137" i="4"/>
  <c r="AE123" i="4"/>
  <c r="AE124" i="4"/>
  <c r="AE125" i="4"/>
  <c r="AE126" i="4"/>
  <c r="AE127" i="4"/>
  <c r="AE128" i="4"/>
  <c r="AE129" i="4"/>
  <c r="AE130" i="4"/>
  <c r="AE131" i="4"/>
  <c r="AE132" i="4"/>
  <c r="AE133" i="4"/>
  <c r="AE134" i="4"/>
  <c r="AE135" i="4"/>
  <c r="AE122" i="4"/>
  <c r="AD123" i="4"/>
  <c r="AD124" i="4"/>
  <c r="AD125" i="4"/>
  <c r="AD126" i="4"/>
  <c r="AD127" i="4"/>
  <c r="AD128" i="4"/>
  <c r="AD129" i="4"/>
  <c r="AD130" i="4"/>
  <c r="AD131" i="4"/>
  <c r="AD132" i="4"/>
  <c r="AD133" i="4"/>
  <c r="AD134" i="4"/>
  <c r="AD135" i="4"/>
  <c r="AD122" i="4"/>
  <c r="AE89" i="4"/>
  <c r="AE92" i="4"/>
  <c r="AE93" i="4"/>
  <c r="AD93" i="4"/>
  <c r="AD92" i="4"/>
  <c r="AD89" i="4"/>
  <c r="AD220" i="4"/>
  <c r="AD10" i="4"/>
  <c r="AR220" i="4" l="1"/>
  <c r="AS5" i="4" l="1"/>
  <c r="AS4" i="4"/>
  <c r="AS3" i="4"/>
  <c r="AS2" i="4"/>
  <c r="AR5" i="4"/>
  <c r="AR4" i="4"/>
  <c r="AR3" i="4"/>
  <c r="AR2" i="4"/>
  <c r="AR6" i="4"/>
  <c r="AS9" i="4"/>
  <c r="AS8" i="4"/>
  <c r="AS7" i="4"/>
  <c r="AS6" i="4"/>
  <c r="AR9" i="4"/>
  <c r="AR8" i="4"/>
  <c r="AR7" i="4"/>
  <c r="D15" i="9"/>
  <c r="K10" i="9" s="1"/>
  <c r="AD38" i="4"/>
  <c r="AD60" i="4" l="1"/>
  <c r="AD61" i="4"/>
  <c r="AD62" i="4"/>
  <c r="AD63" i="4"/>
  <c r="AD64" i="4"/>
  <c r="AD65" i="4"/>
  <c r="AD66" i="4"/>
  <c r="AD67" i="4"/>
  <c r="AD68" i="4"/>
  <c r="AD69" i="4"/>
  <c r="AD70" i="4"/>
  <c r="AD71" i="4"/>
  <c r="AD59" i="4"/>
  <c r="AD23" i="4"/>
  <c r="AD24" i="4"/>
  <c r="AD25" i="4"/>
  <c r="AD26" i="4"/>
  <c r="AD27" i="4"/>
  <c r="AD28" i="4"/>
  <c r="AD29" i="4"/>
  <c r="AD30" i="4"/>
  <c r="AD31" i="4"/>
  <c r="AD32" i="4"/>
  <c r="AD33" i="4"/>
  <c r="AD22" i="4"/>
  <c r="D7" i="23" l="1"/>
  <c r="D6" i="23"/>
  <c r="D5" i="23"/>
  <c r="D4" i="23"/>
  <c r="D3" i="23"/>
  <c r="D2" i="23"/>
  <c r="D5" i="22"/>
  <c r="D4" i="22"/>
  <c r="D3" i="22"/>
  <c r="D2" i="22"/>
  <c r="D11" i="21" l="1"/>
  <c r="D10" i="21"/>
  <c r="D9" i="21"/>
  <c r="D8" i="21"/>
  <c r="D7" i="21"/>
  <c r="D6" i="21"/>
  <c r="D5" i="21"/>
  <c r="D4" i="21"/>
  <c r="D3" i="21"/>
  <c r="D2" i="21"/>
  <c r="D2" i="20"/>
  <c r="D11" i="20"/>
  <c r="D10" i="20"/>
  <c r="D9" i="20"/>
  <c r="D8" i="20"/>
  <c r="D7" i="20"/>
  <c r="D6" i="20"/>
  <c r="D5" i="20"/>
  <c r="D4" i="20"/>
  <c r="D3" i="20"/>
  <c r="AD11" i="4" l="1"/>
  <c r="AD12" i="4"/>
  <c r="AD13" i="4"/>
  <c r="AD14" i="4"/>
  <c r="AD15" i="4"/>
  <c r="AD16" i="4"/>
  <c r="AD17" i="4"/>
  <c r="AD18" i="4"/>
  <c r="AD19" i="4"/>
  <c r="AD20" i="4"/>
  <c r="AD21" i="4"/>
  <c r="AD34" i="4"/>
  <c r="D7" i="19"/>
  <c r="D6" i="19"/>
  <c r="D5" i="19"/>
  <c r="D4" i="19"/>
  <c r="D3" i="19"/>
  <c r="D2" i="19"/>
  <c r="D5" i="18"/>
  <c r="D4" i="18"/>
  <c r="D3" i="18"/>
  <c r="D2" i="18"/>
  <c r="AD138" i="4" l="1"/>
  <c r="AD136" i="4"/>
  <c r="AD91" i="4" l="1"/>
  <c r="AD90" i="4"/>
  <c r="AR245" i="4"/>
  <c r="C63" i="7" a="1"/>
  <c r="C63" i="7" s="1"/>
  <c r="B47" i="7"/>
  <c r="B50" i="7"/>
  <c r="C62" i="7"/>
  <c r="D57" i="7"/>
  <c r="D54" i="7"/>
  <c r="AR248" i="4" l="1"/>
  <c r="AR247" i="4"/>
  <c r="AM291" i="4"/>
  <c r="AM290" i="4"/>
  <c r="AM289" i="4"/>
  <c r="AM288" i="4"/>
  <c r="AE87" i="4" l="1"/>
  <c r="AD87" i="4"/>
  <c r="AD39" i="4"/>
  <c r="AD84" i="4"/>
  <c r="AD83" i="4"/>
  <c r="AD221" i="4"/>
  <c r="AD222" i="4"/>
  <c r="AD223" i="4"/>
  <c r="AD224" i="4"/>
  <c r="AD225" i="4"/>
  <c r="AD226" i="4"/>
  <c r="AD227" i="4"/>
  <c r="AD228" i="4"/>
  <c r="AD229" i="4"/>
  <c r="AD230" i="4"/>
  <c r="AD231" i="4"/>
  <c r="AD232" i="4"/>
  <c r="AD233" i="4"/>
  <c r="AD234" i="4"/>
  <c r="AD235" i="4"/>
  <c r="AE220" i="4"/>
  <c r="AE186" i="4"/>
  <c r="AE34" i="4"/>
  <c r="AE35" i="4"/>
  <c r="AE36" i="4"/>
  <c r="AE37" i="4"/>
  <c r="AD35" i="4"/>
  <c r="AD36" i="4"/>
  <c r="AD37" i="4"/>
  <c r="AE83" i="4"/>
  <c r="AE84" i="4"/>
  <c r="AE85" i="4"/>
  <c r="AE86" i="4"/>
  <c r="AE88" i="4"/>
  <c r="AD85" i="4"/>
  <c r="AD86" i="4"/>
  <c r="AD88" i="4"/>
  <c r="AE39" i="4"/>
  <c r="AE40" i="4"/>
  <c r="AE41" i="4"/>
  <c r="AE42" i="4"/>
  <c r="AE43" i="4"/>
  <c r="AE44" i="4"/>
  <c r="AE45" i="4"/>
  <c r="AE46" i="4"/>
  <c r="AE47" i="4"/>
  <c r="AE48" i="4"/>
  <c r="AE50" i="4"/>
  <c r="AE51" i="4"/>
  <c r="AE52" i="4"/>
  <c r="AE53" i="4"/>
  <c r="AE55" i="4"/>
  <c r="AE56" i="4"/>
  <c r="AE57" i="4"/>
  <c r="AD40" i="4"/>
  <c r="AD41" i="4"/>
  <c r="AD42" i="4"/>
  <c r="AD43" i="4"/>
  <c r="AD44" i="4"/>
  <c r="AD45" i="4"/>
  <c r="AD46" i="4"/>
  <c r="AD47" i="4"/>
  <c r="AD48" i="4"/>
  <c r="AD49" i="4" s="1"/>
  <c r="AD50" i="4"/>
  <c r="AD51" i="4"/>
  <c r="AD52" i="4"/>
  <c r="AD53" i="4"/>
  <c r="AD55" i="4"/>
  <c r="AD56" i="4"/>
  <c r="AD57" i="4"/>
  <c r="AD58" i="4" s="1"/>
  <c r="AE221" i="4"/>
  <c r="AE222" i="4"/>
  <c r="AE223" i="4"/>
  <c r="AE224" i="4"/>
  <c r="AE225" i="4"/>
  <c r="AE226" i="4"/>
  <c r="AE227" i="4"/>
  <c r="AE228" i="4"/>
  <c r="AE229" i="4"/>
  <c r="AE230" i="4"/>
  <c r="AE231" i="4"/>
  <c r="AE232" i="4"/>
  <c r="AE233" i="4"/>
  <c r="AE234" i="4"/>
  <c r="AE235" i="4"/>
  <c r="AS248" i="4" l="1"/>
  <c r="AS247" i="4"/>
  <c r="K4" i="15" l="1"/>
  <c r="K5" i="15"/>
  <c r="K6" i="15"/>
  <c r="K7" i="15"/>
  <c r="K8" i="15"/>
  <c r="K3" i="15"/>
  <c r="J4" i="15"/>
  <c r="J5" i="15"/>
  <c r="J6" i="15"/>
  <c r="J7" i="15"/>
  <c r="J8" i="15"/>
  <c r="J3" i="15"/>
  <c r="I4" i="15"/>
  <c r="I5" i="15"/>
  <c r="I6" i="15"/>
  <c r="I7" i="15"/>
  <c r="I8" i="15"/>
  <c r="I3" i="15"/>
  <c r="G7" i="15"/>
  <c r="G3" i="15"/>
  <c r="F4" i="15"/>
  <c r="F5" i="15"/>
  <c r="F7" i="15"/>
  <c r="F8" i="15"/>
  <c r="F3" i="15"/>
  <c r="E3" i="15"/>
  <c r="D4" i="15"/>
  <c r="E4" i="15" s="1"/>
  <c r="D5" i="15"/>
  <c r="E5" i="15" s="1"/>
  <c r="D6" i="15"/>
  <c r="E6" i="15" s="1"/>
  <c r="D7" i="15"/>
  <c r="E7" i="15" s="1"/>
  <c r="D8" i="15"/>
  <c r="E8" i="15" s="1"/>
  <c r="D3" i="15"/>
  <c r="P4" i="15"/>
  <c r="P5" i="15"/>
  <c r="P6" i="15"/>
  <c r="P7" i="15"/>
  <c r="P8" i="15"/>
  <c r="P9" i="15"/>
  <c r="P3" i="15"/>
  <c r="G6" i="15" l="1"/>
  <c r="G5" i="15"/>
  <c r="F6" i="15"/>
  <c r="G8" i="15"/>
  <c r="G4" i="15"/>
  <c r="AS122" i="4" l="1"/>
  <c r="AS123" i="4"/>
  <c r="AS124" i="4"/>
  <c r="AS125" i="4"/>
  <c r="AS126" i="4"/>
  <c r="AS127" i="4"/>
  <c r="AS128" i="4"/>
  <c r="AS129" i="4"/>
  <c r="AS130" i="4"/>
  <c r="AS131" i="4"/>
  <c r="AS132" i="4"/>
  <c r="AS133" i="4"/>
  <c r="AS134" i="4"/>
  <c r="AS135" i="4"/>
  <c r="AS136" i="4"/>
  <c r="AS137" i="4"/>
  <c r="AS138" i="4"/>
  <c r="AS139" i="4"/>
  <c r="AS140" i="4"/>
  <c r="AS141" i="4"/>
  <c r="AS142" i="4"/>
  <c r="AS143" i="4"/>
  <c r="AS144" i="4"/>
  <c r="AS145" i="4"/>
  <c r="AS146" i="4"/>
  <c r="AS147" i="4"/>
  <c r="AS148" i="4"/>
  <c r="AS149" i="4"/>
  <c r="AS150" i="4"/>
  <c r="AS151" i="4"/>
  <c r="AS152" i="4"/>
  <c r="AS153" i="4"/>
  <c r="AS154" i="4"/>
  <c r="AS155" i="4"/>
  <c r="AS156" i="4"/>
  <c r="AS157" i="4"/>
  <c r="AS158" i="4"/>
  <c r="AS159" i="4"/>
  <c r="AS160" i="4"/>
  <c r="AS161" i="4"/>
  <c r="AS162" i="4"/>
  <c r="AS163" i="4"/>
  <c r="AS164" i="4"/>
  <c r="AS165" i="4"/>
  <c r="AS167" i="4"/>
  <c r="AS168" i="4"/>
  <c r="AS169" i="4"/>
  <c r="AS170" i="4"/>
  <c r="AS171" i="4"/>
  <c r="AS172" i="4"/>
  <c r="AS173" i="4"/>
  <c r="AS174" i="4"/>
  <c r="AS175" i="4"/>
  <c r="AS176" i="4"/>
  <c r="AS178" i="4"/>
  <c r="AR123" i="4"/>
  <c r="AR124" i="4"/>
  <c r="AR125" i="4"/>
  <c r="AR126" i="4"/>
  <c r="AR127" i="4"/>
  <c r="AR128" i="4"/>
  <c r="AR129" i="4"/>
  <c r="AR130" i="4"/>
  <c r="AR131" i="4"/>
  <c r="AR132" i="4"/>
  <c r="AR133" i="4"/>
  <c r="AR134" i="4"/>
  <c r="AR135" i="4"/>
  <c r="AR136" i="4"/>
  <c r="AR137" i="4"/>
  <c r="AR138" i="4"/>
  <c r="AR139" i="4"/>
  <c r="AR140" i="4"/>
  <c r="AR141" i="4"/>
  <c r="AR142" i="4"/>
  <c r="AR143" i="4"/>
  <c r="AR144" i="4"/>
  <c r="AR145" i="4"/>
  <c r="AR146" i="4"/>
  <c r="AR147" i="4"/>
  <c r="AR148" i="4"/>
  <c r="AR149" i="4"/>
  <c r="AR150" i="4"/>
  <c r="AR151" i="4"/>
  <c r="AR152" i="4"/>
  <c r="AR153" i="4"/>
  <c r="AR154" i="4"/>
  <c r="AR155" i="4"/>
  <c r="AR156" i="4"/>
  <c r="AR157" i="4"/>
  <c r="AR158" i="4"/>
  <c r="AR159" i="4"/>
  <c r="AR160" i="4"/>
  <c r="AR161" i="4"/>
  <c r="AR162" i="4"/>
  <c r="AR163" i="4"/>
  <c r="AR164" i="4"/>
  <c r="AR165" i="4"/>
  <c r="AR166" i="4"/>
  <c r="AR167" i="4"/>
  <c r="AR168" i="4"/>
  <c r="AR169" i="4"/>
  <c r="AR170" i="4"/>
  <c r="AR171" i="4"/>
  <c r="AR172" i="4"/>
  <c r="AR173" i="4"/>
  <c r="AR174" i="4"/>
  <c r="AR175" i="4"/>
  <c r="AR176" i="4"/>
  <c r="AR178" i="4"/>
  <c r="AR122" i="4"/>
  <c r="AS251" i="4" l="1"/>
  <c r="AS250" i="4"/>
  <c r="AS249" i="4"/>
  <c r="AR251" i="4"/>
  <c r="AR250" i="4"/>
  <c r="AR249" i="4"/>
  <c r="AR113" i="4"/>
  <c r="AM287" i="4" l="1"/>
  <c r="AM286" i="4"/>
  <c r="AM285" i="4"/>
  <c r="AM284" i="4"/>
  <c r="AM283" i="4"/>
  <c r="AM281" i="4"/>
  <c r="AM280" i="4"/>
  <c r="AM279" i="4"/>
  <c r="AM278" i="4"/>
  <c r="AM277" i="4"/>
  <c r="AM275" i="4"/>
  <c r="AM274" i="4"/>
  <c r="AM273" i="4"/>
  <c r="AM272" i="4"/>
  <c r="AM271" i="4"/>
  <c r="AM269" i="4"/>
  <c r="AM268" i="4"/>
  <c r="AM267" i="4"/>
  <c r="AM266" i="4"/>
  <c r="AM265" i="4"/>
  <c r="AK277" i="4"/>
  <c r="AK278" i="4"/>
  <c r="AK279" i="4"/>
  <c r="AK280" i="4"/>
  <c r="AK281" i="4"/>
  <c r="AK282" i="4"/>
  <c r="AK283" i="4"/>
  <c r="AK284" i="4"/>
  <c r="AK285" i="4"/>
  <c r="AK286" i="4"/>
  <c r="AK287" i="4"/>
  <c r="AK276" i="4"/>
  <c r="AM261" i="4"/>
  <c r="AM262" i="4"/>
  <c r="AM263" i="4"/>
  <c r="AM260" i="4"/>
  <c r="AM259" i="4"/>
  <c r="AM258" i="4"/>
  <c r="AK259" i="4"/>
  <c r="AS256" i="4"/>
  <c r="AS257" i="4"/>
  <c r="AS255" i="4"/>
  <c r="AS254" i="4"/>
  <c r="AS253" i="4"/>
  <c r="AS252" i="4"/>
  <c r="AR257" i="4"/>
  <c r="AR256" i="4"/>
  <c r="AR255" i="4"/>
  <c r="AR254" i="4"/>
  <c r="AR253" i="4"/>
  <c r="AR252" i="4"/>
  <c r="AM256" i="4"/>
  <c r="AM257" i="4"/>
  <c r="AM255" i="4"/>
  <c r="AM253" i="4"/>
  <c r="AM254" i="4"/>
  <c r="AM252" i="4"/>
  <c r="I1" i="11" l="1"/>
  <c r="H2" i="11"/>
  <c r="F2" i="11"/>
  <c r="G2" i="11"/>
  <c r="H3" i="11"/>
  <c r="H4" i="11"/>
  <c r="H5" i="11"/>
  <c r="H6" i="11"/>
  <c r="H7" i="11"/>
  <c r="G3" i="11"/>
  <c r="G4" i="11"/>
  <c r="G5" i="11"/>
  <c r="G6" i="11"/>
  <c r="G7" i="11"/>
  <c r="F3" i="11"/>
  <c r="F4" i="11"/>
  <c r="F5" i="11"/>
  <c r="F6" i="11"/>
  <c r="F7" i="11"/>
  <c r="B10" i="11"/>
  <c r="B9" i="11"/>
  <c r="D28" i="11"/>
  <c r="D24" i="11"/>
  <c r="D25" i="11"/>
  <c r="D26" i="11"/>
  <c r="D27" i="11"/>
  <c r="D23" i="11"/>
  <c r="C23" i="11"/>
  <c r="B28" i="11"/>
  <c r="B26" i="11"/>
  <c r="B27" i="11"/>
  <c r="E14" i="11"/>
  <c r="D14" i="11"/>
  <c r="B15" i="11"/>
  <c r="B16" i="11"/>
  <c r="B17" i="11"/>
  <c r="B18" i="11"/>
  <c r="B19" i="11"/>
  <c r="B14" i="11"/>
  <c r="B24" i="11"/>
  <c r="B25" i="11"/>
  <c r="B23" i="11"/>
  <c r="E23" i="11" l="1"/>
  <c r="C14" i="11"/>
  <c r="A27" i="11" s="1"/>
  <c r="BB186" i="4"/>
  <c r="BB187" i="4"/>
  <c r="BB249" i="4"/>
  <c r="BB250" i="4"/>
  <c r="BB251" i="4"/>
  <c r="AS121" i="4"/>
  <c r="AS120" i="4"/>
  <c r="AS119" i="4"/>
  <c r="AS118" i="4"/>
  <c r="AS117" i="4"/>
  <c r="AS116" i="4"/>
  <c r="AS115" i="4"/>
  <c r="AS114" i="4"/>
  <c r="AS113" i="4"/>
  <c r="AZ187" i="4"/>
  <c r="AZ186" i="4"/>
  <c r="AS187" i="4"/>
  <c r="AS186" i="4"/>
  <c r="AE187" i="4"/>
  <c r="AX251" i="4"/>
  <c r="AX250" i="4"/>
  <c r="AX249" i="4"/>
  <c r="AW251" i="4"/>
  <c r="AW250" i="4"/>
  <c r="AW249" i="4"/>
  <c r="AZ248" i="4"/>
  <c r="AZ247" i="4"/>
  <c r="AY248" i="4"/>
  <c r="AY247" i="4"/>
  <c r="I34" i="9"/>
  <c r="AB22" i="4" l="1"/>
  <c r="AB23" i="4"/>
  <c r="AB24" i="4"/>
  <c r="AB25" i="4"/>
  <c r="AB27" i="4"/>
  <c r="AB28" i="4"/>
  <c r="AB29" i="4"/>
  <c r="AB30" i="4"/>
  <c r="AB31" i="4"/>
  <c r="AB32" i="4"/>
  <c r="AB33" i="4"/>
  <c r="AB26" i="4"/>
  <c r="AS223" i="4"/>
  <c r="AR231" i="4"/>
  <c r="BJ244" i="4"/>
  <c r="BJ243" i="4"/>
  <c r="BJ242" i="4"/>
  <c r="BJ241" i="4"/>
  <c r="BG243" i="4"/>
  <c r="BG244" i="4"/>
  <c r="BG242" i="4"/>
  <c r="BG241" i="4"/>
  <c r="AM243" i="4"/>
  <c r="AM246" i="4"/>
  <c r="AM245" i="4"/>
  <c r="AM242" i="4"/>
  <c r="AM244" i="4"/>
  <c r="AM241" i="4"/>
  <c r="AM238" i="4"/>
  <c r="AM239" i="4"/>
  <c r="AM240" i="4"/>
  <c r="AM237" i="4"/>
  <c r="AM236" i="4"/>
  <c r="AM235" i="4"/>
  <c r="AM234" i="4"/>
  <c r="AM233" i="4"/>
  <c r="AM231" i="4"/>
  <c r="AM230" i="4"/>
  <c r="AM229" i="4"/>
  <c r="AM227" i="4"/>
  <c r="AM226" i="4"/>
  <c r="AM225" i="4"/>
  <c r="AS235" i="4"/>
  <c r="AS234" i="4"/>
  <c r="AS233" i="4"/>
  <c r="AS232" i="4"/>
  <c r="AS231" i="4"/>
  <c r="AS230" i="4"/>
  <c r="AS229" i="4"/>
  <c r="AS228" i="4"/>
  <c r="AS227" i="4"/>
  <c r="AS226" i="4"/>
  <c r="AS225" i="4"/>
  <c r="AS224" i="4"/>
  <c r="AS222" i="4"/>
  <c r="AS221" i="4"/>
  <c r="AS220" i="4"/>
  <c r="AR235" i="4"/>
  <c r="AR234" i="4"/>
  <c r="AR233" i="4"/>
  <c r="AR232" i="4"/>
  <c r="AR230" i="4"/>
  <c r="AR229" i="4"/>
  <c r="AR228" i="4"/>
  <c r="AR227" i="4"/>
  <c r="AR226" i="4"/>
  <c r="AR225" i="4"/>
  <c r="AR224" i="4"/>
  <c r="AR223" i="4"/>
  <c r="AR222" i="4"/>
  <c r="AR221" i="4"/>
  <c r="H18" i="9"/>
  <c r="I5" i="9"/>
  <c r="AM223" i="4"/>
  <c r="AM222" i="4"/>
  <c r="AM221" i="4"/>
  <c r="AM10" i="4"/>
  <c r="AM11" i="4"/>
  <c r="AM12" i="4"/>
  <c r="AM13" i="4"/>
  <c r="AM14" i="4"/>
  <c r="AM15" i="4"/>
  <c r="AM16" i="4"/>
  <c r="AM17" i="4"/>
  <c r="AM18" i="4"/>
  <c r="AM19" i="4"/>
  <c r="AM20" i="4"/>
  <c r="AM21" i="4"/>
  <c r="I18" i="9" l="1"/>
  <c r="AM189" i="4"/>
  <c r="AM190" i="4"/>
  <c r="AM191" i="4"/>
  <c r="AM192" i="4"/>
  <c r="AM193" i="4"/>
  <c r="AM194" i="4"/>
  <c r="AM195" i="4"/>
  <c r="AM196" i="4"/>
  <c r="AM197" i="4"/>
  <c r="AM198" i="4"/>
  <c r="AM199" i="4"/>
  <c r="AM200" i="4"/>
  <c r="AM201" i="4"/>
  <c r="AM202" i="4"/>
  <c r="AM203" i="4"/>
  <c r="AM204" i="4"/>
  <c r="AM205" i="4"/>
  <c r="AM206" i="4"/>
  <c r="AM207" i="4"/>
  <c r="AM208" i="4"/>
  <c r="AM209" i="4"/>
  <c r="AM210" i="4"/>
  <c r="AM211" i="4"/>
  <c r="AM212" i="4"/>
  <c r="AM213" i="4"/>
  <c r="AM214" i="4"/>
  <c r="AM215" i="4"/>
  <c r="AM216" i="4"/>
  <c r="AM217" i="4"/>
  <c r="AM218" i="4"/>
  <c r="AM219" i="4"/>
  <c r="AM188" i="4"/>
  <c r="M10" i="9"/>
  <c r="AY187" i="4"/>
  <c r="AY186" i="4"/>
  <c r="AR187" i="4"/>
  <c r="AR186" i="4"/>
  <c r="AS185" i="4" l="1"/>
  <c r="AS184" i="4"/>
  <c r="AS183" i="4"/>
  <c r="AS182" i="4"/>
  <c r="AS181" i="4"/>
  <c r="AS180" i="4"/>
  <c r="AS179" i="4"/>
  <c r="AR185" i="4"/>
  <c r="AR184" i="4"/>
  <c r="AR183" i="4"/>
  <c r="AR182" i="4"/>
  <c r="AR181" i="4"/>
  <c r="AR180" i="4"/>
  <c r="AR179" i="4"/>
  <c r="AR121" i="4"/>
  <c r="AR120" i="4"/>
  <c r="AR119" i="4"/>
  <c r="AR118" i="4"/>
  <c r="AR117" i="4"/>
  <c r="AR116" i="4"/>
  <c r="AR115" i="4"/>
  <c r="AR114" i="4"/>
  <c r="AR94" i="4"/>
  <c r="AR95" i="4"/>
  <c r="AR96" i="4"/>
  <c r="AR97" i="4"/>
  <c r="AR98" i="4"/>
  <c r="AR99" i="4"/>
  <c r="AR100" i="4"/>
  <c r="AR101" i="4"/>
  <c r="AR102" i="4"/>
  <c r="AS94" i="4"/>
  <c r="AS95" i="4"/>
  <c r="AS96" i="4"/>
  <c r="AS97" i="4"/>
  <c r="AS98" i="4"/>
  <c r="AS99" i="4"/>
  <c r="AS100" i="4"/>
  <c r="AS101" i="4"/>
  <c r="AS102" i="4"/>
  <c r="AS87" i="4"/>
  <c r="AS86" i="4"/>
  <c r="AS85" i="4"/>
  <c r="AS84" i="4"/>
  <c r="AS83" i="4"/>
  <c r="AR87" i="4"/>
  <c r="AR86" i="4"/>
  <c r="AR85" i="4"/>
  <c r="AR84" i="4"/>
  <c r="AR83" i="4"/>
  <c r="AS93" i="4"/>
  <c r="AS92" i="4"/>
  <c r="AS91" i="4"/>
  <c r="AS90" i="4"/>
  <c r="AS89" i="4"/>
  <c r="AR93" i="4"/>
  <c r="AR92" i="4"/>
  <c r="AR91" i="4"/>
  <c r="AR90" i="4"/>
  <c r="AR89" i="4"/>
  <c r="AM112" i="4" l="1"/>
  <c r="AM111" i="4"/>
  <c r="AM110" i="4"/>
  <c r="AM109" i="4"/>
  <c r="AM108" i="4"/>
  <c r="AM105" i="4"/>
  <c r="AM107" i="4"/>
  <c r="AM104" i="4"/>
  <c r="AM106" i="4"/>
  <c r="AM103" i="4"/>
  <c r="AM101" i="4"/>
  <c r="AM102" i="4"/>
  <c r="AM99" i="4"/>
  <c r="AM96" i="4"/>
  <c r="AM98" i="4"/>
  <c r="AM95" i="4"/>
  <c r="AM73" i="4"/>
  <c r="AM74" i="4"/>
  <c r="AM72" i="4"/>
  <c r="B166" i="7" l="1"/>
  <c r="B165" i="7"/>
  <c r="B164" i="7"/>
  <c r="F145" i="7"/>
  <c r="B149" i="7" s="1"/>
  <c r="F149" i="7" s="1"/>
  <c r="B153" i="7" s="1"/>
  <c r="H153" i="7" s="1"/>
  <c r="F137" i="7"/>
  <c r="B141" i="7" s="1"/>
  <c r="F141" i="7" s="1"/>
  <c r="H141" i="7" s="1"/>
  <c r="I141" i="7" s="1"/>
  <c r="F110" i="7"/>
  <c r="B114" i="7" s="1"/>
  <c r="F114" i="7" s="1"/>
  <c r="H114" i="7" s="1"/>
  <c r="I114" i="7" s="1"/>
  <c r="F118" i="7"/>
  <c r="B122" i="7" s="1"/>
  <c r="F122" i="7" s="1"/>
  <c r="B126" i="7" s="1"/>
  <c r="H126" i="7" s="1"/>
  <c r="F19" i="7"/>
  <c r="A103" i="7"/>
  <c r="C104" i="7"/>
  <c r="G12" i="7"/>
  <c r="B16" i="7" s="1"/>
  <c r="F24" i="7"/>
  <c r="B157" i="7" l="1"/>
  <c r="J157" i="7" s="1"/>
  <c r="J153" i="7"/>
  <c r="B130" i="7"/>
  <c r="J130" i="7" s="1"/>
  <c r="J126" i="7"/>
  <c r="D98" i="7"/>
  <c r="F97" i="7"/>
  <c r="E83" i="7"/>
  <c r="E75" i="7" l="1"/>
  <c r="B63" i="7"/>
  <c r="B64" i="7"/>
  <c r="B65" i="7"/>
  <c r="D55" i="7"/>
  <c r="D56" i="7"/>
  <c r="I76" i="7"/>
  <c r="B45" i="7"/>
  <c r="B76" i="7"/>
  <c r="B77" i="7"/>
  <c r="C77" i="7" s="1"/>
  <c r="B78" i="7"/>
  <c r="C78" i="7" s="1"/>
  <c r="B79" i="7"/>
  <c r="C79" i="7" s="1"/>
  <c r="B75" i="7"/>
  <c r="C75" i="7" s="1"/>
  <c r="E76" i="7"/>
  <c r="E78" i="7"/>
  <c r="E79" i="7"/>
  <c r="C76" i="7"/>
  <c r="C81" i="7" l="1"/>
  <c r="F75" i="7"/>
  <c r="D77" i="7"/>
  <c r="E77" i="7" s="1"/>
  <c r="E81" i="7" s="1"/>
  <c r="F78" i="7"/>
  <c r="F79" i="7"/>
  <c r="B28" i="7"/>
  <c r="F28" i="7" s="1"/>
  <c r="G6" i="7"/>
  <c r="D58" i="7" l="1"/>
  <c r="D59" i="7" s="1"/>
  <c r="B86" i="7"/>
  <c r="C86" i="7" s="1"/>
  <c r="B32" i="7"/>
  <c r="H32" i="7" s="1"/>
  <c r="B88" i="7"/>
  <c r="B90" i="7"/>
  <c r="B89" i="7"/>
  <c r="B87" i="7"/>
  <c r="B67" i="7"/>
  <c r="F77" i="7"/>
  <c r="F76" i="7"/>
  <c r="B36" i="7" l="1"/>
  <c r="J36" i="7" s="1"/>
  <c r="D87" i="7"/>
  <c r="D86" i="7"/>
  <c r="J16" i="7"/>
  <c r="C89" i="7"/>
  <c r="D89" i="7"/>
  <c r="C87" i="7"/>
  <c r="D90" i="7"/>
  <c r="C90" i="7"/>
  <c r="E63" i="7"/>
  <c r="C65" i="7"/>
  <c r="E65" i="7" s="1"/>
  <c r="C64" i="7"/>
  <c r="E64" i="7" s="1"/>
  <c r="D88" i="7"/>
  <c r="C88" i="7"/>
  <c r="B44" i="7" l="1"/>
  <c r="B169" i="7"/>
  <c r="B46" i="7"/>
  <c r="B170" i="7"/>
  <c r="C92" i="7"/>
  <c r="F86" i="7"/>
  <c r="E86" i="7"/>
  <c r="F88" i="7"/>
  <c r="E88" i="7"/>
  <c r="E90" i="7"/>
  <c r="F90" i="7"/>
  <c r="E89" i="7"/>
  <c r="F89" i="7"/>
  <c r="E87" i="7"/>
  <c r="F87" i="7"/>
  <c r="B171" i="7" l="1"/>
  <c r="E92" i="7"/>
  <c r="E9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<sst xmlns="http://schemas.openxmlformats.org/spreadsheetml/2006/main" count="7821" uniqueCount="1430">
  <si>
    <t xml:space="preserve">Larvae size </t>
  </si>
  <si>
    <t>Day</t>
  </si>
  <si>
    <t>Development</t>
  </si>
  <si>
    <t>Early</t>
  </si>
  <si>
    <t>Peak</t>
  </si>
  <si>
    <t>Late</t>
  </si>
  <si>
    <t>nmol larva^-1min^-1</t>
  </si>
  <si>
    <t>Study</t>
  </si>
  <si>
    <t>Coral</t>
  </si>
  <si>
    <t>Where sampled</t>
  </si>
  <si>
    <t>Upper non bleached area</t>
  </si>
  <si>
    <t>5 x 10^6cm^-2</t>
  </si>
  <si>
    <t>Symbiont density range</t>
  </si>
  <si>
    <t>Symbiont density average</t>
  </si>
  <si>
    <t>2-8 x 10^6cm^-2</t>
  </si>
  <si>
    <t>10 x 10^5 cm^-2</t>
  </si>
  <si>
    <t>Acropora aspera</t>
  </si>
  <si>
    <t>Acropora formosa</t>
  </si>
  <si>
    <t>Platygyra daedalea</t>
  </si>
  <si>
    <t>Acropora millepora</t>
  </si>
  <si>
    <t>Porites lutea</t>
  </si>
  <si>
    <t>Porites cylindrica</t>
  </si>
  <si>
    <t>Montipora digitata</t>
  </si>
  <si>
    <t>9-13 x 10^5 cm^-2</t>
  </si>
  <si>
    <t>12 x 10^5 cm^-2</t>
  </si>
  <si>
    <t>10-13 x 10^5 cm^-2</t>
  </si>
  <si>
    <t>8-12.5 x 10^5 cm^-2</t>
  </si>
  <si>
    <t>13-17 x 10^5 cm^-2</t>
  </si>
  <si>
    <t>15 x 10^5 cm^-2</t>
  </si>
  <si>
    <t>9-14 x 10^5 cm^-2</t>
  </si>
  <si>
    <t>13 x 10^5 cm^-2</t>
  </si>
  <si>
    <t>13-18 x 10^5 cm^-2</t>
  </si>
  <si>
    <t>Orbicella faveolata</t>
  </si>
  <si>
    <t>Coral polyp diameter (mm)</t>
  </si>
  <si>
    <t>Kemp et al 2014 - symbiont</t>
  </si>
  <si>
    <t>Fisher et al 2011-symbiont</t>
  </si>
  <si>
    <t>Fisher et al 2011-symbiont, Leuzinger et al host</t>
  </si>
  <si>
    <t>Acropora tenuis</t>
  </si>
  <si>
    <t>Leuzinger et al host</t>
  </si>
  <si>
    <t>Galaxea fascicularis</t>
  </si>
  <si>
    <t>Lobophyllia hemprichii</t>
  </si>
  <si>
    <t>Symphyllia recta</t>
  </si>
  <si>
    <t>Goniastrea retiformis</t>
  </si>
  <si>
    <t>Platygyra sinensis</t>
  </si>
  <si>
    <t>Mieog et al 2009 - symbiont</t>
  </si>
  <si>
    <t>1.4-1.8 x 10^6 cm^-2</t>
  </si>
  <si>
    <t>1.6 x 10^6 cm^-2</t>
  </si>
  <si>
    <t>Fisher et al 2011-symbiont-Sabater 2004 &lt;- he said tip to base</t>
  </si>
  <si>
    <t>G. retiformis</t>
  </si>
  <si>
    <t>Veron et al 1993</t>
  </si>
  <si>
    <t>S. pistillata</t>
  </si>
  <si>
    <t>Hall et al 1996</t>
  </si>
  <si>
    <t>0.9 - 2.7 x 10^6 cells/mg^-1</t>
  </si>
  <si>
    <t>1.75 x 10^6 cells/mg^-1</t>
  </si>
  <si>
    <t>Hoogenboom 2009-symbiont, Schiller 1993-host</t>
  </si>
  <si>
    <t>Symbiont density average 10^5</t>
  </si>
  <si>
    <t>Symbiont density average 10^6</t>
  </si>
  <si>
    <t>Acropora palmata</t>
  </si>
  <si>
    <t>Fitt 2000 - symbiont</t>
  </si>
  <si>
    <t>1-3.8 x 10^6 cm^-2</t>
  </si>
  <si>
    <t>2.2 x 10^6 cm^-2</t>
  </si>
  <si>
    <t>Acropora cervicornis</t>
  </si>
  <si>
    <t>0.8-1.8 x 10^6 cm^-2</t>
  </si>
  <si>
    <t>1.5 x 10^6 cm^-2</t>
  </si>
  <si>
    <t>Montastrea faveolata</t>
  </si>
  <si>
    <t>0.5-6.8 x 10^6 cm^-2</t>
  </si>
  <si>
    <t>3.5 x 10^6 cm^-2</t>
  </si>
  <si>
    <t>Montastrea annularis</t>
  </si>
  <si>
    <t>0.5-4.3 x 10^6 cm^-2</t>
  </si>
  <si>
    <t>2.5 x 10^6^-2</t>
  </si>
  <si>
    <t xml:space="preserve">already included </t>
  </si>
  <si>
    <t>Fisher et al 2011-symbiont, Pacherres host</t>
  </si>
  <si>
    <t>Symbiont density average (10^6)</t>
  </si>
  <si>
    <t>Location</t>
  </si>
  <si>
    <t>Species</t>
  </si>
  <si>
    <t>Pocillopora damicornis</t>
  </si>
  <si>
    <t># colonies</t>
  </si>
  <si>
    <t># larvae</t>
  </si>
  <si>
    <t>Temp</t>
  </si>
  <si>
    <t>larvae</t>
  </si>
  <si>
    <t>Notes</t>
  </si>
  <si>
    <t>28-35</t>
  </si>
  <si>
    <t>5-9, 42</t>
  </si>
  <si>
    <t>Respiration</t>
  </si>
  <si>
    <t>Conclusions</t>
  </si>
  <si>
    <t>Haryanti and Hidaka 2015</t>
  </si>
  <si>
    <t>Favia fragum</t>
  </si>
  <si>
    <t>Chamberland et al. 2017</t>
  </si>
  <si>
    <t>Colony size</t>
  </si>
  <si>
    <t>13.9 cm^2 +- 3.3, mean+-s.d.</t>
  </si>
  <si>
    <t>Curacao Sea Aquarium reef</t>
  </si>
  <si>
    <t>20 each parent each day, or entire brood if &lt;20</t>
  </si>
  <si>
    <t>Size measurment</t>
  </si>
  <si>
    <t>longitudinal and transversal axes, volume using colume of a spheroid</t>
  </si>
  <si>
    <t>28.5 +- 0.3 (mean+-sd)</t>
  </si>
  <si>
    <t>31.1+-0.2 (mean+-sd)</t>
  </si>
  <si>
    <t>Future Studies</t>
  </si>
  <si>
    <t># symbionts (x10^4 cells larva^-1) vs larval size (mm^3)</t>
  </si>
  <si>
    <t>density of symbionts (x10^4 cells mm^-3) vs larval size (mm^3)</t>
  </si>
  <si>
    <t>y=-33261x+39232 R^2 0.08</t>
  </si>
  <si>
    <t>y=31592x+153, R^2=0.8</t>
  </si>
  <si>
    <t>They also looked at whether larvae with more symbionts can delay settlement by exposing them with and without settlement cues. They also looked at larvae with different symbiont densities (low, med, high) and saw how they change in survival and behavior Ambient: 28.5 +- 0.3 (mean+-sd) High: 31.1+-0.2 (mean+-sd). They also looked at fv/fm</t>
  </si>
  <si>
    <t>What also influences differences in symbiont density in larvae? Future studies where larvae are not only seperated by symbiont density, but also size are needed to conclusively confirm this hypothesis. B/c this study seperated symbionts with symbiont density when they exposed them to different temperature treatments and looked at physiology. Look at settlement rate. ^Haven't other studies done this? Look at large larvar with high symbiont densities and vice versa? However, during warmer periods, larvae harbouring high symbiont densities, regardless of size, are prone to oxidative damage so that large larvae with high symbiont densities can be expected to perform worse than smaller larvae provisioned with low symbiont densities. BUT what about large and small larvae with high densities? Oh wait this study looked at that with the high density thing...Look at large larvar with high symbiont densities and vice versa? However, during warmer periods, larvae harbouring high symbiont densities, regardless of size, are prone to oxidative damage so that large larvae with high symbiont densities can be expected to perform worse than smaller larvae provisioned with low symbiont densities. BUT what about large and small larvae with high densities? Oh wait this study looked at that with the high density thing...</t>
  </si>
  <si>
    <t>Total number of symbionts per larva increased with size (R^2=0.8), but the size explained only 8% of the variation in symbiont density (R^2:0.08). When provided with settlement cues right after release, larvae with high symbiont densities swam longer and settled at lower rates than those with lower symbiont densities. High densities are good if there is a lack of resources (i.e. settlement habitats), but bad at high temps. No correlation between number of larvae produced and per-offspring allocation of resources (size &amp; symbiont #). Larvae with high symbiont densities had a higher photosynthetic efficiency. At high temps, larvae with higher densities had lower photosynthetic efficiency and survival rates. Nearly all F. fragum larvae that had been exposed to heat stress failed to settle, regardless of symbiont density. Mothers produce larvae of all possible combinations of sizes and symbiont densities.</t>
  </si>
  <si>
    <t>Chamberland et al. 2018</t>
  </si>
  <si>
    <t>Rivest and Hofmann 2014</t>
  </si>
  <si>
    <t>Moorea</t>
  </si>
  <si>
    <t>nmol O2</t>
  </si>
  <si>
    <t>mg protein</t>
  </si>
  <si>
    <t>min</t>
  </si>
  <si>
    <t>micrograms</t>
  </si>
  <si>
    <t>mmol O2</t>
  </si>
  <si>
    <t>larva</t>
  </si>
  <si>
    <t>How many mmol O2 in a larva</t>
  </si>
  <si>
    <t>J</t>
  </si>
  <si>
    <t>Lipids</t>
  </si>
  <si>
    <t>Photosynthesis</t>
  </si>
  <si>
    <t>mg O2</t>
  </si>
  <si>
    <t>hour</t>
  </si>
  <si>
    <t>mol O2</t>
  </si>
  <si>
    <t>KJ</t>
  </si>
  <si>
    <t>Lipid</t>
  </si>
  <si>
    <t>J/larva/min</t>
  </si>
  <si>
    <t>Richmond says it settles at 1/3 size</t>
  </si>
  <si>
    <t>Cumbo et al. 2013</t>
  </si>
  <si>
    <t>~160000–200000 symbionts</t>
  </si>
  <si>
    <t>Settlement costs</t>
  </si>
  <si>
    <t>Respiration increased 83% in S. caliendrum, dut didn't directly get larvae respiration rates</t>
  </si>
  <si>
    <t>Day 1</t>
  </si>
  <si>
    <t>Day 2</t>
  </si>
  <si>
    <t>Day 3</t>
  </si>
  <si>
    <t>Day 4</t>
  </si>
  <si>
    <t>Day 5</t>
  </si>
  <si>
    <t>% increase</t>
  </si>
  <si>
    <t>Based on S. caliendrum</t>
  </si>
  <si>
    <t>nmol O2/larva/min</t>
  </si>
  <si>
    <t>nmol O2/recruit/min</t>
  </si>
  <si>
    <t>For P. dam</t>
  </si>
  <si>
    <t>min 1 day</t>
  </si>
  <si>
    <t>mmol O2/larva/min</t>
  </si>
  <si>
    <t>Difference</t>
  </si>
  <si>
    <t>&lt;- J needed to settle</t>
  </si>
  <si>
    <t>Actual (paper) 5.3 days</t>
  </si>
  <si>
    <t>Richmond 1992</t>
  </si>
  <si>
    <t>Larvae</t>
  </si>
  <si>
    <t>Adults</t>
  </si>
  <si>
    <t>mJ</t>
  </si>
  <si>
    <t>Lost</t>
  </si>
  <si>
    <t>Composition of a larva</t>
  </si>
  <si>
    <t>Richmond 1987</t>
  </si>
  <si>
    <t>protein</t>
  </si>
  <si>
    <t>%</t>
  </si>
  <si>
    <t>lipid</t>
  </si>
  <si>
    <t>carbs</t>
  </si>
  <si>
    <t>J/mg oxygen consumed for oxidation of substrate</t>
  </si>
  <si>
    <t>&lt;- consume this many juoles/mg O2 respired</t>
  </si>
  <si>
    <t>Joules</t>
  </si>
  <si>
    <t>Total larva</t>
  </si>
  <si>
    <t>O2 consumed (mg O2/larva/min)</t>
  </si>
  <si>
    <t>&lt;- not sure about conversion</t>
  </si>
  <si>
    <t>J/mg O2</t>
  </si>
  <si>
    <t>How to get total O2 consumption</t>
  </si>
  <si>
    <t>&lt;- mg O2 consumed/larva/min</t>
  </si>
  <si>
    <t>&lt;- Similar to the respiration number</t>
  </si>
  <si>
    <t>441 J/mol O2</t>
  </si>
  <si>
    <t>Oxygenthapic equivalent of lipid (Gnaiger 1983)</t>
  </si>
  <si>
    <t>Energy loss rate</t>
  </si>
  <si>
    <t>How long a larva can stay a larva</t>
  </si>
  <si>
    <t>&lt;- extra J needed to settle</t>
  </si>
  <si>
    <t>S. caliendrum has 1.51 J/larva Edmunds 2013</t>
  </si>
  <si>
    <t>2.3-3.1 J/larva</t>
  </si>
  <si>
    <t>mmol O2/recruit/min</t>
  </si>
  <si>
    <r>
      <t>Total J</t>
    </r>
    <r>
      <rPr>
        <sz val="12"/>
        <color theme="1"/>
        <rFont val="Calibri (Body)"/>
      </rPr>
      <t>/5.3 days</t>
    </r>
  </si>
  <si>
    <t>mJ/larva/day</t>
  </si>
  <si>
    <t>Pete says the energy loss rate is 45 mJ</t>
  </si>
  <si>
    <t>day</t>
  </si>
  <si>
    <t>hours</t>
  </si>
  <si>
    <t>hours of photosynthesis</t>
  </si>
  <si>
    <t>mJ/larva</t>
  </si>
  <si>
    <t>Difference -&gt;</t>
  </si>
  <si>
    <t>&lt;- 49% more energy used to settle</t>
  </si>
  <si>
    <t>60 microgram protein/larva</t>
  </si>
  <si>
    <t>10,200 symbiodinium per larva</t>
  </si>
  <si>
    <t>0.15 nmol O2/larva/min</t>
  </si>
  <si>
    <t>mg</t>
  </si>
  <si>
    <t>conversion factor for lipid</t>
  </si>
  <si>
    <t>How many joules of a lipid</t>
  </si>
  <si>
    <t>2.3-3.1, avg 2.7 J/larva</t>
  </si>
  <si>
    <t>32-37 micrograms lipid/larva</t>
  </si>
  <si>
    <t>Based on Harii, photosynthesis should be higher</t>
  </si>
  <si>
    <t>Metabolic demand</t>
  </si>
  <si>
    <t>Other (photosynthesis?)</t>
  </si>
  <si>
    <t>Based on my calculations</t>
  </si>
  <si>
    <t>Should be lower, but not a lot</t>
  </si>
  <si>
    <t>Should be much higher</t>
  </si>
  <si>
    <t>Connecting my calculations with reality</t>
  </si>
  <si>
    <t>Testing where consumption is high and photosynthesis is low from Richmond 1987 numbers</t>
  </si>
  <si>
    <t>Testing where consumption is low and photosynthesis is high from Richmond 1987 numbers</t>
  </si>
  <si>
    <t>Edmunds 2013</t>
  </si>
  <si>
    <t>Days_post_settle</t>
  </si>
  <si>
    <t>20-21</t>
  </si>
  <si>
    <t>Cumbo et al 2012</t>
  </si>
  <si>
    <t>Edmunds et al 2011</t>
  </si>
  <si>
    <t>Taiwan</t>
  </si>
  <si>
    <t>Seriatopora hystrix</t>
  </si>
  <si>
    <t>Stylophora pistillata</t>
  </si>
  <si>
    <t>Life_stage</t>
  </si>
  <si>
    <t>Release_day</t>
  </si>
  <si>
    <t>pCO2_microatm</t>
  </si>
  <si>
    <t>60-180</t>
  </si>
  <si>
    <t>Respiration_SE</t>
  </si>
  <si>
    <t>Reproduction_mode</t>
  </si>
  <si>
    <t>Symbionts</t>
  </si>
  <si>
    <t>brooding</t>
  </si>
  <si>
    <t>broadcasting</t>
  </si>
  <si>
    <t>yes</t>
  </si>
  <si>
    <t>no</t>
  </si>
  <si>
    <t>Temp_type</t>
  </si>
  <si>
    <t>high</t>
  </si>
  <si>
    <t>ambient</t>
  </si>
  <si>
    <t>The biology of larvae from the reef coral Porites astreoides, and their response to temperature disturbances</t>
  </si>
  <si>
    <t>Edmunds et al 2001</t>
  </si>
  <si>
    <t>Effects of temperature on the respiration of brooded larvae from tropical reef corals</t>
  </si>
  <si>
    <t>Temperature dependence of respiration in larvae and adult colonies of the corals Acropora tenuis and Pocillopora damicornis</t>
  </si>
  <si>
    <t>Metabolic costs of larval settlement and metamorphosis in the coral Seriatopora caliendrum under ambient and elevated pCO2</t>
  </si>
  <si>
    <t>Physiological development of brooded larvae from two pocilloporid corals in Taiwan</t>
  </si>
  <si>
    <t>In_text</t>
  </si>
  <si>
    <t>Title</t>
  </si>
  <si>
    <t>Porites astreoides</t>
  </si>
  <si>
    <t>Conch Reef, Florida</t>
  </si>
  <si>
    <t>reduced</t>
  </si>
  <si>
    <t>median: 0%</t>
  </si>
  <si>
    <t>median: 7%</t>
  </si>
  <si>
    <t>experiment over 6 days, which?</t>
  </si>
  <si>
    <t>5238 +- 452, n=11</t>
  </si>
  <si>
    <t>Morph</t>
  </si>
  <si>
    <t>Brown</t>
  </si>
  <si>
    <t>spat</t>
  </si>
  <si>
    <t>Temp_exposure_min</t>
  </si>
  <si>
    <t>Treatment_Temp</t>
  </si>
  <si>
    <t>higher</t>
  </si>
  <si>
    <t>highest</t>
  </si>
  <si>
    <t>Responses of the metabolism of the larvae of Pocillopora damicornis to ocean acidification and warming</t>
  </si>
  <si>
    <t>The relative contribution of dinoflagellate photosynthesis and stored lipids to the survivorship of symbiotic larvae of the reef-building corals</t>
  </si>
  <si>
    <t>Harii et al 2010</t>
  </si>
  <si>
    <t>October 28 2005</t>
  </si>
  <si>
    <t>Spawning Nov 20, 2005</t>
  </si>
  <si>
    <t>54.8 +-3.3</t>
  </si>
  <si>
    <t xml:space="preserve">44.6 +- 9.9 </t>
  </si>
  <si>
    <t xml:space="preserve">47.7 +- 20.1 </t>
  </si>
  <si>
    <t>50-200</t>
  </si>
  <si>
    <t>200-400</t>
  </si>
  <si>
    <t>Rodriguez-Lanetty et al 2009</t>
  </si>
  <si>
    <t>Heron Island, GBR</t>
  </si>
  <si>
    <t>November 13 2006</t>
  </si>
  <si>
    <t>Early molecular responses of coral larvae to hyperthermal stress</t>
  </si>
  <si>
    <t>Detecting hyperthermal stress in larvae of the hermatypic coral Porites astreoides: The suitability of using biomarkers of oxidative stress versus heat-shock protein transcriptional expression</t>
  </si>
  <si>
    <t>Olsen et al 2013</t>
  </si>
  <si>
    <t>&lt;200 micromol m^-2 s^-1</t>
  </si>
  <si>
    <t>Ross et al 2013</t>
  </si>
  <si>
    <t>Short-term and latent post-settlement effects associated with elevated temperature and oxidative stress on larvae from the coral Porites astreoides</t>
  </si>
  <si>
    <t>Florida Keys</t>
  </si>
  <si>
    <t>Wonderland reef, Florida Keys</t>
  </si>
  <si>
    <t>ml O2</t>
  </si>
  <si>
    <t>micro mol</t>
  </si>
  <si>
    <t>nano mol</t>
  </si>
  <si>
    <t>(value*1000)/(60*0.02241)</t>
  </si>
  <si>
    <t>Acropora intermedia</t>
  </si>
  <si>
    <t xml:space="preserve">Bise, Okinawa </t>
  </si>
  <si>
    <t>Okubo et al 2008</t>
  </si>
  <si>
    <t>Oxygen consumption of a single embryo/planula in the reef-building coral Acropora intermedia</t>
  </si>
  <si>
    <t>June 17 2007 (2nd day?)</t>
  </si>
  <si>
    <t>Brooded coral larvae differ in their response to high temperature and elevated pCO2 depending on the day of release</t>
  </si>
  <si>
    <t>Cumbo et al 2013</t>
  </si>
  <si>
    <t>Ross et al 2010</t>
  </si>
  <si>
    <t>Putnam et al 2013</t>
  </si>
  <si>
    <t>Graham et al 2013</t>
  </si>
  <si>
    <t>Anthony et al 2013</t>
  </si>
  <si>
    <t>Effect of elevated temperature on aerobic respiration of coral recruits</t>
  </si>
  <si>
    <t>Edmunds 2005</t>
  </si>
  <si>
    <t>The contribution of photosynthetic products to coral reproduction</t>
  </si>
  <si>
    <t>Rinkevich 1989</t>
  </si>
  <si>
    <t>Survival dynamics of scleractinian coral larvae and implications for dispersal</t>
  </si>
  <si>
    <t>Graham et al 2008</t>
  </si>
  <si>
    <t>In_metaanalysis?</t>
  </si>
  <si>
    <t>Rapid declines in metabolism explain extended coral larval longevity</t>
  </si>
  <si>
    <t>Orpheus Island, Australia</t>
  </si>
  <si>
    <t>Acropora nasuta</t>
  </si>
  <si>
    <t>Acropora spathulata</t>
  </si>
  <si>
    <t>Goniastrea aspera</t>
  </si>
  <si>
    <t>egg</t>
  </si>
  <si>
    <t>embryo</t>
  </si>
  <si>
    <t>competent</t>
  </si>
  <si>
    <t>Area_SE</t>
  </si>
  <si>
    <t>no respiration</t>
  </si>
  <si>
    <t>Temp_relative</t>
  </si>
  <si>
    <t>Gross_photosynthesis_SE</t>
  </si>
  <si>
    <t>June 11 1999</t>
  </si>
  <si>
    <t>June 12 1999</t>
  </si>
  <si>
    <t>June 13 1999</t>
  </si>
  <si>
    <t>June 14 1999</t>
  </si>
  <si>
    <t>June 15 1999</t>
  </si>
  <si>
    <t>June 16 1999</t>
  </si>
  <si>
    <t>June 17 1999</t>
  </si>
  <si>
    <t>June 18 1999</t>
  </si>
  <si>
    <t>0-1440</t>
  </si>
  <si>
    <t>Survivorship_duration_hrs</t>
  </si>
  <si>
    <t>Nakamura et al 2011</t>
  </si>
  <si>
    <t>Coral larvae under ocean acidification: Survival, metabolism, and metamorphosis</t>
  </si>
  <si>
    <t>Acropora digitifera</t>
  </si>
  <si>
    <t>Sesoko Island, Okinawa Island</t>
  </si>
  <si>
    <t>was recorded for exposure of treatments for 2 hrs and 7 days..</t>
  </si>
  <si>
    <t>OA_type</t>
  </si>
  <si>
    <t>Area_mm2</t>
  </si>
  <si>
    <t>Fv.Fm</t>
  </si>
  <si>
    <t>Fv.Fm_SE</t>
  </si>
  <si>
    <t>Symbiodinium.larva</t>
  </si>
  <si>
    <t>Symbiodinium.larva_SE</t>
  </si>
  <si>
    <t>Database</t>
  </si>
  <si>
    <t>Gaither and ﻿Rowan 2010</t>
  </si>
  <si>
    <t>Zooxanthellar symbiosis in planula larvae of the coral Pocillopora damicornis</t>
  </si>
  <si>
    <t>Gaither and Rowan 2010</t>
  </si>
  <si>
    <t>East Agana Bay, Guam</t>
  </si>
  <si>
    <t>23-25</t>
  </si>
  <si>
    <t>μg O2</t>
  </si>
  <si>
    <t xml:space="preserve">hr/mg(dry weight of one planula) </t>
  </si>
  <si>
    <t>mol</t>
  </si>
  <si>
    <t>miligrams of a larva</t>
  </si>
  <si>
    <t>nmol O2/min/larva</t>
  </si>
  <si>
    <t>Equation</t>
  </si>
  <si>
    <t>Respiration_nmolO2larvmin</t>
  </si>
  <si>
    <t>settled_perc</t>
  </si>
  <si>
    <t>settled_SE</t>
  </si>
  <si>
    <t>settled_hrs</t>
  </si>
  <si>
    <t>survivorship_perc</t>
  </si>
  <si>
    <t>survivorship_SE</t>
  </si>
  <si>
    <t>Nanwan Bay, Taiwan</t>
  </si>
  <si>
    <t>370 +- 6 micromol quanta/m^2/s (+-SE, n=16)</t>
  </si>
  <si>
    <t>2010, 8</t>
  </si>
  <si>
    <t>2010, 9</t>
  </si>
  <si>
    <t>2010, 10</t>
  </si>
  <si>
    <t>2010, 11</t>
  </si>
  <si>
    <t>2012, 9</t>
  </si>
  <si>
    <t>2012, 10</t>
  </si>
  <si>
    <t>2012, 11</t>
  </si>
  <si>
    <t>2012, 12</t>
  </si>
  <si>
    <t>nano mol O2</t>
  </si>
  <si>
    <t>equals</t>
  </si>
  <si>
    <t>micrograms O2</t>
  </si>
  <si>
    <t>kilograms O2</t>
  </si>
  <si>
    <t>grams</t>
  </si>
  <si>
    <t>Effects of exposure duration on the response of Pocillopora damicornis larvae to elevated temperature and high pCO2</t>
  </si>
  <si>
    <t>Cumbo et al 2013b</t>
  </si>
  <si>
    <t>For Haryanti and Hidaka 2015</t>
  </si>
  <si>
    <t>For Okubo 2008</t>
  </si>
  <si>
    <t>(value*1000000000*0.1005)/(1000*32000*60)</t>
  </si>
  <si>
    <t>nmolO2 -&gt; microgramO2</t>
  </si>
  <si>
    <t>ml O2/hr -&gt; nmol/min</t>
  </si>
  <si>
    <t>μg O2/hr/mg dry weight one larva -&gt; nmol O2/min/larva</t>
  </si>
  <si>
    <t>For Cumbo et al 2013b</t>
  </si>
  <si>
    <t>nmol O2/mg protein/min</t>
  </si>
  <si>
    <t>value</t>
  </si>
  <si>
    <t>mg protein/min</t>
  </si>
  <si>
    <t>pdam larva</t>
  </si>
  <si>
    <t>microg protein</t>
  </si>
  <si>
    <t>nmol/larva/min</t>
  </si>
  <si>
    <t>equation:</t>
  </si>
  <si>
    <t>(respiration value * microgram protein value)/1000</t>
  </si>
  <si>
    <t>ANSWER=</t>
  </si>
  <si>
    <t>Effects of the Florida red tide dinoflagellate, Karenia brevis, on oxidative stress and metamorphosis of larvae of the coral Porites astreoides</t>
  </si>
  <si>
    <t>4 micromol m^-2s^-1 (ambient)</t>
  </si>
  <si>
    <t>﻿Serrano et al 2018</t>
  </si>
  <si>
    <t>Effects of thermal stress and nitrate enrichment on the larval performance of two Caribbean reef corals</t>
  </si>
  <si>
    <t>~90 micromol m^-2s^-1</t>
  </si>
  <si>
    <t>8-10</t>
  </si>
  <si>
    <t xml:space="preserve">haryanti 2015 -&gt; </t>
  </si>
  <si>
    <t>Net_photosynthesis_nmolO2larvmin</t>
  </si>
  <si>
    <t>Fecundity and the demographic strategies of coral morphologies</t>
  </si>
  <si>
    <t>Enewetak Atoll, Marshall Islands &amp; Kaneohe Bay, Hawaii (or just HI?)</t>
  </si>
  <si>
    <t>Type B</t>
  </si>
  <si>
    <t>Type Y</t>
  </si>
  <si>
    <t>30-50</t>
  </si>
  <si>
    <t>probably a day, but not sure how old</t>
  </si>
  <si>
    <t>For Richmond 1987</t>
  </si>
  <si>
    <t>mg O2/planula/hour -&gt; nmol O2/larva/min</t>
  </si>
  <si>
    <t>larva/hour</t>
  </si>
  <si>
    <t>equation</t>
  </si>
  <si>
    <t>(value*1000000000)/(32000*60)</t>
  </si>
  <si>
    <t>equation for SE (used to be SD)</t>
  </si>
  <si>
    <t>(((SD value/(SQRT(4))))*1000000000)/(32000*60)</t>
  </si>
  <si>
    <t>Net_photosynthesis_SE</t>
  </si>
  <si>
    <t>Energetics, competency, and long-distance dispersal of planula larvae of the coral Pocillopora damicornis</t>
  </si>
  <si>
    <t>Okinawa</t>
  </si>
  <si>
    <t>Degradation and proliferation of zooxanthellae in planulae of the hermatypic coral Styfophora pistillata</t>
  </si>
  <si>
    <t>﻿Titlyanov et al 1998</t>
  </si>
  <si>
    <t>300-500</t>
  </si>
  <si>
    <t>microl O2/larva/hour</t>
  </si>
  <si>
    <t>30-60</t>
  </si>
  <si>
    <t>22400 ml per mol</t>
  </si>
  <si>
    <t>For ﻿Titlyanov et al 1998</t>
  </si>
  <si>
    <t>microL</t>
  </si>
  <si>
    <t>minute</t>
  </si>
  <si>
    <t>(value*1000000000)/(22400000*60)</t>
  </si>
  <si>
    <t>Coomassie Brilliant Blue procedure &lt;- part of bradford assay?: protein</t>
  </si>
  <si>
    <t>Holding temp was 24C</t>
  </si>
  <si>
    <t>n_resp</t>
  </si>
  <si>
    <t>larvae exposed to: 10 % photosynthetic active radiation (&lt;200 micromol m^-2s^-1)</t>
  </si>
  <si>
    <t>Gross_photosynthesis_nmolO2larvmin</t>
  </si>
  <si>
    <t>larvae_resp</t>
  </si>
  <si>
    <t>June 2010- 1</t>
  </si>
  <si>
    <t>June 2010- 3</t>
  </si>
  <si>
    <t>June 2010- 5</t>
  </si>
  <si>
    <t>June 2010- 7</t>
  </si>
  <si>
    <t>June 2010- 9</t>
  </si>
  <si>
    <t>July 2010- 5</t>
  </si>
  <si>
    <t>July 2010- 7</t>
  </si>
  <si>
    <t>July 2010- 9</t>
  </si>
  <si>
    <t>natural
ambient pH: 8
OA pH: 7.3 &amp; 7.6</t>
  </si>
  <si>
    <t>Biomass is dry weight, Lyophilized (freeze dried) 
57+-1% ambient (+- STDEV), photosynthesis taken at light-saturated net photosynthetic rate</t>
  </si>
  <si>
    <t>temp exposure just during respiration trials. Holding temp was at 28-30C, but respiration done at 24C for some reason they didn't explain
800 micromol m^-2s^-1</t>
  </si>
  <si>
    <t>Useful conversions</t>
  </si>
  <si>
    <t>Temperature exposure just during respiration trial. Otherwise held at 25-26C
Days_post_release is actually days post fertilization
Indoor light
Dry biomass of acropora</t>
  </si>
  <si>
    <t>Family</t>
  </si>
  <si>
    <t>Respiration_OG</t>
  </si>
  <si>
    <t>Seriatopora caliendrum</t>
  </si>
  <si>
    <t>Titlyanov et al 1998</t>
  </si>
  <si>
    <t>Serrano et al 2018</t>
  </si>
  <si>
    <t>4-6</t>
  </si>
  <si>
    <t>5-6</t>
  </si>
  <si>
    <t>3-4</t>
  </si>
  <si>
    <t>1-2</t>
  </si>
  <si>
    <t>nina</t>
  </si>
  <si>
    <t>respiration</t>
  </si>
  <si>
    <t>xy</t>
  </si>
  <si>
    <t>Nina</t>
  </si>
  <si>
    <t>sum xy</t>
  </si>
  <si>
    <t>sum x</t>
  </si>
  <si>
    <t>sum y</t>
  </si>
  <si>
    <t>n</t>
  </si>
  <si>
    <t>x^2</t>
  </si>
  <si>
    <t>sum X^2</t>
  </si>
  <si>
    <t>Y^2</t>
  </si>
  <si>
    <t>sum y^2</t>
  </si>
  <si>
    <t>sample covariance</t>
  </si>
  <si>
    <t>mean x</t>
  </si>
  <si>
    <t>mean y</t>
  </si>
  <si>
    <t>X*Y delta</t>
  </si>
  <si>
    <t>Ocean acidification impacts multiple early life history processes of the Caribbean coral Porites astreoides</t>
  </si>
  <si>
    <t>Albright and Langdon 2011</t>
  </si>
  <si>
    <t>Summerland Key, Florida</t>
  </si>
  <si>
    <t>6</t>
  </si>
  <si>
    <t>mid</t>
  </si>
  <si>
    <t>Other things measured</t>
  </si>
  <si>
    <t>Settlement, juvenile growth, Spectrofluorometry</t>
  </si>
  <si>
    <t>Preconditioning in the reef-building coral Pocillopora damicornis and the potential for trans-generational acclimatization in coral larvae under future climate change conditions</t>
  </si>
  <si>
    <t>Putnam and Gates 2015</t>
  </si>
  <si>
    <t>Kaneohe Bay, Hawaii</t>
  </si>
  <si>
    <t xml:space="preserve">12:12 light ~396 +-4 micromol quanta m^-2s^-1 
Larvae collected over 4 days and exposed to treatments for 5 days. They must have been collected each day and put in treatment right away so the 5 day timer started after release. Instead of collect for 4 days then put in treatment because one treatment is ambient and that would have esentially started right away. 
Planar surface area (mm^2) </t>
  </si>
  <si>
    <t>sep 2011 (over 4 days)</t>
  </si>
  <si>
    <t>Edmunds and Wall 2014</t>
  </si>
  <si>
    <t>Respiration of Seriatopora caliendrum recruits (2 and 5 days post settlement)
Aerobic respiration of S. caliendrum recruits? with and without protein synthesis inhibitor emetine following 1-4 days at 45 Pa vs. 77 Pa pCO2.
Flux of ammonium to look at protein catablosim under high pCO2 with juvenile corals.</t>
  </si>
  <si>
    <t>Evidence that high pCO2 affects protein metabolism in tropical reef corals</t>
  </si>
  <si>
    <t>Variation in Coral Photosynthesis, Respiration and Growth Characteristics in Contrasting Light Microhabitats: An Analogue to Plants in Forest Gaps and Understoreys?</t>
  </si>
  <si>
    <t>title and abstract</t>
  </si>
  <si>
    <t>no larvae</t>
  </si>
  <si>
    <t>paper</t>
  </si>
  <si>
    <t>why?</t>
  </si>
  <si>
    <t>Survivorship
Fv/Fm
qPCR: mRNA 
Nucleic acid (RNA &amp; DNA extractions)
Protein expression (rubisco protein)</t>
  </si>
  <si>
    <t>176 +- 2 micromol photons m^-2s^-1 (+- SE
Planar surface area from photographs of 10 larvae per tank using image J
10 larvae, except HTHC: 9 larvae
N= 3, 4, 3, 5 in ATAC, ATHC, HTAC, HTHC
25C, 29C, 415 microatm, 635 microatm</t>
  </si>
  <si>
    <t>Putnam HM, Edmunds PJ, Fan TY (2008) Effect of temperature on the settlement choice and photophysiology of larvae from the reef coral Stylophora pistillata. Biol Bull 215:135–142</t>
  </si>
  <si>
    <t>FvFm, photophysiology, settlement</t>
  </si>
  <si>
    <t>Putnam et al 2008</t>
  </si>
  <si>
    <t>﻿Pocillopora damicornis &amp; Seriatopora hystrix: Fv/Fm, size (photography), symbiodinium content,</t>
  </si>
  <si>
    <t>Effect of a fluctuating thermal regime on adult and larval reef corals</t>
  </si>
  <si>
    <t>Putnam et al 2010</t>
  </si>
  <si>
    <t>Large birth size does not reduce negative latent effects of harsh environments across life stages in two coral species</t>
  </si>
  <si>
    <t>Hartmann et al 2013</t>
  </si>
  <si>
    <t>﻿Survivorship, settle, post settlement survival</t>
  </si>
  <si>
    <t>Cool study!</t>
  </si>
  <si>
    <t>Muscatine and Porter 1977</t>
  </si>
  <si>
    <t>Reef corals: mutualistic symbioses adapted to nutrient-poor environments</t>
  </si>
  <si>
    <t>no larvae or respiration</t>
  </si>
  <si>
    <t>Muscatine et al 1981</t>
  </si>
  <si>
    <t>Estimating the daily contribution of carbon from zooxanthellae to coral animal respiration</t>
  </si>
  <si>
    <t>development, survival, settlement</t>
  </si>
  <si>
    <t>Randall and Szmant 2009</t>
  </si>
  <si>
    <t>Elevated temperature affects development, survivorship and settlement of the elkhorn coral, Acropora palmata (Lamarck 1816)</t>
  </si>
  <si>
    <t>Elevated temperature reduces survivorship and settlement of the larvae of the Caribbean scleractinian coral, Favia fragum (Esper)</t>
  </si>
  <si>
    <t>survival, settlement</t>
  </si>
  <si>
    <t>Connolly and Baird 2010</t>
  </si>
  <si>
    <t>Estimating dispersal potential for marine larvae: Dynamic models applied to scleractinian corals</t>
  </si>
  <si>
    <t>Gilmour et al 2013</t>
  </si>
  <si>
    <t>Recovery of an isolated coral reef system following severe disturbance</t>
  </si>
  <si>
    <t>Donner et al 2005</t>
  </si>
  <si>
    <t>Global assessment of coral bleaching and required rates of adaptation under climate change</t>
  </si>
  <si>
    <t>Ocean acidification and warming will lower coral reef resilience</t>
  </si>
  <si>
    <t>Anthony et al 2011</t>
  </si>
  <si>
    <t>Calcification, storm damage and population resilience of tabular corals under climate change</t>
  </si>
  <si>
    <t>Madin et al 2012</t>
  </si>
  <si>
    <t>Synthesizing larval competence dynamics and reef-scale retention reveals a high potential for self-recruitment in corals</t>
  </si>
  <si>
    <t>﻿Figueiredo et al 2013</t>
  </si>
  <si>
    <t>Lipid content of ﻿Goniastrea retiformis over time and compilation from other studies
broadcasting and brooding</t>
  </si>
  <si>
    <t>Figueiredo et al 2012</t>
  </si>
  <si>
    <t>Ontogenetic change in the lipid and fatty acid composition of scleractinian coral larvae</t>
  </si>
  <si>
    <t>Bathymetric adaptations of reef-building corals at Davies Reef, Great Barrier Reef, Australia. II. Light saturation curves for photosynthesis and respiration</t>
  </si>
  <si>
    <t>Chalker et al 1983</t>
  </si>
  <si>
    <t>Lipid content of A. tenuis, ﻿A. brueggemanni, Pocillopora damicornis and Heliopora coerulea over time</t>
  </si>
  <si>
    <t>Temporal changes in settlement, lipid content and lipid composition of larvae of the spawning hermatypic coral Acropora tenuis</t>
  </si>
  <si>
    <t>Harii et al 2007</t>
  </si>
  <si>
    <t>settlement, post settlement growth</t>
  </si>
  <si>
    <t>Effect of aragonite saturation state on settlement andpost-settlement growth of Porites astreoides larvae</t>
  </si>
  <si>
    <t>Albright et al 2008</t>
  </si>
  <si>
    <t>﻿Álvarez-Noriega et al 2016</t>
  </si>
  <si>
    <t>Global biogeography of coral recruitment: tropical decline and subtropical increase</t>
  </si>
  <si>
    <t>Price et al 2019</t>
  </si>
  <si>
    <t>Vavra and Manahan DT 1999</t>
  </si>
  <si>
    <t>Protein metabolism in lecithotrophic larvae (Gastropoda: Haliotis rufescens)</t>
  </si>
  <si>
    <t>not a coral</t>
  </si>
  <si>
    <t>1900-2020 Web of science</t>
  </si>
  <si>
    <t>search term</t>
  </si>
  <si>
    <t># results</t>
  </si>
  <si>
    <t>Symbiont transmission and reproductive mode influence responses of three Hawaiian coral larvae to elevated temperature and nutrients</t>
  </si>
  <si>
    <t>﻿Kitchen et al 2020</t>
  </si>
  <si>
    <t>﻿Impacts of elevated temperature and pCO2 on the brooded larvae of Pocillopora damicornis from Luhuitou Reef, China: evidence for local acclimatization</t>
  </si>
  <si>
    <t>Jiang et al 2020</t>
  </si>
  <si>
    <t>Fig. 2</t>
  </si>
  <si>
    <t>Luhuitou Reef, China</t>
  </si>
  <si>
    <t>check the temperature and make sure it is the most accurate temp. for instance they say 25 temp treatment but really it's 24.8</t>
  </si>
  <si>
    <t>September 6th, 2016</t>
  </si>
  <si>
    <t>same</t>
  </si>
  <si>
    <t>respiration measure was iffy from the graph because points were overlain on each other
photosynthesis under 200 lmol photons m-2 s-1.</t>
  </si>
  <si>
    <t>Differential gene expression during substrate probing in larvae of the Caribbean coral Porites astreoides</t>
  </si>
  <si>
    <t>Walker et al 2019</t>
  </si>
  <si>
    <t>Re-analysis of the coral Acropora digitifera transcriptome reveals a complex lncRNAs-mRNAs interaction network implicated in Symbiodinium infection</t>
  </si>
  <si>
    <t>Huang et al 2019</t>
  </si>
  <si>
    <t>Coralline algal metabolites induce settlement and mediate the inductive effect of epiphytic microbes on coral larvae</t>
  </si>
  <si>
    <t>Gomez-Lemos et al 2018</t>
  </si>
  <si>
    <t>Production of three symbiosis-related fatty acids by Symbiodinium types in clades A-F associated with marine invertebrate larvae</t>
  </si>
  <si>
    <t>Mies et al 2017</t>
  </si>
  <si>
    <t>Impacts of temperature and lunar day on gene expression profiles during a monthly reproductive cycle in the brooding coral Pocillopora damicornis</t>
  </si>
  <si>
    <t>Crowder et al 2017</t>
  </si>
  <si>
    <t>Marine Invertebrate Larvae Associated with Symbiodinium: A Mutualism from the Start?</t>
  </si>
  <si>
    <t>Uncoupling temperature-dependent mortality from lipid depletion for scleractinian coral larvae</t>
  </si>
  <si>
    <t>Graham et al 2017</t>
  </si>
  <si>
    <t>The transcriptomic response of the coral Acropora digitifera to a competent Symbiodinium strain: the symbiosome as an arrested early phagosome</t>
  </si>
  <si>
    <t>Mohamed et al 2016</t>
  </si>
  <si>
    <t>Nutritional input from dinoflagellate symbionts in reef-building corals is minimal during planula larval life stage</t>
  </si>
  <si>
    <t>Kopp et al 2016</t>
  </si>
  <si>
    <t>Lipids, size, symbiont density of Pdam</t>
  </si>
  <si>
    <t>Effects of temperature and pCO(2) on lipid use and biological parameters of planulae of Pocillopora damicornis</t>
  </si>
  <si>
    <t>Rivest and Hofmann 2015</t>
  </si>
  <si>
    <t>Molecular reproductive characteristics of the reef coral Pocillopora damicornis</t>
  </si>
  <si>
    <t>Rougee et al 2015</t>
  </si>
  <si>
    <t>Effects of food and CO2 on growth dynamics of polyps of two scyphozoan species (Cyanea capillata and Chrysaora hysoscella)</t>
  </si>
  <si>
    <t>Lesniowski et al 2015</t>
  </si>
  <si>
    <t>Molecular characterization of the apical organ of the anthozoan Nematostella vectensis</t>
  </si>
  <si>
    <t>Sinigaglia et al 2015</t>
  </si>
  <si>
    <t>Culture and growth of the jellyfish Pelagia noctiluca in the laboratory</t>
  </si>
  <si>
    <t>Lilley et al 2014</t>
  </si>
  <si>
    <t>KEGG orthology-based annotation of the predicted proteome of Acropora digitifera: ZoophyteBase - an open access and searchable database of a coral genome</t>
  </si>
  <si>
    <t>Dunlap et al 2013</t>
  </si>
  <si>
    <t>larval survival with sediment</t>
  </si>
  <si>
    <t>Tolerance to long-term exposure of suspended benthic sediments and drill cuttings in the cold-water coral Lophelia pertusa</t>
  </si>
  <si>
    <t>Larsson et al 2013</t>
  </si>
  <si>
    <t>Acroporidae</t>
  </si>
  <si>
    <t>Pocilloporidae</t>
  </si>
  <si>
    <t>Poritidae</t>
  </si>
  <si>
    <t>Merulinidae</t>
  </si>
  <si>
    <t>Respiration_OG_SE</t>
  </si>
  <si>
    <t>Respiration_OG_units</t>
  </si>
  <si>
    <t>nmol O2/larva/hr</t>
  </si>
  <si>
    <t>nmolO2/mg protein/min</t>
  </si>
  <si>
    <t>Using mg protein per larva from study measurements</t>
  </si>
  <si>
    <t>µl O2/larva/hr</t>
  </si>
  <si>
    <t>µgO2/mgDW/hr</t>
  </si>
  <si>
    <t>ml O2/larva/hr</t>
  </si>
  <si>
    <t>mg O2/planula/hr</t>
  </si>
  <si>
    <t>Ocean</t>
  </si>
  <si>
    <t>Variation in the transcriptional response of threatened coral larvae to elevated temperatures</t>
  </si>
  <si>
    <t>Polato et al 2013</t>
  </si>
  <si>
    <t>Expression of hsp70, hsp90 and hsf1 in the reef coral Acropora digitifera under prospective acidified conditions over the next several decades</t>
  </si>
  <si>
    <t>Nakamura et al 2012</t>
  </si>
  <si>
    <t>Profiling gene expression responses of coral larvae (Acropora millepora) to elevated temperature and settlement inducers using a novel RNA-Seq procedure</t>
  </si>
  <si>
    <t>Meyer et al 2011</t>
  </si>
  <si>
    <t>Development and heat stress-induced transcriptomic changes during embryogenesis of the scleractinian coral Acropora palmata</t>
  </si>
  <si>
    <t>Portune et al 2010</t>
  </si>
  <si>
    <t>Gene expression microarray analysis encompassing metamorphosis and the onset of calcification in the scleractinian coral Montastraea faveolata</t>
  </si>
  <si>
    <t>Reyes-Bermudez et al 2009</t>
  </si>
  <si>
    <t>Sequencing and de novo analysis of a coral larval transcriptome using 454 GSFlx</t>
  </si>
  <si>
    <t>Meyer et al 2009</t>
  </si>
  <si>
    <t>Biochemical Responses of Cnidarian Larvae to Mercury and Benzo(a)pyrene Exposure</t>
  </si>
  <si>
    <t>Farina et al 2008</t>
  </si>
  <si>
    <t>Fecundity and embryo development of three Antarctic deep-water scleractinians: Flabellum thouarsii, F-curvatum and F-impensum</t>
  </si>
  <si>
    <t>Waller et al 2008</t>
  </si>
  <si>
    <t>size of three deep water species</t>
  </si>
  <si>
    <t>The use of respiratory enzymes as biomarkers of petroleum hydrocarbon exposure in Mytilus edulis planulatus</t>
  </si>
  <si>
    <t>Long et al 2003</t>
  </si>
  <si>
    <t>Biochemical composition, metabolism, and amino acid transport in planula-larvae of the soft coral Heteroxenia fuscescens</t>
  </si>
  <si>
    <t>STIMULATION OF METAMORPHOSIS IN HYDRACTINIA-ECHINATA INVOLVES GENERATION OF LYSOPHOSPHATIDYLCHOLINE</t>
  </si>
  <si>
    <t>LEITZ et al 1991</t>
  </si>
  <si>
    <t>SCHNEIDER &amp; WEISSE 1985</t>
  </si>
  <si>
    <t>The metabolism of several hydroid planula; use of vital colorations in a barely oxygenated environment</t>
  </si>
  <si>
    <t>Cantacuzene 1932</t>
  </si>
  <si>
    <t>COULDN'T FIND</t>
  </si>
  <si>
    <t>METABOLISM MEASUREMENTS OF AURELIA-AURITA PLANULAE LARVAE, AND CALCULATION OF MAXIMAL SURVIVAL PERIOD OF THE FREE SWIMMING STAGE</t>
  </si>
  <si>
    <t xml:space="preserve">
</t>
  </si>
  <si>
    <t>Edmunds and Davies 1989</t>
  </si>
  <si>
    <t>An energy budget for Porites porites (Scleractinia) growing in a stressed environment</t>
  </si>
  <si>
    <t>Fabricius 2005</t>
  </si>
  <si>
    <t>Effects of terrestrial runoff on the ecology of corals and coral reefs: review and synthesis</t>
  </si>
  <si>
    <t>a review</t>
  </si>
  <si>
    <t>Brockington and Clarke 2001</t>
  </si>
  <si>
    <t>The relative influence of temperature and food on the metabolism of a marine invertebrate. Journal of Experimental Marine Biology and Ecology</t>
  </si>
  <si>
    <t>Clarke 1988</t>
  </si>
  <si>
    <t>Seasonality in the Antarctic marine environment</t>
  </si>
  <si>
    <t>Ben-David-Zaslow and Benayahu 2001</t>
  </si>
  <si>
    <t>Good paper! Survival, lipid depletion of Acropora tenuis over time and temp</t>
  </si>
  <si>
    <t>soft coral</t>
  </si>
  <si>
    <t>Dryad</t>
  </si>
  <si>
    <t>﻿Wilson and Harrison 1998</t>
  </si>
  <si>
    <t>PLD, competency</t>
  </si>
  <si>
    <t>Embryogenesis and Larval Biology of the Cold-Water Coral Lophelia pertusa</t>
  </si>
  <si>
    <t>Sesoko Island north patch reef, Okinawa</t>
  </si>
  <si>
    <t>Pacific</t>
  </si>
  <si>
    <t>Atlantic</t>
  </si>
  <si>
    <t>Merulinidae </t>
  </si>
  <si>
    <t>Carroll</t>
  </si>
  <si>
    <t>Grant</t>
  </si>
  <si>
    <t>Peck</t>
  </si>
  <si>
    <t>Donat</t>
  </si>
  <si>
    <t>Stewart</t>
  </si>
  <si>
    <t>Young</t>
  </si>
  <si>
    <t>Hedges g</t>
  </si>
  <si>
    <t>SE</t>
  </si>
  <si>
    <t>ES</t>
  </si>
  <si>
    <t>Sum</t>
  </si>
  <si>
    <t>variance_within</t>
  </si>
  <si>
    <t>WT</t>
  </si>
  <si>
    <t>ES*wt</t>
  </si>
  <si>
    <t>Data</t>
  </si>
  <si>
    <t>Fixed effect</t>
  </si>
  <si>
    <t>Compute Tau2</t>
  </si>
  <si>
    <t>ES^2*WT</t>
  </si>
  <si>
    <t>WT^2</t>
  </si>
  <si>
    <t>Random effects</t>
  </si>
  <si>
    <t>variance_between</t>
  </si>
  <si>
    <t>variance_total</t>
  </si>
  <si>
    <t>ES*WT &lt;- ES is effect size</t>
  </si>
  <si>
    <t>ICRS</t>
  </si>
  <si>
    <t>("coral larva" or "coral larvae" or planula*) and (respirat* OR metabolism OR "metabolic rate" OR metabolic)</t>
  </si>
  <si>
    <t>Caloric content</t>
  </si>
  <si>
    <t>Richmond 1981</t>
  </si>
  <si>
    <t>Energetic considerations in the dispersal of Pocillopora damicornia (Linnaeus) planulae</t>
  </si>
  <si>
    <t>Settlement-competency periods of larvae of three species of scleractinian corals</t>
  </si>
  <si>
    <t xml:space="preserve">Larval development timing, survivorship, size, swimming speed, </t>
  </si>
  <si>
    <t>﻿Larsson et al 2014</t>
  </si>
  <si>
    <t>n_biomass</t>
  </si>
  <si>
    <t>Source_resp</t>
  </si>
  <si>
    <t>Source_biomass</t>
  </si>
  <si>
    <t>larvae_biomass</t>
  </si>
  <si>
    <t>Length, diameter, volume</t>
  </si>
  <si>
    <t>Fig. 3</t>
  </si>
  <si>
    <t>micromol O2/g protein/min</t>
  </si>
  <si>
    <t>Supplmental</t>
  </si>
  <si>
    <t>5?</t>
  </si>
  <si>
    <t>6?</t>
  </si>
  <si>
    <t>I recorded Total protein, but also "Total animal protein" graph is there, CS activity, Photosynthesis, Q10</t>
  </si>
  <si>
    <t>length, width, volume, protein</t>
  </si>
  <si>
    <t>rejected category</t>
  </si>
  <si>
    <t>Symbiodinium density, protein normalized symbiont density, competency, Fv/Fm</t>
  </si>
  <si>
    <t>protein = 4, area = 4</t>
  </si>
  <si>
    <t>Fig. 1</t>
  </si>
  <si>
    <t>in text</t>
  </si>
  <si>
    <t>Fig. 4A</t>
  </si>
  <si>
    <t>Photosynthesis, survival, settlement, Q10, symbionts</t>
  </si>
  <si>
    <t>Fig. 5A</t>
  </si>
  <si>
    <t xml:space="preserve">survival, settlement, volume via length and width: ﻿volumes of planulae were then estimated following the method described by Isomura and Nishihira (2001). , lipid (divided and total), </t>
  </si>
  <si>
    <t>4 = lipids</t>
  </si>
  <si>
    <t>3 = lipids</t>
  </si>
  <si>
    <t>Fig. 2a</t>
  </si>
  <si>
    <t>Fig. 2b</t>
  </si>
  <si>
    <t>volume = in-text, lipid = Fig. 3a</t>
  </si>
  <si>
    <t>volume = in-text, lipid = Fig. 3b</t>
  </si>
  <si>
    <t>lipid: 50</t>
  </si>
  <si>
    <t>lipid: 150</t>
  </si>
  <si>
    <t>7 = lipids, 18 = volume</t>
  </si>
  <si>
    <t>8 = volume</t>
  </si>
  <si>
    <t>5 = lipids,  (n=15) volume</t>
  </si>
  <si>
    <t>volume: 0.54 +- 0.05 mm^3</t>
  </si>
  <si>
    <t>volume: 0.59 +- 0.07 mm^3</t>
  </si>
  <si>
    <t>﻿volume: 0.05 +- 0.00 mm^3</t>
  </si>
  <si>
    <t xml:space="preserve">volume: ﻿0.02 +- 0.00 mm^3 </t>
  </si>
  <si>
    <t>3 = lipids, (n=7) volume</t>
  </si>
  <si>
    <t>Settlement, survival, lipid hydroperoxides, catalase</t>
  </si>
  <si>
    <t xml:space="preserve">photochemical efficiency, symbiont density, lipid hydroperoxide, survival, settlement, </t>
  </si>
  <si>
    <t>Fig. 1c</t>
  </si>
  <si>
    <t>Fig. 1d</t>
  </si>
  <si>
    <t>Fig. 1b</t>
  </si>
  <si>
    <t>Fig. 1a</t>
  </si>
  <si>
    <t>Competency, survival, settlement, Total lipids measured</t>
  </si>
  <si>
    <t>Fig.ESM2c</t>
  </si>
  <si>
    <t>Fig.ESM2d</t>
  </si>
  <si>
    <t>Fig.ESM2b</t>
  </si>
  <si>
    <t>Fig.ESM2a</t>
  </si>
  <si>
    <t>survivorship, settlement</t>
  </si>
  <si>
    <t>Table 3</t>
  </si>
  <si>
    <t>Respiration_mass_corrected</t>
  </si>
  <si>
    <t>Respiration_SE_mass_corrected</t>
  </si>
  <si>
    <t>Units_resp_mass_corrected</t>
  </si>
  <si>
    <t>Metabolism, Calcification and Carbon Production: Seminar discussion.</t>
  </si>
  <si>
    <t>Lewis et al 1985</t>
  </si>
  <si>
    <t>"In situ" metabolism of two species of Caulerpa (Chlorophyta) in the lagoon of the atoll of Takapoto (French Polynesia).</t>
  </si>
  <si>
    <t>Bay et al 1985</t>
  </si>
  <si>
    <t>A comparative study of the metabolism of tropical benthic communities.</t>
  </si>
  <si>
    <t>Wells 1997</t>
  </si>
  <si>
    <t>A Numerical Simulation of Sea-surface Currents in the Sekisei Lagoon and the Coral Egg and Larvae Transport</t>
  </si>
  <si>
    <t>Nakada et al 2006</t>
  </si>
  <si>
    <t>A Possible Role for Urea in Mediating Coral Responses to External Ammonium supply.</t>
  </si>
  <si>
    <t>A study of the effect of sediment accumulation on the settlement of coral larvae using conditioned tiles</t>
  </si>
  <si>
    <t>settlement, settlement preference</t>
  </si>
  <si>
    <t>Amino acid metabolism: adaptations to low nutrient conditions?</t>
  </si>
  <si>
    <t>An analysis of the human response to ciguatera in Australia,</t>
  </si>
  <si>
    <t>Lewis et al 1988</t>
  </si>
  <si>
    <t>Anoxic community catabolism in the shallow carbonate muds of Bermuda.</t>
  </si>
  <si>
    <t>Matson 1985</t>
  </si>
  <si>
    <t>Antiherbivore defenses in Halimeda,</t>
  </si>
  <si>
    <t>Are tropical herbivores more tolerant of chemically rich seaweeds than are temperate herbivores? A test of seaweedherbivore coevolution</t>
  </si>
  <si>
    <t>Sotka et al 2008</t>
  </si>
  <si>
    <t>Aspects of the biomass, feeding and metabolism of the common corals of the Great Barrier Reef of Australia.</t>
  </si>
  <si>
    <t>Sorokin 1982</t>
  </si>
  <si>
    <t>Biogeochemical aspects of the carbon metabolism of microbial mat communities.</t>
  </si>
  <si>
    <t>Chambers 1985</t>
  </si>
  <si>
    <t>Biogeochemistry of reef corals relative to their growth potential,</t>
  </si>
  <si>
    <t>Krasnov 1982</t>
  </si>
  <si>
    <t>Calcified seaweeds on coral reefs: complex defenses, trophic relationships and value as habitats,</t>
  </si>
  <si>
    <t>Hay 1997</t>
  </si>
  <si>
    <t>Copin-Montegut et al 1993</t>
  </si>
  <si>
    <t>Carbon fixation and compartmentation in the zooxanthellae containing Nudibranchs, {Melibe} sp. and {Meliba} {pilosa}.</t>
  </si>
  <si>
    <t>Carbon fixation by the sponge Dysidea herbacea and its endosymbiont Oscillatoria spongeliae,</t>
  </si>
  <si>
    <t>Carbon metabolism in calcifying and photosynthetic organisms: theoretical models based on stable isotope data.</t>
  </si>
  <si>
    <t>Goreau 1977</t>
  </si>
  <si>
    <t>model study</t>
  </si>
  <si>
    <t>Characterization of coral surface microbiota using metabolic profiling.</t>
  </si>
  <si>
    <t>GIL-AGUEDLO et al 2006</t>
  </si>
  <si>
    <t>Chemical induction of settlement and metamorphosis of planulae and buds of the reef-dwelling Coelenterate {Cassiopeia} {andromeda}.</t>
  </si>
  <si>
    <t>Community metabolism on reef flats at La Reunion island (Indian Ocean): natural versus anthropogenic disturbance.</t>
  </si>
  <si>
    <t>Bucher and Fischer 2006</t>
  </si>
  <si>
    <t>Goh and Lee 2008</t>
  </si>
  <si>
    <t>Fitzgerald and Szmant 1988</t>
  </si>
  <si>
    <t>Paul and van Alstyne 1988</t>
  </si>
  <si>
    <t>Crossland and Kempf 1985</t>
  </si>
  <si>
    <t>Borowitzka et al 1988</t>
  </si>
  <si>
    <t>Fitt and Hofmann 1985</t>
  </si>
  <si>
    <t>Mioche and Cuet 2000</t>
  </si>
  <si>
    <t>Comparative ichthyotoxicity of shallow and deep water sponges of New Caledonia,</t>
  </si>
  <si>
    <t>La Barre et al 1988</t>
  </si>
  <si>
    <t>Comparative investigation of organic matter release by corals and benthic reef algae – implications for pelagic and benthic microbial metabolism</t>
  </si>
  <si>
    <t>Wild et al 2008</t>
  </si>
  <si>
    <t>Contribution of zooplankton feeding to the symbiotic association of two hermatypic corals,</t>
  </si>
  <si>
    <t>Lagziel et al 1993</t>
  </si>
  <si>
    <t>Contributions of different coral reef substrates to energy flow,</t>
  </si>
  <si>
    <t>Yap et al 1993</t>
  </si>
  <si>
    <t>Coral reef metabolism in the Indo-Pacific: the broader picture,</t>
  </si>
  <si>
    <t>Pichon 1997</t>
  </si>
  <si>
    <t>Deterrent effects of seaweed extracts and secondary metabolites on feeding by the rabbitfish Siganus spinus,</t>
  </si>
  <si>
    <t>Paul et al 1993</t>
  </si>
  <si>
    <t>Developmental changes in coral larval buoyancy and vertical swimming behavior: Implications for dispersal and connectivity</t>
  </si>
  <si>
    <t>Szmant and Meadows 2006</t>
  </si>
  <si>
    <t>larval behavior</t>
  </si>
  <si>
    <t>Distribution pattern of small coral colonies after the 1998 bleaching event (Okinawa, Japan)</t>
  </si>
  <si>
    <t>Bena and Irikawan 2006</t>
  </si>
  <si>
    <t>Does the coral host protect its algal symbionts from heat and light stresses?</t>
  </si>
  <si>
    <t>Bhagooli et al 2008</t>
  </si>
  <si>
    <t>photophysiolgy</t>
  </si>
  <si>
    <t>Early Onset and Expression of Fluorescent Proteins in the Larvae of the Mushroom Coral Fungia scutaria Lamarck 1801</t>
  </si>
  <si>
    <t>Hollingsworth et al 2006</t>
  </si>
  <si>
    <t>Ecology of Decapod Crustaceans associated with Pocillopora corals from Polynesia and Guam, Micronesia.</t>
  </si>
  <si>
    <t>Odinetz-Collart and Richer de Forges 1985</t>
  </si>
  <si>
    <t>Effect of coral metabolism on the seawater CO2 system,</t>
  </si>
  <si>
    <t>Gattuso and Frankignoulle 1993</t>
  </si>
  <si>
    <t>Effects of algal chemical defenses toward different coral-reef herbivorous fishes: A preliminary study,</t>
  </si>
  <si>
    <t>Paul et al 1988</t>
  </si>
  <si>
    <t>Effects of grazing by herbivorous fishes on coral reef community metabolism,</t>
  </si>
  <si>
    <t>Birkeland et al 1985</t>
  </si>
  <si>
    <t>Lane and Harisson 2000</t>
  </si>
  <si>
    <t>survivorship</t>
  </si>
  <si>
    <t>Energy metabolism in echinoderms from different geographical locations,</t>
  </si>
  <si>
    <t>Ryabushko 1982</t>
  </si>
  <si>
    <t>Estimates of secondary production of reef corals,</t>
  </si>
  <si>
    <t>Lewis 1982</t>
  </si>
  <si>
    <t>Features of depth effects on Stylophora pistillata, an hermatypic coral in the Gulf of Aqaba (Jordan, Red Sea),</t>
  </si>
  <si>
    <t>Gattuso 1985</t>
  </si>
  <si>
    <t>Fluxes of dissolved nutrients in oligotrophic water reefs, Northern Gulf of Elat, Red Sea,</t>
  </si>
  <si>
    <t>Korpal et al 1993</t>
  </si>
  <si>
    <t>Growth and metabolic responses of Acropora palifera to long term nutrient enrichment,</t>
  </si>
  <si>
    <t>Steven and Broadbent 1997</t>
  </si>
  <si>
    <t>High latitude (Abrolhos Islands) reef community metabolism: What sets latitudinal limits on coral reef development?</t>
  </si>
  <si>
    <t>Wiebe et al 1982</t>
  </si>
  <si>
    <t>How do swimming ability and behaviour affect the dispersal of coral larvae</t>
  </si>
  <si>
    <t>Pizarro and Thomason 2008</t>
  </si>
  <si>
    <t>In situ microcosm studies of diel metabolism of reef flat communities,</t>
  </si>
  <si>
    <t>Henderson 1982</t>
  </si>
  <si>
    <t>Influence of symbiotic algae on the stable isotope composition of hermatypic corals: a radioactive tracer approach.</t>
  </si>
  <si>
    <t>Erez 1977</t>
  </si>
  <si>
    <t>Influences of metabolism and growth variations on skeletal oxygen and carbon isotope ratios in cultured Porites corals: temperature-controlled experiments</t>
  </si>
  <si>
    <t>Suzuki et al 2006</t>
  </si>
  <si>
    <t>Inhibition of settlement and metamorphosis in Acropora (Anthozoa, Scleractinia) larvae by high-intensity light</t>
  </si>
  <si>
    <t>Suzuki and Hayashibara 2006</t>
  </si>
  <si>
    <t>settlement</t>
  </si>
  <si>
    <t>Inoculation of Vibrio spp. onto Montastraea faveolata fragments to determine potential pathogenicity</t>
  </si>
  <si>
    <t>Weil et al 2008</t>
  </si>
  <si>
    <t>Integrated monitoring system for coral reef water pCO2, carbonate system and physical parameters.</t>
  </si>
  <si>
    <t>Kayanne et al 2000</t>
  </si>
  <si>
    <t>Inter-reef dispersal of coral larvae following the annula mass spawning on the Great Barrier Reef,</t>
  </si>
  <si>
    <t>Willis and Oliver 1988</t>
  </si>
  <si>
    <t>Kinetic and metabolic isotope effects in coral skeletons</t>
  </si>
  <si>
    <t>Omata et al 2006</t>
  </si>
  <si>
    <t>Nozawa and Harisson 2000</t>
  </si>
  <si>
    <t>Light, metabolism and growth forms of the hermatypic scleractinian coral Synarea convexa (Verrill) in the lagoon of Moorea (French Polynesia),</t>
  </si>
  <si>
    <t>Jaubert 1977</t>
  </si>
  <si>
    <t>Light, metabolism and the distribution of Tridacna maxima in a south Pacific atoll: Takapoto (French Polynesia),</t>
  </si>
  <si>
    <t>Measurement of extra-cellular phosphatase enzyme activity in reef waters of the Central Great Barrier Reef, Australia.</t>
  </si>
  <si>
    <t>Dunlap 1985</t>
  </si>
  <si>
    <t>Metabolic responses of Porites cylindrica to water motion,</t>
  </si>
  <si>
    <t>Montebon and Yap 1993</t>
  </si>
  <si>
    <t>Metabolic responses of the scleractinian coral Porites cylindrica Dana to water motion. II. Growth studies,</t>
  </si>
  <si>
    <t>Montebon and Yap 1997</t>
  </si>
  <si>
    <t>Metabolism, Calcification and Carbon Production - Organism level studies. Seminar.</t>
  </si>
  <si>
    <t>Gladfelter 1985</t>
  </si>
  <si>
    <t>review</t>
  </si>
  <si>
    <t>Metabolism, calcification and carbon production: 1 systems level studies.</t>
  </si>
  <si>
    <t>Kinsey 1985</t>
  </si>
  <si>
    <t>Microbial biogeochemistry in shallow water sediments of Bermuda.</t>
  </si>
  <si>
    <t>Hines 1985</t>
  </si>
  <si>
    <t>Monitoring the status of coral reefs using a simplified technique to measure community metabolism: a case study from the northern Gulf of Aqaba, Red Sea</t>
  </si>
  <si>
    <t>Silverman et al 2006</t>
  </si>
  <si>
    <t>Viehman and Richardson 2000</t>
  </si>
  <si>
    <t>Nitrogen fixation in atolls,</t>
  </si>
  <si>
    <t>Lemasson and Charpy-R. 1993</t>
  </si>
  <si>
    <t>Opposed trend of skeletal carbon isotopic ratios found in two different coral species collected from the same site: Genus-dependent responses</t>
  </si>
  <si>
    <t>Shimamura et al 2008</t>
  </si>
  <si>
    <t>Periphytonic and benthic microflora on the reef: biomass and metabolic rates,</t>
  </si>
  <si>
    <t>Phosphorus uptake and allocation by Symbiodinium bermudense isolated from Aiptasia pallida</t>
  </si>
  <si>
    <t>Ketly and Lipschultz 2000</t>
  </si>
  <si>
    <t>Phosphorus uptake and allocation by Symbiodinium bermudense isolated from Aiptasia pallida.</t>
  </si>
  <si>
    <t>Kunzmann 2008</t>
  </si>
  <si>
    <t>Post-bleaching changes in coral settlement at the Hikkaduwa Marine Reserve in Sri Lanka.</t>
  </si>
  <si>
    <t>Jinendradasa and Ekaratne 2000</t>
  </si>
  <si>
    <t>Preliminary observations on community metabolism and primary productivity of the pseudo - atoll reef at One Tree Island, Great Barrier Reef,</t>
  </si>
  <si>
    <t>Kinsey 1972</t>
  </si>
  <si>
    <t>Productivity and calcification in a coral reef mesocosm,</t>
  </si>
  <si>
    <t>Jaubert et al 1993</t>
  </si>
  <si>
    <t>title</t>
  </si>
  <si>
    <t>Response of {Halimeda} metabolism to various environmental parameters.</t>
  </si>
  <si>
    <t>Abel and Drew 1985</t>
  </si>
  <si>
    <t>Riboflavin content in corals and release of this vitamin in the ecosystem,</t>
  </si>
  <si>
    <t>Fontaine et al 1982</t>
  </si>
  <si>
    <t>Sea urchin mass-mortality: effects on reef algal abundance, species composition, and metabolism and other coral reef herbivores,</t>
  </si>
  <si>
    <t>Carpenter 1985</t>
  </si>
  <si>
    <t>Seasonal and fish grazing effects on rates of nitrogen fixation on coral reefs (Great Barrier Reef, Australia).</t>
  </si>
  <si>
    <t>Wilkinson et al 1985</t>
  </si>
  <si>
    <t>Seasonal variation in production and respiration of Red Sea corals,</t>
  </si>
  <si>
    <t>Al-Sofyani and Davies 1993</t>
  </si>
  <si>
    <t>Seasonal variations of trace metals and stable isotopes in coral skeleton: physiological and environmental controls.</t>
  </si>
  <si>
    <t>Seasonality and zonation in coral reef productivity and calcification.</t>
  </si>
  <si>
    <t>Kinsey 1977</t>
  </si>
  <si>
    <t>Seasonality in community productivity and calcification at Davies Reef, central Great Barrier Reef,</t>
  </si>
  <si>
    <t>Barnes 1988</t>
  </si>
  <si>
    <t>Seaweed chemical defenses: among-compound and among-herbivore variance,</t>
  </si>
  <si>
    <t>Hay et al 1988</t>
  </si>
  <si>
    <t>Secondary metabolites - or primary? Re-examination of a concept through a marine example,</t>
  </si>
  <si>
    <t>Sammarco and Coll 1997</t>
  </si>
  <si>
    <t>Secondary metabolites and calcium carbonate as defenses of calcareous algae on coral reefs,</t>
  </si>
  <si>
    <t>Paul 1997</t>
  </si>
  <si>
    <t>Section 6: Reef Metabolism: Abstract.</t>
  </si>
  <si>
    <t>Richmond 1993</t>
  </si>
  <si>
    <t>Settlement competency periods and dispersal potential of scleractinian reef coral larvae</t>
  </si>
  <si>
    <t>Harrison 2006</t>
  </si>
  <si>
    <t>development and settlement</t>
  </si>
  <si>
    <t>Some chemical aspects of spawning in alcyonacean corals,</t>
  </si>
  <si>
    <t>Bowden et al 1985</t>
  </si>
  <si>
    <t>Spatial and temporal recovery patterns of coral reefs within the Gulf of Oman (United Arab Emirates) following the 2007 cyclone disturbance</t>
  </si>
  <si>
    <t>Foster et al 2008</t>
  </si>
  <si>
    <t>Stable carbon isotopes in the reef ecosystem of the Gulf of Elat, Red Sea,</t>
  </si>
  <si>
    <t>Lorian et al 1993</t>
  </si>
  <si>
    <t>Studies of the feeding preferences of Chaetodon melannotus (Pisces) for soft corals (Coelenterata: octocorallia)</t>
  </si>
  <si>
    <t>Aliño et al 1988</t>
  </si>
  <si>
    <t>Studies on Polynesian Sponges: antibiotic properties and isolation of some metabolites.</t>
  </si>
  <si>
    <t>Amade and Pesando 1985</t>
  </si>
  <si>
    <t>Temporal fluctuations in tropical lagoons: relationships between benthic communities and environmental parameters in New Caledonia.</t>
  </si>
  <si>
    <t>Frouin and Clavier 2000</t>
  </si>
  <si>
    <t>Terrestrial inputs of nitrogen and phosphorus on fringing reefs of Guam,</t>
  </si>
  <si>
    <t>Marsh 1977</t>
  </si>
  <si>
    <t>The effect of elevated nutrient levels on settlement of coral larvae during the ENCORE experiment, Great Barrier Reef, Australia,</t>
  </si>
  <si>
    <t>Ward and Harrison 1997</t>
  </si>
  <si>
    <t>settlement, survivorship</t>
  </si>
  <si>
    <t>The effects of ciguatoxin on teleosts,</t>
  </si>
  <si>
    <t>Capra 1988</t>
  </si>
  <si>
    <t>The effects of water flow on carbon delivery and productivity in Pocillopora damicornis fro Hawaii,</t>
  </si>
  <si>
    <t>Lesser et al 1993</t>
  </si>
  <si>
    <t>The functional role of back-reef and lagoonal systems in the Central Great Barrier Reef.</t>
  </si>
  <si>
    <t>The maritime weather of Jamaica: its effect on coral productivity.</t>
  </si>
  <si>
    <t>Porter 1985</t>
  </si>
  <si>
    <t>The R/V Alpha Helix Expedition: A retrospective analysis of a milestone in coral reef research</t>
  </si>
  <si>
    <t>D’Elia and Harris 2008</t>
  </si>
  <si>
    <t>The role of secondary metabolites in marine ecological interactions,</t>
  </si>
  <si>
    <t>Van Alstyne and Paul 1988</t>
  </si>
  <si>
    <t>The role of secondary metabolites in the chemical ecology of marine invertebrates: A meeting ground for biologists and chemists,</t>
  </si>
  <si>
    <t>Coll and Sammarco 1988</t>
  </si>
  <si>
    <t>The ultra structure of calicoblast and related tissues in Acropora hebes (Dana),</t>
  </si>
  <si>
    <t>Isa and Yamazato 1982</t>
  </si>
  <si>
    <t>Toward kinetic understanding of coral reef metabolism,</t>
  </si>
  <si>
    <t>Atkinson 1993</t>
  </si>
  <si>
    <t>Toxicity and morphology of Ostreopsis cf. Siamensis cultured from a ciguatera endemic region of Queensland, Australia,</t>
  </si>
  <si>
    <t>Holmes et al 1988</t>
  </si>
  <si>
    <t>Toxicity of lipid-soluble extracts from demersal fishes at Flinders Reef, Southern Queensland,</t>
  </si>
  <si>
    <t>Variable metabolic performance of Red Sea coral reefs calculated from diurnal changes in oxygen, carbonate chemistry and del 13 C,</t>
  </si>
  <si>
    <t>Erez and Lazar 1997</t>
  </si>
  <si>
    <t>Various contrivances for restoration of coral assemblages in harbor development projects: A report</t>
  </si>
  <si>
    <t>Akakura et al 2006</t>
  </si>
  <si>
    <t>techniques paper</t>
  </si>
  <si>
    <t>Water temperature influences on physiological behaviour in three species of giant clams (Tridacnidae).</t>
  </si>
  <si>
    <t>Blidberg et al 2000</t>
  </si>
  <si>
    <t>Within-individual distribution of sequestered secondary metabolites in sea hares,</t>
  </si>
  <si>
    <t>Pennings and Paul</t>
  </si>
  <si>
    <t>Calcium and carbon flux in the reef environment: preliminary results</t>
  </si>
  <si>
    <t>Found where?</t>
  </si>
  <si>
    <t>WOB</t>
  </si>
  <si>
    <t>WOB, google scholar, references</t>
  </si>
  <si>
    <t>Google scholar</t>
  </si>
  <si>
    <t>Metabolism of an Antarctic solitary coral, Flabellum impensum</t>
  </si>
  <si>
    <t>Henry and Torres 2013</t>
  </si>
  <si>
    <t>Review lecture-Living corals</t>
  </si>
  <si>
    <t>Yonge 1968</t>
  </si>
  <si>
    <t>Polarity and form regulation in development and reconstitution</t>
  </si>
  <si>
    <t>Schiffmann 2001</t>
  </si>
  <si>
    <t>The Biochemical Basis of Polarity and Form Regulation in Development and Reconstitution</t>
  </si>
  <si>
    <t>Schiffmann 2000</t>
  </si>
  <si>
    <t>Animal behavior desk reference: a dictionary of animal behavior, ecology, and evolution</t>
  </si>
  <si>
    <t>Barrows 2011</t>
  </si>
  <si>
    <t>Light and reef-building corals</t>
  </si>
  <si>
    <t>Chalker 1988</t>
  </si>
  <si>
    <t>Metabolism in corals from Antarctica, the deep-sea, and the shallow subtropics: contrasts in temperature, depth, and light</t>
  </si>
  <si>
    <t>Henry 2013</t>
  </si>
  <si>
    <t>Chemical pollution on coral reefs: exposure and ecological effects</t>
  </si>
  <si>
    <t>van Dam et al 2011</t>
  </si>
  <si>
    <t>Coral Reef Project—Papers in Memory of Dr. Thomas F. Goreau. 1. The Nature of Reef-Building (Hermatypic) Corals</t>
  </si>
  <si>
    <t>Yonge 1973</t>
  </si>
  <si>
    <t>Incident Ultraviolet Irradiances Influence Physiology, Development and Settlement of Larva in the Coral Pocillopora damicornis</t>
  </si>
  <si>
    <t>Zhou et al 2016</t>
  </si>
  <si>
    <t>Ultraviolet radiation‐absorbing mycosporine‐like amino acids in coral reef organisms: a biochemical and environmental perspective</t>
  </si>
  <si>
    <t>Dunlap 1998</t>
  </si>
  <si>
    <t>Energy budgets for the Caribbean reef coral Porites porites (Pallas)</t>
  </si>
  <si>
    <t>Edmunds 1986</t>
  </si>
  <si>
    <t>5. PHYLUM SIPUNCULA</t>
  </si>
  <si>
    <t>Edmondsf 2000</t>
  </si>
  <si>
    <t>THE AXIAL GRADIENTS IN HYDROZOA: VII. MODIFICATION OF DEVELOPMENT THROUGH DIFFERENTIAL SUSCEPTIBILITY</t>
  </si>
  <si>
    <t>Child 1925</t>
  </si>
  <si>
    <t>Energetics of larval swimming and metamorphosis in four species of Bugula (Bryozoa)</t>
  </si>
  <si>
    <t>Wendt 2000</t>
  </si>
  <si>
    <t>Experimental analysis of the association between invertebrates and unicellular algae</t>
  </si>
  <si>
    <t>Yonge 1944</t>
  </si>
  <si>
    <t>KEGG orthology-based annotation of the predicted proteome of Acropora digitifera: ZoophyteBase - an open access and searchable database of a coral …</t>
  </si>
  <si>
    <t>Behavior of brooded coral larvae in response to elevated pCO2</t>
  </si>
  <si>
    <t>Bergman et al 2018</t>
  </si>
  <si>
    <t>Photosmoregulation</t>
  </si>
  <si>
    <t>Shannon III 2007</t>
  </si>
  <si>
    <t>Larval Development</t>
  </si>
  <si>
    <t>Weis 2014</t>
  </si>
  <si>
    <t>The biology and biochemistry of terpenes in Alcyoniidaen corals from the central region of the Great Barrier Reef, Australia</t>
  </si>
  <si>
    <t xml:space="preserve"> Webb 1986</t>
  </si>
  <si>
    <t>Cellular pathology and histopathology of hypo-salinity exposure on the coral Stylophora pistillata</t>
  </si>
  <si>
    <t>Downs et al 2009</t>
  </si>
  <si>
    <t>Chemical aspects of hibernation</t>
  </si>
  <si>
    <t>Rasmont 2012</t>
  </si>
  <si>
    <t>Marine pollution and coral reefs</t>
  </si>
  <si>
    <t>Dubinsky and Stambler 1996</t>
  </si>
  <si>
    <t>The energetics of scleractinian coral larvae and implications for dispersal</t>
  </si>
  <si>
    <t>Graham 2012</t>
  </si>
  <si>
    <t>Chemiluminescent method for quantifying DNA abasic lesions in scleractinian coral tissues</t>
  </si>
  <si>
    <t>May and Woodley 2016</t>
  </si>
  <si>
    <t>The biology of coral reefs</t>
  </si>
  <si>
    <t>Sheppard et al 2017</t>
  </si>
  <si>
    <t>Symbiotic versus non-symbiotic octocorals: physiological and ecological implications</t>
  </si>
  <si>
    <t>Schubert et al 2017</t>
  </si>
  <si>
    <t>Ecology of a Caribbean coral reef. The Porites reef-flat biotope: Part II. Plankton community with evidence for depletion</t>
  </si>
  <si>
    <t>Glynn 1973</t>
  </si>
  <si>
    <t>Bet-hedging reproduction strategies in the massive Caribbean coral Favia fragum</t>
  </si>
  <si>
    <t>Stephenson 2017</t>
  </si>
  <si>
    <t>Reef-building corals—symbiotic autotrophic organisms: 2. Pathways and mechanisms of adaptation to light</t>
  </si>
  <si>
    <t>Titlyanov and Titlyanova 2002</t>
  </si>
  <si>
    <t>Coral photobiology: new light on old views</t>
  </si>
  <si>
    <t>Iluz and Dubinsky 2015</t>
  </si>
  <si>
    <t>Reefs happen</t>
  </si>
  <si>
    <t>KINZIE III and Buddemeier 1996</t>
  </si>
  <si>
    <t>Ecotoxicology of tropical marine ecosystems</t>
  </si>
  <si>
    <t>Peters et al 1997</t>
  </si>
  <si>
    <t>FAUNA of AUSTRALIA</t>
  </si>
  <si>
    <t>EDMONDS 2000</t>
  </si>
  <si>
    <t>Circadian cycles of gene expression in the coral, Acropora millepora</t>
  </si>
  <si>
    <t>Brady et al 2011</t>
  </si>
  <si>
    <t>CORAL REEF REGENERATION</t>
  </si>
  <si>
    <t>Jaubert and Soong 2009</t>
  </si>
  <si>
    <t>The effects of ocean acidification and warming on the early life history stages of corals</t>
  </si>
  <si>
    <t>Chua 2012</t>
  </si>
  <si>
    <t>The Effects of Elevated Ocean Acidity and Temperature on the Physiological Integrity of the Larvae of the Cauliflower Coral, Pocillopora damicornis</t>
  </si>
  <si>
    <t>Rivest 2014</t>
  </si>
  <si>
    <t>Corals and Light: From Energy Source to Deadly Threat</t>
  </si>
  <si>
    <t>Dubinsky and Iluz 2016</t>
  </si>
  <si>
    <t>coral OR larva, OR "coral larvae" OR , OR planula, OR planula, OR respiratory, OR respiratory, OR metabolism, OR "metabolic rate" OR , OR metabolic -jellyfish</t>
  </si>
  <si>
    <t>The physical and physiological impacts of the invasive red macroalga Gracilaria Salicornia Dawson to coral reef habitat quality and coral health</t>
  </si>
  <si>
    <t>Martinez 2012</t>
  </si>
  <si>
    <t>The behaviour of giant clams (Bivalvia: Cardiidae: Tridacninae)</t>
  </si>
  <si>
    <t>Soo and Todd 2014</t>
  </si>
  <si>
    <t>Ziegler et al 2019</t>
  </si>
  <si>
    <t>Ecophysiology of Reef-Building Corals in the Red Sea</t>
  </si>
  <si>
    <t>Histology and Ultrastructure of Montastraea cavernosa and Porites astreiodes During Regeneration and Recruitment: Anthropogenic Stressors and Transplant …</t>
  </si>
  <si>
    <t>Renegar 2015</t>
  </si>
  <si>
    <t>Aspects of the transplantation, storage and maintenance of corals (Montastraea Faveolata, Acropora Cervicornis and A. Palmata)</t>
  </si>
  <si>
    <t>Becker 2000</t>
  </si>
  <si>
    <t>Perspectivas dos efeitos do aumento do CO2 atmosférico sobre os organismos construtores do Atol das Rocas-RN</t>
  </si>
  <si>
    <t>PINHEIRO 2016</t>
  </si>
  <si>
    <t>A gnotobiotic Artemia test system to study host-microbial interactions</t>
  </si>
  <si>
    <t>Marques 2005</t>
  </si>
  <si>
    <t>Mechanisms involving sensory pathway steps inform impacts of global climate change on ecological processes</t>
  </si>
  <si>
    <t>Rivest et al 2019</t>
  </si>
  <si>
    <t>A Toxicity study on Pavalaveera Chunnam</t>
  </si>
  <si>
    <t>Sagunthala 2013</t>
  </si>
  <si>
    <t xml:space="preserve">wet and dry biomass? </t>
  </si>
  <si>
    <t>review, not on coral</t>
  </si>
  <si>
    <t>book</t>
  </si>
  <si>
    <t>no larval respiration</t>
  </si>
  <si>
    <t>Variation in UVB sensitivity of planula larvae of the coral Agaricia agaricites along a depth gradient</t>
  </si>
  <si>
    <t>Gleason and Wellington 1995</t>
  </si>
  <si>
    <t>hand search</t>
  </si>
  <si>
    <t>Survival, chlorophyll concentrations, and solubilized protein concentrations</t>
  </si>
  <si>
    <t>review, no larval respiration</t>
  </si>
  <si>
    <t>lipid content</t>
  </si>
  <si>
    <t>Reichelt-Brushett and Harrison PL 2004</t>
  </si>
  <si>
    <t>Development of a sublethal test to determine the effects of copper and lead on scleractinian coral larvae</t>
  </si>
  <si>
    <t>book, no larval respiration</t>
  </si>
  <si>
    <t xml:space="preserve">this is a thesis, respiration results published in Graham 2013. </t>
  </si>
  <si>
    <t>Respiration over time at different temperatures</t>
  </si>
  <si>
    <t>book, can't download, no larval respiration?</t>
  </si>
  <si>
    <t>octocoral physiology</t>
  </si>
  <si>
    <t>larval size of favia fragum</t>
  </si>
  <si>
    <t>fertilization, development, survivorship, metamorphosis, post settlement survivorship</t>
  </si>
  <si>
    <t>this is a thesis, respiration results published already</t>
  </si>
  <si>
    <t>Jokiel and York Jr. 1982</t>
  </si>
  <si>
    <t>P. hawaiiensis respiration, settlement, survivorship</t>
  </si>
  <si>
    <t>survivorship, development, early calcification, and symbiotic zooxanthellae morphology</t>
  </si>
  <si>
    <t>size, settlement</t>
  </si>
  <si>
    <t>motility</t>
  </si>
  <si>
    <t xml:space="preserve"> Production and respiration in the Red Sea coral Stylophora pistillata as a function of depth. Proc R Soc Lond Ser B Biol Sci 222:215–230</t>
  </si>
  <si>
    <t>McCloskey and Muscatine 1984</t>
  </si>
  <si>
    <t>Photosynthesis and respiration of hermatypic zooxanthellate Red Sea corals from 5-75-m depth. Isr J Plant Sci 56:45–53</t>
  </si>
  <si>
    <t>Stambler et al 2008</t>
  </si>
  <si>
    <t>GS</t>
  </si>
  <si>
    <r>
      <t>Effects of oil contaminants on survivorship of larvae of the scleractinian reef corals </t>
    </r>
    <r>
      <rPr>
        <i/>
        <sz val="12"/>
        <color theme="1"/>
        <rFont val="Calibri"/>
        <family val="2"/>
        <scheme val="minor"/>
      </rPr>
      <t>Acropora tenuis</t>
    </r>
    <r>
      <rPr>
        <sz val="12"/>
        <color theme="1"/>
        <rFont val="Calibri"/>
        <family val="2"/>
        <scheme val="minor"/>
      </rPr>
      <t>, </t>
    </r>
    <r>
      <rPr>
        <i/>
        <sz val="12"/>
        <color theme="1"/>
        <rFont val="Calibri"/>
        <family val="2"/>
        <scheme val="minor"/>
      </rPr>
      <t>Goniastrea aspera</t>
    </r>
    <r>
      <rPr>
        <sz val="12"/>
        <color theme="1"/>
        <rFont val="Calibri"/>
        <family val="2"/>
        <scheme val="minor"/>
      </rPr>
      <t> and </t>
    </r>
    <r>
      <rPr>
        <i/>
        <sz val="12"/>
        <color theme="1"/>
        <rFont val="Calibri"/>
        <family val="2"/>
        <scheme val="minor"/>
      </rPr>
      <t>Platygyra sinensis</t>
    </r>
    <r>
      <rPr>
        <sz val="12"/>
        <color theme="1"/>
        <rFont val="Calibri"/>
        <family val="2"/>
        <scheme val="minor"/>
      </rPr>
      <t> from the Great Barrier Reef.</t>
    </r>
  </si>
  <si>
    <r>
      <t>Larval settlement patterns, dispersal potential, and the effect of temperature on settlement of larvae of the reef coral, </t>
    </r>
    <r>
      <rPr>
        <i/>
        <sz val="12"/>
        <color theme="1"/>
        <rFont val="Calibri"/>
        <family val="2"/>
        <scheme val="minor"/>
      </rPr>
      <t>Platygyra daedalea</t>
    </r>
    <r>
      <rPr>
        <sz val="12"/>
        <color theme="1"/>
        <rFont val="Calibri"/>
        <family val="2"/>
        <scheme val="minor"/>
      </rPr>
      <t>, from the Great Barrier Reef.</t>
    </r>
  </si>
  <si>
    <r>
      <t>Motility patterns of Beggiatoa and </t>
    </r>
    <r>
      <rPr>
        <i/>
        <sz val="12"/>
        <color theme="1"/>
        <rFont val="Calibri"/>
        <family val="2"/>
        <scheme val="minor"/>
      </rPr>
      <t>Phormidium corallyticum</t>
    </r>
    <r>
      <rPr>
        <sz val="12"/>
        <color theme="1"/>
        <rFont val="Calibri"/>
        <family val="2"/>
        <scheme val="minor"/>
      </rPr>
      <t> in black band disease.</t>
    </r>
  </si>
  <si>
    <r>
      <t xml:space="preserve">Solar ultraviolet photobiology of the reef coral </t>
    </r>
    <r>
      <rPr>
        <i/>
        <sz val="12"/>
        <color theme="1"/>
        <rFont val="Calibri"/>
        <family val="2"/>
        <scheme val="minor"/>
      </rPr>
      <t xml:space="preserve">Pocillopora damicornis </t>
    </r>
    <r>
      <rPr>
        <sz val="12"/>
        <color theme="1"/>
        <rFont val="Calibri"/>
        <family val="2"/>
        <scheme val="minor"/>
      </rPr>
      <t>and symbiotic zooxanthellae</t>
    </r>
  </si>
  <si>
    <t>Environmental influences on larval survival and development. In: Giese AC, Pearse JS (eds) Reproduction in marine invertebrates</t>
  </si>
  <si>
    <t>Pechenik 1987</t>
  </si>
  <si>
    <t>Competency and dispersal of spawned versus brooded coral planula larvae. Proc 6th int coral Reef Symp 2: 827±831 [Choat JH et al. (eds) Sixth International Coral Reef Symposium Executive Committee, Townsville]</t>
  </si>
  <si>
    <t>Richmond RH 1989</t>
  </si>
  <si>
    <t>Effects of thermal stress on early developmental stages of a gorgonian coral</t>
  </si>
  <si>
    <t>Kipson et al 2012</t>
  </si>
  <si>
    <t>not a coral, gorgonian</t>
  </si>
  <si>
    <t>An avg was recorded in fig. 5…</t>
  </si>
  <si>
    <t>Gnaiger [32] (consumption of 1 mole O2 = 441.0 kJ mol21).</t>
  </si>
  <si>
    <t>Table 1</t>
  </si>
  <si>
    <t>Fig. 1B</t>
  </si>
  <si>
    <t>Fig. 1A</t>
  </si>
  <si>
    <t>lipid hydroperoxide, ﻿protein carbonylation, symbionts, surv, settlement</t>
  </si>
  <si>
    <t xml:space="preserve">protein, lipids, settlement, photosynthesis, </t>
  </si>
  <si>
    <t>Table 2</t>
  </si>
  <si>
    <t>diameter of symbionts</t>
  </si>
  <si>
    <t>diameter ﻿avg 1.2 +- 0.6 mm.</t>
  </si>
  <si>
    <t xml:space="preserve">Size-normalized respiration, Fvfm, P,.R, </t>
  </si>
  <si>
    <t>size=5, size norm resp=3</t>
  </si>
  <si>
    <t>size=4, size norm resp=3</t>
  </si>
  <si>
    <t>nmol O2/mm^2/min</t>
  </si>
  <si>
    <t>Fig. 2c</t>
  </si>
  <si>
    <t>larval performance, survival, settlement, carbonic anhydrase activity (centran enzyme in photosynthesis), symbiont density partially metamorphosed, photosynthesis</t>
  </si>
  <si>
    <t>﻿The physiological and molecular responses of larvae from the reef-building coral Pocillopora damicornis exposed to near-future increases in temperature and pCO2</t>
  </si>
  <si>
    <t>Fig. 2d</t>
  </si>
  <si>
    <t>Just took data with larvae run in the dark, not including asymbiotic larvae (Type Y)</t>
  </si>
  <si>
    <t>﻿Other things looked at: over temperature and time
Lipid depletion rate
Lipids
metabolism
mortality</t>
  </si>
  <si>
    <t>Biomass_assumptions</t>
  </si>
  <si>
    <t>In text: Results 3.2</t>
  </si>
  <si>
    <t>Temperature exposure just during respiration trial. The entries among different release days was not a separate experiment, it was a re-analysis from the original study, just to look at differences among release days</t>
  </si>
  <si>
    <t>Lowry for protein, gravimetrically, dry weight for lipid &lt;- but not taken over days
Type B: 187-1160 microEm^-2s^-2, Type Y: 855-1118 microEm^-2s^-2</t>
  </si>
  <si>
    <t>Data were presented as a GAM and  +- 95% confidence interval, so I took raw points off of the graph and averaged the ponits normally at each time point</t>
  </si>
  <si>
    <t>Source_resp_normalized</t>
  </si>
  <si>
    <t>Respiration_conversion_assumptions</t>
  </si>
  <si>
    <t>Differential accumulation of cadmium and changes in glutathione levels as a function of symbiotic state in the sea anemone Anthopleura elegantissima</t>
  </si>
  <si>
    <t>﻿Mitchelmore et al 2003</t>
  </si>
  <si>
    <t>used for wet:dry biomass conversions</t>
  </si>
  <si>
    <t>Lipid_microg.larva_dry</t>
  </si>
  <si>
    <t>Lipid_SE_dry</t>
  </si>
  <si>
    <t>Protein_microg.larva_dry</t>
  </si>
  <si>
    <t>Protein_SE_dry</t>
  </si>
  <si>
    <t>Biomass_microg.larva_wet</t>
  </si>
  <si>
    <t>Biomass_SE_wet</t>
  </si>
  <si>
    <t>Biomass_microg.larva_dry</t>
  </si>
  <si>
    <t>Biomass_SE_dry</t>
  </si>
  <si>
    <t>Energy_method</t>
  </si>
  <si>
    <t xml:space="preserve">Temperature exposure just during respiration trial. </t>
  </si>
  <si>
    <t>Bradford assay protein</t>
  </si>
  <si>
    <t>Length, Width, Height</t>
  </si>
  <si>
    <t>n=4 controls</t>
  </si>
  <si>
    <t>545+-42 micromol photons m^-2 s^-1 for reduced, ambient, high exp</t>
  </si>
  <si>
    <t>Coomassie Brilliant Blue assay (Bradford 1976) for protein</t>
  </si>
  <si>
    <t xml:space="preserve">Lipids are total lipids. Wax esters, triglycerols and energy lipids were taken
</t>
  </si>
  <si>
    <t>268± 17 μmol quanta m−2 s−1 (±SE, n=64). 
Ambient pH: 7.98
High pH: 7.76-7.77</t>
  </si>
  <si>
    <t>Acropora brueggemanni</t>
  </si>
  <si>
    <t>﻿Harii et al. (2007)</t>
  </si>
  <si>
    <t>﻿Acropora millepora</t>
  </si>
  <si>
    <t>﻿Arai et al. (1993)</t>
  </si>
  <si>
    <t>﻿Acropora tenuis</t>
  </si>
  <si>
    <t>﻿Montipora digitata</t>
  </si>
  <si>
    <t>﻿Favia fragum</t>
  </si>
  <si>
    <t>stage</t>
  </si>
  <si>
    <t>Harii et al. (2007)</t>
  </si>
  <si>
    <t>5 day old larva</t>
  </si>
  <si>
    <t>newly released larva</t>
  </si>
  <si>
    <t xml:space="preserve"> Ben-David-Zaslow &amp; Benayahu 2000</t>
  </si>
  <si>
    <t>Harii et al. 2002</t>
  </si>
  <si>
    <t>G. aspera</t>
  </si>
  <si>
    <t>(Graham 2007)</t>
  </si>
  <si>
    <t>A. divaricata</t>
  </si>
  <si>
    <t>dry weight_ microgram</t>
  </si>
  <si>
    <t>A. nasuta</t>
  </si>
  <si>
    <t>A. digitifera</t>
  </si>
  <si>
    <t>Climate Change Impacts on the Tree of Life: Changes in Phylogenetic Diversity Illustrated for Acropora Corals</t>
  </si>
  <si>
    <t>Faith and Richards 2010</t>
  </si>
  <si>
    <t>used for Acropora phylogeny</t>
  </si>
  <si>
    <t>~100 micromol m^-2s^-1 (lower than natural). For P. dam, lipids taken on day 31, but I put those values for day 30 (when respiration was taken)</t>
  </si>
  <si>
    <t>Bio-Rad protein assay with Coomassie brilliant blue dye</t>
  </si>
  <si>
    <t>dichloromethane-methanol (6:4), dried by nitrogen gas</t>
  </si>
  <si>
    <t>Bligh-Dyer chloroform:methanol method for total lipids</t>
  </si>
  <si>
    <t>(Richmond 1987) P. damicornis: 17% protein of total dry weight</t>
  </si>
  <si>
    <t>(Harii et al. 2007) &amp; (Richmond 1987): P. damicornis: 69.05% lipids of total dry weight</t>
  </si>
  <si>
    <t>(Edmunds 2001): P. astreoides: protein = 3.55 micrograms &amp; (Richmond 1987) P. damicornis: 17% protein of total dry weight</t>
  </si>
  <si>
    <t>(Graham 2007): A. digitifera (egg): 43 microgram dry weight</t>
  </si>
  <si>
    <t>survivorship, symbionts over temp of 3 species. Good paper!</t>
  </si>
  <si>
    <t>Fig. 4a</t>
  </si>
  <si>
    <t>Fig. 4b</t>
  </si>
  <si>
    <t>Season</t>
  </si>
  <si>
    <t>Summer</t>
  </si>
  <si>
    <t>Montipora capitata</t>
  </si>
  <si>
    <t>3-5</t>
  </si>
  <si>
    <t>Planar area was taken</t>
  </si>
  <si>
    <t>was taken</t>
  </si>
  <si>
    <t>photosynthesis, PSII, fv/fm, photosynthesis, development: settlement, metamorphorsis</t>
  </si>
  <si>
    <t>Fig. 4c</t>
  </si>
  <si>
    <t>Hobihu in Nanwan Bay, southern Taiwan, Respiration taken after 6 hours of treatment, not sure how old larvae are</t>
  </si>
  <si>
    <t>Wet weight -&gt; dry weight</t>
  </si>
  <si>
    <t>meta analysis that looked at sea grass, algae, gastropods, fish, hard and soft coral and used a general conversion of dry weight:wet weight as: 80% water, 20% dry tissue</t>
  </si>
  <si>
    <t>Organochlorine compounds in subtropical and tropical marine organisms: A meta-analysis</t>
  </si>
  <si>
    <t>Conversion</t>
  </si>
  <si>
    <t>Mitchelmore et al 2003: Differential accumulation of cadmium and changes in glutathione levels as a function of symbiotic state in the sea anemone Anthopleura elegantissima</t>
  </si>
  <si>
    <t>Other conversions</t>
  </si>
  <si>
    <t>Edmunds 2011: Density of larva is slightly above that of seawater (Spencer Davies, 1989), density of tropical seawater (and larva) ~1.023 mg/mm^3 or ~1023 micrograms/mm^3</t>
  </si>
  <si>
    <t>EQUALS=</t>
  </si>
  <si>
    <t>Acropora intermedia</t>
  </si>
  <si>
    <t>R2</t>
  </si>
  <si>
    <t>R</t>
  </si>
  <si>
    <t>ntotal</t>
  </si>
  <si>
    <t>Lab</t>
  </si>
  <si>
    <t>Cumbo 2012</t>
  </si>
  <si>
    <t>Cumbo 2013</t>
  </si>
  <si>
    <t>Graham 2013</t>
  </si>
  <si>
    <t>Harii 2010</t>
  </si>
  <si>
    <t>Jiang 2020</t>
  </si>
  <si>
    <t>Okubo 2008</t>
  </si>
  <si>
    <t>NA</t>
  </si>
  <si>
    <t>(Harii et al. 2007) &amp; (Arai et al 1993): four broadcast species: 64% lipids of total dry weight</t>
  </si>
  <si>
    <t>(Graham 2007): three Acropora sp. dry weight: 34</t>
  </si>
  <si>
    <t>(Graham 2007): three Acropora species: 34 microgram dry weight</t>
  </si>
  <si>
    <t>larvae with exoskeleton</t>
  </si>
  <si>
    <t>(Mitchelmore et al 2003): symbiotic and aposymbiotic anemones contain ~76% water</t>
  </si>
  <si>
    <t>Average from study</t>
  </si>
  <si>
    <t>Repeated last value taken</t>
  </si>
  <si>
    <t>Kind</t>
  </si>
  <si>
    <t>Weighted means</t>
  </si>
  <si>
    <t>just_biomass_studies?</t>
  </si>
  <si>
    <t>all</t>
  </si>
  <si>
    <t>Other notes</t>
  </si>
  <si>
    <t>Without 30 point</t>
  </si>
  <si>
    <t>p-value</t>
  </si>
  <si>
    <t>exp_R2</t>
  </si>
  <si>
    <t>exp_AIC</t>
  </si>
  <si>
    <t>lm_AIC</t>
  </si>
  <si>
    <t>quad_AIC</t>
  </si>
  <si>
    <t>quad: p: 0.15, R2: 0.15</t>
  </si>
  <si>
    <t>quad: p: 0.17, R2: 0.125</t>
  </si>
  <si>
    <t>lm: p: 8.3x10^-5, R2: 0.8</t>
  </si>
  <si>
    <t>lm: p=0.002508, R2: 0.579</t>
  </si>
  <si>
    <t>lm: 0.2569, R2: 0.06377</t>
  </si>
  <si>
    <t>Means</t>
  </si>
  <si>
    <t>lm: p: 0.612, R2: 0.0096</t>
  </si>
  <si>
    <t>lm: p-value: 0.961, R2: 0.0001</t>
  </si>
  <si>
    <t>quad: p: 0.2544, R2: 0.1162</t>
  </si>
  <si>
    <t>exp: significant? R2: 0.81, lm: p: 0.0001, R2: 0.791</t>
  </si>
  <si>
    <t>quad: p: 0.15, R2: 0.342</t>
  </si>
  <si>
    <t>lm: p: 0.73, R2: 0.0048</t>
  </si>
  <si>
    <t>lm: p: 0.2452, R2: 0.0668</t>
  </si>
  <si>
    <t>Outcome</t>
  </si>
  <si>
    <t>not significant</t>
  </si>
  <si>
    <t>lm: p= 0.04016, R2: 0.3571</t>
  </si>
  <si>
    <t>lm: p: 0.6226, R2: 0.01025</t>
  </si>
  <si>
    <t>Kitchen et al 2020</t>
  </si>
  <si>
    <t>Studies with 2+ species</t>
  </si>
  <si>
    <t>Biomass_in_study</t>
  </si>
  <si>
    <t>Days_post_release_fertilization</t>
  </si>
  <si>
    <t>Henry &amp; Torres (2013)</t>
  </si>
  <si>
    <t>(Henry and Torres 2013): Flabellum impensum (avg): tissue weight was 20% of total buoyant weight</t>
  </si>
  <si>
    <t>larvae are cylindrical and cnidarian tissue has density slightly above that of seawater (Spencer Davies, 1989). Density of tropical seawater = ~1.023 mg mm^-3; PJE unpublished), (Henry and Torres 2013): Flabellum impensum (avg): tissue weight was 20% of total buoyant weight</t>
  </si>
  <si>
    <t>Summary</t>
  </si>
  <si>
    <t xml:space="preserve">(Type B and Y), 17% protein, 70% lipid, 13% carbs, *I don't get the table for this, </t>
  </si>
  <si>
    <t>Rivest et al 2017</t>
  </si>
  <si>
    <t>From Taiwan</t>
  </si>
  <si>
    <t>From Moorea</t>
  </si>
  <si>
    <t>Acopora tenuis</t>
  </si>
  <si>
    <t>Arai et al 1993</t>
  </si>
  <si>
    <t>31 day old larva</t>
  </si>
  <si>
    <t>Type</t>
  </si>
  <si>
    <t>coral</t>
  </si>
  <si>
    <t>octocoral</t>
  </si>
  <si>
    <t>softcoral</t>
  </si>
  <si>
    <t>Heliopora colerula</t>
  </si>
  <si>
    <t>Heteroxenia fuscescens</t>
  </si>
  <si>
    <t>stage_num</t>
  </si>
  <si>
    <t>lipid_dry_weight_perc</t>
  </si>
  <si>
    <t>lipid_dry_weight_perc_SE</t>
  </si>
  <si>
    <t>also tracked lipids over time</t>
  </si>
  <si>
    <t>Norström and Sandström 2010</t>
  </si>
  <si>
    <t xml:space="preserve"> </t>
  </si>
  <si>
    <t xml:space="preserve">(scleractinia*) and (larva* or planula*) and (respirat* OR metabolism OR "metabolic rate" OR metabolic) </t>
  </si>
  <si>
    <t>Web of science</t>
  </si>
  <si>
    <t>Ocean acidification partially mitigates the negative effects of warming on the recruitment of the coral, Orbicella faveolata</t>
  </si>
  <si>
    <t>Pitts et al 2020</t>
  </si>
  <si>
    <t>Increased apical sodium-dependent glucose transporter abundance in the ctenidium of the giant clam Tridacna squamosa upon illumination</t>
  </si>
  <si>
    <t>Chan et al 2019</t>
  </si>
  <si>
    <t>Temporal variation in invertebrate recruitment on an Eastern Pacific coral reef</t>
  </si>
  <si>
    <t>Rodriguez-Troncoso et al 2019</t>
  </si>
  <si>
    <t>Comparative toxicities of four benzophenone ultraviolet filters to two life stages of two coral species</t>
  </si>
  <si>
    <t>He et al. 2019</t>
  </si>
  <si>
    <t>Reduced salinity decreases the fertilization success and larval survival of two scleractinian coral species</t>
  </si>
  <si>
    <t>Scott et al 2013</t>
  </si>
  <si>
    <t>An evaluation of staining techniques for marking daily growth in scleractinian corals</t>
  </si>
  <si>
    <t>Holcomb et al 2013</t>
  </si>
  <si>
    <t>Consequences of the life history traits of pelagic larvae on interisland connectivity during a changing climate</t>
  </si>
  <si>
    <t>Kendall et al 2013</t>
  </si>
  <si>
    <t>Location-Specific Responses to Thermal Stress in Larvae of the Reef-Building Coral Montastraea faveolata</t>
  </si>
  <si>
    <t>Polato et al 2010</t>
  </si>
  <si>
    <t>Effects of acidified seawater on early life stages of scleractinian corals (Genus Acropora)</t>
  </si>
  <si>
    <t>Suwa et al 2010</t>
  </si>
  <si>
    <t>Genetic variation in responses to a settlement cue and elevated temperature in the reef-building coral Acropora millepora</t>
  </si>
  <si>
    <t>Effect of somatic and otolith growth rate on stable isotopic composition of early juvenile cod (Gadus morhua L) otoliths</t>
  </si>
  <si>
    <t>Hoie et al 2003</t>
  </si>
  <si>
    <t>Factors determining delta C-13 and delta O-18 fractionation in aragonitic otoliths of marine fish</t>
  </si>
  <si>
    <t>Thorrold et al 1997</t>
  </si>
  <si>
    <t>The changing biology of reef-building</t>
  </si>
  <si>
    <t>Wood 1995</t>
  </si>
  <si>
    <t>RAFTING OF TROPICAL MARINE ORGANISMS ON BUOYANT CORALLA</t>
  </si>
  <si>
    <t>Devantier 1992</t>
  </si>
  <si>
    <t>Lipid composition of positively buoyant eggs of reef building corals</t>
  </si>
  <si>
    <t>same results as before</t>
  </si>
  <si>
    <t>coral OR larva, OR "coral larvae" OR , OR scleractinia, OR scleractinian, OR planula, OR planula, OR respiratory, OR respiratory, OR metabolism, OR "metabolic rate" OR , OR metabolic -jellyfish</t>
  </si>
  <si>
    <t>("coral larva" or "coral larvae" or "planula" or "planulae") and ("respiration" or "respiratory" OR "metabolism" OR "metabolic rate" OR "metabolic")</t>
  </si>
  <si>
    <t>("scleractinia" or "scleractinian" or "coral larva" or "coral larvae" or "planula" or "planulae") and ("respiration" or "respiratory" OR "metabolism" OR "metabolic rate" OR "metabolic")</t>
  </si>
  <si>
    <t>( "coral larva" or "coral larvae" or planula*) and (respirat* OR metabolism OR "metabolic rate" OR metabolic)</t>
  </si>
  <si>
    <t>scleractinia* and planula* and respiration* -jellyfish</t>
  </si>
  <si>
    <t>"scleractinia*" and "planula*" and "respiration" -jellyfish</t>
  </si>
  <si>
    <r>
      <t>Effects of pressure on swimming behavior in planula larvae of the coral </t>
    </r>
    <r>
      <rPr>
        <i/>
        <sz val="24"/>
        <color rgb="FF505050"/>
        <rFont val="Georgia"/>
        <family val="1"/>
      </rPr>
      <t>Porites astreoides</t>
    </r>
    <r>
      <rPr>
        <sz val="24"/>
        <color rgb="FF505050"/>
        <rFont val="Georgia"/>
        <family val="1"/>
      </rPr>
      <t> (Cnidaria, Scleractinia)</t>
    </r>
  </si>
  <si>
    <t>Stake and Sammarco 2003</t>
  </si>
  <si>
    <t>An energy budget for Porites porites (Scleractinia), growing in a stressed environment</t>
  </si>
  <si>
    <t>Krupp 1983</t>
  </si>
  <si>
    <t>Sexual reproduction and early development of the solitary coral Fungia scutaria (Anthozoa: Scleractinia)</t>
  </si>
  <si>
    <t xml:space="preserve">^trying these is like 6,000 results… too many! </t>
  </si>
  <si>
    <t>Diameter</t>
  </si>
  <si>
    <t>Area</t>
  </si>
  <si>
    <t>Dry biomass</t>
  </si>
  <si>
    <t>DRY biomass of P dam larva estimated from Gaither and Rowen is 100.5 micrograms, Richmond 1987:150 micrograms</t>
  </si>
  <si>
    <t>(Gaither and Rowan 2010) &amp; (Richmond 1987): P. damicornis (avg): 125 micrograms dry weight</t>
  </si>
  <si>
    <t>dry biomass of acropora=34 micrograms</t>
  </si>
  <si>
    <t>Hypothesis 1</t>
  </si>
  <si>
    <t>Hypothesis 2</t>
  </si>
  <si>
    <t xml:space="preserve">Cumbo 2012 (2), </t>
  </si>
  <si>
    <t xml:space="preserve">Cumbo 2013b (1), </t>
  </si>
  <si>
    <t xml:space="preserve">Gaither (1), </t>
  </si>
  <si>
    <t xml:space="preserve">Graham (4), </t>
  </si>
  <si>
    <t xml:space="preserve">Harii (2), </t>
  </si>
  <si>
    <t xml:space="preserve">: Cumbo 2012 (2), </t>
  </si>
  <si>
    <t xml:space="preserve">Edmunds 2001 (1), </t>
  </si>
  <si>
    <t>Total:</t>
  </si>
  <si>
    <t>11 reports</t>
  </si>
  <si>
    <t>16 experiments</t>
  </si>
  <si>
    <t>Double dipped</t>
  </si>
  <si>
    <t>5 reports</t>
  </si>
  <si>
    <t>10 experiments</t>
  </si>
  <si>
    <t>Albright (1), 2011</t>
  </si>
  <si>
    <t>Gaither (1),  2010</t>
  </si>
  <si>
    <t>Graham (4), 2013</t>
  </si>
  <si>
    <t>Harii (2), 2010</t>
  </si>
  <si>
    <t>Jiang (1), 2020</t>
  </si>
  <si>
    <t>Okubo (1), 2008</t>
  </si>
  <si>
    <t>Olsen (1) 2013</t>
  </si>
  <si>
    <t>Rivest (1) 2014</t>
  </si>
  <si>
    <t>(March 4, 2011),</t>
  </si>
  <si>
    <t>The kit needs dichromate and iodided</t>
  </si>
  <si>
    <t>2 kits</t>
  </si>
  <si>
    <t>dichromate is hazmat</t>
  </si>
  <si>
    <t xml:space="preserve">Pete said this is the attractive one. </t>
  </si>
  <si>
    <t xml:space="preserve">List of cost to get the pieces. Financially viable and can be shipped to moorea. </t>
  </si>
  <si>
    <t>the company may not ship it…</t>
  </si>
  <si>
    <t>Hazmat shipping is tough</t>
  </si>
  <si>
    <t>Quantity? Price?</t>
  </si>
  <si>
    <t>If company won't ship it, we are in a pickle</t>
  </si>
  <si>
    <t>Next week bob and pete will know what to do</t>
  </si>
  <si>
    <t>Bovine serum albumin &lt;- cow</t>
  </si>
  <si>
    <t>10-20% discount</t>
  </si>
  <si>
    <t>How much cost for each assay..</t>
  </si>
  <si>
    <t>Catalog #</t>
  </si>
  <si>
    <t>anhydrous</t>
  </si>
  <si>
    <t>1 L $139</t>
  </si>
  <si>
    <t>https://www.sigmaaldrich.com/catalog/product/sial/276855?lang=en&amp;region=US</t>
  </si>
  <si>
    <t>GC Headspace</t>
  </si>
  <si>
    <t>1L $172</t>
  </si>
  <si>
    <t>https://www.fishersci.com/shop/products/dmso-dimethyl-sulfoxide-gc-headspace-grade-fisher-chemical/D1391#?keyword=DMSO</t>
  </si>
  <si>
    <t>1690 microLiters</t>
  </si>
  <si>
    <t>DMSO or other organic solvent</t>
  </si>
  <si>
    <t>Vanillin Kit</t>
  </si>
  <si>
    <t>150 microliters</t>
  </si>
  <si>
    <r>
      <t>H</t>
    </r>
    <r>
      <rPr>
        <vertAlign val="subscript"/>
        <sz val="12"/>
        <color rgb="FF833C0B"/>
        <rFont val="Calibri"/>
        <family val="2"/>
        <scheme val="minor"/>
      </rPr>
      <t>2</t>
    </r>
    <r>
      <rPr>
        <sz val="12"/>
        <color rgb="FF833C0B"/>
        <rFont val="Calibri"/>
        <family val="2"/>
        <scheme val="minor"/>
      </rPr>
      <t>SO</t>
    </r>
    <r>
      <rPr>
        <vertAlign val="subscript"/>
        <sz val="12"/>
        <color rgb="FF833C0B"/>
        <rFont val="Calibri"/>
        <family val="2"/>
        <scheme val="minor"/>
      </rPr>
      <t>4</t>
    </r>
  </si>
  <si>
    <t>Concentrated sulfuric acid (18M)</t>
  </si>
  <si>
    <t>1L 84.40</t>
  </si>
  <si>
    <t>https://www.sigmaaldrich.com/catalog/product/sigald/c2432?lang=en&amp;region=US</t>
  </si>
  <si>
    <t>High purity mobile phase for HPLC and/or extraction solvent for GC applications</t>
  </si>
  <si>
    <t>4L $270</t>
  </si>
  <si>
    <t>https://www.fishersci.com/shop/products/chloroform-approx-50ppm-amylene-as-preservative-optima-fisher-chemical/C2974</t>
  </si>
  <si>
    <t>Organic solvent (such as chloroform, butanol, or cyclohexane)</t>
  </si>
  <si>
    <t>BioUltra</t>
  </si>
  <si>
    <t>250 mL $42.90</t>
  </si>
  <si>
    <t>https://www.sigmaaldrich.com/catalog/product/sigma/79383?lang=en&amp;region=US</t>
  </si>
  <si>
    <t>$616 ea</t>
  </si>
  <si>
    <t>https://www.fishersci.com/shop/products/phosphate-buffered-saline-10x-solution-fisher-bioreagents-6/bp39920#?keyword=Phosphate+buffered+saline</t>
  </si>
  <si>
    <t>Phosphate buffered saline</t>
  </si>
  <si>
    <t>Bovine serum albumin</t>
  </si>
  <si>
    <t>Wet oxidation</t>
  </si>
  <si>
    <t>ACS reagent</t>
  </si>
  <si>
    <t>100 g $22.90</t>
  </si>
  <si>
    <t>https://www.sigmaaldrich.com/catalog/product/sial/s9765?lang=en&amp;region=US</t>
  </si>
  <si>
    <t>ACS Reagent</t>
  </si>
  <si>
    <t>100 g $21.45</t>
  </si>
  <si>
    <t>https://www.fishersci.com/shop/products/starch-soluble-reagent-acs-acros-organics-5/AC424491000#?keyword=soluble+starch</t>
  </si>
  <si>
    <t>0.33 g</t>
  </si>
  <si>
    <t xml:space="preserve">Soluable starch </t>
  </si>
  <si>
    <t>in diethyl ether</t>
  </si>
  <si>
    <t xml:space="preserve">800 mL $148 </t>
  </si>
  <si>
    <t>https://www.sigmaaldrich.com/catalog/product/sigald/294837?lang=en&amp;region=US</t>
  </si>
  <si>
    <t> in ethyl acetate</t>
  </si>
  <si>
    <t>100 mL $49</t>
  </si>
  <si>
    <t>https://www.fishersci.com/shop/products/hydrogen-chloride-1m-solution-ethyl-acetate-acros-organics/AC388701000#?keyword=Hydrogen+chloride</t>
  </si>
  <si>
    <t>1M</t>
  </si>
  <si>
    <t>??</t>
  </si>
  <si>
    <t>HCL</t>
  </si>
  <si>
    <t>Hydrogen chloride</t>
  </si>
  <si>
    <t>30 ml of 1M</t>
  </si>
  <si>
    <t>NaOH</t>
  </si>
  <si>
    <t xml:space="preserve">Sodium hydroxide </t>
  </si>
  <si>
    <t>500 mL $91.40</t>
  </si>
  <si>
    <t>https://www.sigmaaldrich.com/catalog/product/sigald/438081?lang=en&amp;region=US</t>
  </si>
  <si>
    <t>BAKER ANALYZED™ ACS Reagent</t>
  </si>
  <si>
    <t>500 mL $92.26</t>
  </si>
  <si>
    <t>https://www.fishersci.com/shop/products/phosphoric-acid-j-t-baker-3/02003602#?keyword=Phosphoric+acid</t>
  </si>
  <si>
    <t>500 mL</t>
  </si>
  <si>
    <t xml:space="preserve">Reagent grade </t>
  </si>
  <si>
    <t>H3PO4</t>
  </si>
  <si>
    <t xml:space="preserve">Phosphoric acid </t>
  </si>
  <si>
    <t xml:space="preserve">cadmium iodide starch reagent </t>
  </si>
  <si>
    <t>certified reference material</t>
  </si>
  <si>
    <t>5 g $31</t>
  </si>
  <si>
    <t>https://www.sigmaaldrich.com/catalog/product/sial/phr1360?lang=en&amp;region=US</t>
  </si>
  <si>
    <t>analysis</t>
  </si>
  <si>
    <t>100 g $57</t>
  </si>
  <si>
    <t>https://www.fishersci.com/shop/products/potassium-iodide-99-analysis-acros-organics-3/AC373651000#?keyword=Potassium+Iodide</t>
  </si>
  <si>
    <t>1.4 g</t>
  </si>
  <si>
    <t>100 g</t>
  </si>
  <si>
    <t xml:space="preserve">Analytical grade </t>
  </si>
  <si>
    <t>KI</t>
  </si>
  <si>
    <t xml:space="preserve">Potassium Iodide </t>
  </si>
  <si>
    <t>1 L $79.70</t>
  </si>
  <si>
    <t>https://www.sigmaaldrich.com/catalog/product/sigald/258105?lang=en&amp;region=US</t>
  </si>
  <si>
    <t>2.5 L $107.11</t>
  </si>
  <si>
    <t>https://www.fishersci.com/shop/products/sulfuric-acid-technical-fisher-chemical/A298212#?keyword=sulphuric+acid</t>
  </si>
  <si>
    <t>196 mL</t>
  </si>
  <si>
    <t>1 L</t>
  </si>
  <si>
    <t xml:space="preserve">reagent grade </t>
  </si>
  <si>
    <t>sulphuric acid</t>
  </si>
  <si>
    <t>50 g $211</t>
  </si>
  <si>
    <t>https://www.sigmaaldrich.com/catalog/product/sial/42019?lang=en&amp;region=US</t>
  </si>
  <si>
    <t>50 g $30</t>
  </si>
  <si>
    <t>https://www.fishersci.com/shop/products/potassium-dichromate-99-5-analysis-acros-organics-3/AC196590500#?keyword=potassium+dichromate+analytic+grade</t>
  </si>
  <si>
    <t>0.075 g per egg</t>
  </si>
  <si>
    <t>100-200 g</t>
  </si>
  <si>
    <t xml:space="preserve">analytical grade </t>
  </si>
  <si>
    <r>
      <t>K</t>
    </r>
    <r>
      <rPr>
        <vertAlign val="subscript"/>
        <sz val="12"/>
        <color rgb="FF833C0B"/>
        <rFont val="Calibri"/>
        <family val="2"/>
        <scheme val="minor"/>
      </rPr>
      <t>2</t>
    </r>
    <r>
      <rPr>
        <sz val="12"/>
        <color rgb="FF833C0B"/>
        <rFont val="Calibri"/>
        <family val="2"/>
        <scheme val="minor"/>
      </rPr>
      <t>Cr</t>
    </r>
    <r>
      <rPr>
        <vertAlign val="subscript"/>
        <sz val="12"/>
        <color rgb="FF833C0B"/>
        <rFont val="Calibri"/>
        <family val="2"/>
        <scheme val="minor"/>
      </rPr>
      <t>2</t>
    </r>
    <r>
      <rPr>
        <sz val="12"/>
        <color rgb="FF833C0B"/>
        <rFont val="Calibri"/>
        <family val="2"/>
        <scheme val="minor"/>
      </rPr>
      <t>O</t>
    </r>
    <r>
      <rPr>
        <vertAlign val="subscript"/>
        <sz val="12"/>
        <color rgb="FF833C0B"/>
        <rFont val="Calibri"/>
        <family val="2"/>
        <scheme val="minor"/>
      </rPr>
      <t>7</t>
    </r>
  </si>
  <si>
    <t xml:space="preserve">potassium dichromate </t>
  </si>
  <si>
    <t>Grade</t>
  </si>
  <si>
    <t>Sigma</t>
  </si>
  <si>
    <t>Fisher</t>
  </si>
  <si>
    <t>Per sample</t>
  </si>
  <si>
    <t>Total amount</t>
  </si>
  <si>
    <t>Chemical name</t>
  </si>
  <si>
    <t>Common name</t>
  </si>
  <si>
    <t>Purpose</t>
  </si>
  <si>
    <t>Capability</t>
  </si>
  <si>
    <t>Range: 2-140 microgram/L</t>
  </si>
  <si>
    <t>Percision: 10 microgram/L</t>
  </si>
  <si>
    <r>
      <rPr>
        <sz val="12"/>
        <color rgb="FF2F5496"/>
        <rFont val="Calibri"/>
        <family val="2"/>
        <scheme val="minor"/>
      </rPr>
      <t xml:space="preserve">Reagent grade glucose </t>
    </r>
    <r>
      <rPr>
        <sz val="12"/>
        <color theme="1"/>
        <rFont val="Calibri"/>
        <family val="2"/>
        <scheme val="minor"/>
      </rPr>
      <t>(1 g glucose = 0.4 g C) (1 mL)</t>
    </r>
    <r>
      <rPr>
        <sz val="12"/>
        <color theme="1"/>
        <rFont val="Times New Roman"/>
        <family val="1"/>
      </rPr>
      <t xml:space="preserve"> (e.g. 0, 5, 10, 15, 20 µg C mL</t>
    </r>
    <r>
      <rPr>
        <vertAlign val="superscript"/>
        <sz val="12"/>
        <color theme="1"/>
        <rFont val="Times New Roman"/>
        <family val="1"/>
      </rPr>
      <t>-1</t>
    </r>
    <r>
      <rPr>
        <sz val="12"/>
        <color theme="1"/>
        <rFont val="Times New Roman"/>
        <family val="1"/>
      </rPr>
      <t>). 0, 4, 8, 12, 16 and 20 micrograms organic carbon, three replicates per level</t>
    </r>
  </si>
  <si>
    <t>from A. tenuis and A. brueggemanni because they are larvae.</t>
  </si>
  <si>
    <t>(Harii et al. 2007): two Acropora sp.: 59.5% lipids of total dry weight</t>
  </si>
  <si>
    <t>Combined</t>
  </si>
  <si>
    <t># resp measures</t>
  </si>
  <si>
    <t># resp measures H2</t>
  </si>
  <si>
    <t>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</si>
</sst>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35">
    <font>
      <sz val="12"/>
      <color theme="1"/>
      <name val="Calibri"/>
      <family val="2"/>
      <scheme val="minor"/>
    </font>
    <font>
      <sz val="9"/>
      <color theme="1"/>
      <name val="Times"/>
      <family val="1"/>
    </font>
    <font>
      <sz val="8"/>
      <name val="Calibri"/>
      <family val="2"/>
      <scheme val="minor"/>
    </font>
    <font>
      <b/>
      <sz val="14"/>
      <color rgb="FF333333"/>
      <name val="Tahoma"/>
      <family val="2"/>
    </font>
    <font>
      <sz val="12"/>
      <color theme="1"/>
      <name val="Calibri (Body)"/>
    </font>
    <font>
      <sz val="14"/>
      <color rgb="FF333333"/>
      <name val="Tahoma"/>
      <family val="2"/>
    </font>
    <font>
      <sz val="12"/>
      <color rgb="FF000000"/>
      <name val="Calibri"/>
      <family val="2"/>
      <scheme val="minor"/>
    </font>
    <font>
      <u/>
      <sz val="12"/>
      <color theme="10"/>
      <name val="Calibri"/>
      <family val="2"/>
      <scheme val="minor"/>
    </font>
    <font>
      <sz val="12"/>
      <color rgb="FFFF0000"/>
      <name val="Calibri"/>
      <family val="2"/>
      <scheme val="minor"/>
    </font>
    <font>
      <sz val="12"/>
      <color rgb="FF0000FF"/>
      <name val="Calibri"/>
      <family val="2"/>
      <scheme val="minor"/>
    </font>
    <font>
      <sz val="12"/>
      <color theme="1"/>
      <name val="Times New Roman"/>
      <family val="1"/>
    </font>
    <font>
      <sz val="12"/>
      <color theme="10"/>
      <name val="Calibri"/>
      <family val="2"/>
      <scheme val="minor"/>
    </font>
    <font>
      <sz val="11"/>
      <color theme="1"/>
      <name val="Lucida Grande"/>
      <family val="2"/>
    </font>
    <font>
      <b/>
      <sz val="12"/>
      <color theme="1"/>
      <name val="Calibri"/>
      <family val="2"/>
      <scheme val="minor"/>
    </font>
    <font>
      <i/>
      <sz val="12"/>
      <color theme="1"/>
      <name val="Calibri"/>
      <family val="2"/>
      <scheme val="minor"/>
    </font>
    <font>
      <b/>
      <sz val="12"/>
      <color rgb="FFFF0000"/>
      <name val="Calibri"/>
      <family val="2"/>
      <scheme val="minor"/>
    </font>
    <font>
      <sz val="12"/>
      <color theme="4"/>
      <name val="Calibri"/>
      <family val="2"/>
      <scheme val="minor"/>
    </font>
    <font>
      <sz val="12"/>
      <color theme="9"/>
      <name val="Calibri"/>
      <family val="2"/>
      <scheme val="minor"/>
    </font>
    <font>
      <sz val="12"/>
      <color rgb="FF111111"/>
      <name val="Arial"/>
      <family val="2"/>
    </font>
    <font>
      <sz val="12"/>
      <color rgb="FF000000"/>
      <name val="Arial"/>
      <family val="2"/>
    </font>
    <font>
      <sz val="9"/>
      <color rgb="FF2A2D35"/>
      <name val="Helvetica"/>
      <family val="2"/>
    </font>
    <font>
      <sz val="24"/>
      <color rgb="FF505050"/>
      <name val="Georgia"/>
      <family val="1"/>
    </font>
    <font>
      <i/>
      <sz val="24"/>
      <color rgb="FF505050"/>
      <name val="Georgia"/>
      <family val="1"/>
    </font>
    <font>
      <sz val="10"/>
      <color rgb="FF000000"/>
      <name val="Calibri"/>
      <family val="2"/>
      <scheme val="minor"/>
    </font>
    <font>
      <sz val="12"/>
      <color rgb="FF385623"/>
      <name val="Calibri"/>
      <family val="2"/>
      <scheme val="minor"/>
    </font>
    <font>
      <sz val="12"/>
      <color rgb="FF833C0B"/>
      <name val="Calibri"/>
      <family val="2"/>
      <scheme val="minor"/>
    </font>
    <font>
      <b/>
      <sz val="12"/>
      <color rgb="FF4F4A46"/>
      <name val="Arial"/>
      <family val="2"/>
    </font>
    <font>
      <sz val="12"/>
      <color rgb="FF7030A0"/>
      <name val="Helvetica"/>
      <family val="2"/>
    </font>
    <font>
      <vertAlign val="subscript"/>
      <sz val="12"/>
      <color rgb="FF833C0B"/>
      <name val="Calibri"/>
      <family val="2"/>
      <scheme val="minor"/>
    </font>
    <font>
      <sz val="12"/>
      <color theme="1"/>
      <name val="Courier New"/>
      <family val="2"/>
    </font>
    <font>
      <sz val="12"/>
      <color rgb="FF2F5496"/>
      <name val="Calibri"/>
      <family val="2"/>
      <scheme val="minor"/>
    </font>
    <font>
      <vertAlign val="superscript"/>
      <sz val="12"/>
      <color theme="1"/>
      <name val="Times New Roman"/>
      <family val="1"/>
    </font>
    <font>
      <sz val="12"/>
      <color rgb="FF2B2B2B"/>
      <name val="Helvetica"/>
      <family val="2"/>
    </font>
    <font>
      <b/>
      <sz val="12"/>
      <color rgb="FF363636"/>
      <name val="Helvetica"/>
      <family val="2"/>
    </font>
    <font>
      <sz val="12"/>
      <color rgb="FF4D4D4D"/>
      <name val="Arial"/>
      <family val="2"/>
    </font>
  </fonts>
  <fills count="17">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2">
    <xf numFmtId="0" fontId="0" fillId="0" borderId="0"/>
    <xf numFmtId="0" fontId="7" fillId="0" borderId="0" applyNumberFormat="0" applyFill="0" applyBorder="0" applyAlignment="0" applyProtection="0"/>
  </cellStyleXfs>
  <cellXfs count="261">
    <xf numFmtId="0" fontId="0" fillId="0" borderId="0" xfId="0"/>
    <xf numFmtId="0" fontId="1" fillId="0" borderId="0" xfId="0" applyFont="1"/>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164" fontId="0" fillId="0" borderId="0" xfId="0" applyNumberFormat="1" applyBorder="1"/>
    <xf numFmtId="0" fontId="3" fillId="0" borderId="0" xfId="0" applyFont="1"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4" xfId="0" applyFill="1" applyBorder="1"/>
    <xf numFmtId="0" fontId="5" fillId="0" borderId="0" xfId="0" applyFont="1" applyBorder="1"/>
    <xf numFmtId="0" fontId="0" fillId="2" borderId="5" xfId="0" applyFill="1" applyBorder="1"/>
    <xf numFmtId="0" fontId="0" fillId="2" borderId="0" xfId="0" applyFill="1" applyBorder="1"/>
    <xf numFmtId="2" fontId="0" fillId="0" borderId="0" xfId="0" applyNumberFormat="1" applyBorder="1"/>
    <xf numFmtId="0" fontId="0" fillId="0" borderId="0" xfId="0" applyFont="1"/>
    <xf numFmtId="0" fontId="0" fillId="0" borderId="9" xfId="0" applyFont="1" applyFill="1" applyBorder="1"/>
    <xf numFmtId="0" fontId="0" fillId="0" borderId="0" xfId="0" applyNumberFormat="1" applyFont="1"/>
    <xf numFmtId="0" fontId="0" fillId="0" borderId="0" xfId="0" applyFont="1" applyFill="1" applyBorder="1"/>
    <xf numFmtId="0" fontId="8" fillId="0" borderId="9" xfId="0" applyFont="1" applyFill="1" applyBorder="1"/>
    <xf numFmtId="0" fontId="0" fillId="0" borderId="0" xfId="0" applyFont="1" applyFill="1" applyBorder="1" applyAlignment="1"/>
    <xf numFmtId="49" fontId="0" fillId="0" borderId="9" xfId="0" applyNumberFormat="1" applyFont="1" applyFill="1" applyBorder="1"/>
    <xf numFmtId="0" fontId="0" fillId="0" borderId="0" xfId="0" applyFont="1" applyFill="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15" xfId="0" applyFont="1" applyFill="1" applyBorder="1"/>
    <xf numFmtId="0" fontId="0" fillId="0" borderId="16" xfId="0" applyFont="1" applyFill="1" applyBorder="1"/>
    <xf numFmtId="0" fontId="0" fillId="0" borderId="17" xfId="0" applyFont="1" applyFill="1" applyBorder="1"/>
    <xf numFmtId="11" fontId="0" fillId="0" borderId="0" xfId="0" applyNumberFormat="1" applyFont="1" applyFill="1" applyBorder="1"/>
    <xf numFmtId="0" fontId="0" fillId="0" borderId="13" xfId="0" applyFont="1" applyFill="1" applyBorder="1" applyAlignment="1"/>
    <xf numFmtId="0" fontId="0" fillId="0" borderId="14" xfId="0" applyFont="1" applyFill="1" applyBorder="1" applyAlignment="1"/>
    <xf numFmtId="0" fontId="0" fillId="0" borderId="0" xfId="0" applyFont="1" applyFill="1" applyAlignment="1"/>
    <xf numFmtId="0" fontId="0" fillId="0" borderId="18" xfId="0" applyFont="1" applyFill="1" applyBorder="1"/>
    <xf numFmtId="0" fontId="0" fillId="0" borderId="19" xfId="0" applyFont="1" applyFill="1" applyBorder="1"/>
    <xf numFmtId="11" fontId="0" fillId="0" borderId="11" xfId="0" applyNumberFormat="1" applyFont="1" applyFill="1" applyBorder="1"/>
    <xf numFmtId="0" fontId="6" fillId="0" borderId="0" xfId="0" applyFont="1" applyFill="1"/>
    <xf numFmtId="0" fontId="0" fillId="3" borderId="10" xfId="0" applyFont="1" applyFill="1" applyBorder="1"/>
    <xf numFmtId="0" fontId="0" fillId="3" borderId="13" xfId="0" applyFont="1" applyFill="1" applyBorder="1"/>
    <xf numFmtId="0" fontId="0" fillId="3" borderId="18" xfId="0" applyFont="1" applyFill="1" applyBorder="1"/>
    <xf numFmtId="0" fontId="9" fillId="0" borderId="16" xfId="0" applyFont="1" applyFill="1" applyBorder="1"/>
    <xf numFmtId="0" fontId="0" fillId="4" borderId="9" xfId="0" applyFont="1" applyFill="1" applyBorder="1"/>
    <xf numFmtId="0" fontId="8" fillId="4" borderId="9" xfId="0" applyFont="1" applyFill="1" applyBorder="1"/>
    <xf numFmtId="0" fontId="0" fillId="5" borderId="9" xfId="0" applyFont="1" applyFill="1" applyBorder="1"/>
    <xf numFmtId="0" fontId="8" fillId="5" borderId="9" xfId="0" applyFont="1" applyFill="1" applyBorder="1"/>
    <xf numFmtId="0" fontId="0" fillId="2" borderId="9" xfId="0" applyFont="1" applyFill="1" applyBorder="1"/>
    <xf numFmtId="0" fontId="8" fillId="2" borderId="9" xfId="0" applyFont="1" applyFill="1" applyBorder="1"/>
    <xf numFmtId="0" fontId="0" fillId="5" borderId="9" xfId="0" applyFont="1" applyFill="1" applyBorder="1" applyAlignment="1">
      <alignment vertical="center"/>
    </xf>
    <xf numFmtId="165" fontId="0" fillId="5" borderId="9" xfId="0" applyNumberFormat="1" applyFont="1" applyFill="1" applyBorder="1"/>
    <xf numFmtId="0" fontId="0" fillId="2" borderId="9" xfId="0" applyFont="1" applyFill="1" applyBorder="1" applyAlignment="1">
      <alignment vertical="center"/>
    </xf>
    <xf numFmtId="0" fontId="0" fillId="4" borderId="9" xfId="0" applyFont="1" applyFill="1" applyBorder="1" applyAlignment="1">
      <alignment vertical="center"/>
    </xf>
    <xf numFmtId="0" fontId="0" fillId="5" borderId="9" xfId="0" applyNumberFormat="1" applyFont="1" applyFill="1" applyBorder="1"/>
    <xf numFmtId="17" fontId="0" fillId="4" borderId="9" xfId="0" applyNumberFormat="1" applyFont="1" applyFill="1" applyBorder="1"/>
    <xf numFmtId="0" fontId="0" fillId="6" borderId="9" xfId="0" applyFont="1" applyFill="1" applyBorder="1"/>
    <xf numFmtId="49" fontId="0" fillId="4" borderId="9" xfId="0" applyNumberFormat="1" applyFont="1" applyFill="1" applyBorder="1"/>
    <xf numFmtId="0" fontId="0" fillId="7" borderId="9" xfId="0" applyFont="1" applyFill="1" applyBorder="1" applyAlignment="1">
      <alignment vertical="center"/>
    </xf>
    <xf numFmtId="0" fontId="0" fillId="8" borderId="9" xfId="0" applyFont="1" applyFill="1" applyBorder="1"/>
    <xf numFmtId="49" fontId="0" fillId="5" borderId="9" xfId="0" applyNumberFormat="1" applyFont="1" applyFill="1" applyBorder="1"/>
    <xf numFmtId="49" fontId="0" fillId="2" borderId="9" xfId="0" applyNumberFormat="1" applyFont="1" applyFill="1" applyBorder="1"/>
    <xf numFmtId="49" fontId="0" fillId="6" borderId="9" xfId="0" applyNumberFormat="1" applyFont="1" applyFill="1" applyBorder="1"/>
    <xf numFmtId="49" fontId="0" fillId="8" borderId="9" xfId="0" applyNumberFormat="1" applyFont="1" applyFill="1" applyBorder="1"/>
    <xf numFmtId="0" fontId="0" fillId="9" borderId="9" xfId="0" applyFont="1" applyFill="1" applyBorder="1"/>
    <xf numFmtId="0" fontId="0" fillId="9" borderId="9" xfId="0" applyFont="1" applyFill="1" applyBorder="1" applyAlignment="1">
      <alignment vertical="center"/>
    </xf>
    <xf numFmtId="49" fontId="0" fillId="9" borderId="9" xfId="0" applyNumberFormat="1" applyFont="1" applyFill="1" applyBorder="1"/>
    <xf numFmtId="165" fontId="0" fillId="9" borderId="9" xfId="0" applyNumberFormat="1" applyFont="1" applyFill="1" applyBorder="1"/>
    <xf numFmtId="0" fontId="8" fillId="9" borderId="9" xfId="0" applyFont="1" applyFill="1" applyBorder="1"/>
    <xf numFmtId="0" fontId="0" fillId="10" borderId="9" xfId="0" applyFont="1" applyFill="1" applyBorder="1"/>
    <xf numFmtId="0" fontId="0" fillId="10" borderId="9" xfId="0" applyFont="1" applyFill="1" applyBorder="1" applyAlignment="1">
      <alignment vertical="center"/>
    </xf>
    <xf numFmtId="49" fontId="0" fillId="10" borderId="9" xfId="0" applyNumberFormat="1" applyFont="1" applyFill="1" applyBorder="1"/>
    <xf numFmtId="165" fontId="0" fillId="10" borderId="9" xfId="0" applyNumberFormat="1" applyFont="1" applyFill="1" applyBorder="1"/>
    <xf numFmtId="0" fontId="8" fillId="10" borderId="9" xfId="0" applyFont="1" applyFill="1" applyBorder="1"/>
    <xf numFmtId="17" fontId="0" fillId="5" borderId="9" xfId="0" applyNumberFormat="1" applyFont="1" applyFill="1" applyBorder="1"/>
    <xf numFmtId="0" fontId="10" fillId="5" borderId="9" xfId="0" applyFont="1" applyFill="1" applyBorder="1"/>
    <xf numFmtId="17" fontId="0" fillId="6" borderId="9" xfId="0" applyNumberFormat="1" applyFont="1" applyFill="1" applyBorder="1"/>
    <xf numFmtId="0" fontId="0" fillId="6" borderId="9" xfId="0" applyFill="1" applyBorder="1"/>
    <xf numFmtId="0" fontId="10" fillId="4" borderId="9" xfId="0" applyFont="1" applyFill="1" applyBorder="1"/>
    <xf numFmtId="0" fontId="0" fillId="4" borderId="9" xfId="0" applyFill="1" applyBorder="1"/>
    <xf numFmtId="0" fontId="0" fillId="4" borderId="9" xfId="0" applyFont="1" applyFill="1" applyBorder="1" applyAlignment="1">
      <alignment wrapText="1"/>
    </xf>
    <xf numFmtId="0" fontId="13" fillId="0" borderId="0" xfId="0" applyFont="1"/>
    <xf numFmtId="0" fontId="0" fillId="0" borderId="22" xfId="0" applyFont="1" applyFill="1" applyBorder="1" applyAlignment="1"/>
    <xf numFmtId="0" fontId="0" fillId="0" borderId="22" xfId="0" applyFont="1" applyFill="1" applyBorder="1" applyAlignment="1">
      <alignment horizontal="center"/>
    </xf>
    <xf numFmtId="0" fontId="0" fillId="5" borderId="22" xfId="0" applyFont="1" applyFill="1" applyBorder="1" applyAlignment="1"/>
    <xf numFmtId="0" fontId="0" fillId="0" borderId="22" xfId="0" applyFont="1" applyFill="1" applyBorder="1" applyAlignment="1">
      <alignment vertical="center"/>
    </xf>
    <xf numFmtId="0" fontId="0" fillId="0" borderId="22" xfId="0" applyFont="1" applyFill="1" applyBorder="1" applyAlignment="1">
      <alignment vertical="top"/>
    </xf>
    <xf numFmtId="0" fontId="0" fillId="5" borderId="9" xfId="0" applyFill="1" applyBorder="1"/>
    <xf numFmtId="0" fontId="0" fillId="0" borderId="22" xfId="1" applyFont="1" applyFill="1" applyBorder="1" applyAlignment="1"/>
    <xf numFmtId="0" fontId="14" fillId="0" borderId="22" xfId="0" applyFont="1" applyFill="1" applyBorder="1" applyAlignment="1"/>
    <xf numFmtId="0" fontId="0" fillId="0" borderId="22" xfId="0" applyBorder="1" applyAlignment="1"/>
    <xf numFmtId="0" fontId="0" fillId="5" borderId="22" xfId="0" applyFont="1" applyFill="1" applyBorder="1" applyAlignment="1">
      <alignment horizontal="center"/>
    </xf>
    <xf numFmtId="0" fontId="0" fillId="5" borderId="22" xfId="0" applyFont="1" applyFill="1" applyBorder="1" applyAlignment="1">
      <alignment vertical="center"/>
    </xf>
    <xf numFmtId="0" fontId="0" fillId="5" borderId="22" xfId="0" applyFont="1" applyFill="1" applyBorder="1" applyAlignment="1">
      <alignment vertical="top"/>
    </xf>
    <xf numFmtId="0" fontId="0" fillId="5" borderId="22" xfId="0" applyFont="1" applyFill="1" applyBorder="1" applyAlignment="1">
      <alignment horizontal="left" vertical="top"/>
    </xf>
    <xf numFmtId="0" fontId="0" fillId="4" borderId="0" xfId="0" applyFill="1"/>
    <xf numFmtId="0" fontId="12" fillId="4" borderId="0" xfId="0" applyFont="1" applyFill="1"/>
    <xf numFmtId="11" fontId="12" fillId="4" borderId="0" xfId="0" applyNumberFormat="1" applyFont="1" applyFill="1"/>
    <xf numFmtId="0" fontId="0" fillId="8" borderId="0" xfId="0" applyFill="1"/>
    <xf numFmtId="0" fontId="8" fillId="8" borderId="9" xfId="0" applyFont="1" applyFill="1" applyBorder="1"/>
    <xf numFmtId="0" fontId="12" fillId="8" borderId="0" xfId="0" applyFont="1" applyFill="1"/>
    <xf numFmtId="11" fontId="12" fillId="8" borderId="0" xfId="0" applyNumberFormat="1" applyFont="1" applyFill="1"/>
    <xf numFmtId="0" fontId="0" fillId="5" borderId="0" xfId="0" applyFill="1"/>
    <xf numFmtId="0" fontId="0" fillId="6" borderId="9" xfId="0" applyFont="1" applyFill="1" applyBorder="1" applyAlignment="1">
      <alignment vertical="center"/>
    </xf>
    <xf numFmtId="0" fontId="0" fillId="6" borderId="0" xfId="0" applyFill="1"/>
    <xf numFmtId="0" fontId="8" fillId="6" borderId="9" xfId="0" applyFont="1" applyFill="1" applyBorder="1"/>
    <xf numFmtId="0" fontId="0" fillId="11" borderId="9" xfId="0" applyFont="1" applyFill="1" applyBorder="1"/>
    <xf numFmtId="0" fontId="0" fillId="11" borderId="9" xfId="0" applyFont="1" applyFill="1" applyBorder="1" applyAlignment="1">
      <alignment vertical="center"/>
    </xf>
    <xf numFmtId="49" fontId="0" fillId="11" borderId="9" xfId="0" applyNumberFormat="1" applyFont="1" applyFill="1" applyBorder="1"/>
    <xf numFmtId="0" fontId="0" fillId="11" borderId="0" xfId="0" applyFill="1"/>
    <xf numFmtId="0" fontId="8" fillId="11" borderId="9" xfId="0" applyFont="1" applyFill="1" applyBorder="1"/>
    <xf numFmtId="0" fontId="0" fillId="4" borderId="20" xfId="0" applyFont="1" applyFill="1" applyBorder="1"/>
    <xf numFmtId="0" fontId="0" fillId="4" borderId="20" xfId="0" applyFont="1" applyFill="1" applyBorder="1" applyAlignment="1">
      <alignment vertical="center"/>
    </xf>
    <xf numFmtId="49" fontId="0" fillId="4" borderId="20" xfId="0" applyNumberFormat="1" applyFont="1" applyFill="1" applyBorder="1"/>
    <xf numFmtId="0" fontId="0" fillId="3" borderId="22" xfId="0" applyFont="1" applyFill="1" applyBorder="1"/>
    <xf numFmtId="0" fontId="0" fillId="3" borderId="22" xfId="0" applyFont="1" applyFill="1" applyBorder="1" applyAlignment="1">
      <alignment vertical="center"/>
    </xf>
    <xf numFmtId="0" fontId="0" fillId="3" borderId="22" xfId="0" applyFill="1" applyBorder="1"/>
    <xf numFmtId="0" fontId="0" fillId="12" borderId="22" xfId="0" applyFont="1" applyFill="1" applyBorder="1"/>
    <xf numFmtId="0" fontId="0" fillId="12" borderId="22" xfId="0" applyFont="1" applyFill="1" applyBorder="1" applyAlignment="1">
      <alignment vertical="center"/>
    </xf>
    <xf numFmtId="0" fontId="0" fillId="12" borderId="22" xfId="0" applyFill="1" applyBorder="1"/>
    <xf numFmtId="0" fontId="0" fillId="13" borderId="22" xfId="0" applyFont="1" applyFill="1" applyBorder="1"/>
    <xf numFmtId="0" fontId="0" fillId="13" borderId="22" xfId="0" applyFont="1" applyFill="1" applyBorder="1" applyAlignment="1">
      <alignment vertical="center"/>
    </xf>
    <xf numFmtId="0" fontId="0" fillId="13" borderId="22" xfId="0" applyFill="1" applyBorder="1"/>
    <xf numFmtId="0" fontId="4" fillId="3" borderId="22" xfId="1" applyFont="1" applyFill="1" applyBorder="1"/>
    <xf numFmtId="0" fontId="0" fillId="4" borderId="21" xfId="0" applyFont="1" applyFill="1" applyBorder="1" applyAlignment="1">
      <alignment vertical="center"/>
    </xf>
    <xf numFmtId="0" fontId="0" fillId="4" borderId="21" xfId="0" applyFont="1" applyFill="1" applyBorder="1"/>
    <xf numFmtId="49" fontId="0" fillId="4" borderId="21" xfId="0" applyNumberFormat="1" applyFont="1" applyFill="1" applyBorder="1"/>
    <xf numFmtId="17" fontId="0" fillId="4" borderId="21" xfId="0" applyNumberFormat="1" applyFont="1" applyFill="1" applyBorder="1"/>
    <xf numFmtId="0" fontId="13" fillId="0" borderId="9" xfId="0" applyFont="1" applyFill="1" applyBorder="1"/>
    <xf numFmtId="0" fontId="13" fillId="4" borderId="9" xfId="0" applyFont="1" applyFill="1" applyBorder="1"/>
    <xf numFmtId="0" fontId="13" fillId="8" borderId="9" xfId="0" applyFont="1" applyFill="1" applyBorder="1"/>
    <xf numFmtId="0" fontId="13" fillId="5" borderId="0" xfId="0" applyFont="1" applyFill="1"/>
    <xf numFmtId="0" fontId="13" fillId="2" borderId="9" xfId="0" applyFont="1" applyFill="1" applyBorder="1"/>
    <xf numFmtId="0" fontId="13" fillId="5" borderId="9" xfId="0" applyFont="1" applyFill="1" applyBorder="1"/>
    <xf numFmtId="0" fontId="13" fillId="9" borderId="9" xfId="0" applyFont="1" applyFill="1" applyBorder="1"/>
    <xf numFmtId="0" fontId="13" fillId="10" borderId="9" xfId="0" applyFont="1" applyFill="1" applyBorder="1"/>
    <xf numFmtId="0" fontId="13" fillId="6" borderId="9" xfId="0" applyFont="1" applyFill="1" applyBorder="1"/>
    <xf numFmtId="0" fontId="13" fillId="11" borderId="9" xfId="0" applyFont="1" applyFill="1" applyBorder="1"/>
    <xf numFmtId="0" fontId="13" fillId="4" borderId="20" xfId="0" applyFont="1" applyFill="1" applyBorder="1"/>
    <xf numFmtId="0" fontId="13" fillId="3" borderId="22" xfId="0" applyFont="1" applyFill="1" applyBorder="1"/>
    <xf numFmtId="0" fontId="13" fillId="12" borderId="22" xfId="0" applyFont="1" applyFill="1" applyBorder="1"/>
    <xf numFmtId="0" fontId="13" fillId="13" borderId="22" xfId="0" applyFont="1" applyFill="1" applyBorder="1"/>
    <xf numFmtId="0" fontId="13" fillId="4" borderId="21" xfId="0" applyFont="1" applyFill="1" applyBorder="1"/>
    <xf numFmtId="0" fontId="0" fillId="14" borderId="0" xfId="0" applyFill="1"/>
    <xf numFmtId="0" fontId="13" fillId="2" borderId="9" xfId="0" applyFont="1" applyFill="1" applyBorder="1" applyAlignment="1">
      <alignment vertical="center"/>
    </xf>
    <xf numFmtId="49" fontId="13" fillId="2" borderId="9" xfId="0" applyNumberFormat="1" applyFont="1" applyFill="1" applyBorder="1"/>
    <xf numFmtId="0" fontId="15" fillId="2" borderId="9" xfId="0" applyFont="1" applyFill="1" applyBorder="1"/>
    <xf numFmtId="0" fontId="0" fillId="14" borderId="9" xfId="0" applyFont="1" applyFill="1" applyBorder="1"/>
    <xf numFmtId="49" fontId="0" fillId="14" borderId="9" xfId="0" applyNumberFormat="1" applyFont="1" applyFill="1" applyBorder="1"/>
    <xf numFmtId="0" fontId="8" fillId="14" borderId="9" xfId="0" applyFont="1" applyFill="1" applyBorder="1"/>
    <xf numFmtId="0" fontId="13" fillId="14" borderId="9" xfId="0" applyFont="1" applyFill="1" applyBorder="1"/>
    <xf numFmtId="0" fontId="0" fillId="14" borderId="9" xfId="0" applyFont="1" applyFill="1" applyBorder="1" applyAlignment="1">
      <alignment vertical="center"/>
    </xf>
    <xf numFmtId="0" fontId="0" fillId="14" borderId="22" xfId="0" applyFont="1" applyFill="1" applyBorder="1"/>
    <xf numFmtId="0" fontId="0" fillId="14" borderId="22" xfId="0" applyFont="1" applyFill="1" applyBorder="1" applyAlignment="1">
      <alignment vertical="center"/>
    </xf>
    <xf numFmtId="0" fontId="0" fillId="14" borderId="22" xfId="0" applyFill="1" applyBorder="1"/>
    <xf numFmtId="0" fontId="13" fillId="14" borderId="22" xfId="0" applyFont="1" applyFill="1" applyBorder="1"/>
    <xf numFmtId="0" fontId="0" fillId="15" borderId="9" xfId="0" applyFont="1" applyFill="1" applyBorder="1"/>
    <xf numFmtId="49" fontId="0" fillId="15" borderId="9" xfId="0" applyNumberFormat="1" applyFont="1" applyFill="1" applyBorder="1"/>
    <xf numFmtId="0" fontId="8" fillId="15" borderId="9" xfId="0" applyFont="1" applyFill="1" applyBorder="1"/>
    <xf numFmtId="0" fontId="13" fillId="15" borderId="9" xfId="0" applyFont="1" applyFill="1" applyBorder="1"/>
    <xf numFmtId="0" fontId="16" fillId="8" borderId="9" xfId="0" applyFont="1" applyFill="1" applyBorder="1"/>
    <xf numFmtId="0" fontId="16" fillId="14" borderId="9" xfId="0" applyFont="1" applyFill="1" applyBorder="1"/>
    <xf numFmtId="0" fontId="17" fillId="8" borderId="9" xfId="0" applyFont="1" applyFill="1" applyBorder="1"/>
    <xf numFmtId="0" fontId="0" fillId="6" borderId="0" xfId="0" applyFont="1" applyFill="1"/>
    <xf numFmtId="0" fontId="0" fillId="0" borderId="0" xfId="0" applyAlignment="1"/>
    <xf numFmtId="0" fontId="0" fillId="6" borderId="20" xfId="0" applyFont="1" applyFill="1" applyBorder="1"/>
    <xf numFmtId="0" fontId="10" fillId="4" borderId="20" xfId="0" applyFont="1" applyFill="1" applyBorder="1"/>
    <xf numFmtId="0" fontId="0" fillId="2" borderId="20" xfId="0" applyFont="1" applyFill="1" applyBorder="1"/>
    <xf numFmtId="0" fontId="0" fillId="5" borderId="20" xfId="0" applyFont="1" applyFill="1" applyBorder="1"/>
    <xf numFmtId="0" fontId="0" fillId="4" borderId="20" xfId="0" applyFill="1" applyBorder="1"/>
    <xf numFmtId="0" fontId="0" fillId="5" borderId="22" xfId="0" applyFont="1" applyFill="1" applyBorder="1"/>
    <xf numFmtId="49" fontId="0" fillId="5" borderId="22" xfId="0" applyNumberFormat="1" applyFont="1" applyFill="1" applyBorder="1"/>
    <xf numFmtId="15" fontId="10" fillId="5" borderId="22" xfId="0" applyNumberFormat="1" applyFont="1" applyFill="1" applyBorder="1"/>
    <xf numFmtId="0" fontId="0" fillId="5" borderId="22" xfId="0" applyFill="1" applyBorder="1"/>
    <xf numFmtId="0" fontId="13" fillId="5" borderId="22" xfId="0" applyFont="1" applyFill="1" applyBorder="1"/>
    <xf numFmtId="0" fontId="0" fillId="3" borderId="21" xfId="0" applyFont="1" applyFill="1" applyBorder="1"/>
    <xf numFmtId="0" fontId="0" fillId="3" borderId="9" xfId="0" applyFont="1" applyFill="1" applyBorder="1"/>
    <xf numFmtId="0" fontId="10" fillId="3" borderId="9" xfId="0" applyFont="1" applyFill="1" applyBorder="1"/>
    <xf numFmtId="49" fontId="0" fillId="3" borderId="22" xfId="0" applyNumberFormat="1" applyFont="1" applyFill="1" applyBorder="1"/>
    <xf numFmtId="0" fontId="0" fillId="3" borderId="0" xfId="0" applyFill="1"/>
    <xf numFmtId="0" fontId="13" fillId="3" borderId="21" xfId="0" applyFont="1" applyFill="1" applyBorder="1"/>
    <xf numFmtId="0" fontId="10" fillId="3" borderId="0" xfId="0" applyFont="1" applyFill="1"/>
    <xf numFmtId="17" fontId="0" fillId="3" borderId="21" xfId="0" applyNumberFormat="1" applyFont="1" applyFill="1" applyBorder="1"/>
    <xf numFmtId="0" fontId="10" fillId="5" borderId="0" xfId="0" applyFont="1" applyFill="1"/>
    <xf numFmtId="0" fontId="0" fillId="4" borderId="23" xfId="0" applyFont="1" applyFill="1" applyBorder="1"/>
    <xf numFmtId="0" fontId="0" fillId="8" borderId="23" xfId="0" applyFont="1" applyFill="1" applyBorder="1"/>
    <xf numFmtId="49" fontId="0" fillId="4" borderId="24" xfId="0" applyNumberFormat="1" applyFont="1" applyFill="1" applyBorder="1"/>
    <xf numFmtId="49" fontId="0" fillId="8" borderId="24" xfId="0" applyNumberFormat="1" applyFont="1" applyFill="1" applyBorder="1"/>
    <xf numFmtId="0" fontId="0" fillId="7" borderId="20" xfId="0" applyFont="1" applyFill="1" applyBorder="1" applyAlignment="1">
      <alignment vertical="center"/>
    </xf>
    <xf numFmtId="0" fontId="0" fillId="4" borderId="22" xfId="0" applyFont="1" applyFill="1" applyBorder="1" applyAlignment="1">
      <alignment vertical="center"/>
    </xf>
    <xf numFmtId="0" fontId="11" fillId="8" borderId="22" xfId="1" applyFont="1" applyFill="1" applyBorder="1"/>
    <xf numFmtId="0" fontId="18" fillId="0" borderId="0" xfId="0" applyFont="1" applyAlignment="1"/>
    <xf numFmtId="0" fontId="0" fillId="0" borderId="22" xfId="0" applyFont="1" applyBorder="1" applyAlignment="1"/>
    <xf numFmtId="0" fontId="0" fillId="3" borderId="0" xfId="0" applyFill="1" applyBorder="1"/>
    <xf numFmtId="0" fontId="0" fillId="6" borderId="22" xfId="0" applyFill="1" applyBorder="1"/>
    <xf numFmtId="11" fontId="0" fillId="6" borderId="22" xfId="0" applyNumberFormat="1" applyFill="1" applyBorder="1"/>
    <xf numFmtId="0" fontId="10" fillId="11" borderId="9" xfId="0" applyFont="1" applyFill="1" applyBorder="1"/>
    <xf numFmtId="0" fontId="0" fillId="11" borderId="9" xfId="0" applyFill="1" applyBorder="1"/>
    <xf numFmtId="0" fontId="12" fillId="0" borderId="0" xfId="0" applyFont="1"/>
    <xf numFmtId="0" fontId="0" fillId="3" borderId="0" xfId="0" applyFont="1" applyFill="1" applyBorder="1"/>
    <xf numFmtId="0" fontId="0" fillId="0" borderId="0" xfId="0" applyFill="1"/>
    <xf numFmtId="2" fontId="0" fillId="0" borderId="0" xfId="0" applyNumberFormat="1" applyFill="1"/>
    <xf numFmtId="0" fontId="12" fillId="0" borderId="0" xfId="0" applyFont="1" applyFill="1"/>
    <xf numFmtId="0" fontId="17" fillId="2" borderId="9" xfId="0" applyFont="1" applyFill="1" applyBorder="1"/>
    <xf numFmtId="0" fontId="16" fillId="2" borderId="9" xfId="0" applyFont="1" applyFill="1" applyBorder="1"/>
    <xf numFmtId="0" fontId="0" fillId="4" borderId="22" xfId="0" applyFont="1" applyFill="1" applyBorder="1"/>
    <xf numFmtId="0" fontId="0" fillId="4" borderId="22" xfId="0" applyFill="1" applyBorder="1"/>
    <xf numFmtId="0" fontId="13" fillId="4" borderId="22" xfId="0" applyFont="1" applyFill="1" applyBorder="1"/>
    <xf numFmtId="0" fontId="0" fillId="0" borderId="22" xfId="0" applyBorder="1"/>
    <xf numFmtId="0" fontId="0" fillId="2" borderId="22" xfId="0" applyFill="1" applyBorder="1"/>
    <xf numFmtId="0" fontId="6" fillId="5" borderId="22" xfId="0" applyFont="1" applyFill="1" applyBorder="1"/>
    <xf numFmtId="0" fontId="6" fillId="2" borderId="22" xfId="0" applyFont="1" applyFill="1" applyBorder="1"/>
    <xf numFmtId="11" fontId="0" fillId="2" borderId="22" xfId="0" applyNumberFormat="1" applyFill="1" applyBorder="1"/>
    <xf numFmtId="0" fontId="6" fillId="6" borderId="22" xfId="0" applyFont="1" applyFill="1" applyBorder="1"/>
    <xf numFmtId="0" fontId="19" fillId="0" borderId="0" xfId="0" applyFont="1"/>
    <xf numFmtId="0" fontId="0" fillId="6" borderId="0" xfId="0" applyFont="1" applyFill="1" applyBorder="1"/>
    <xf numFmtId="0" fontId="0" fillId="4" borderId="0" xfId="0" applyFont="1" applyFill="1" applyBorder="1"/>
    <xf numFmtId="9" fontId="0" fillId="0" borderId="0" xfId="0" applyNumberFormat="1"/>
    <xf numFmtId="0" fontId="13" fillId="3" borderId="0" xfId="0" applyFont="1" applyFill="1" applyBorder="1"/>
    <xf numFmtId="2" fontId="0" fillId="0" borderId="0" xfId="0" applyNumberFormat="1" applyFont="1" applyFill="1" applyBorder="1"/>
    <xf numFmtId="2" fontId="0" fillId="4" borderId="0" xfId="0" applyNumberFormat="1" applyFont="1" applyFill="1" applyBorder="1"/>
    <xf numFmtId="2" fontId="0" fillId="3" borderId="0" xfId="0" applyNumberFormat="1" applyFont="1" applyFill="1" applyBorder="1"/>
    <xf numFmtId="2" fontId="0" fillId="0" borderId="0" xfId="0" applyNumberFormat="1"/>
    <xf numFmtId="165" fontId="0" fillId="0" borderId="0" xfId="0" applyNumberFormat="1" applyFont="1" applyFill="1" applyBorder="1"/>
    <xf numFmtId="165" fontId="0" fillId="4" borderId="0" xfId="0" applyNumberFormat="1" applyFont="1" applyFill="1" applyBorder="1"/>
    <xf numFmtId="165" fontId="0" fillId="3" borderId="0" xfId="0" applyNumberFormat="1" applyFont="1" applyFill="1" applyBorder="1"/>
    <xf numFmtId="165" fontId="0" fillId="0" borderId="0" xfId="0" applyNumberFormat="1"/>
    <xf numFmtId="0" fontId="20" fillId="0" borderId="0" xfId="0" applyFont="1"/>
    <xf numFmtId="0" fontId="0" fillId="14" borderId="22" xfId="0" applyFont="1" applyFill="1" applyBorder="1" applyAlignment="1"/>
    <xf numFmtId="0" fontId="21" fillId="0" borderId="0" xfId="0" applyFont="1"/>
    <xf numFmtId="0" fontId="7" fillId="0" borderId="0" xfId="1"/>
    <xf numFmtId="0" fontId="23" fillId="0" borderId="0" xfId="0" applyFont="1" applyAlignment="1">
      <alignment horizontal="left" vertical="center" readingOrder="1"/>
    </xf>
    <xf numFmtId="0" fontId="23" fillId="4" borderId="0" xfId="0" applyFont="1" applyFill="1"/>
    <xf numFmtId="0" fontId="6" fillId="0" borderId="0" xfId="0" applyFont="1"/>
    <xf numFmtId="0" fontId="24" fillId="0" borderId="0" xfId="0" applyFont="1"/>
    <xf numFmtId="0" fontId="25" fillId="0" borderId="0" xfId="0" applyFont="1"/>
    <xf numFmtId="0" fontId="26" fillId="0" borderId="0" xfId="0" applyFont="1"/>
    <xf numFmtId="0" fontId="27" fillId="0" borderId="0" xfId="0" applyFont="1" applyAlignment="1">
      <alignment vertical="center"/>
    </xf>
    <xf numFmtId="0" fontId="27" fillId="0" borderId="0" xfId="0" applyFont="1"/>
    <xf numFmtId="0" fontId="29" fillId="0" borderId="0" xfId="0" applyFont="1" applyAlignment="1">
      <alignment horizontal="left" vertical="center" indent="8"/>
    </xf>
    <xf numFmtId="0" fontId="24" fillId="16" borderId="0" xfId="0" applyFont="1" applyFill="1"/>
    <xf numFmtId="0" fontId="25" fillId="16" borderId="0" xfId="0" applyFont="1" applyFill="1"/>
    <xf numFmtId="0" fontId="7" fillId="0" borderId="0" xfId="1" applyFont="1"/>
    <xf numFmtId="0" fontId="32" fillId="0" borderId="0" xfId="0" applyFont="1"/>
    <xf numFmtId="0" fontId="0" fillId="16" borderId="0" xfId="0" applyFont="1" applyFill="1"/>
    <xf numFmtId="0" fontId="33" fillId="0" borderId="0" xfId="0" applyFont="1"/>
    <xf numFmtId="0" fontId="34" fillId="0" borderId="0" xfId="0" applyFont="1"/>
    <xf numFmtId="0" fontId="13" fillId="4" borderId="0" xfId="0" applyFont="1" applyFill="1" applyBorder="1"/>
    <xf numFmtId="165" fontId="13" fillId="4" borderId="0" xfId="0" applyNumberFormat="1" applyFont="1" applyFill="1" applyBorder="1"/>
    <xf numFmtId="2" fontId="13" fillId="4" borderId="0" xfId="0" applyNumberFormat="1" applyFont="1" applyFill="1" applyBorder="1"/>
    <xf numFmtId="0" fontId="13" fillId="4" borderId="0" xfId="0" applyFont="1" applyFill="1"/>
    <xf numFmtId="165" fontId="13" fillId="3" borderId="0" xfId="0" applyNumberFormat="1" applyFont="1" applyFill="1" applyBorder="1"/>
    <xf numFmtId="2" fontId="13" fillId="3" borderId="0" xfId="0" applyNumberFormat="1" applyFont="1" applyFill="1" applyBorder="1"/>
    <xf numFmtId="0" fontId="13" fillId="3" borderId="0" xfId="0" applyFont="1" applyFill="1"/>
    <xf numFmtId="0" fontId="0" fillId="2" borderId="4" xfId="0" applyFill="1" applyBorder="1" applyAlignment="1">
      <alignment horizontal="center"/>
    </xf>
    <xf numFmtId="0" fontId="0" fillId="2" borderId="0" xfId="0" applyFill="1"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1.8145231846019249E-2"/>
                  <c:y val="-0.165694079906678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test!$C$2:$C$7</c:f>
              <c:numCache>
                <c:formatCode>General</c:formatCode>
                <c:ptCount val="6"/>
                <c:pt idx="0">
                  <c:v>1</c:v>
                </c:pt>
                <c:pt idx="1">
                  <c:v>2</c:v>
                </c:pt>
                <c:pt idx="2">
                  <c:v>3</c:v>
                </c:pt>
                <c:pt idx="3">
                  <c:v>4</c:v>
                </c:pt>
                <c:pt idx="4">
                  <c:v>5</c:v>
                </c:pt>
                <c:pt idx="5">
                  <c:v>6</c:v>
                </c:pt>
              </c:numCache>
            </c:numRef>
          </c:xVal>
          <c:yVal>
            <c:numRef>
              <c:f>test!$B$2:$B$7</c:f>
              <c:numCache>
                <c:formatCode>General</c:formatCode>
                <c:ptCount val="6"/>
                <c:pt idx="0">
                  <c:v>11</c:v>
                </c:pt>
                <c:pt idx="1">
                  <c:v>13</c:v>
                </c:pt>
                <c:pt idx="2">
                  <c:v>12</c:v>
                </c:pt>
                <c:pt idx="3">
                  <c:v>11</c:v>
                </c:pt>
                <c:pt idx="4">
                  <c:v>15</c:v>
                </c:pt>
                <c:pt idx="5">
                  <c:v>17</c:v>
                </c:pt>
              </c:numCache>
            </c:numRef>
          </c:yVal>
          <c:smooth val="0"/>
          <c:extLst>
            <c:ext xmlns:c16="http://schemas.microsoft.com/office/drawing/2014/chart" uri="{C3380CC4-5D6E-409C-BE32-E72D297353CC}">
              <c16:uniqueId val="{00000000-CAFA-C141-A486-E5FEFFA42525}"/>
            </c:ext>
          </c:extLst>
        </c:ser>
        <c:dLbls>
          <c:showLegendKey val="0"/>
          <c:showVal val="0"/>
          <c:showCatName val="0"/>
          <c:showSerName val="0"/>
          <c:showPercent val="0"/>
          <c:showBubbleSize val="0"/>
        </c:dLbls>
        <c:axId val="2005127615"/>
        <c:axId val="1840308335"/>
      </c:scatterChart>
      <c:valAx>
        <c:axId val="2005127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308335"/>
        <c:crosses val="autoZero"/>
        <c:crossBetween val="midCat"/>
      </c:valAx>
      <c:valAx>
        <c:axId val="1840308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127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8594203849518812"/>
                  <c:y val="-1.430555555555555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Size!$B$3:$B$17</c:f>
              <c:numCache>
                <c:formatCode>General</c:formatCode>
                <c:ptCount val="15"/>
                <c:pt idx="0">
                  <c:v>0.61</c:v>
                </c:pt>
                <c:pt idx="1">
                  <c:v>0.57499999999999996</c:v>
                </c:pt>
                <c:pt idx="2">
                  <c:v>0.5</c:v>
                </c:pt>
                <c:pt idx="3">
                  <c:v>0.55000000000000004</c:v>
                </c:pt>
                <c:pt idx="4">
                  <c:v>0.57999999999999996</c:v>
                </c:pt>
                <c:pt idx="5">
                  <c:v>0.46</c:v>
                </c:pt>
                <c:pt idx="6">
                  <c:v>0.57499999999999996</c:v>
                </c:pt>
                <c:pt idx="7">
                  <c:v>0.62</c:v>
                </c:pt>
                <c:pt idx="8">
                  <c:v>0.62</c:v>
                </c:pt>
                <c:pt idx="9">
                  <c:v>0.55000000000000004</c:v>
                </c:pt>
                <c:pt idx="10">
                  <c:v>0.56999999999999995</c:v>
                </c:pt>
                <c:pt idx="11">
                  <c:v>0.55000000000000004</c:v>
                </c:pt>
                <c:pt idx="12">
                  <c:v>0.68</c:v>
                </c:pt>
                <c:pt idx="13">
                  <c:v>0.56000000000000005</c:v>
                </c:pt>
                <c:pt idx="14">
                  <c:v>0.57999999999999996</c:v>
                </c:pt>
              </c:numCache>
            </c:numRef>
          </c:xVal>
          <c:yVal>
            <c:numRef>
              <c:f>Size!$D$3:$D$17</c:f>
              <c:numCache>
                <c:formatCode>General</c:formatCode>
                <c:ptCount val="15"/>
                <c:pt idx="0">
                  <c:v>0.12</c:v>
                </c:pt>
                <c:pt idx="1">
                  <c:v>0.1</c:v>
                </c:pt>
                <c:pt idx="2">
                  <c:v>0.09</c:v>
                </c:pt>
                <c:pt idx="3">
                  <c:v>0.1</c:v>
                </c:pt>
                <c:pt idx="4">
                  <c:v>0.08</c:v>
                </c:pt>
                <c:pt idx="5">
                  <c:v>0.08</c:v>
                </c:pt>
                <c:pt idx="6">
                  <c:v>0.09</c:v>
                </c:pt>
                <c:pt idx="7">
                  <c:v>0.1</c:v>
                </c:pt>
                <c:pt idx="8">
                  <c:v>0.12</c:v>
                </c:pt>
                <c:pt idx="9">
                  <c:v>0.11</c:v>
                </c:pt>
                <c:pt idx="10">
                  <c:v>0.11</c:v>
                </c:pt>
                <c:pt idx="11">
                  <c:v>0.09</c:v>
                </c:pt>
                <c:pt idx="12">
                  <c:v>0.13</c:v>
                </c:pt>
                <c:pt idx="13">
                  <c:v>0.12</c:v>
                </c:pt>
                <c:pt idx="14">
                  <c:v>0.13</c:v>
                </c:pt>
              </c:numCache>
            </c:numRef>
          </c:yVal>
          <c:smooth val="0"/>
          <c:extLst>
            <c:ext xmlns:c16="http://schemas.microsoft.com/office/drawing/2014/chart" uri="{C3380CC4-5D6E-409C-BE32-E72D297353CC}">
              <c16:uniqueId val="{00000003-5A4D-8747-B8E4-AC94D5485EDD}"/>
            </c:ext>
          </c:extLst>
        </c:ser>
        <c:dLbls>
          <c:showLegendKey val="0"/>
          <c:showVal val="0"/>
          <c:showCatName val="0"/>
          <c:showSerName val="0"/>
          <c:showPercent val="0"/>
          <c:showBubbleSize val="0"/>
        </c:dLbls>
        <c:axId val="2030768112"/>
        <c:axId val="2030221424"/>
      </c:scatterChart>
      <c:valAx>
        <c:axId val="203076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221424"/>
        <c:crosses val="autoZero"/>
        <c:crossBetween val="midCat"/>
      </c:valAx>
      <c:valAx>
        <c:axId val="203022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7681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47882370953630798"/>
                  <c:y val="-0.1095669291338582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Graphs!$C$12:$C$15</c:f>
              <c:numCache>
                <c:formatCode>General</c:formatCode>
                <c:ptCount val="4"/>
                <c:pt idx="0">
                  <c:v>1.5</c:v>
                </c:pt>
                <c:pt idx="1">
                  <c:v>0.8</c:v>
                </c:pt>
                <c:pt idx="2">
                  <c:v>0.7</c:v>
                </c:pt>
                <c:pt idx="3">
                  <c:v>0.1</c:v>
                </c:pt>
              </c:numCache>
            </c:numRef>
          </c:xVal>
          <c:yVal>
            <c:numRef>
              <c:f>Graphs!$D$12:$D$15</c:f>
              <c:numCache>
                <c:formatCode>General</c:formatCode>
                <c:ptCount val="4"/>
                <c:pt idx="0">
                  <c:v>12</c:v>
                </c:pt>
                <c:pt idx="1">
                  <c:v>15</c:v>
                </c:pt>
                <c:pt idx="2">
                  <c:v>15</c:v>
                </c:pt>
                <c:pt idx="3">
                  <c:v>12</c:v>
                </c:pt>
              </c:numCache>
            </c:numRef>
          </c:yVal>
          <c:smooth val="0"/>
          <c:extLst>
            <c:ext xmlns:c16="http://schemas.microsoft.com/office/drawing/2014/chart" uri="{C3380CC4-5D6E-409C-BE32-E72D297353CC}">
              <c16:uniqueId val="{00000001-020A-EE46-AE29-6F94529E24FE}"/>
            </c:ext>
          </c:extLst>
        </c:ser>
        <c:dLbls>
          <c:showLegendKey val="0"/>
          <c:showVal val="0"/>
          <c:showCatName val="0"/>
          <c:showSerName val="0"/>
          <c:showPercent val="0"/>
          <c:showBubbleSize val="0"/>
        </c:dLbls>
        <c:axId val="1990202832"/>
        <c:axId val="1996305312"/>
      </c:scatterChart>
      <c:valAx>
        <c:axId val="1990202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305312"/>
        <c:crosses val="autoZero"/>
        <c:crossBetween val="midCat"/>
      </c:valAx>
      <c:valAx>
        <c:axId val="199630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202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Graphs!$C$20:$C$24</c:f>
              <c:numCache>
                <c:formatCode>General</c:formatCode>
                <c:ptCount val="5"/>
                <c:pt idx="0">
                  <c:v>5</c:v>
                </c:pt>
                <c:pt idx="1">
                  <c:v>1.5</c:v>
                </c:pt>
                <c:pt idx="2">
                  <c:v>4.5</c:v>
                </c:pt>
                <c:pt idx="3">
                  <c:v>0.9</c:v>
                </c:pt>
                <c:pt idx="4">
                  <c:v>2.4</c:v>
                </c:pt>
              </c:numCache>
            </c:numRef>
          </c:xVal>
          <c:yVal>
            <c:numRef>
              <c:f>Graphs!$D$20:$D$24</c:f>
              <c:numCache>
                <c:formatCode>General</c:formatCode>
                <c:ptCount val="5"/>
                <c:pt idx="0">
                  <c:v>4.5</c:v>
                </c:pt>
                <c:pt idx="1">
                  <c:v>1.6</c:v>
                </c:pt>
                <c:pt idx="2">
                  <c:v>1.75</c:v>
                </c:pt>
                <c:pt idx="3">
                  <c:v>1.5</c:v>
                </c:pt>
                <c:pt idx="4">
                  <c:v>2.5</c:v>
                </c:pt>
              </c:numCache>
            </c:numRef>
          </c:yVal>
          <c:smooth val="0"/>
          <c:extLst>
            <c:ext xmlns:c16="http://schemas.microsoft.com/office/drawing/2014/chart" uri="{C3380CC4-5D6E-409C-BE32-E72D297353CC}">
              <c16:uniqueId val="{00000000-6FF1-2B40-BDF2-0EE3B7B16BC3}"/>
            </c:ext>
          </c:extLst>
        </c:ser>
        <c:dLbls>
          <c:showLegendKey val="0"/>
          <c:showVal val="0"/>
          <c:showCatName val="0"/>
          <c:showSerName val="0"/>
          <c:showPercent val="0"/>
          <c:showBubbleSize val="0"/>
        </c:dLbls>
        <c:axId val="1995533472"/>
        <c:axId val="2031438704"/>
      </c:scatterChart>
      <c:valAx>
        <c:axId val="1995533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438704"/>
        <c:crosses val="autoZero"/>
        <c:crossBetween val="midCat"/>
      </c:valAx>
      <c:valAx>
        <c:axId val="203143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533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Graphs!$B$39:$B$47</c:f>
              <c:numCache>
                <c:formatCode>General</c:formatCode>
                <c:ptCount val="9"/>
                <c:pt idx="0">
                  <c:v>5</c:v>
                </c:pt>
                <c:pt idx="1">
                  <c:v>1.5</c:v>
                </c:pt>
                <c:pt idx="2">
                  <c:v>1.5</c:v>
                </c:pt>
                <c:pt idx="3">
                  <c:v>0.1</c:v>
                </c:pt>
                <c:pt idx="4">
                  <c:v>0.8</c:v>
                </c:pt>
                <c:pt idx="5">
                  <c:v>0.7</c:v>
                </c:pt>
                <c:pt idx="6">
                  <c:v>4.5</c:v>
                </c:pt>
                <c:pt idx="7">
                  <c:v>0.9</c:v>
                </c:pt>
                <c:pt idx="8">
                  <c:v>2.4</c:v>
                </c:pt>
              </c:numCache>
            </c:numRef>
          </c:xVal>
          <c:yVal>
            <c:numRef>
              <c:f>Graphs!$C$39:$C$47</c:f>
              <c:numCache>
                <c:formatCode>General</c:formatCode>
                <c:ptCount val="9"/>
                <c:pt idx="0">
                  <c:v>5</c:v>
                </c:pt>
                <c:pt idx="1">
                  <c:v>1.2</c:v>
                </c:pt>
                <c:pt idx="2">
                  <c:v>1.6</c:v>
                </c:pt>
                <c:pt idx="3">
                  <c:v>1.2</c:v>
                </c:pt>
                <c:pt idx="4">
                  <c:v>1.5</c:v>
                </c:pt>
                <c:pt idx="5">
                  <c:v>1.5</c:v>
                </c:pt>
                <c:pt idx="6">
                  <c:v>1.75</c:v>
                </c:pt>
                <c:pt idx="7">
                  <c:v>1.5</c:v>
                </c:pt>
                <c:pt idx="8">
                  <c:v>2.5</c:v>
                </c:pt>
              </c:numCache>
            </c:numRef>
          </c:yVal>
          <c:smooth val="0"/>
          <c:extLst>
            <c:ext xmlns:c16="http://schemas.microsoft.com/office/drawing/2014/chart" uri="{C3380CC4-5D6E-409C-BE32-E72D297353CC}">
              <c16:uniqueId val="{00000001-59D8-4747-9FF2-38AC0940512B}"/>
            </c:ext>
          </c:extLst>
        </c:ser>
        <c:dLbls>
          <c:showLegendKey val="0"/>
          <c:showVal val="0"/>
          <c:showCatName val="0"/>
          <c:showSerName val="0"/>
          <c:showPercent val="0"/>
          <c:showBubbleSize val="0"/>
        </c:dLbls>
        <c:axId val="1990202832"/>
        <c:axId val="2031357840"/>
      </c:scatterChart>
      <c:valAx>
        <c:axId val="1990202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357840"/>
        <c:crosses val="autoZero"/>
        <c:crossBetween val="midCat"/>
      </c:valAx>
      <c:valAx>
        <c:axId val="203135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202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508000</xdr:colOff>
      <xdr:row>9</xdr:row>
      <xdr:rowOff>146050</xdr:rowOff>
    </xdr:from>
    <xdr:to>
      <xdr:col>12</xdr:col>
      <xdr:colOff>127000</xdr:colOff>
      <xdr:row>23</xdr:row>
      <xdr:rowOff>44450</xdr:rowOff>
    </xdr:to>
    <xdr:graphicFrame macro="">
      <xdr:nvGraphicFramePr>
        <xdr:cNvPr id="2" name="Chart 1">
          <a:extLst>
            <a:ext uri="{FF2B5EF4-FFF2-40B4-BE49-F238E27FC236}">
              <a16:creationId xmlns:a16="http://schemas.microsoft.com/office/drawing/2014/main" id="{638E4566-22BF-5F48-94C7-D1CF08B9D7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590550</xdr:colOff>
      <xdr:row>4</xdr:row>
      <xdr:rowOff>50800</xdr:rowOff>
    </xdr:from>
    <xdr:to>
      <xdr:col>11</xdr:col>
      <xdr:colOff>209550</xdr:colOff>
      <xdr:row>17</xdr:row>
      <xdr:rowOff>152400</xdr:rowOff>
    </xdr:to>
    <xdr:graphicFrame macro="">
      <xdr:nvGraphicFramePr>
        <xdr:cNvPr id="2" name="Chart 1">
          <a:extLst>
            <a:ext uri="{FF2B5EF4-FFF2-40B4-BE49-F238E27FC236}">
              <a16:creationId xmlns:a16="http://schemas.microsoft.com/office/drawing/2014/main" id="{8200A760-D1FC-7745-A3BC-DE96E71C6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444500</xdr:colOff>
      <xdr:row>5</xdr:row>
      <xdr:rowOff>165100</xdr:rowOff>
    </xdr:from>
    <xdr:to>
      <xdr:col>10</xdr:col>
      <xdr:colOff>38100</xdr:colOff>
      <xdr:row>19</xdr:row>
      <xdr:rowOff>63500</xdr:rowOff>
    </xdr:to>
    <xdr:graphicFrame macro="">
      <xdr:nvGraphicFramePr>
        <xdr:cNvPr id="2" name="Chart 1">
          <a:extLst>
            <a:ext uri="{FF2B5EF4-FFF2-40B4-BE49-F238E27FC236}">
              <a16:creationId xmlns:a16="http://schemas.microsoft.com/office/drawing/2014/main" id="{2EF94982-8CDE-A744-8043-8338DC059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34493</xdr:colOff>
      <xdr:row>22</xdr:row>
      <xdr:rowOff>39510</xdr:rowOff>
    </xdr:from>
    <xdr:to>
      <xdr:col>9</xdr:col>
      <xdr:colOff>435876</xdr:colOff>
      <xdr:row>35</xdr:row>
      <xdr:rowOff>132957</xdr:rowOff>
    </xdr:to>
    <xdr:graphicFrame macro="">
      <xdr:nvGraphicFramePr>
        <xdr:cNvPr id="3" name="Chart 2">
          <a:extLst>
            <a:ext uri="{FF2B5EF4-FFF2-40B4-BE49-F238E27FC236}">
              <a16:creationId xmlns:a16="http://schemas.microsoft.com/office/drawing/2014/main" id="{7EB599A2-419A-0642-B109-0E404ABC2A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58012</xdr:colOff>
      <xdr:row>39</xdr:row>
      <xdr:rowOff>39511</xdr:rowOff>
    </xdr:from>
    <xdr:to>
      <xdr:col>9</xdr:col>
      <xdr:colOff>459395</xdr:colOff>
      <xdr:row>52</xdr:row>
      <xdr:rowOff>132958</xdr:rowOff>
    </xdr:to>
    <xdr:graphicFrame macro="">
      <xdr:nvGraphicFramePr>
        <xdr:cNvPr id="4" name="Chart 3">
          <a:extLst>
            <a:ext uri="{FF2B5EF4-FFF2-40B4-BE49-F238E27FC236}">
              <a16:creationId xmlns:a16="http://schemas.microsoft.com/office/drawing/2014/main" id="{694C410A-2731-6043-9C65-F757AB045E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marinespecies.org/aphia.php?p=taxdetails&amp;id=196102" TargetMode="External"/><Relationship Id="rId2" Type="http://schemas.openxmlformats.org/officeDocument/2006/relationships/hyperlink" Target="https://en.wikipedia.org/wiki/Merulinidae" TargetMode="External"/><Relationship Id="rId1" Type="http://schemas.openxmlformats.org/officeDocument/2006/relationships/hyperlink" Target="https://en.wikipedia.org/wiki/Merulinidae" TargetMode="External"/><Relationship Id="rId4" Type="http://schemas.openxmlformats.org/officeDocument/2006/relationships/hyperlink" Target="http://www.marinespecies.org/aphia.php?p=taxdetails&amp;id=19610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sigmaaldrich.com/catalog/product/sigald/438081?lang=en&amp;region=US" TargetMode="External"/><Relationship Id="rId13" Type="http://schemas.openxmlformats.org/officeDocument/2006/relationships/hyperlink" Target="https://www.sigmaaldrich.com/catalog/product/sigald/294837?lang=en&amp;region=US" TargetMode="External"/><Relationship Id="rId18" Type="http://schemas.openxmlformats.org/officeDocument/2006/relationships/hyperlink" Target="https://www.fishersci.com/shop/products/hydrogen-chloride-1m-solution-ethyl-acetate-acros-organics/AC388701000" TargetMode="External"/><Relationship Id="rId3" Type="http://schemas.openxmlformats.org/officeDocument/2006/relationships/hyperlink" Target="https://www.fishersci.com/shop/products/sulfuric-acid-technical-fisher-chemical/A298212" TargetMode="External"/><Relationship Id="rId7" Type="http://schemas.openxmlformats.org/officeDocument/2006/relationships/hyperlink" Target="https://www.fishersci.com/shop/products/phosphoric-acid-j-t-baker-3/02003602" TargetMode="External"/><Relationship Id="rId12" Type="http://schemas.openxmlformats.org/officeDocument/2006/relationships/hyperlink" Target="https://www.fishersci.com/shop/products/dmso-dimethyl-sulfoxide-gc-headspace-grade-fisher-chemical/D1391" TargetMode="External"/><Relationship Id="rId17" Type="http://schemas.openxmlformats.org/officeDocument/2006/relationships/hyperlink" Target="https://www.sigmaaldrich.com/catalog/product/sial/276855?lang=en&amp;region=US" TargetMode="External"/><Relationship Id="rId2" Type="http://schemas.openxmlformats.org/officeDocument/2006/relationships/hyperlink" Target="https://www.fishersci.com/shop/products/potassium-dichromate-99-5-analysis-acros-organics-3/AC196590500" TargetMode="External"/><Relationship Id="rId16" Type="http://schemas.openxmlformats.org/officeDocument/2006/relationships/hyperlink" Target="https://www.sigmaaldrich.com/catalog/product/sigald/c2432?lang=en&amp;region=US" TargetMode="External"/><Relationship Id="rId1" Type="http://schemas.openxmlformats.org/officeDocument/2006/relationships/hyperlink" Target="https://www.sigmaaldrich.com/catalog/product/sial/42019?lang=en&amp;region=US" TargetMode="External"/><Relationship Id="rId6" Type="http://schemas.openxmlformats.org/officeDocument/2006/relationships/hyperlink" Target="https://www.fishersci.com/shop/products/potassium-iodide-99-analysis-acros-organics-3/AC373651000" TargetMode="External"/><Relationship Id="rId11" Type="http://schemas.openxmlformats.org/officeDocument/2006/relationships/hyperlink" Target="https://www.fishersci.com/shop/products/chloroform-approx-50ppm-amylene-as-preservative-optima-fisher-chemical/C2974" TargetMode="External"/><Relationship Id="rId5" Type="http://schemas.openxmlformats.org/officeDocument/2006/relationships/hyperlink" Target="https://www.sigmaaldrich.com/catalog/product/sial/phr1360?lang=en&amp;region=US" TargetMode="External"/><Relationship Id="rId15" Type="http://schemas.openxmlformats.org/officeDocument/2006/relationships/hyperlink" Target="https://www.sigmaaldrich.com/catalog/product/sigma/79383?lang=en&amp;region=US" TargetMode="External"/><Relationship Id="rId10" Type="http://schemas.openxmlformats.org/officeDocument/2006/relationships/hyperlink" Target="https://www.fishersci.com/shop/products/phosphate-buffered-saline-10x-solution-fisher-bioreagents-6/bp39920" TargetMode="External"/><Relationship Id="rId4" Type="http://schemas.openxmlformats.org/officeDocument/2006/relationships/hyperlink" Target="https://www.sigmaaldrich.com/catalog/product/sigald/258105?lang=en&amp;region=US" TargetMode="External"/><Relationship Id="rId9" Type="http://schemas.openxmlformats.org/officeDocument/2006/relationships/hyperlink" Target="https://www.fishersci.com/shop/products/starch-soluble-reagent-acs-acros-organics-5/AC424491000" TargetMode="External"/><Relationship Id="rId14" Type="http://schemas.openxmlformats.org/officeDocument/2006/relationships/hyperlink" Target="https://www.sigmaaldrich.com/catalog/product/sial/s9765?lang=en&amp;region=US"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scholar.google.com/citations?user=NGJeGe4AAAAJ&amp;hl=en&amp;oi=sra" TargetMode="External"/><Relationship Id="rId13" Type="http://schemas.openxmlformats.org/officeDocument/2006/relationships/hyperlink" Target="https://idp.springer.com/authorize/casa?redirect_uri=https://link.springer.com/content/pdf/10.1007/BF00304690.pdf&amp;casa_token=f3BwhRpxAGsAAAAA:0SlADcurI92WT4VuLZjaUNeuk6kl7terWjOIWOUjBX_SEEjD4-Ub3pV17ScL_L06uokcJ78wXJAmpb11_Q" TargetMode="External"/><Relationship Id="rId3" Type="http://schemas.openxmlformats.org/officeDocument/2006/relationships/hyperlink" Target="https://scholar.google.com/citations?user=0zUQYWIAAAAJ&amp;hl=en&amp;oi=sra" TargetMode="External"/><Relationship Id="rId7" Type="http://schemas.openxmlformats.org/officeDocument/2006/relationships/hyperlink" Target="https://scholar.google.com/citations?user=PtIWIjIAAAAJ&amp;hl=en&amp;oi=sra" TargetMode="External"/><Relationship Id="rId12" Type="http://schemas.openxmlformats.org/officeDocument/2006/relationships/hyperlink" Target="https://scholar.google.com/citations?user=Rd0lUzQAAAAJ&amp;hl=en&amp;oi=sra" TargetMode="External"/><Relationship Id="rId2" Type="http://schemas.openxmlformats.org/officeDocument/2006/relationships/hyperlink" Target="https://scholar.google.com/citations?user=0bxafuoAAAAJ&amp;hl=en&amp;oi=sra" TargetMode="External"/><Relationship Id="rId1" Type="http://schemas.openxmlformats.org/officeDocument/2006/relationships/hyperlink" Target="https://scholar.google.com/citations?user=AXMZQ0cAAAAJ&amp;hl=en&amp;oi=sra" TargetMode="External"/><Relationship Id="rId6" Type="http://schemas.openxmlformats.org/officeDocument/2006/relationships/hyperlink" Target="https://scholar.google.com/citations?user=0GPw3ygAAAAJ&amp;hl=en&amp;oi=sra" TargetMode="External"/><Relationship Id="rId11" Type="http://schemas.openxmlformats.org/officeDocument/2006/relationships/hyperlink" Target="https://scholar.google.com/citations?user=W1sQ9OEAAAAJ&amp;hl=en&amp;oi=sra" TargetMode="External"/><Relationship Id="rId5" Type="http://schemas.openxmlformats.org/officeDocument/2006/relationships/hyperlink" Target="https://scholar.google.com/citations?user=WRI4-qAAAAAJ&amp;hl=en&amp;oi=sra" TargetMode="External"/><Relationship Id="rId10" Type="http://schemas.openxmlformats.org/officeDocument/2006/relationships/hyperlink" Target="https://scholar.google.com/citations?user=0zUQYWIAAAAJ&amp;hl=en&amp;oi=sra" TargetMode="External"/><Relationship Id="rId4" Type="http://schemas.openxmlformats.org/officeDocument/2006/relationships/hyperlink" Target="https://scholar.google.com/citations?user=kWsKAfQAAAAJ&amp;hl=en&amp;oi=sra" TargetMode="External"/><Relationship Id="rId9" Type="http://schemas.openxmlformats.org/officeDocument/2006/relationships/hyperlink" Target="https://scholar.google.com/citations?user=U68zl48AAAAJ&amp;hl=en&amp;oi=sra" TargetMode="External"/><Relationship Id="rId14" Type="http://schemas.openxmlformats.org/officeDocument/2006/relationships/hyperlink" Target="https://idp.springer.com/authorize/casa?redirect_uri=https://link.springer.com/content/pdf/10.1007/BF00336722.pdf&amp;casa_token=5Lqjue54RJIAAAAA:i_DD37sI6MdAI6OZqka_7Mlk5UCgQrMHsKT5A_jG5P1zuTpvXIauI82mGzAX7z4xGV4bD2Jx3V_tMHaTbg"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F3F4A-1713-BA49-A0D0-F2FC87B199E4}">
  <dimension ref="A1:BX292"/>
  <sheetViews>
    <sheetView tabSelected="1" zoomScaleNormal="100"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ColWidth="15.5" defaultRowHeight="16"/>
  <cols>
    <col min="1" max="1" width="26.33203125" style="21" customWidth="1"/>
    <col min="2" max="2" width="10.1640625" style="21" customWidth="1"/>
    <col min="3" max="3" width="11.33203125" style="21" customWidth="1"/>
    <col min="4" max="5" width="14.6640625" style="21" customWidth="1"/>
    <col min="6" max="7" width="26.1640625" style="21" customWidth="1"/>
    <col min="8" max="8" width="20.6640625" style="26" customWidth="1"/>
    <col min="9" max="9" width="12.33203125" style="21" customWidth="1"/>
    <col min="10" max="10" width="22.1640625" style="21" customWidth="1"/>
    <col min="11" max="11" width="14.83203125" style="21" customWidth="1"/>
    <col min="12" max="12" width="10" style="21" customWidth="1"/>
    <col min="13" max="13" width="11.33203125" style="21" customWidth="1"/>
    <col min="14" max="15" width="12.5" style="21" customWidth="1"/>
    <col min="16" max="16" width="12.33203125" style="21" customWidth="1"/>
    <col min="17" max="17" width="10.83203125" style="21" customWidth="1"/>
    <col min="18" max="18" width="8.6640625" style="21" customWidth="1"/>
    <col min="19" max="19" width="13.83203125" style="21" customWidth="1"/>
    <col min="20" max="20" width="10.1640625" style="21" customWidth="1"/>
    <col min="21" max="22" width="13.83203125" style="21" customWidth="1"/>
    <col min="23" max="23" width="47.83203125" style="21" customWidth="1"/>
    <col min="24" max="25" width="13.83203125" style="21" customWidth="1"/>
    <col min="26" max="27" width="12.5" style="21" customWidth="1"/>
    <col min="28" max="28" width="22.83203125" style="21" customWidth="1"/>
    <col min="29" max="29" width="22.33203125" style="21" customWidth="1"/>
    <col min="30" max="30" width="22.1640625" style="21" customWidth="1"/>
    <col min="31" max="31" width="11.83203125" style="21" customWidth="1"/>
    <col min="32" max="32" width="77.33203125" style="21" customWidth="1"/>
    <col min="33" max="33" width="47.1640625" style="21" customWidth="1"/>
    <col min="34" max="34" width="15.33203125" style="21" customWidth="1"/>
    <col min="35" max="35" width="11.6640625" style="21" customWidth="1"/>
    <col min="36" max="36" width="11.83203125" style="21" customWidth="1"/>
    <col min="37" max="37" width="14.33203125" style="21" customWidth="1"/>
    <col min="38" max="38" width="16" style="21" customWidth="1"/>
    <col min="39" max="40" width="19.1640625" style="21" customWidth="1"/>
    <col min="41" max="41" width="18.33203125" style="21" customWidth="1"/>
    <col min="42" max="42" width="19.1640625" style="21" customWidth="1"/>
    <col min="43" max="43" width="57.5" style="21" customWidth="1"/>
    <col min="44" max="44" width="23.5" style="21" customWidth="1"/>
    <col min="45" max="45" width="14" style="21" customWidth="1"/>
    <col min="46" max="46" width="18.6640625" style="132" customWidth="1"/>
    <col min="47" max="47" width="14" style="21" customWidth="1"/>
    <col min="48" max="48" width="25" style="21" customWidth="1"/>
    <col min="49" max="49" width="19.83203125" style="21" customWidth="1"/>
    <col min="50" max="62" width="21" style="21" customWidth="1"/>
    <col min="63" max="68" width="15.5" style="21" customWidth="1"/>
    <col min="69" max="16384" width="15.5" style="21"/>
  </cols>
  <sheetData>
    <row r="1" spans="1:76" s="24" customFormat="1">
      <c r="A1" s="21" t="s">
        <v>7</v>
      </c>
      <c r="B1" s="21" t="s">
        <v>657</v>
      </c>
      <c r="C1" s="21" t="s">
        <v>1094</v>
      </c>
      <c r="D1" s="21" t="s">
        <v>658</v>
      </c>
      <c r="E1" s="21" t="s">
        <v>577</v>
      </c>
      <c r="F1" s="21" t="s">
        <v>73</v>
      </c>
      <c r="G1" s="21" t="s">
        <v>422</v>
      </c>
      <c r="H1" s="26" t="s">
        <v>74</v>
      </c>
      <c r="I1" s="21" t="s">
        <v>235</v>
      </c>
      <c r="J1" s="21" t="s">
        <v>211</v>
      </c>
      <c r="K1" s="21" t="s">
        <v>212</v>
      </c>
      <c r="L1" s="21" t="s">
        <v>206</v>
      </c>
      <c r="M1" s="21" t="s">
        <v>408</v>
      </c>
      <c r="N1" s="21" t="s">
        <v>405</v>
      </c>
      <c r="O1" s="21" t="s">
        <v>1149</v>
      </c>
      <c r="P1" s="21" t="s">
        <v>207</v>
      </c>
      <c r="Q1" s="21" t="s">
        <v>199</v>
      </c>
      <c r="R1" s="21" t="s">
        <v>1216</v>
      </c>
      <c r="S1" s="21" t="s">
        <v>659</v>
      </c>
      <c r="T1" s="21" t="s">
        <v>656</v>
      </c>
      <c r="U1" s="21" t="s">
        <v>313</v>
      </c>
      <c r="V1" s="21" t="s">
        <v>293</v>
      </c>
      <c r="W1" s="21" t="s">
        <v>1107</v>
      </c>
      <c r="X1" s="21" t="s">
        <v>1099</v>
      </c>
      <c r="Y1" s="21" t="s">
        <v>1100</v>
      </c>
      <c r="Z1" s="21" t="s">
        <v>1101</v>
      </c>
      <c r="AA1" s="21" t="s">
        <v>1102</v>
      </c>
      <c r="AB1" s="21" t="s">
        <v>1103</v>
      </c>
      <c r="AC1" s="21" t="s">
        <v>1104</v>
      </c>
      <c r="AD1" s="21" t="s">
        <v>1105</v>
      </c>
      <c r="AE1" s="21" t="s">
        <v>1106</v>
      </c>
      <c r="AF1" s="21" t="s">
        <v>1089</v>
      </c>
      <c r="AG1" s="21" t="s">
        <v>1215</v>
      </c>
      <c r="AH1" s="21" t="s">
        <v>208</v>
      </c>
      <c r="AI1" s="21" t="s">
        <v>312</v>
      </c>
      <c r="AJ1" s="21" t="s">
        <v>217</v>
      </c>
      <c r="AK1" s="21" t="s">
        <v>295</v>
      </c>
      <c r="AL1" s="21" t="s">
        <v>239</v>
      </c>
      <c r="AM1" s="21" t="s">
        <v>238</v>
      </c>
      <c r="AN1" s="21" t="s">
        <v>423</v>
      </c>
      <c r="AO1" s="21" t="s">
        <v>568</v>
      </c>
      <c r="AP1" s="21" t="s">
        <v>569</v>
      </c>
      <c r="AQ1" s="21" t="s">
        <v>1095</v>
      </c>
      <c r="AR1" s="21" t="s">
        <v>330</v>
      </c>
      <c r="AS1" s="21" t="s">
        <v>210</v>
      </c>
      <c r="AT1" s="132" t="s">
        <v>706</v>
      </c>
      <c r="AU1" s="21" t="s">
        <v>707</v>
      </c>
      <c r="AV1" s="21" t="s">
        <v>708</v>
      </c>
      <c r="AW1" s="21" t="s">
        <v>407</v>
      </c>
      <c r="AX1" s="21" t="s">
        <v>296</v>
      </c>
      <c r="AY1" s="21" t="s">
        <v>376</v>
      </c>
      <c r="AZ1" s="21" t="s">
        <v>390</v>
      </c>
      <c r="BA1" s="21" t="s">
        <v>316</v>
      </c>
      <c r="BB1" s="21" t="s">
        <v>317</v>
      </c>
      <c r="BC1" s="21" t="s">
        <v>314</v>
      </c>
      <c r="BD1" s="21" t="s">
        <v>315</v>
      </c>
      <c r="BE1" s="21" t="s">
        <v>331</v>
      </c>
      <c r="BF1" s="21" t="s">
        <v>332</v>
      </c>
      <c r="BG1" s="21" t="s">
        <v>333</v>
      </c>
      <c r="BH1" s="21" t="s">
        <v>334</v>
      </c>
      <c r="BI1" s="21" t="s">
        <v>335</v>
      </c>
      <c r="BJ1" s="21" t="s">
        <v>306</v>
      </c>
      <c r="BK1" s="24" t="s">
        <v>80</v>
      </c>
    </row>
    <row r="2" spans="1:76" s="49" customFormat="1">
      <c r="A2" s="48" t="s">
        <v>85</v>
      </c>
      <c r="B2" s="48" t="s">
        <v>695</v>
      </c>
      <c r="C2" s="48"/>
      <c r="D2" s="48"/>
      <c r="E2" s="48" t="s">
        <v>623</v>
      </c>
      <c r="F2" s="48" t="s">
        <v>622</v>
      </c>
      <c r="G2" s="48" t="s">
        <v>564</v>
      </c>
      <c r="H2" s="61" t="s">
        <v>37</v>
      </c>
      <c r="I2" s="48"/>
      <c r="J2" s="48" t="s">
        <v>214</v>
      </c>
      <c r="K2" s="48" t="s">
        <v>216</v>
      </c>
      <c r="L2" s="48" t="s">
        <v>79</v>
      </c>
      <c r="M2" s="48">
        <v>10</v>
      </c>
      <c r="N2" s="48">
        <v>6</v>
      </c>
      <c r="O2" s="48"/>
      <c r="P2" s="48"/>
      <c r="Q2" s="48"/>
      <c r="R2" s="48" t="s">
        <v>81</v>
      </c>
      <c r="S2" s="48"/>
      <c r="T2" s="48"/>
      <c r="U2" s="48"/>
      <c r="V2" s="48"/>
      <c r="W2" s="48"/>
      <c r="X2" s="48"/>
      <c r="Y2" s="48"/>
      <c r="Z2" s="48"/>
      <c r="AA2" s="48"/>
      <c r="AB2" s="48"/>
      <c r="AC2" s="48"/>
      <c r="AD2" s="48">
        <v>34</v>
      </c>
      <c r="AE2" s="48"/>
      <c r="AF2" s="129" t="s">
        <v>1180</v>
      </c>
      <c r="AG2" s="129" t="s">
        <v>216</v>
      </c>
      <c r="AH2" s="48"/>
      <c r="AI2" s="48" t="s">
        <v>219</v>
      </c>
      <c r="AJ2" s="48" t="s">
        <v>219</v>
      </c>
      <c r="AK2" s="48">
        <v>0</v>
      </c>
      <c r="AL2" s="48">
        <v>25</v>
      </c>
      <c r="AM2" s="48">
        <v>15</v>
      </c>
      <c r="AN2" s="99">
        <v>1.25</v>
      </c>
      <c r="AO2" s="99">
        <v>0.10000000000000009</v>
      </c>
      <c r="AP2" s="99" t="s">
        <v>574</v>
      </c>
      <c r="AQ2" s="129" t="s">
        <v>1180</v>
      </c>
      <c r="AR2" s="48">
        <f>(1.25*1000000000*0.034)/(1000*32000*60)</f>
        <v>2.2135416666666668E-2</v>
      </c>
      <c r="AS2" s="48">
        <f>(0.1*1000000000*0.034)/(1000*32000*60)</f>
        <v>1.7708333333333337E-3</v>
      </c>
      <c r="AT2" s="133"/>
      <c r="AU2" s="48"/>
      <c r="AV2" s="48"/>
      <c r="AW2" s="48"/>
      <c r="AX2" s="48"/>
      <c r="AY2" s="48"/>
      <c r="AZ2" s="48"/>
      <c r="BA2" s="48"/>
      <c r="BB2" s="48"/>
      <c r="BC2" s="48"/>
      <c r="BD2" s="48"/>
      <c r="BE2" s="48"/>
      <c r="BF2" s="48"/>
      <c r="BG2" s="48"/>
      <c r="BH2" s="48"/>
      <c r="BI2" s="48"/>
      <c r="BJ2" s="48"/>
    </row>
    <row r="3" spans="1:76" s="49" customFormat="1">
      <c r="A3" s="48" t="s">
        <v>85</v>
      </c>
      <c r="B3" s="48" t="s">
        <v>695</v>
      </c>
      <c r="C3" s="48"/>
      <c r="D3" s="48"/>
      <c r="E3" s="48" t="s">
        <v>623</v>
      </c>
      <c r="F3" s="48" t="s">
        <v>622</v>
      </c>
      <c r="G3" s="48" t="s">
        <v>564</v>
      </c>
      <c r="H3" s="61" t="s">
        <v>37</v>
      </c>
      <c r="I3" s="48"/>
      <c r="J3" s="48" t="s">
        <v>214</v>
      </c>
      <c r="K3" s="48" t="s">
        <v>216</v>
      </c>
      <c r="L3" s="48" t="s">
        <v>79</v>
      </c>
      <c r="M3" s="48">
        <v>10</v>
      </c>
      <c r="N3" s="48">
        <v>6</v>
      </c>
      <c r="O3" s="48"/>
      <c r="P3" s="48"/>
      <c r="Q3" s="48"/>
      <c r="R3" s="48" t="s">
        <v>81</v>
      </c>
      <c r="S3" s="48"/>
      <c r="T3" s="48"/>
      <c r="U3" s="48"/>
      <c r="V3" s="48"/>
      <c r="W3" s="48"/>
      <c r="X3" s="48"/>
      <c r="Y3" s="48"/>
      <c r="Z3" s="48"/>
      <c r="AA3" s="48"/>
      <c r="AB3" s="48"/>
      <c r="AC3" s="48"/>
      <c r="AD3" s="48">
        <v>34</v>
      </c>
      <c r="AE3" s="48"/>
      <c r="AF3" s="129" t="s">
        <v>1180</v>
      </c>
      <c r="AG3" s="129" t="s">
        <v>216</v>
      </c>
      <c r="AH3" s="48"/>
      <c r="AI3" s="48" t="s">
        <v>219</v>
      </c>
      <c r="AJ3" s="48" t="s">
        <v>218</v>
      </c>
      <c r="AK3" s="48">
        <v>2</v>
      </c>
      <c r="AL3" s="48">
        <v>27</v>
      </c>
      <c r="AM3" s="48">
        <v>15</v>
      </c>
      <c r="AN3" s="99">
        <v>1.45</v>
      </c>
      <c r="AO3" s="99">
        <v>0.15000000000000013</v>
      </c>
      <c r="AP3" s="99" t="s">
        <v>574</v>
      </c>
      <c r="AQ3" s="129" t="s">
        <v>1180</v>
      </c>
      <c r="AR3" s="48">
        <f>(1.45*1000000000*0.034)/(1000*32000*60)</f>
        <v>2.5677083333333333E-2</v>
      </c>
      <c r="AS3" s="48">
        <f>(0.15*1000000000*0.034)/(1000*32000*60)</f>
        <v>2.6562500000000002E-3</v>
      </c>
      <c r="AT3" s="133"/>
      <c r="AU3" s="48"/>
      <c r="AV3" s="48"/>
      <c r="AW3" s="48"/>
      <c r="AX3" s="48"/>
      <c r="AY3" s="48"/>
      <c r="AZ3" s="48"/>
      <c r="BA3" s="48"/>
      <c r="BB3" s="48"/>
      <c r="BC3" s="48"/>
      <c r="BD3" s="48"/>
      <c r="BE3" s="48"/>
      <c r="BF3" s="48"/>
      <c r="BG3" s="48"/>
      <c r="BH3" s="48"/>
      <c r="BI3" s="48"/>
      <c r="BJ3" s="48"/>
      <c r="BT3" s="100"/>
      <c r="BU3" s="100"/>
      <c r="BV3" s="100"/>
      <c r="BW3" s="101"/>
      <c r="BX3" s="100"/>
    </row>
    <row r="4" spans="1:76" s="49" customFormat="1">
      <c r="A4" s="48" t="s">
        <v>85</v>
      </c>
      <c r="B4" s="48" t="s">
        <v>695</v>
      </c>
      <c r="C4" s="48"/>
      <c r="D4" s="48"/>
      <c r="E4" s="48" t="s">
        <v>623</v>
      </c>
      <c r="F4" s="48" t="s">
        <v>622</v>
      </c>
      <c r="G4" s="48" t="s">
        <v>564</v>
      </c>
      <c r="H4" s="61" t="s">
        <v>37</v>
      </c>
      <c r="I4" s="48"/>
      <c r="J4" s="48" t="s">
        <v>214</v>
      </c>
      <c r="K4" s="48" t="s">
        <v>216</v>
      </c>
      <c r="L4" s="48" t="s">
        <v>79</v>
      </c>
      <c r="M4" s="48">
        <v>10</v>
      </c>
      <c r="N4" s="48">
        <v>6</v>
      </c>
      <c r="O4" s="48"/>
      <c r="P4" s="48"/>
      <c r="Q4" s="48"/>
      <c r="R4" s="48" t="s">
        <v>81</v>
      </c>
      <c r="S4" s="48"/>
      <c r="T4" s="48"/>
      <c r="U4" s="48"/>
      <c r="V4" s="48"/>
      <c r="W4" s="48"/>
      <c r="X4" s="48"/>
      <c r="Y4" s="48"/>
      <c r="Z4" s="48"/>
      <c r="AA4" s="48"/>
      <c r="AB4" s="48"/>
      <c r="AC4" s="48"/>
      <c r="AD4" s="48">
        <v>34</v>
      </c>
      <c r="AE4" s="48"/>
      <c r="AF4" s="129" t="s">
        <v>1180</v>
      </c>
      <c r="AG4" s="129" t="s">
        <v>216</v>
      </c>
      <c r="AH4" s="48"/>
      <c r="AI4" s="48" t="s">
        <v>219</v>
      </c>
      <c r="AJ4" s="48" t="s">
        <v>240</v>
      </c>
      <c r="AK4" s="48">
        <v>5</v>
      </c>
      <c r="AL4" s="48">
        <v>30</v>
      </c>
      <c r="AM4" s="48">
        <v>15</v>
      </c>
      <c r="AN4" s="99">
        <v>1.55</v>
      </c>
      <c r="AO4" s="99">
        <v>5.0000000000000044E-2</v>
      </c>
      <c r="AP4" s="99" t="s">
        <v>574</v>
      </c>
      <c r="AQ4" s="129" t="s">
        <v>1180</v>
      </c>
      <c r="AR4" s="48">
        <f>(1.55*1000000000*0.034)/(1000*32000*60)</f>
        <v>2.7447916666666669E-2</v>
      </c>
      <c r="AS4" s="48">
        <f>(0.05*1000000000*0.034)/(1000*32000*60)</f>
        <v>8.8541666666666684E-4</v>
      </c>
      <c r="AT4" s="133"/>
      <c r="AU4" s="48"/>
      <c r="AV4" s="48"/>
      <c r="AW4" s="48"/>
      <c r="AX4" s="48"/>
      <c r="AY4" s="48"/>
      <c r="AZ4" s="48"/>
      <c r="BA4" s="48"/>
      <c r="BB4" s="48"/>
      <c r="BC4" s="48"/>
      <c r="BD4" s="48"/>
      <c r="BE4" s="48"/>
      <c r="BF4" s="48"/>
      <c r="BG4" s="48"/>
      <c r="BH4" s="48"/>
      <c r="BI4" s="48"/>
      <c r="BJ4" s="48"/>
      <c r="BT4" s="100"/>
      <c r="BU4" s="100"/>
      <c r="BV4" s="100"/>
      <c r="BW4" s="101"/>
      <c r="BX4" s="100"/>
    </row>
    <row r="5" spans="1:76" s="49" customFormat="1">
      <c r="A5" s="48" t="s">
        <v>85</v>
      </c>
      <c r="B5" s="48" t="s">
        <v>695</v>
      </c>
      <c r="C5" s="48"/>
      <c r="D5" s="48"/>
      <c r="E5" s="48" t="s">
        <v>623</v>
      </c>
      <c r="F5" s="48" t="s">
        <v>622</v>
      </c>
      <c r="G5" s="48" t="s">
        <v>564</v>
      </c>
      <c r="H5" s="61" t="s">
        <v>37</v>
      </c>
      <c r="I5" s="48"/>
      <c r="J5" s="48" t="s">
        <v>214</v>
      </c>
      <c r="K5" s="48" t="s">
        <v>216</v>
      </c>
      <c r="L5" s="48" t="s">
        <v>79</v>
      </c>
      <c r="M5" s="48">
        <v>10</v>
      </c>
      <c r="N5" s="48">
        <v>6</v>
      </c>
      <c r="O5" s="48"/>
      <c r="P5" s="48"/>
      <c r="Q5" s="48"/>
      <c r="R5" s="48" t="s">
        <v>81</v>
      </c>
      <c r="S5" s="48"/>
      <c r="T5" s="48"/>
      <c r="U5" s="48"/>
      <c r="V5" s="48"/>
      <c r="W5" s="48"/>
      <c r="X5" s="48"/>
      <c r="Y5" s="48"/>
      <c r="Z5" s="48"/>
      <c r="AA5" s="48"/>
      <c r="AB5" s="48"/>
      <c r="AC5" s="48"/>
      <c r="AD5" s="48">
        <v>34</v>
      </c>
      <c r="AE5" s="48"/>
      <c r="AF5" s="129" t="s">
        <v>1180</v>
      </c>
      <c r="AG5" s="129" t="s">
        <v>216</v>
      </c>
      <c r="AH5" s="48"/>
      <c r="AI5" s="48" t="s">
        <v>219</v>
      </c>
      <c r="AJ5" s="48" t="s">
        <v>241</v>
      </c>
      <c r="AK5" s="48">
        <v>7</v>
      </c>
      <c r="AL5" s="48">
        <v>32</v>
      </c>
      <c r="AM5" s="48">
        <v>15</v>
      </c>
      <c r="AN5" s="99">
        <v>1.65</v>
      </c>
      <c r="AO5" s="99">
        <v>0.10000000000000009</v>
      </c>
      <c r="AP5" s="99" t="s">
        <v>574</v>
      </c>
      <c r="AQ5" s="129" t="s">
        <v>1180</v>
      </c>
      <c r="AR5" s="48">
        <f>(1.65*1000000000*0.034)/(1000*32000*60)</f>
        <v>2.9218750000000005E-2</v>
      </c>
      <c r="AS5" s="48">
        <f>(0.1*1000000000*0.034)/(1000*32000*60)</f>
        <v>1.7708333333333337E-3</v>
      </c>
      <c r="AT5" s="133"/>
      <c r="AU5" s="48"/>
      <c r="AV5" s="48"/>
      <c r="AW5" s="48"/>
      <c r="AX5" s="48"/>
      <c r="AY5" s="48"/>
      <c r="AZ5" s="48"/>
      <c r="BA5" s="48"/>
      <c r="BB5" s="48"/>
      <c r="BC5" s="48"/>
      <c r="BD5" s="48"/>
      <c r="BE5" s="48"/>
      <c r="BF5" s="48"/>
      <c r="BG5" s="48"/>
      <c r="BH5" s="48"/>
      <c r="BI5" s="48"/>
      <c r="BJ5" s="48"/>
      <c r="BT5" s="100"/>
      <c r="BU5" s="100"/>
      <c r="BV5" s="100"/>
      <c r="BW5" s="101"/>
      <c r="BX5" s="100"/>
    </row>
    <row r="6" spans="1:76" s="103" customFormat="1">
      <c r="A6" s="63" t="s">
        <v>85</v>
      </c>
      <c r="B6" s="63" t="s">
        <v>695</v>
      </c>
      <c r="C6" s="63"/>
      <c r="D6" s="63"/>
      <c r="E6" s="63" t="s">
        <v>623</v>
      </c>
      <c r="F6" s="63" t="s">
        <v>622</v>
      </c>
      <c r="G6" s="63" t="s">
        <v>565</v>
      </c>
      <c r="H6" s="67" t="s">
        <v>75</v>
      </c>
      <c r="I6" s="63"/>
      <c r="J6" s="63" t="s">
        <v>213</v>
      </c>
      <c r="K6" s="63" t="s">
        <v>215</v>
      </c>
      <c r="L6" s="63" t="s">
        <v>79</v>
      </c>
      <c r="M6" s="63">
        <v>10</v>
      </c>
      <c r="N6" s="63">
        <v>5</v>
      </c>
      <c r="O6" s="63"/>
      <c r="P6" s="63"/>
      <c r="Q6" s="63"/>
      <c r="R6" s="63" t="s">
        <v>82</v>
      </c>
      <c r="S6" s="63"/>
      <c r="T6" s="63"/>
      <c r="U6" s="63"/>
      <c r="V6" s="63"/>
      <c r="W6" s="63"/>
      <c r="X6" s="63"/>
      <c r="Y6" s="63"/>
      <c r="Z6" s="63"/>
      <c r="AA6" s="63"/>
      <c r="AB6" s="63"/>
      <c r="AC6" s="63"/>
      <c r="AD6" s="63">
        <v>125</v>
      </c>
      <c r="AE6" s="63"/>
      <c r="AF6" s="63" t="s">
        <v>1287</v>
      </c>
      <c r="AG6" s="129" t="s">
        <v>216</v>
      </c>
      <c r="AH6" s="63"/>
      <c r="AI6" s="63" t="s">
        <v>219</v>
      </c>
      <c r="AJ6" s="63" t="s">
        <v>219</v>
      </c>
      <c r="AK6" s="63">
        <v>0</v>
      </c>
      <c r="AL6" s="63">
        <v>25</v>
      </c>
      <c r="AM6" s="63">
        <v>15</v>
      </c>
      <c r="AN6" s="102">
        <v>0.79999999999999805</v>
      </c>
      <c r="AO6" s="102">
        <v>0.10000000000000198</v>
      </c>
      <c r="AP6" s="102" t="s">
        <v>574</v>
      </c>
      <c r="AQ6" s="63" t="s">
        <v>1286</v>
      </c>
      <c r="AR6" s="63">
        <f>(0.8*1000000000*0.125)/(1000*32000*60)</f>
        <v>5.2083333333333336E-2</v>
      </c>
      <c r="AS6" s="63">
        <f>(0.1*1000000000*0.125)/(1000*32000*60)</f>
        <v>6.510416666666667E-3</v>
      </c>
      <c r="AT6" s="134"/>
      <c r="AU6" s="63"/>
      <c r="AV6" s="63"/>
      <c r="AW6" s="63"/>
      <c r="AX6" s="63"/>
      <c r="AY6" s="63"/>
      <c r="AZ6" s="63"/>
      <c r="BA6" s="63"/>
      <c r="BB6" s="63"/>
      <c r="BC6" s="63"/>
      <c r="BD6" s="63"/>
      <c r="BE6" s="63"/>
      <c r="BF6" s="63"/>
      <c r="BG6" s="63"/>
      <c r="BH6" s="63"/>
      <c r="BI6" s="63"/>
      <c r="BJ6" s="63"/>
      <c r="BT6" s="104"/>
      <c r="BU6" s="104"/>
      <c r="BV6" s="104"/>
      <c r="BW6" s="105"/>
      <c r="BX6" s="104"/>
    </row>
    <row r="7" spans="1:76" s="103" customFormat="1">
      <c r="A7" s="63" t="s">
        <v>85</v>
      </c>
      <c r="B7" s="63" t="s">
        <v>695</v>
      </c>
      <c r="C7" s="63"/>
      <c r="D7" s="63"/>
      <c r="E7" s="63" t="s">
        <v>623</v>
      </c>
      <c r="F7" s="63" t="s">
        <v>622</v>
      </c>
      <c r="G7" s="63" t="s">
        <v>565</v>
      </c>
      <c r="H7" s="67" t="s">
        <v>75</v>
      </c>
      <c r="I7" s="63"/>
      <c r="J7" s="63" t="s">
        <v>213</v>
      </c>
      <c r="K7" s="63" t="s">
        <v>215</v>
      </c>
      <c r="L7" s="63" t="s">
        <v>79</v>
      </c>
      <c r="M7" s="63">
        <v>10</v>
      </c>
      <c r="N7" s="63">
        <v>5</v>
      </c>
      <c r="O7" s="63"/>
      <c r="P7" s="63"/>
      <c r="Q7" s="63"/>
      <c r="R7" s="63" t="s">
        <v>82</v>
      </c>
      <c r="S7" s="63"/>
      <c r="T7" s="63"/>
      <c r="U7" s="63"/>
      <c r="V7" s="63"/>
      <c r="W7" s="63"/>
      <c r="X7" s="63"/>
      <c r="Y7" s="63"/>
      <c r="Z7" s="63"/>
      <c r="AA7" s="63"/>
      <c r="AB7" s="63"/>
      <c r="AC7" s="63"/>
      <c r="AD7" s="63">
        <v>125</v>
      </c>
      <c r="AE7" s="63"/>
      <c r="AF7" s="63" t="s">
        <v>1287</v>
      </c>
      <c r="AG7" s="129" t="s">
        <v>216</v>
      </c>
      <c r="AH7" s="63"/>
      <c r="AI7" s="63" t="s">
        <v>219</v>
      </c>
      <c r="AJ7" s="63" t="s">
        <v>218</v>
      </c>
      <c r="AK7" s="63">
        <v>2</v>
      </c>
      <c r="AL7" s="63">
        <v>27</v>
      </c>
      <c r="AM7" s="63">
        <v>15</v>
      </c>
      <c r="AN7" s="102">
        <v>0.9</v>
      </c>
      <c r="AO7" s="102">
        <v>0.14999999999999003</v>
      </c>
      <c r="AP7" s="102" t="s">
        <v>574</v>
      </c>
      <c r="AQ7" s="63" t="s">
        <v>1286</v>
      </c>
      <c r="AR7" s="63">
        <f>(0.9*1000000000*0.125)/(1000*32000*60)</f>
        <v>5.859375E-2</v>
      </c>
      <c r="AS7" s="63">
        <f>(0.15*1000000000*0.125)/(1000*32000*60)</f>
        <v>9.765625E-3</v>
      </c>
      <c r="AT7" s="134"/>
      <c r="AU7" s="63"/>
      <c r="AV7" s="63"/>
      <c r="AW7" s="63"/>
      <c r="AX7" s="63"/>
      <c r="AY7" s="63"/>
      <c r="AZ7" s="63"/>
      <c r="BA7" s="63"/>
      <c r="BB7" s="63"/>
      <c r="BC7" s="63"/>
      <c r="BD7" s="63"/>
      <c r="BE7" s="63"/>
      <c r="BF7" s="63"/>
      <c r="BG7" s="63"/>
      <c r="BH7" s="63"/>
      <c r="BI7" s="63"/>
      <c r="BJ7" s="63"/>
      <c r="BT7" s="104"/>
      <c r="BU7" s="104"/>
      <c r="BV7" s="104"/>
      <c r="BW7" s="105"/>
      <c r="BX7" s="104"/>
    </row>
    <row r="8" spans="1:76" s="103" customFormat="1">
      <c r="A8" s="63" t="s">
        <v>85</v>
      </c>
      <c r="B8" s="63" t="s">
        <v>695</v>
      </c>
      <c r="C8" s="63"/>
      <c r="D8" s="63"/>
      <c r="E8" s="63" t="s">
        <v>623</v>
      </c>
      <c r="F8" s="63" t="s">
        <v>622</v>
      </c>
      <c r="G8" s="63" t="s">
        <v>565</v>
      </c>
      <c r="H8" s="67" t="s">
        <v>75</v>
      </c>
      <c r="I8" s="63"/>
      <c r="J8" s="63" t="s">
        <v>213</v>
      </c>
      <c r="K8" s="63" t="s">
        <v>215</v>
      </c>
      <c r="L8" s="63" t="s">
        <v>79</v>
      </c>
      <c r="M8" s="63">
        <v>10</v>
      </c>
      <c r="N8" s="63">
        <v>5</v>
      </c>
      <c r="O8" s="63"/>
      <c r="P8" s="63"/>
      <c r="Q8" s="63"/>
      <c r="R8" s="63" t="s">
        <v>82</v>
      </c>
      <c r="S8" s="63"/>
      <c r="T8" s="63"/>
      <c r="U8" s="63"/>
      <c r="V8" s="63"/>
      <c r="W8" s="63"/>
      <c r="X8" s="63"/>
      <c r="Y8" s="63"/>
      <c r="Z8" s="63"/>
      <c r="AA8" s="63"/>
      <c r="AB8" s="63"/>
      <c r="AC8" s="63"/>
      <c r="AD8" s="63">
        <v>125</v>
      </c>
      <c r="AE8" s="63"/>
      <c r="AF8" s="63" t="s">
        <v>1287</v>
      </c>
      <c r="AG8" s="129" t="s">
        <v>216</v>
      </c>
      <c r="AH8" s="63"/>
      <c r="AI8" s="63" t="s">
        <v>219</v>
      </c>
      <c r="AJ8" s="63" t="s">
        <v>240</v>
      </c>
      <c r="AK8" s="63">
        <v>5</v>
      </c>
      <c r="AL8" s="63">
        <v>30</v>
      </c>
      <c r="AM8" s="63">
        <v>15</v>
      </c>
      <c r="AN8" s="102">
        <v>1.0499999999999901</v>
      </c>
      <c r="AO8" s="102">
        <v>0.14999999999999991</v>
      </c>
      <c r="AP8" s="102" t="s">
        <v>574</v>
      </c>
      <c r="AQ8" s="63" t="s">
        <v>1286</v>
      </c>
      <c r="AR8" s="63">
        <f>(1.05*1000000000*0.125)/(1000*32000*60)</f>
        <v>6.8359375E-2</v>
      </c>
      <c r="AS8" s="63">
        <f>(0.15*1000000000*0.125)/(1000*32000*60)</f>
        <v>9.765625E-3</v>
      </c>
      <c r="AT8" s="134"/>
      <c r="AU8" s="63"/>
      <c r="AV8" s="63"/>
      <c r="AW8" s="63"/>
      <c r="AX8" s="63"/>
      <c r="AY8" s="63"/>
      <c r="AZ8" s="63"/>
      <c r="BA8" s="63"/>
      <c r="BB8" s="63"/>
      <c r="BC8" s="63"/>
      <c r="BD8" s="63"/>
      <c r="BE8" s="63"/>
      <c r="BF8" s="63"/>
      <c r="BG8" s="63"/>
      <c r="BH8" s="63"/>
      <c r="BI8" s="63"/>
      <c r="BJ8" s="63"/>
      <c r="BT8" s="104"/>
      <c r="BU8" s="104"/>
      <c r="BV8" s="104"/>
      <c r="BW8" s="105"/>
      <c r="BX8" s="104"/>
    </row>
    <row r="9" spans="1:76" s="103" customFormat="1">
      <c r="A9" s="63" t="s">
        <v>85</v>
      </c>
      <c r="B9" s="63" t="s">
        <v>695</v>
      </c>
      <c r="C9" s="63"/>
      <c r="D9" s="63"/>
      <c r="E9" s="63" t="s">
        <v>623</v>
      </c>
      <c r="F9" s="63" t="s">
        <v>622</v>
      </c>
      <c r="G9" s="63" t="s">
        <v>565</v>
      </c>
      <c r="H9" s="67" t="s">
        <v>75</v>
      </c>
      <c r="I9" s="63"/>
      <c r="J9" s="63" t="s">
        <v>213</v>
      </c>
      <c r="K9" s="63" t="s">
        <v>215</v>
      </c>
      <c r="L9" s="63" t="s">
        <v>79</v>
      </c>
      <c r="M9" s="63">
        <v>10</v>
      </c>
      <c r="N9" s="63">
        <v>5</v>
      </c>
      <c r="O9" s="63"/>
      <c r="P9" s="63"/>
      <c r="Q9" s="63"/>
      <c r="R9" s="63" t="s">
        <v>82</v>
      </c>
      <c r="S9" s="63"/>
      <c r="T9" s="63"/>
      <c r="U9" s="63"/>
      <c r="V9" s="63"/>
      <c r="W9" s="63"/>
      <c r="X9" s="63"/>
      <c r="Y9" s="63"/>
      <c r="Z9" s="63"/>
      <c r="AA9" s="63"/>
      <c r="AB9" s="63"/>
      <c r="AC9" s="63"/>
      <c r="AD9" s="63">
        <v>125</v>
      </c>
      <c r="AE9" s="63"/>
      <c r="AF9" s="63" t="s">
        <v>1287</v>
      </c>
      <c r="AG9" s="129" t="s">
        <v>216</v>
      </c>
      <c r="AH9" s="63"/>
      <c r="AI9" s="63" t="s">
        <v>219</v>
      </c>
      <c r="AJ9" s="63" t="s">
        <v>241</v>
      </c>
      <c r="AK9" s="63">
        <v>7</v>
      </c>
      <c r="AL9" s="63">
        <v>32</v>
      </c>
      <c r="AM9" s="63">
        <v>15</v>
      </c>
      <c r="AN9" s="102">
        <v>1.3</v>
      </c>
      <c r="AO9" s="102">
        <v>0.19999999999999996</v>
      </c>
      <c r="AP9" s="102" t="s">
        <v>574</v>
      </c>
      <c r="AQ9" s="63" t="s">
        <v>1286</v>
      </c>
      <c r="AR9" s="63">
        <f>(1.3*1000000000*0.125)/(1000*32000*60)</f>
        <v>8.4635416666666671E-2</v>
      </c>
      <c r="AS9" s="63">
        <f>(0.2*1000000000*0.125)/(1000*32000*60)</f>
        <v>1.3020833333333334E-2</v>
      </c>
      <c r="AT9" s="134"/>
      <c r="AU9" s="63"/>
      <c r="AV9" s="63"/>
      <c r="AW9" s="63"/>
      <c r="AX9" s="63"/>
      <c r="AY9" s="63"/>
      <c r="AZ9" s="63"/>
      <c r="BA9" s="63"/>
      <c r="BB9" s="63"/>
      <c r="BC9" s="63"/>
      <c r="BD9" s="63"/>
      <c r="BE9" s="63"/>
      <c r="BF9" s="63"/>
      <c r="BG9" s="63"/>
      <c r="BH9" s="63"/>
      <c r="BI9" s="63"/>
      <c r="BJ9" s="63"/>
    </row>
    <row r="10" spans="1:76" s="51" customFormat="1">
      <c r="A10" s="50" t="s">
        <v>105</v>
      </c>
      <c r="B10" s="50" t="s">
        <v>525</v>
      </c>
      <c r="C10" s="50" t="s">
        <v>525</v>
      </c>
      <c r="D10" s="50" t="s">
        <v>663</v>
      </c>
      <c r="E10" s="50" t="s">
        <v>623</v>
      </c>
      <c r="F10" s="50" t="s">
        <v>106</v>
      </c>
      <c r="G10" s="50" t="s">
        <v>565</v>
      </c>
      <c r="H10" s="64" t="s">
        <v>75</v>
      </c>
      <c r="I10" s="50"/>
      <c r="J10" s="50" t="s">
        <v>213</v>
      </c>
      <c r="K10" s="50" t="s">
        <v>215</v>
      </c>
      <c r="L10" s="50" t="s">
        <v>79</v>
      </c>
      <c r="M10" s="50">
        <v>5</v>
      </c>
      <c r="N10" s="50">
        <v>6</v>
      </c>
      <c r="O10" s="50" t="s">
        <v>1312</v>
      </c>
      <c r="P10" s="50">
        <v>9</v>
      </c>
      <c r="Q10" s="50"/>
      <c r="R10" s="50">
        <v>1</v>
      </c>
      <c r="S10" s="50" t="s">
        <v>664</v>
      </c>
      <c r="T10" s="50" t="s">
        <v>665</v>
      </c>
      <c r="U10" s="50"/>
      <c r="V10" s="50"/>
      <c r="W10" s="50" t="s">
        <v>1109</v>
      </c>
      <c r="X10" s="50"/>
      <c r="Y10" s="50"/>
      <c r="Z10" s="50">
        <v>9.7272727272727195</v>
      </c>
      <c r="AA10" s="50">
        <v>0.81818181818178104</v>
      </c>
      <c r="AB10" s="50"/>
      <c r="AC10" s="50"/>
      <c r="AD10" s="48">
        <f>(Z10*100)/17</f>
        <v>57.219251336898353</v>
      </c>
      <c r="AE10" s="50"/>
      <c r="AF10" s="50" t="s">
        <v>1142</v>
      </c>
      <c r="AG10" s="50" t="s">
        <v>215</v>
      </c>
      <c r="AH10" s="50">
        <v>923</v>
      </c>
      <c r="AI10" s="50" t="s">
        <v>218</v>
      </c>
      <c r="AJ10" s="50" t="s">
        <v>218</v>
      </c>
      <c r="AK10" s="50">
        <v>3</v>
      </c>
      <c r="AL10" s="50">
        <v>30.44</v>
      </c>
      <c r="AM10" s="50">
        <f>60*6</f>
        <v>360</v>
      </c>
      <c r="AN10" s="50" t="s">
        <v>529</v>
      </c>
      <c r="AO10" s="106"/>
      <c r="AP10" s="106"/>
      <c r="AR10" s="50">
        <v>0.119555555555555</v>
      </c>
      <c r="AS10" s="50">
        <v>5.3333333333329958E-3</v>
      </c>
      <c r="AT10" s="135">
        <v>9.7411799999999999</v>
      </c>
      <c r="AU10" s="106">
        <v>0.80000000000000071</v>
      </c>
      <c r="AV10" s="50" t="s">
        <v>662</v>
      </c>
      <c r="AW10" s="50"/>
      <c r="AX10" s="50"/>
      <c r="AY10" s="50"/>
      <c r="AZ10" s="50"/>
      <c r="BA10" s="50"/>
      <c r="BB10" s="50"/>
      <c r="BC10" s="50"/>
      <c r="BD10" s="50"/>
      <c r="BE10" s="50"/>
      <c r="BF10" s="50"/>
      <c r="BG10" s="50"/>
      <c r="BH10" s="50"/>
      <c r="BI10" s="50"/>
      <c r="BJ10" s="50"/>
    </row>
    <row r="11" spans="1:76" s="51" customFormat="1">
      <c r="A11" s="50" t="s">
        <v>105</v>
      </c>
      <c r="B11" s="50" t="s">
        <v>525</v>
      </c>
      <c r="C11" s="50" t="s">
        <v>525</v>
      </c>
      <c r="D11" s="50" t="s">
        <v>663</v>
      </c>
      <c r="E11" s="50" t="s">
        <v>623</v>
      </c>
      <c r="F11" s="50" t="s">
        <v>106</v>
      </c>
      <c r="G11" s="50" t="s">
        <v>565</v>
      </c>
      <c r="H11" s="64" t="s">
        <v>75</v>
      </c>
      <c r="I11" s="50"/>
      <c r="J11" s="50" t="s">
        <v>213</v>
      </c>
      <c r="K11" s="50" t="s">
        <v>215</v>
      </c>
      <c r="L11" s="50" t="s">
        <v>79</v>
      </c>
      <c r="M11" s="50">
        <v>5</v>
      </c>
      <c r="N11" s="50">
        <v>6</v>
      </c>
      <c r="O11" s="50" t="s">
        <v>1312</v>
      </c>
      <c r="P11" s="50">
        <v>10</v>
      </c>
      <c r="Q11" s="50"/>
      <c r="R11" s="50">
        <v>1</v>
      </c>
      <c r="S11" s="50" t="s">
        <v>664</v>
      </c>
      <c r="T11" s="50" t="s">
        <v>665</v>
      </c>
      <c r="U11" s="50"/>
      <c r="V11" s="50"/>
      <c r="W11" s="50" t="s">
        <v>1109</v>
      </c>
      <c r="X11" s="50"/>
      <c r="Y11" s="50"/>
      <c r="Z11" s="50">
        <v>14.636363636363599</v>
      </c>
      <c r="AA11" s="50">
        <v>1.4090909090909012</v>
      </c>
      <c r="AB11" s="50"/>
      <c r="AC11" s="50"/>
      <c r="AD11" s="48">
        <f t="shared" ref="AD11:AD21" si="0">(Z11*100)/17</f>
        <v>86.096256684491763</v>
      </c>
      <c r="AE11" s="50"/>
      <c r="AF11" s="50" t="s">
        <v>1142</v>
      </c>
      <c r="AG11" s="50" t="s">
        <v>215</v>
      </c>
      <c r="AH11" s="50">
        <v>923</v>
      </c>
      <c r="AI11" s="50" t="s">
        <v>218</v>
      </c>
      <c r="AJ11" s="50" t="s">
        <v>218</v>
      </c>
      <c r="AK11" s="50">
        <v>3</v>
      </c>
      <c r="AL11" s="50">
        <v>30.44</v>
      </c>
      <c r="AM11" s="50">
        <f t="shared" ref="AM11:AM21" si="1">60*6</f>
        <v>360</v>
      </c>
      <c r="AN11" s="50" t="s">
        <v>529</v>
      </c>
      <c r="AO11" s="50"/>
      <c r="AP11" s="50"/>
      <c r="AR11" s="50">
        <v>0.14799999999999999</v>
      </c>
      <c r="AS11" s="50">
        <v>8.444444444445004E-3</v>
      </c>
      <c r="AT11" s="135">
        <v>9.9529399999999999</v>
      </c>
      <c r="AU11" s="106">
        <v>1.1999999999999993</v>
      </c>
      <c r="AV11" s="50" t="s">
        <v>662</v>
      </c>
      <c r="AW11" s="50"/>
      <c r="AX11" s="50"/>
      <c r="AY11" s="50"/>
      <c r="AZ11" s="50"/>
      <c r="BA11" s="50"/>
      <c r="BB11" s="50"/>
      <c r="BC11" s="50"/>
      <c r="BD11" s="50"/>
      <c r="BE11" s="50"/>
      <c r="BF11" s="50"/>
      <c r="BG11" s="50"/>
      <c r="BH11" s="50"/>
      <c r="BI11" s="50"/>
      <c r="BJ11" s="50"/>
    </row>
    <row r="12" spans="1:76" s="51" customFormat="1">
      <c r="A12" s="50" t="s">
        <v>105</v>
      </c>
      <c r="B12" s="50" t="s">
        <v>525</v>
      </c>
      <c r="C12" s="50" t="s">
        <v>525</v>
      </c>
      <c r="D12" s="50" t="s">
        <v>663</v>
      </c>
      <c r="E12" s="50" t="s">
        <v>623</v>
      </c>
      <c r="F12" s="50" t="s">
        <v>106</v>
      </c>
      <c r="G12" s="50" t="s">
        <v>565</v>
      </c>
      <c r="H12" s="64" t="s">
        <v>75</v>
      </c>
      <c r="I12" s="50"/>
      <c r="J12" s="50" t="s">
        <v>213</v>
      </c>
      <c r="K12" s="50" t="s">
        <v>215</v>
      </c>
      <c r="L12" s="50" t="s">
        <v>79</v>
      </c>
      <c r="M12" s="50">
        <v>5</v>
      </c>
      <c r="N12" s="50">
        <v>6</v>
      </c>
      <c r="O12" s="50" t="s">
        <v>1312</v>
      </c>
      <c r="P12" s="50">
        <v>11</v>
      </c>
      <c r="Q12" s="50"/>
      <c r="R12" s="50">
        <v>1</v>
      </c>
      <c r="S12" s="50" t="s">
        <v>664</v>
      </c>
      <c r="T12" s="50" t="s">
        <v>665</v>
      </c>
      <c r="U12" s="50"/>
      <c r="V12" s="50"/>
      <c r="W12" s="50" t="s">
        <v>1109</v>
      </c>
      <c r="X12" s="50"/>
      <c r="Y12" s="50"/>
      <c r="Z12" s="50">
        <v>11.409090909090899</v>
      </c>
      <c r="AA12" s="50">
        <v>0.81818181818180058</v>
      </c>
      <c r="AB12" s="50"/>
      <c r="AC12" s="50"/>
      <c r="AD12" s="48">
        <f t="shared" si="0"/>
        <v>67.112299465240582</v>
      </c>
      <c r="AE12" s="50"/>
      <c r="AF12" s="50" t="s">
        <v>1142</v>
      </c>
      <c r="AG12" s="50" t="s">
        <v>215</v>
      </c>
      <c r="AH12" s="50">
        <v>923</v>
      </c>
      <c r="AI12" s="50" t="s">
        <v>218</v>
      </c>
      <c r="AJ12" s="50" t="s">
        <v>218</v>
      </c>
      <c r="AK12" s="50">
        <v>3</v>
      </c>
      <c r="AL12" s="50">
        <v>30.44</v>
      </c>
      <c r="AM12" s="50">
        <f t="shared" si="1"/>
        <v>360</v>
      </c>
      <c r="AN12" s="50" t="s">
        <v>529</v>
      </c>
      <c r="AO12" s="50"/>
      <c r="AP12" s="50"/>
      <c r="AR12" s="50">
        <v>0.118666666666666</v>
      </c>
      <c r="AS12" s="50">
        <v>9.77777777777801E-3</v>
      </c>
      <c r="AT12" s="135">
        <v>9.6470599999999997</v>
      </c>
      <c r="AU12" s="106">
        <v>0.80000000000000071</v>
      </c>
      <c r="AV12" s="50" t="s">
        <v>662</v>
      </c>
      <c r="AW12" s="50"/>
      <c r="AX12" s="50"/>
      <c r="AY12" s="50"/>
      <c r="AZ12" s="50"/>
      <c r="BA12" s="50"/>
      <c r="BB12" s="50"/>
      <c r="BC12" s="50"/>
      <c r="BD12" s="50"/>
      <c r="BE12" s="50"/>
      <c r="BF12" s="50"/>
      <c r="BG12" s="50"/>
      <c r="BH12" s="50"/>
      <c r="BI12" s="50"/>
      <c r="BJ12" s="50"/>
    </row>
    <row r="13" spans="1:76" s="51" customFormat="1">
      <c r="A13" s="50" t="s">
        <v>105</v>
      </c>
      <c r="B13" s="50" t="s">
        <v>525</v>
      </c>
      <c r="C13" s="50" t="s">
        <v>525</v>
      </c>
      <c r="D13" s="50" t="s">
        <v>663</v>
      </c>
      <c r="E13" s="50" t="s">
        <v>623</v>
      </c>
      <c r="F13" s="50" t="s">
        <v>106</v>
      </c>
      <c r="G13" s="50" t="s">
        <v>565</v>
      </c>
      <c r="H13" s="64" t="s">
        <v>75</v>
      </c>
      <c r="I13" s="50"/>
      <c r="J13" s="50" t="s">
        <v>213</v>
      </c>
      <c r="K13" s="50" t="s">
        <v>215</v>
      </c>
      <c r="L13" s="50" t="s">
        <v>79</v>
      </c>
      <c r="M13" s="50">
        <v>5</v>
      </c>
      <c r="N13" s="50">
        <v>6</v>
      </c>
      <c r="O13" s="50" t="s">
        <v>1312</v>
      </c>
      <c r="P13" s="50">
        <v>9</v>
      </c>
      <c r="Q13" s="50"/>
      <c r="R13" s="50">
        <v>1</v>
      </c>
      <c r="S13" s="50" t="s">
        <v>664</v>
      </c>
      <c r="T13" s="50" t="s">
        <v>665</v>
      </c>
      <c r="U13" s="50"/>
      <c r="V13" s="50"/>
      <c r="W13" s="50" t="s">
        <v>1109</v>
      </c>
      <c r="X13" s="50"/>
      <c r="Y13" s="50"/>
      <c r="Z13" s="50">
        <v>9.9545454545454497</v>
      </c>
      <c r="AA13" s="50">
        <v>0.9545454545454497</v>
      </c>
      <c r="AB13" s="50"/>
      <c r="AC13" s="50"/>
      <c r="AD13" s="48">
        <f t="shared" si="0"/>
        <v>58.556149732620291</v>
      </c>
      <c r="AE13" s="50"/>
      <c r="AF13" s="50" t="s">
        <v>1142</v>
      </c>
      <c r="AG13" s="50" t="s">
        <v>215</v>
      </c>
      <c r="AH13" s="50">
        <v>980</v>
      </c>
      <c r="AI13" s="50" t="s">
        <v>218</v>
      </c>
      <c r="AJ13" s="50" t="s">
        <v>219</v>
      </c>
      <c r="AK13" s="50">
        <v>0</v>
      </c>
      <c r="AL13" s="50">
        <v>28.1</v>
      </c>
      <c r="AM13" s="50">
        <f t="shared" si="1"/>
        <v>360</v>
      </c>
      <c r="AN13" s="50" t="s">
        <v>529</v>
      </c>
      <c r="AO13" s="50"/>
      <c r="AP13" s="50"/>
      <c r="AR13" s="50">
        <v>9.4222222222222193E-2</v>
      </c>
      <c r="AS13" s="50">
        <v>7.9999999999999932E-3</v>
      </c>
      <c r="AT13" s="135">
        <v>8.8235299999999999</v>
      </c>
      <c r="AU13" s="106">
        <v>0.70588000000000051</v>
      </c>
      <c r="AV13" s="50" t="s">
        <v>662</v>
      </c>
      <c r="AW13" s="50"/>
      <c r="AX13" s="50"/>
      <c r="AY13" s="50"/>
      <c r="AZ13" s="50"/>
      <c r="BA13" s="50"/>
      <c r="BB13" s="50"/>
      <c r="BC13" s="50"/>
      <c r="BD13" s="50"/>
      <c r="BE13" s="50"/>
      <c r="BF13" s="50"/>
      <c r="BG13" s="50"/>
      <c r="BH13" s="50"/>
      <c r="BI13" s="50"/>
      <c r="BJ13" s="50"/>
    </row>
    <row r="14" spans="1:76" s="51" customFormat="1">
      <c r="A14" s="50" t="s">
        <v>105</v>
      </c>
      <c r="B14" s="50" t="s">
        <v>525</v>
      </c>
      <c r="C14" s="50" t="s">
        <v>525</v>
      </c>
      <c r="D14" s="50" t="s">
        <v>663</v>
      </c>
      <c r="E14" s="50" t="s">
        <v>623</v>
      </c>
      <c r="F14" s="50" t="s">
        <v>106</v>
      </c>
      <c r="G14" s="50" t="s">
        <v>565</v>
      </c>
      <c r="H14" s="64" t="s">
        <v>75</v>
      </c>
      <c r="I14" s="50"/>
      <c r="J14" s="50" t="s">
        <v>213</v>
      </c>
      <c r="K14" s="50" t="s">
        <v>215</v>
      </c>
      <c r="L14" s="50" t="s">
        <v>79</v>
      </c>
      <c r="M14" s="50">
        <v>5</v>
      </c>
      <c r="N14" s="50">
        <v>6</v>
      </c>
      <c r="O14" s="50" t="s">
        <v>1312</v>
      </c>
      <c r="P14" s="50">
        <v>10</v>
      </c>
      <c r="Q14" s="50"/>
      <c r="R14" s="50">
        <v>1</v>
      </c>
      <c r="S14" s="50" t="s">
        <v>664</v>
      </c>
      <c r="T14" s="50" t="s">
        <v>665</v>
      </c>
      <c r="U14" s="50"/>
      <c r="V14" s="50"/>
      <c r="W14" s="50" t="s">
        <v>1109</v>
      </c>
      <c r="X14" s="50"/>
      <c r="Y14" s="50"/>
      <c r="Z14" s="50">
        <v>11.818181818181801</v>
      </c>
      <c r="AA14" s="50">
        <v>0.45454545454539996</v>
      </c>
      <c r="AB14" s="50"/>
      <c r="AC14" s="50"/>
      <c r="AD14" s="48">
        <f t="shared" si="0"/>
        <v>69.518716577540005</v>
      </c>
      <c r="AE14" s="50"/>
      <c r="AF14" s="50" t="s">
        <v>1142</v>
      </c>
      <c r="AG14" s="50" t="s">
        <v>215</v>
      </c>
      <c r="AH14" s="50">
        <v>980</v>
      </c>
      <c r="AI14" s="50" t="s">
        <v>218</v>
      </c>
      <c r="AJ14" s="50" t="s">
        <v>219</v>
      </c>
      <c r="AK14" s="50">
        <v>0</v>
      </c>
      <c r="AL14" s="50">
        <v>28.1</v>
      </c>
      <c r="AM14" s="50">
        <f t="shared" si="1"/>
        <v>360</v>
      </c>
      <c r="AN14" s="50" t="s">
        <v>529</v>
      </c>
      <c r="AO14" s="50"/>
      <c r="AP14" s="50"/>
      <c r="AR14" s="50">
        <v>0.119111111111111</v>
      </c>
      <c r="AS14" s="50">
        <v>5.7777777777780065E-3</v>
      </c>
      <c r="AT14" s="135">
        <v>9.7411799999999999</v>
      </c>
      <c r="AU14" s="106">
        <v>0.94116999999999962</v>
      </c>
      <c r="AV14" s="50" t="s">
        <v>662</v>
      </c>
      <c r="AW14" s="50"/>
      <c r="AX14" s="50"/>
      <c r="AY14" s="50"/>
      <c r="AZ14" s="50"/>
      <c r="BA14" s="50"/>
      <c r="BB14" s="50"/>
      <c r="BC14" s="50"/>
      <c r="BD14" s="50"/>
      <c r="BE14" s="50"/>
      <c r="BF14" s="50"/>
      <c r="BG14" s="50"/>
      <c r="BH14" s="50"/>
      <c r="BI14" s="50"/>
      <c r="BJ14" s="50"/>
    </row>
    <row r="15" spans="1:76" s="51" customFormat="1">
      <c r="A15" s="50" t="s">
        <v>105</v>
      </c>
      <c r="B15" s="50" t="s">
        <v>525</v>
      </c>
      <c r="C15" s="50" t="s">
        <v>525</v>
      </c>
      <c r="D15" s="50" t="s">
        <v>663</v>
      </c>
      <c r="E15" s="50" t="s">
        <v>623</v>
      </c>
      <c r="F15" s="50" t="s">
        <v>106</v>
      </c>
      <c r="G15" s="50" t="s">
        <v>565</v>
      </c>
      <c r="H15" s="64" t="s">
        <v>75</v>
      </c>
      <c r="I15" s="50"/>
      <c r="J15" s="50" t="s">
        <v>213</v>
      </c>
      <c r="K15" s="50" t="s">
        <v>215</v>
      </c>
      <c r="L15" s="50" t="s">
        <v>79</v>
      </c>
      <c r="M15" s="50">
        <v>5</v>
      </c>
      <c r="N15" s="50">
        <v>6</v>
      </c>
      <c r="O15" s="50" t="s">
        <v>1312</v>
      </c>
      <c r="P15" s="50">
        <v>11</v>
      </c>
      <c r="Q15" s="50"/>
      <c r="R15" s="50">
        <v>1</v>
      </c>
      <c r="S15" s="50" t="s">
        <v>664</v>
      </c>
      <c r="T15" s="50" t="s">
        <v>665</v>
      </c>
      <c r="U15" s="50"/>
      <c r="V15" s="50"/>
      <c r="W15" s="50" t="s">
        <v>1109</v>
      </c>
      <c r="X15" s="50"/>
      <c r="Y15" s="50"/>
      <c r="Z15" s="50">
        <v>12.2272727272727</v>
      </c>
      <c r="AA15" s="50">
        <v>0.5909090909091006</v>
      </c>
      <c r="AB15" s="50"/>
      <c r="AC15" s="50"/>
      <c r="AD15" s="48">
        <f t="shared" si="0"/>
        <v>71.925133689839413</v>
      </c>
      <c r="AE15" s="50"/>
      <c r="AF15" s="50" t="s">
        <v>1142</v>
      </c>
      <c r="AG15" s="50" t="s">
        <v>215</v>
      </c>
      <c r="AH15" s="50">
        <v>980</v>
      </c>
      <c r="AI15" s="50" t="s">
        <v>218</v>
      </c>
      <c r="AJ15" s="50" t="s">
        <v>219</v>
      </c>
      <c r="AK15" s="50">
        <v>0</v>
      </c>
      <c r="AL15" s="50">
        <v>28.1</v>
      </c>
      <c r="AM15" s="50">
        <f t="shared" si="1"/>
        <v>360</v>
      </c>
      <c r="AN15" s="50" t="s">
        <v>529</v>
      </c>
      <c r="AO15" s="50"/>
      <c r="AP15" s="50"/>
      <c r="AR15" s="50">
        <v>8.8888888888888906E-2</v>
      </c>
      <c r="AS15" s="50">
        <v>6.6666666666667096E-3</v>
      </c>
      <c r="AT15" s="135">
        <v>6.7529399999999997</v>
      </c>
      <c r="AU15" s="106">
        <v>0.3294100000000002</v>
      </c>
      <c r="AV15" s="50" t="s">
        <v>662</v>
      </c>
      <c r="AW15" s="50"/>
      <c r="AX15" s="50"/>
      <c r="AY15" s="50"/>
      <c r="AZ15" s="50"/>
      <c r="BA15" s="50"/>
      <c r="BB15" s="50"/>
      <c r="BC15" s="50"/>
      <c r="BD15" s="50"/>
      <c r="BE15" s="50"/>
      <c r="BF15" s="50"/>
      <c r="BG15" s="50"/>
      <c r="BH15" s="50"/>
      <c r="BI15" s="50"/>
      <c r="BJ15" s="50"/>
    </row>
    <row r="16" spans="1:76" s="51" customFormat="1">
      <c r="A16" s="50" t="s">
        <v>105</v>
      </c>
      <c r="B16" s="50" t="s">
        <v>525</v>
      </c>
      <c r="C16" s="50" t="s">
        <v>525</v>
      </c>
      <c r="D16" s="50" t="s">
        <v>663</v>
      </c>
      <c r="E16" s="50" t="s">
        <v>623</v>
      </c>
      <c r="F16" s="50" t="s">
        <v>106</v>
      </c>
      <c r="G16" s="50" t="s">
        <v>565</v>
      </c>
      <c r="H16" s="64" t="s">
        <v>75</v>
      </c>
      <c r="I16" s="50"/>
      <c r="J16" s="50" t="s">
        <v>213</v>
      </c>
      <c r="K16" s="50" t="s">
        <v>215</v>
      </c>
      <c r="L16" s="50" t="s">
        <v>79</v>
      </c>
      <c r="M16" s="50">
        <v>5</v>
      </c>
      <c r="N16" s="50">
        <v>6</v>
      </c>
      <c r="O16" s="50" t="s">
        <v>1312</v>
      </c>
      <c r="P16" s="50">
        <v>9</v>
      </c>
      <c r="Q16" s="50"/>
      <c r="R16" s="50">
        <v>1</v>
      </c>
      <c r="S16" s="50" t="s">
        <v>664</v>
      </c>
      <c r="T16" s="50" t="s">
        <v>665</v>
      </c>
      <c r="U16" s="50"/>
      <c r="V16" s="50"/>
      <c r="W16" s="50" t="s">
        <v>1109</v>
      </c>
      <c r="X16" s="50"/>
      <c r="Y16" s="50"/>
      <c r="Z16" s="50">
        <v>11</v>
      </c>
      <c r="AA16" s="50">
        <v>1.3181818181818006</v>
      </c>
      <c r="AB16" s="50"/>
      <c r="AC16" s="50"/>
      <c r="AD16" s="48">
        <f t="shared" si="0"/>
        <v>64.705882352941174</v>
      </c>
      <c r="AE16" s="50"/>
      <c r="AF16" s="50" t="s">
        <v>1142</v>
      </c>
      <c r="AG16" s="50" t="s">
        <v>215</v>
      </c>
      <c r="AH16" s="50">
        <v>450</v>
      </c>
      <c r="AI16" s="50" t="s">
        <v>219</v>
      </c>
      <c r="AJ16" s="50" t="s">
        <v>219</v>
      </c>
      <c r="AK16" s="50">
        <v>0</v>
      </c>
      <c r="AL16" s="50">
        <v>27.5</v>
      </c>
      <c r="AM16" s="50">
        <f t="shared" si="1"/>
        <v>360</v>
      </c>
      <c r="AN16" s="50" t="s">
        <v>529</v>
      </c>
      <c r="AO16" s="50"/>
      <c r="AP16" s="50"/>
      <c r="AR16" s="50">
        <v>0.1</v>
      </c>
      <c r="AS16" s="50">
        <v>7.555555555555607E-3</v>
      </c>
      <c r="AT16" s="135">
        <v>8.7294099999999997</v>
      </c>
      <c r="AU16" s="106">
        <v>0.68234999999999957</v>
      </c>
      <c r="AV16" s="50" t="s">
        <v>662</v>
      </c>
      <c r="AW16" s="50"/>
      <c r="AX16" s="50"/>
      <c r="AY16" s="50"/>
      <c r="AZ16" s="50"/>
      <c r="BA16" s="50"/>
      <c r="BB16" s="50"/>
      <c r="BC16" s="50"/>
      <c r="BD16" s="50"/>
      <c r="BE16" s="50"/>
      <c r="BF16" s="50"/>
      <c r="BG16" s="50"/>
      <c r="BH16" s="50"/>
      <c r="BI16" s="50"/>
      <c r="BJ16" s="50"/>
    </row>
    <row r="17" spans="1:62" s="51" customFormat="1">
      <c r="A17" s="50" t="s">
        <v>105</v>
      </c>
      <c r="B17" s="50" t="s">
        <v>525</v>
      </c>
      <c r="C17" s="50" t="s">
        <v>525</v>
      </c>
      <c r="D17" s="50" t="s">
        <v>663</v>
      </c>
      <c r="E17" s="50" t="s">
        <v>623</v>
      </c>
      <c r="F17" s="50" t="s">
        <v>106</v>
      </c>
      <c r="G17" s="50" t="s">
        <v>565</v>
      </c>
      <c r="H17" s="64" t="s">
        <v>75</v>
      </c>
      <c r="I17" s="50"/>
      <c r="J17" s="50" t="s">
        <v>213</v>
      </c>
      <c r="K17" s="50" t="s">
        <v>215</v>
      </c>
      <c r="L17" s="50" t="s">
        <v>79</v>
      </c>
      <c r="M17" s="50">
        <v>5</v>
      </c>
      <c r="N17" s="50">
        <v>6</v>
      </c>
      <c r="O17" s="50" t="s">
        <v>1312</v>
      </c>
      <c r="P17" s="50">
        <v>10</v>
      </c>
      <c r="Q17" s="50"/>
      <c r="R17" s="50">
        <v>1</v>
      </c>
      <c r="S17" s="50" t="s">
        <v>664</v>
      </c>
      <c r="T17" s="50" t="s">
        <v>665</v>
      </c>
      <c r="U17" s="50"/>
      <c r="V17" s="50"/>
      <c r="W17" s="50" t="s">
        <v>1109</v>
      </c>
      <c r="X17" s="50"/>
      <c r="Y17" s="50"/>
      <c r="Z17" s="50">
        <v>14.272727272727201</v>
      </c>
      <c r="AA17" s="50">
        <v>0.45454545454549944</v>
      </c>
      <c r="AB17" s="50"/>
      <c r="AC17" s="50"/>
      <c r="AD17" s="48">
        <f t="shared" si="0"/>
        <v>83.957219251336468</v>
      </c>
      <c r="AE17" s="50"/>
      <c r="AF17" s="50" t="s">
        <v>1142</v>
      </c>
      <c r="AG17" s="50" t="s">
        <v>215</v>
      </c>
      <c r="AH17" s="50">
        <v>450</v>
      </c>
      <c r="AI17" s="50" t="s">
        <v>219</v>
      </c>
      <c r="AJ17" s="50" t="s">
        <v>219</v>
      </c>
      <c r="AK17" s="50">
        <v>0</v>
      </c>
      <c r="AL17" s="50">
        <v>27.5</v>
      </c>
      <c r="AM17" s="50">
        <f t="shared" si="1"/>
        <v>360</v>
      </c>
      <c r="AN17" s="50" t="s">
        <v>529</v>
      </c>
      <c r="AO17" s="50"/>
      <c r="AP17" s="50"/>
      <c r="AR17" s="50">
        <v>0.13955555555555499</v>
      </c>
      <c r="AS17" s="50">
        <v>1.0666666666666991E-2</v>
      </c>
      <c r="AT17" s="135">
        <v>9.0352899999999998</v>
      </c>
      <c r="AU17" s="106">
        <v>0.51764999999999972</v>
      </c>
      <c r="AV17" s="50" t="s">
        <v>662</v>
      </c>
      <c r="AW17" s="50"/>
      <c r="AX17" s="50"/>
      <c r="AY17" s="50"/>
      <c r="AZ17" s="50"/>
      <c r="BA17" s="50"/>
      <c r="BB17" s="50"/>
      <c r="BC17" s="50"/>
      <c r="BD17" s="50"/>
      <c r="BE17" s="50"/>
      <c r="BF17" s="50"/>
      <c r="BG17" s="50"/>
      <c r="BH17" s="50"/>
      <c r="BI17" s="50"/>
      <c r="BJ17" s="50"/>
    </row>
    <row r="18" spans="1:62" s="51" customFormat="1">
      <c r="A18" s="50" t="s">
        <v>105</v>
      </c>
      <c r="B18" s="50" t="s">
        <v>525</v>
      </c>
      <c r="C18" s="50" t="s">
        <v>525</v>
      </c>
      <c r="D18" s="50" t="s">
        <v>663</v>
      </c>
      <c r="E18" s="50" t="s">
        <v>623</v>
      </c>
      <c r="F18" s="50" t="s">
        <v>106</v>
      </c>
      <c r="G18" s="50" t="s">
        <v>565</v>
      </c>
      <c r="H18" s="64" t="s">
        <v>75</v>
      </c>
      <c r="I18" s="50"/>
      <c r="J18" s="50" t="s">
        <v>213</v>
      </c>
      <c r="K18" s="50" t="s">
        <v>215</v>
      </c>
      <c r="L18" s="50" t="s">
        <v>79</v>
      </c>
      <c r="M18" s="50">
        <v>5</v>
      </c>
      <c r="N18" s="50">
        <v>6</v>
      </c>
      <c r="O18" s="50" t="s">
        <v>1312</v>
      </c>
      <c r="P18" s="50">
        <v>11</v>
      </c>
      <c r="Q18" s="50"/>
      <c r="R18" s="50">
        <v>1</v>
      </c>
      <c r="S18" s="50" t="s">
        <v>664</v>
      </c>
      <c r="T18" s="50" t="s">
        <v>665</v>
      </c>
      <c r="U18" s="50"/>
      <c r="V18" s="50"/>
      <c r="W18" s="50" t="s">
        <v>1109</v>
      </c>
      <c r="X18" s="50"/>
      <c r="Y18" s="50"/>
      <c r="Z18" s="50">
        <v>13.6818181818181</v>
      </c>
      <c r="AA18" s="50">
        <v>0.54545454545460004</v>
      </c>
      <c r="AB18" s="50"/>
      <c r="AC18" s="50"/>
      <c r="AD18" s="48">
        <f t="shared" si="0"/>
        <v>80.481283422459413</v>
      </c>
      <c r="AE18" s="50"/>
      <c r="AF18" s="50" t="s">
        <v>1142</v>
      </c>
      <c r="AG18" s="50" t="s">
        <v>215</v>
      </c>
      <c r="AH18" s="50">
        <v>450</v>
      </c>
      <c r="AI18" s="50" t="s">
        <v>219</v>
      </c>
      <c r="AJ18" s="50" t="s">
        <v>219</v>
      </c>
      <c r="AK18" s="50">
        <v>0</v>
      </c>
      <c r="AL18" s="50">
        <v>27.5</v>
      </c>
      <c r="AM18" s="50">
        <f t="shared" si="1"/>
        <v>360</v>
      </c>
      <c r="AN18" s="50" t="s">
        <v>529</v>
      </c>
      <c r="AO18" s="50"/>
      <c r="AP18" s="50"/>
      <c r="AR18" s="50">
        <v>9.2888888888888896E-2</v>
      </c>
      <c r="AS18" s="50">
        <v>3.1111111111110923E-3</v>
      </c>
      <c r="AT18" s="135">
        <v>6.5882399999999999</v>
      </c>
      <c r="AU18" s="106">
        <v>0.35294000000000025</v>
      </c>
      <c r="AV18" s="50" t="s">
        <v>662</v>
      </c>
      <c r="AW18" s="50"/>
      <c r="AX18" s="50"/>
      <c r="AY18" s="50"/>
      <c r="AZ18" s="50"/>
      <c r="BA18" s="50"/>
      <c r="BB18" s="50"/>
      <c r="BC18" s="50"/>
      <c r="BD18" s="50"/>
      <c r="BE18" s="50"/>
      <c r="BF18" s="50"/>
      <c r="BG18" s="50"/>
      <c r="BH18" s="50"/>
      <c r="BI18" s="50"/>
      <c r="BJ18" s="50"/>
    </row>
    <row r="19" spans="1:62" s="51" customFormat="1">
      <c r="A19" s="50" t="s">
        <v>105</v>
      </c>
      <c r="B19" s="50" t="s">
        <v>525</v>
      </c>
      <c r="C19" s="50" t="s">
        <v>525</v>
      </c>
      <c r="D19" s="50" t="s">
        <v>663</v>
      </c>
      <c r="E19" s="50" t="s">
        <v>623</v>
      </c>
      <c r="F19" s="50" t="s">
        <v>106</v>
      </c>
      <c r="G19" s="50" t="s">
        <v>565</v>
      </c>
      <c r="H19" s="64" t="s">
        <v>75</v>
      </c>
      <c r="I19" s="50"/>
      <c r="J19" s="50" t="s">
        <v>213</v>
      </c>
      <c r="K19" s="50" t="s">
        <v>215</v>
      </c>
      <c r="L19" s="50" t="s">
        <v>79</v>
      </c>
      <c r="M19" s="50">
        <v>5</v>
      </c>
      <c r="N19" s="50">
        <v>6</v>
      </c>
      <c r="O19" s="50" t="s">
        <v>1312</v>
      </c>
      <c r="P19" s="50">
        <v>9</v>
      </c>
      <c r="Q19" s="50"/>
      <c r="R19" s="50">
        <v>1</v>
      </c>
      <c r="S19" s="50" t="s">
        <v>664</v>
      </c>
      <c r="T19" s="50" t="s">
        <v>665</v>
      </c>
      <c r="U19" s="50"/>
      <c r="V19" s="50"/>
      <c r="W19" s="50" t="s">
        <v>1109</v>
      </c>
      <c r="X19" s="50"/>
      <c r="Y19" s="50"/>
      <c r="Z19" s="50">
        <v>11.636363636363599</v>
      </c>
      <c r="AA19" s="50">
        <v>0.95454545454539996</v>
      </c>
      <c r="AB19" s="50"/>
      <c r="AC19" s="50"/>
      <c r="AD19" s="48">
        <f t="shared" si="0"/>
        <v>68.449197860962343</v>
      </c>
      <c r="AE19" s="50"/>
      <c r="AF19" s="50" t="s">
        <v>1142</v>
      </c>
      <c r="AG19" s="50" t="s">
        <v>215</v>
      </c>
      <c r="AH19" s="50">
        <v>470</v>
      </c>
      <c r="AI19" s="50" t="s">
        <v>219</v>
      </c>
      <c r="AJ19" s="50" t="s">
        <v>218</v>
      </c>
      <c r="AK19" s="50">
        <v>3</v>
      </c>
      <c r="AL19" s="50">
        <v>30.7</v>
      </c>
      <c r="AM19" s="50">
        <f t="shared" si="1"/>
        <v>360</v>
      </c>
      <c r="AN19" s="50" t="s">
        <v>529</v>
      </c>
      <c r="AO19" s="50"/>
      <c r="AP19" s="50"/>
      <c r="AR19" s="50">
        <v>0.133333333333333</v>
      </c>
      <c r="AS19" s="50">
        <v>9.3333333333329993E-3</v>
      </c>
      <c r="AT19" s="135">
        <v>10.988239999999999</v>
      </c>
      <c r="AU19" s="106">
        <v>1.152940000000001</v>
      </c>
      <c r="AV19" s="50" t="s">
        <v>662</v>
      </c>
      <c r="AW19" s="50"/>
      <c r="AX19" s="50"/>
      <c r="AY19" s="50"/>
      <c r="AZ19" s="50"/>
      <c r="BA19" s="50"/>
      <c r="BB19" s="50"/>
      <c r="BC19" s="50"/>
      <c r="BD19" s="50"/>
      <c r="BE19" s="50"/>
      <c r="BF19" s="50"/>
      <c r="BG19" s="50"/>
      <c r="BH19" s="50"/>
      <c r="BI19" s="50"/>
      <c r="BJ19" s="50"/>
    </row>
    <row r="20" spans="1:62" s="51" customFormat="1">
      <c r="A20" s="50" t="s">
        <v>105</v>
      </c>
      <c r="B20" s="50" t="s">
        <v>525</v>
      </c>
      <c r="C20" s="50" t="s">
        <v>525</v>
      </c>
      <c r="D20" s="50" t="s">
        <v>663</v>
      </c>
      <c r="E20" s="50" t="s">
        <v>623</v>
      </c>
      <c r="F20" s="50" t="s">
        <v>106</v>
      </c>
      <c r="G20" s="50" t="s">
        <v>565</v>
      </c>
      <c r="H20" s="64" t="s">
        <v>75</v>
      </c>
      <c r="I20" s="50"/>
      <c r="J20" s="50" t="s">
        <v>213</v>
      </c>
      <c r="K20" s="50" t="s">
        <v>215</v>
      </c>
      <c r="L20" s="50" t="s">
        <v>79</v>
      </c>
      <c r="M20" s="50">
        <v>5</v>
      </c>
      <c r="N20" s="50">
        <v>6</v>
      </c>
      <c r="O20" s="50" t="s">
        <v>1312</v>
      </c>
      <c r="P20" s="50">
        <v>10</v>
      </c>
      <c r="Q20" s="50"/>
      <c r="R20" s="50">
        <v>1</v>
      </c>
      <c r="S20" s="50" t="s">
        <v>664</v>
      </c>
      <c r="T20" s="50" t="s">
        <v>665</v>
      </c>
      <c r="U20" s="50"/>
      <c r="V20" s="50"/>
      <c r="W20" s="50" t="s">
        <v>1109</v>
      </c>
      <c r="X20" s="50"/>
      <c r="Y20" s="50"/>
      <c r="Z20" s="50">
        <v>14</v>
      </c>
      <c r="AA20" s="50">
        <v>0.95454545454539996</v>
      </c>
      <c r="AB20" s="50"/>
      <c r="AC20" s="50"/>
      <c r="AD20" s="48">
        <f t="shared" si="0"/>
        <v>82.352941176470594</v>
      </c>
      <c r="AE20" s="50"/>
      <c r="AF20" s="50" t="s">
        <v>1142</v>
      </c>
      <c r="AG20" s="50" t="s">
        <v>215</v>
      </c>
      <c r="AH20" s="50">
        <v>470</v>
      </c>
      <c r="AI20" s="50" t="s">
        <v>219</v>
      </c>
      <c r="AJ20" s="50" t="s">
        <v>218</v>
      </c>
      <c r="AK20" s="50">
        <v>3</v>
      </c>
      <c r="AL20" s="50">
        <v>30.7</v>
      </c>
      <c r="AM20" s="50">
        <f t="shared" si="1"/>
        <v>360</v>
      </c>
      <c r="AN20" s="50" t="s">
        <v>529</v>
      </c>
      <c r="AO20" s="50"/>
      <c r="AP20" s="50"/>
      <c r="AR20" s="50">
        <v>0.14844444444444399</v>
      </c>
      <c r="AS20" s="50">
        <v>8.8888888888890016E-3</v>
      </c>
      <c r="AT20" s="135">
        <v>10.04706</v>
      </c>
      <c r="AU20" s="106">
        <v>0.44706000000000046</v>
      </c>
      <c r="AV20" s="50" t="s">
        <v>662</v>
      </c>
      <c r="AW20" s="50"/>
      <c r="AX20" s="50"/>
      <c r="AY20" s="50"/>
      <c r="AZ20" s="50"/>
      <c r="BA20" s="50"/>
      <c r="BB20" s="50"/>
      <c r="BC20" s="50"/>
      <c r="BD20" s="50"/>
      <c r="BE20" s="50"/>
      <c r="BF20" s="50"/>
      <c r="BG20" s="50"/>
      <c r="BH20" s="50"/>
      <c r="BI20" s="50"/>
      <c r="BJ20" s="50"/>
    </row>
    <row r="21" spans="1:62" s="51" customFormat="1">
      <c r="A21" s="50" t="s">
        <v>105</v>
      </c>
      <c r="B21" s="50" t="s">
        <v>525</v>
      </c>
      <c r="C21" s="50" t="s">
        <v>525</v>
      </c>
      <c r="D21" s="50" t="s">
        <v>663</v>
      </c>
      <c r="E21" s="50" t="s">
        <v>623</v>
      </c>
      <c r="F21" s="50" t="s">
        <v>106</v>
      </c>
      <c r="G21" s="50" t="s">
        <v>565</v>
      </c>
      <c r="H21" s="64" t="s">
        <v>75</v>
      </c>
      <c r="I21" s="50"/>
      <c r="J21" s="50" t="s">
        <v>213</v>
      </c>
      <c r="K21" s="50" t="s">
        <v>215</v>
      </c>
      <c r="L21" s="50" t="s">
        <v>79</v>
      </c>
      <c r="M21" s="50">
        <v>5</v>
      </c>
      <c r="N21" s="50">
        <v>6</v>
      </c>
      <c r="O21" s="50" t="s">
        <v>1312</v>
      </c>
      <c r="P21" s="50">
        <v>11</v>
      </c>
      <c r="Q21" s="50"/>
      <c r="R21" s="50">
        <v>1</v>
      </c>
      <c r="S21" s="50" t="s">
        <v>664</v>
      </c>
      <c r="T21" s="50" t="s">
        <v>665</v>
      </c>
      <c r="U21" s="50"/>
      <c r="V21" s="50"/>
      <c r="W21" s="50" t="s">
        <v>1109</v>
      </c>
      <c r="X21" s="50"/>
      <c r="Y21" s="50"/>
      <c r="Z21" s="50">
        <v>9.7272727272727195</v>
      </c>
      <c r="AA21" s="50">
        <v>0.77272727272728048</v>
      </c>
      <c r="AB21" s="50"/>
      <c r="AC21" s="50"/>
      <c r="AD21" s="48">
        <f t="shared" si="0"/>
        <v>57.219251336898353</v>
      </c>
      <c r="AE21" s="50"/>
      <c r="AF21" s="50" t="s">
        <v>1142</v>
      </c>
      <c r="AG21" s="50" t="s">
        <v>215</v>
      </c>
      <c r="AH21" s="50">
        <v>470</v>
      </c>
      <c r="AI21" s="50" t="s">
        <v>219</v>
      </c>
      <c r="AJ21" s="50" t="s">
        <v>218</v>
      </c>
      <c r="AK21" s="50">
        <v>3</v>
      </c>
      <c r="AL21" s="50">
        <v>30.7</v>
      </c>
      <c r="AM21" s="50">
        <f t="shared" si="1"/>
        <v>360</v>
      </c>
      <c r="AN21" s="50" t="s">
        <v>529</v>
      </c>
      <c r="AO21" s="50"/>
      <c r="AP21" s="50"/>
      <c r="AR21" s="50">
        <v>0.14133333333333301</v>
      </c>
      <c r="AS21" s="50">
        <v>6.222222222222018E-3</v>
      </c>
      <c r="AT21" s="135">
        <v>9.7647099999999991</v>
      </c>
      <c r="AU21" s="106">
        <v>0.75294000000000061</v>
      </c>
      <c r="AV21" s="50" t="s">
        <v>662</v>
      </c>
      <c r="AW21" s="50"/>
      <c r="AX21" s="50"/>
      <c r="AY21" s="50"/>
      <c r="AZ21" s="50"/>
      <c r="BA21" s="50"/>
      <c r="BB21" s="50"/>
      <c r="BC21" s="50"/>
      <c r="BD21" s="50"/>
      <c r="BE21" s="50"/>
      <c r="BF21" s="50"/>
      <c r="BG21" s="50"/>
      <c r="BH21" s="50"/>
      <c r="BI21" s="50"/>
      <c r="BJ21" s="50"/>
    </row>
    <row r="22" spans="1:62" s="53" customFormat="1">
      <c r="A22" s="52" t="s">
        <v>198</v>
      </c>
      <c r="B22" s="52" t="s">
        <v>525</v>
      </c>
      <c r="C22" s="52"/>
      <c r="D22" s="52" t="s">
        <v>1090</v>
      </c>
      <c r="E22" s="52" t="s">
        <v>623</v>
      </c>
      <c r="F22" s="52" t="s">
        <v>203</v>
      </c>
      <c r="G22" s="52" t="s">
        <v>565</v>
      </c>
      <c r="H22" s="65" t="s">
        <v>424</v>
      </c>
      <c r="I22" s="52"/>
      <c r="J22" s="52" t="s">
        <v>213</v>
      </c>
      <c r="K22" s="52" t="s">
        <v>215</v>
      </c>
      <c r="L22" s="52" t="s">
        <v>237</v>
      </c>
      <c r="M22" s="52">
        <v>15</v>
      </c>
      <c r="N22" s="65" t="s">
        <v>427</v>
      </c>
      <c r="O22" s="65"/>
      <c r="P22" s="52">
        <v>6</v>
      </c>
      <c r="Q22" s="52">
        <v>0.28999999999999998</v>
      </c>
      <c r="R22" s="52"/>
      <c r="S22" s="52"/>
      <c r="T22" s="52"/>
      <c r="U22" s="52"/>
      <c r="V22" s="52"/>
      <c r="W22" s="52" t="s">
        <v>1110</v>
      </c>
      <c r="X22" s="52"/>
      <c r="Y22" s="52"/>
      <c r="Z22" s="52"/>
      <c r="AA22" s="52"/>
      <c r="AB22" s="52">
        <f>0.28*1023</f>
        <v>286.44000000000005</v>
      </c>
      <c r="AC22" s="52"/>
      <c r="AD22" s="52">
        <f>AB22*0.8</f>
        <v>229.15200000000004</v>
      </c>
      <c r="AE22" s="52"/>
      <c r="AF22" s="52" t="s">
        <v>1219</v>
      </c>
      <c r="AG22" s="52" t="s">
        <v>215</v>
      </c>
      <c r="AH22" s="52">
        <v>450</v>
      </c>
      <c r="AI22" s="52" t="s">
        <v>219</v>
      </c>
      <c r="AJ22" s="52" t="s">
        <v>219</v>
      </c>
      <c r="AK22" s="52">
        <v>0</v>
      </c>
      <c r="AL22" s="52">
        <v>24</v>
      </c>
      <c r="AM22" s="52"/>
      <c r="AN22" s="52" t="s">
        <v>529</v>
      </c>
      <c r="AO22" s="52"/>
      <c r="AP22" s="52"/>
      <c r="AR22" s="52">
        <v>5.5652173913043397E-2</v>
      </c>
      <c r="AS22" s="52">
        <v>7.3913043478261095E-3</v>
      </c>
      <c r="AT22" s="136"/>
      <c r="AU22" s="52"/>
      <c r="AV22" s="52"/>
      <c r="AW22" s="52"/>
      <c r="AX22" s="52"/>
      <c r="AY22" s="52"/>
      <c r="AZ22" s="52"/>
      <c r="BA22" s="52"/>
      <c r="BB22" s="52"/>
      <c r="BC22" s="52"/>
      <c r="BD22" s="52"/>
      <c r="BE22" s="52"/>
      <c r="BF22" s="52"/>
      <c r="BG22" s="52"/>
      <c r="BH22" s="52"/>
      <c r="BI22" s="52"/>
      <c r="BJ22" s="52"/>
    </row>
    <row r="23" spans="1:62" s="53" customFormat="1">
      <c r="A23" s="52" t="s">
        <v>198</v>
      </c>
      <c r="B23" s="52" t="s">
        <v>525</v>
      </c>
      <c r="C23" s="52"/>
      <c r="D23" s="52" t="s">
        <v>1090</v>
      </c>
      <c r="E23" s="52" t="s">
        <v>623</v>
      </c>
      <c r="F23" s="52" t="s">
        <v>203</v>
      </c>
      <c r="G23" s="52" t="s">
        <v>565</v>
      </c>
      <c r="H23" s="65" t="s">
        <v>424</v>
      </c>
      <c r="I23" s="52"/>
      <c r="J23" s="52" t="s">
        <v>213</v>
      </c>
      <c r="K23" s="52" t="s">
        <v>215</v>
      </c>
      <c r="L23" s="52" t="s">
        <v>237</v>
      </c>
      <c r="M23" s="52">
        <v>15</v>
      </c>
      <c r="N23" s="65" t="s">
        <v>427</v>
      </c>
      <c r="O23" s="65"/>
      <c r="P23" s="52">
        <v>6</v>
      </c>
      <c r="Q23" s="52">
        <v>1.3</v>
      </c>
      <c r="R23" s="52"/>
      <c r="S23" s="52"/>
      <c r="T23" s="52"/>
      <c r="U23" s="52"/>
      <c r="V23" s="52"/>
      <c r="W23" s="52" t="s">
        <v>1110</v>
      </c>
      <c r="X23" s="52"/>
      <c r="Y23" s="52"/>
      <c r="Z23" s="52"/>
      <c r="AA23" s="52"/>
      <c r="AB23" s="52">
        <f t="shared" ref="AB23:AB25" si="2">0.28*1023</f>
        <v>286.44000000000005</v>
      </c>
      <c r="AC23" s="52"/>
      <c r="AD23" s="52">
        <f t="shared" ref="AD23:AD33" si="3">AB23*0.8</f>
        <v>229.15200000000004</v>
      </c>
      <c r="AE23" s="52"/>
      <c r="AF23" s="52" t="s">
        <v>1219</v>
      </c>
      <c r="AG23" s="52" t="s">
        <v>215</v>
      </c>
      <c r="AH23" s="52">
        <v>450</v>
      </c>
      <c r="AI23" s="52" t="s">
        <v>219</v>
      </c>
      <c r="AJ23" s="52" t="s">
        <v>219</v>
      </c>
      <c r="AK23" s="52">
        <v>0</v>
      </c>
      <c r="AL23" s="52">
        <v>24</v>
      </c>
      <c r="AM23" s="52"/>
      <c r="AN23" s="52" t="s">
        <v>529</v>
      </c>
      <c r="AO23" s="52"/>
      <c r="AP23" s="52"/>
      <c r="AR23" s="52">
        <v>6.6956521739130401E-2</v>
      </c>
      <c r="AS23" s="52">
        <v>8.0434782608694994E-3</v>
      </c>
      <c r="AT23" s="136"/>
      <c r="AU23" s="52"/>
      <c r="AV23" s="52"/>
      <c r="AW23" s="52"/>
      <c r="AX23" s="52"/>
      <c r="AY23" s="52"/>
      <c r="AZ23" s="52"/>
      <c r="BA23" s="52"/>
      <c r="BB23" s="52"/>
      <c r="BC23" s="52"/>
      <c r="BD23" s="52"/>
      <c r="BE23" s="52"/>
      <c r="BF23" s="52"/>
      <c r="BG23" s="52"/>
      <c r="BH23" s="52"/>
      <c r="BI23" s="52"/>
      <c r="BJ23" s="52"/>
    </row>
    <row r="24" spans="1:62" s="53" customFormat="1">
      <c r="A24" s="52" t="s">
        <v>198</v>
      </c>
      <c r="B24" s="52" t="s">
        <v>525</v>
      </c>
      <c r="C24" s="52"/>
      <c r="D24" s="52" t="s">
        <v>1090</v>
      </c>
      <c r="E24" s="52" t="s">
        <v>623</v>
      </c>
      <c r="F24" s="52" t="s">
        <v>203</v>
      </c>
      <c r="G24" s="52" t="s">
        <v>565</v>
      </c>
      <c r="H24" s="65" t="s">
        <v>424</v>
      </c>
      <c r="I24" s="52"/>
      <c r="J24" s="52" t="s">
        <v>213</v>
      </c>
      <c r="K24" s="52" t="s">
        <v>215</v>
      </c>
      <c r="L24" s="52" t="s">
        <v>237</v>
      </c>
      <c r="M24" s="52">
        <v>15</v>
      </c>
      <c r="N24" s="65" t="s">
        <v>427</v>
      </c>
      <c r="O24" s="65"/>
      <c r="P24" s="52">
        <v>6</v>
      </c>
      <c r="Q24" s="52">
        <v>0.28999999999999998</v>
      </c>
      <c r="R24" s="52"/>
      <c r="S24" s="52"/>
      <c r="T24" s="52"/>
      <c r="U24" s="52"/>
      <c r="V24" s="52"/>
      <c r="W24" s="52" t="s">
        <v>1110</v>
      </c>
      <c r="X24" s="52"/>
      <c r="Y24" s="52"/>
      <c r="Z24" s="52"/>
      <c r="AA24" s="52"/>
      <c r="AB24" s="52">
        <f t="shared" si="2"/>
        <v>286.44000000000005</v>
      </c>
      <c r="AC24" s="52"/>
      <c r="AD24" s="52">
        <f t="shared" si="3"/>
        <v>229.15200000000004</v>
      </c>
      <c r="AE24" s="52"/>
      <c r="AF24" s="52" t="s">
        <v>1219</v>
      </c>
      <c r="AG24" s="52" t="s">
        <v>215</v>
      </c>
      <c r="AH24" s="52">
        <v>900</v>
      </c>
      <c r="AI24" s="52" t="s">
        <v>218</v>
      </c>
      <c r="AJ24" s="52" t="s">
        <v>219</v>
      </c>
      <c r="AK24" s="52">
        <v>0</v>
      </c>
      <c r="AL24" s="52">
        <v>24</v>
      </c>
      <c r="AM24" s="52"/>
      <c r="AN24" s="52" t="s">
        <v>529</v>
      </c>
      <c r="AO24" s="52"/>
      <c r="AP24" s="52"/>
      <c r="AR24" s="52">
        <v>4.3043478260869503E-2</v>
      </c>
      <c r="AS24" s="52">
        <v>1.0869565217391297E-2</v>
      </c>
      <c r="AT24" s="136"/>
      <c r="AU24" s="52"/>
      <c r="AV24" s="52"/>
      <c r="AW24" s="52"/>
      <c r="AX24" s="52"/>
      <c r="AY24" s="52"/>
      <c r="AZ24" s="52"/>
      <c r="BA24" s="52"/>
      <c r="BB24" s="52"/>
      <c r="BC24" s="52"/>
      <c r="BD24" s="52"/>
      <c r="BE24" s="52"/>
      <c r="BF24" s="52"/>
      <c r="BG24" s="52"/>
      <c r="BH24" s="52"/>
      <c r="BI24" s="52"/>
      <c r="BJ24" s="52"/>
    </row>
    <row r="25" spans="1:62" s="53" customFormat="1">
      <c r="A25" s="52" t="s">
        <v>198</v>
      </c>
      <c r="B25" s="52" t="s">
        <v>525</v>
      </c>
      <c r="C25" s="52"/>
      <c r="D25" s="52" t="s">
        <v>1090</v>
      </c>
      <c r="E25" s="52" t="s">
        <v>623</v>
      </c>
      <c r="F25" s="52" t="s">
        <v>203</v>
      </c>
      <c r="G25" s="52" t="s">
        <v>565</v>
      </c>
      <c r="H25" s="65" t="s">
        <v>424</v>
      </c>
      <c r="I25" s="52"/>
      <c r="J25" s="52" t="s">
        <v>213</v>
      </c>
      <c r="K25" s="52" t="s">
        <v>215</v>
      </c>
      <c r="L25" s="52" t="s">
        <v>237</v>
      </c>
      <c r="M25" s="52">
        <v>15</v>
      </c>
      <c r="N25" s="65" t="s">
        <v>427</v>
      </c>
      <c r="O25" s="65"/>
      <c r="P25" s="52">
        <v>6</v>
      </c>
      <c r="Q25" s="52">
        <v>1.3</v>
      </c>
      <c r="R25" s="52"/>
      <c r="S25" s="52"/>
      <c r="T25" s="52"/>
      <c r="U25" s="52"/>
      <c r="V25" s="52"/>
      <c r="W25" s="52" t="s">
        <v>1110</v>
      </c>
      <c r="X25" s="52"/>
      <c r="Y25" s="52"/>
      <c r="Z25" s="52"/>
      <c r="AA25" s="52"/>
      <c r="AB25" s="52">
        <f t="shared" si="2"/>
        <v>286.44000000000005</v>
      </c>
      <c r="AC25" s="52"/>
      <c r="AD25" s="52">
        <f t="shared" si="3"/>
        <v>229.15200000000004</v>
      </c>
      <c r="AE25" s="52"/>
      <c r="AF25" s="52" t="s">
        <v>1219</v>
      </c>
      <c r="AG25" s="52" t="s">
        <v>215</v>
      </c>
      <c r="AH25" s="52">
        <v>900</v>
      </c>
      <c r="AI25" s="52" t="s">
        <v>218</v>
      </c>
      <c r="AJ25" s="52" t="s">
        <v>219</v>
      </c>
      <c r="AK25" s="52">
        <v>0</v>
      </c>
      <c r="AL25" s="52">
        <v>24</v>
      </c>
      <c r="AM25" s="52"/>
      <c r="AN25" s="52" t="s">
        <v>529</v>
      </c>
      <c r="AO25" s="52"/>
      <c r="AP25" s="52"/>
      <c r="AR25" s="52">
        <v>5.76086956521739E-2</v>
      </c>
      <c r="AS25" s="52">
        <v>1.0217391304347803E-2</v>
      </c>
      <c r="AT25" s="136"/>
      <c r="AU25" s="52"/>
      <c r="AV25" s="52"/>
      <c r="AW25" s="52"/>
      <c r="AX25" s="52"/>
      <c r="AY25" s="52"/>
      <c r="AZ25" s="52"/>
      <c r="BA25" s="52"/>
      <c r="BB25" s="52"/>
      <c r="BC25" s="52"/>
      <c r="BD25" s="52"/>
      <c r="BE25" s="52"/>
      <c r="BF25" s="52"/>
      <c r="BG25" s="52"/>
      <c r="BH25" s="52"/>
      <c r="BI25" s="52"/>
      <c r="BJ25" s="52"/>
    </row>
    <row r="26" spans="1:62" s="53" customFormat="1">
      <c r="A26" s="52" t="s">
        <v>198</v>
      </c>
      <c r="B26" s="52" t="s">
        <v>525</v>
      </c>
      <c r="C26" s="52"/>
      <c r="D26" s="52" t="s">
        <v>1090</v>
      </c>
      <c r="E26" s="52" t="s">
        <v>623</v>
      </c>
      <c r="F26" s="52" t="s">
        <v>203</v>
      </c>
      <c r="G26" s="52" t="s">
        <v>565</v>
      </c>
      <c r="H26" s="65" t="s">
        <v>424</v>
      </c>
      <c r="I26" s="52"/>
      <c r="J26" s="52" t="s">
        <v>213</v>
      </c>
      <c r="K26" s="52" t="s">
        <v>215</v>
      </c>
      <c r="L26" s="52" t="s">
        <v>237</v>
      </c>
      <c r="M26" s="52" t="s">
        <v>200</v>
      </c>
      <c r="N26" s="52">
        <v>6</v>
      </c>
      <c r="O26" s="52"/>
      <c r="P26" s="52">
        <v>9</v>
      </c>
      <c r="Q26" s="52">
        <v>2.2999999999999998</v>
      </c>
      <c r="R26" s="52"/>
      <c r="S26" s="52"/>
      <c r="T26" s="52"/>
      <c r="U26" s="52"/>
      <c r="V26" s="52"/>
      <c r="W26" s="52" t="s">
        <v>1110</v>
      </c>
      <c r="X26" s="52"/>
      <c r="Y26" s="52"/>
      <c r="Z26" s="52"/>
      <c r="AA26" s="52"/>
      <c r="AB26" s="52">
        <f>0.28*1023</f>
        <v>286.44000000000005</v>
      </c>
      <c r="AC26" s="52"/>
      <c r="AD26" s="52">
        <f t="shared" si="3"/>
        <v>229.15200000000004</v>
      </c>
      <c r="AE26" s="52"/>
      <c r="AF26" s="52" t="s">
        <v>1219</v>
      </c>
      <c r="AG26" s="52" t="s">
        <v>215</v>
      </c>
      <c r="AH26" s="52">
        <v>450</v>
      </c>
      <c r="AI26" s="52" t="s">
        <v>219</v>
      </c>
      <c r="AJ26" s="52" t="s">
        <v>219</v>
      </c>
      <c r="AK26" s="52">
        <v>0</v>
      </c>
      <c r="AL26" s="52">
        <v>24</v>
      </c>
      <c r="AM26" s="52"/>
      <c r="AN26" s="52" t="s">
        <v>529</v>
      </c>
      <c r="AO26" s="52"/>
      <c r="AP26" s="52"/>
      <c r="AR26" s="52">
        <v>8.4130434782608607E-2</v>
      </c>
      <c r="AS26" s="52">
        <v>3.0434782608695921E-3</v>
      </c>
      <c r="AT26" s="136"/>
      <c r="AU26" s="52"/>
      <c r="AV26" s="52"/>
      <c r="AW26" s="52"/>
      <c r="AX26" s="52"/>
      <c r="AY26" s="52"/>
      <c r="AZ26" s="52"/>
      <c r="BA26" s="52"/>
      <c r="BB26" s="52"/>
      <c r="BC26" s="52"/>
      <c r="BD26" s="52"/>
      <c r="BE26" s="52"/>
      <c r="BF26" s="52"/>
      <c r="BG26" s="52"/>
      <c r="BH26" s="52"/>
      <c r="BI26" s="52"/>
      <c r="BJ26" s="52"/>
    </row>
    <row r="27" spans="1:62" s="53" customFormat="1">
      <c r="A27" s="52" t="s">
        <v>198</v>
      </c>
      <c r="B27" s="52" t="s">
        <v>525</v>
      </c>
      <c r="C27" s="52"/>
      <c r="D27" s="52" t="s">
        <v>1090</v>
      </c>
      <c r="E27" s="52" t="s">
        <v>623</v>
      </c>
      <c r="F27" s="52" t="s">
        <v>203</v>
      </c>
      <c r="G27" s="52" t="s">
        <v>565</v>
      </c>
      <c r="H27" s="65" t="s">
        <v>424</v>
      </c>
      <c r="I27" s="52"/>
      <c r="J27" s="52" t="s">
        <v>213</v>
      </c>
      <c r="K27" s="52" t="s">
        <v>215</v>
      </c>
      <c r="L27" s="52" t="s">
        <v>237</v>
      </c>
      <c r="M27" s="52" t="s">
        <v>200</v>
      </c>
      <c r="N27" s="52">
        <v>6</v>
      </c>
      <c r="O27" s="52"/>
      <c r="P27" s="52">
        <v>9</v>
      </c>
      <c r="Q27" s="52">
        <v>3.3</v>
      </c>
      <c r="R27" s="52"/>
      <c r="S27" s="52"/>
      <c r="T27" s="52"/>
      <c r="U27" s="52"/>
      <c r="V27" s="52"/>
      <c r="W27" s="52" t="s">
        <v>1110</v>
      </c>
      <c r="X27" s="52"/>
      <c r="Y27" s="52"/>
      <c r="Z27" s="52"/>
      <c r="AA27" s="52"/>
      <c r="AB27" s="52">
        <f t="shared" ref="AB27:AB33" si="4">0.28*1023</f>
        <v>286.44000000000005</v>
      </c>
      <c r="AC27" s="52"/>
      <c r="AD27" s="52">
        <f t="shared" si="3"/>
        <v>229.15200000000004</v>
      </c>
      <c r="AE27" s="52"/>
      <c r="AF27" s="52" t="s">
        <v>1219</v>
      </c>
      <c r="AG27" s="52" t="s">
        <v>215</v>
      </c>
      <c r="AH27" s="52">
        <v>450</v>
      </c>
      <c r="AI27" s="52" t="s">
        <v>219</v>
      </c>
      <c r="AJ27" s="52" t="s">
        <v>219</v>
      </c>
      <c r="AK27" s="52">
        <v>0</v>
      </c>
      <c r="AL27" s="52">
        <v>24</v>
      </c>
      <c r="AM27" s="52"/>
      <c r="AN27" s="52" t="s">
        <v>529</v>
      </c>
      <c r="AO27" s="52"/>
      <c r="AP27" s="52"/>
      <c r="AR27" s="52">
        <v>9.4999999999999904E-2</v>
      </c>
      <c r="AS27" s="52">
        <v>6.9565217391300976E-3</v>
      </c>
      <c r="AT27" s="136"/>
      <c r="AU27" s="52"/>
      <c r="AV27" s="52"/>
      <c r="AW27" s="52"/>
      <c r="AX27" s="52"/>
      <c r="AY27" s="52"/>
      <c r="AZ27" s="52"/>
      <c r="BA27" s="52"/>
      <c r="BB27" s="52"/>
      <c r="BC27" s="52"/>
      <c r="BD27" s="52"/>
      <c r="BE27" s="52"/>
      <c r="BF27" s="52"/>
      <c r="BG27" s="52"/>
      <c r="BH27" s="52"/>
      <c r="BI27" s="52"/>
      <c r="BJ27" s="52"/>
    </row>
    <row r="28" spans="1:62" s="53" customFormat="1">
      <c r="A28" s="52" t="s">
        <v>198</v>
      </c>
      <c r="B28" s="52" t="s">
        <v>525</v>
      </c>
      <c r="C28" s="52"/>
      <c r="D28" s="52" t="s">
        <v>1090</v>
      </c>
      <c r="E28" s="52" t="s">
        <v>623</v>
      </c>
      <c r="F28" s="52" t="s">
        <v>203</v>
      </c>
      <c r="G28" s="52" t="s">
        <v>565</v>
      </c>
      <c r="H28" s="65" t="s">
        <v>424</v>
      </c>
      <c r="I28" s="52"/>
      <c r="J28" s="52" t="s">
        <v>213</v>
      </c>
      <c r="K28" s="52" t="s">
        <v>215</v>
      </c>
      <c r="L28" s="52" t="s">
        <v>237</v>
      </c>
      <c r="M28" s="52" t="s">
        <v>200</v>
      </c>
      <c r="N28" s="52">
        <v>6</v>
      </c>
      <c r="O28" s="52"/>
      <c r="P28" s="52">
        <v>9</v>
      </c>
      <c r="Q28" s="52">
        <v>4.3</v>
      </c>
      <c r="R28" s="52"/>
      <c r="S28" s="52"/>
      <c r="T28" s="52"/>
      <c r="U28" s="52"/>
      <c r="V28" s="52"/>
      <c r="W28" s="52" t="s">
        <v>1110</v>
      </c>
      <c r="X28" s="52"/>
      <c r="Y28" s="52"/>
      <c r="Z28" s="52"/>
      <c r="AA28" s="52"/>
      <c r="AB28" s="52">
        <f t="shared" si="4"/>
        <v>286.44000000000005</v>
      </c>
      <c r="AC28" s="52"/>
      <c r="AD28" s="52">
        <f t="shared" si="3"/>
        <v>229.15200000000004</v>
      </c>
      <c r="AE28" s="52"/>
      <c r="AF28" s="52" t="s">
        <v>1219</v>
      </c>
      <c r="AG28" s="52" t="s">
        <v>215</v>
      </c>
      <c r="AH28" s="52">
        <v>450</v>
      </c>
      <c r="AI28" s="52" t="s">
        <v>219</v>
      </c>
      <c r="AJ28" s="52" t="s">
        <v>219</v>
      </c>
      <c r="AK28" s="52">
        <v>0</v>
      </c>
      <c r="AL28" s="52">
        <v>24</v>
      </c>
      <c r="AM28" s="52"/>
      <c r="AN28" s="52" t="s">
        <v>529</v>
      </c>
      <c r="AO28" s="52"/>
      <c r="AP28" s="52"/>
      <c r="AR28" s="52">
        <v>8.2173913043478194E-2</v>
      </c>
      <c r="AS28" s="52">
        <v>4.7826086956522101E-3</v>
      </c>
      <c r="AT28" s="136"/>
      <c r="AU28" s="52"/>
      <c r="AV28" s="52"/>
      <c r="AW28" s="52"/>
      <c r="AX28" s="52"/>
      <c r="AY28" s="52"/>
      <c r="AZ28" s="52"/>
      <c r="BA28" s="52"/>
      <c r="BB28" s="52"/>
      <c r="BC28" s="52"/>
      <c r="BD28" s="52"/>
      <c r="BE28" s="52"/>
      <c r="BF28" s="52"/>
      <c r="BG28" s="52"/>
      <c r="BH28" s="52"/>
      <c r="BI28" s="52"/>
      <c r="BJ28" s="52"/>
    </row>
    <row r="29" spans="1:62" s="53" customFormat="1">
      <c r="A29" s="52" t="s">
        <v>198</v>
      </c>
      <c r="B29" s="52" t="s">
        <v>525</v>
      </c>
      <c r="C29" s="52"/>
      <c r="D29" s="52" t="s">
        <v>1090</v>
      </c>
      <c r="E29" s="52" t="s">
        <v>623</v>
      </c>
      <c r="F29" s="52" t="s">
        <v>203</v>
      </c>
      <c r="G29" s="52" t="s">
        <v>565</v>
      </c>
      <c r="H29" s="65" t="s">
        <v>424</v>
      </c>
      <c r="I29" s="52"/>
      <c r="J29" s="52" t="s">
        <v>213</v>
      </c>
      <c r="K29" s="52" t="s">
        <v>215</v>
      </c>
      <c r="L29" s="52" t="s">
        <v>237</v>
      </c>
      <c r="M29" s="52" t="s">
        <v>200</v>
      </c>
      <c r="N29" s="52">
        <v>6</v>
      </c>
      <c r="O29" s="52"/>
      <c r="P29" s="52">
        <v>9</v>
      </c>
      <c r="Q29" s="52">
        <v>5.3</v>
      </c>
      <c r="R29" s="52"/>
      <c r="S29" s="52"/>
      <c r="T29" s="52"/>
      <c r="U29" s="52"/>
      <c r="V29" s="52"/>
      <c r="W29" s="52" t="s">
        <v>1110</v>
      </c>
      <c r="X29" s="52"/>
      <c r="Y29" s="52"/>
      <c r="Z29" s="52"/>
      <c r="AA29" s="52"/>
      <c r="AB29" s="52">
        <f t="shared" si="4"/>
        <v>286.44000000000005</v>
      </c>
      <c r="AC29" s="52"/>
      <c r="AD29" s="52">
        <f t="shared" si="3"/>
        <v>229.15200000000004</v>
      </c>
      <c r="AE29" s="52"/>
      <c r="AF29" s="52" t="s">
        <v>1219</v>
      </c>
      <c r="AG29" s="52" t="s">
        <v>215</v>
      </c>
      <c r="AH29" s="52">
        <v>450</v>
      </c>
      <c r="AI29" s="52" t="s">
        <v>219</v>
      </c>
      <c r="AJ29" s="52" t="s">
        <v>219</v>
      </c>
      <c r="AK29" s="52">
        <v>0</v>
      </c>
      <c r="AL29" s="52">
        <v>24</v>
      </c>
      <c r="AM29" s="52"/>
      <c r="AN29" s="52" t="s">
        <v>529</v>
      </c>
      <c r="AO29" s="52"/>
      <c r="AP29" s="52"/>
      <c r="AR29" s="52">
        <v>7.5217391304347805E-2</v>
      </c>
      <c r="AS29" s="52">
        <v>1.9565217391303985E-3</v>
      </c>
      <c r="AT29" s="136"/>
      <c r="AU29" s="52"/>
      <c r="AV29" s="52"/>
      <c r="AW29" s="52"/>
      <c r="AX29" s="52"/>
      <c r="AY29" s="52"/>
      <c r="AZ29" s="52"/>
      <c r="BA29" s="52"/>
      <c r="BB29" s="52"/>
      <c r="BC29" s="52"/>
      <c r="BD29" s="52"/>
      <c r="BE29" s="52"/>
      <c r="BF29" s="52"/>
      <c r="BG29" s="52"/>
      <c r="BH29" s="52"/>
      <c r="BI29" s="52"/>
      <c r="BJ29" s="52"/>
    </row>
    <row r="30" spans="1:62" s="53" customFormat="1">
      <c r="A30" s="52" t="s">
        <v>198</v>
      </c>
      <c r="B30" s="52" t="s">
        <v>525</v>
      </c>
      <c r="C30" s="52"/>
      <c r="D30" s="52" t="s">
        <v>1090</v>
      </c>
      <c r="E30" s="52" t="s">
        <v>623</v>
      </c>
      <c r="F30" s="52" t="s">
        <v>203</v>
      </c>
      <c r="G30" s="52" t="s">
        <v>565</v>
      </c>
      <c r="H30" s="65" t="s">
        <v>424</v>
      </c>
      <c r="I30" s="52"/>
      <c r="J30" s="52" t="s">
        <v>213</v>
      </c>
      <c r="K30" s="52" t="s">
        <v>215</v>
      </c>
      <c r="L30" s="52" t="s">
        <v>237</v>
      </c>
      <c r="M30" s="52" t="s">
        <v>200</v>
      </c>
      <c r="N30" s="52">
        <v>6</v>
      </c>
      <c r="O30" s="52"/>
      <c r="P30" s="52">
        <v>9</v>
      </c>
      <c r="Q30" s="52">
        <v>2.2999999999999998</v>
      </c>
      <c r="R30" s="52"/>
      <c r="S30" s="52"/>
      <c r="T30" s="52"/>
      <c r="U30" s="52"/>
      <c r="V30" s="52"/>
      <c r="W30" s="52" t="s">
        <v>1110</v>
      </c>
      <c r="X30" s="52"/>
      <c r="Y30" s="52"/>
      <c r="Z30" s="52"/>
      <c r="AA30" s="52"/>
      <c r="AB30" s="52">
        <f t="shared" si="4"/>
        <v>286.44000000000005</v>
      </c>
      <c r="AC30" s="52"/>
      <c r="AD30" s="52">
        <f t="shared" si="3"/>
        <v>229.15200000000004</v>
      </c>
      <c r="AE30" s="52"/>
      <c r="AF30" s="52" t="s">
        <v>1219</v>
      </c>
      <c r="AG30" s="52" t="s">
        <v>215</v>
      </c>
      <c r="AH30" s="52">
        <v>900</v>
      </c>
      <c r="AI30" s="52" t="s">
        <v>218</v>
      </c>
      <c r="AJ30" s="52" t="s">
        <v>219</v>
      </c>
      <c r="AK30" s="52">
        <v>0</v>
      </c>
      <c r="AL30" s="52">
        <v>24</v>
      </c>
      <c r="AM30" s="52"/>
      <c r="AN30" s="52" t="s">
        <v>529</v>
      </c>
      <c r="AO30" s="52"/>
      <c r="AP30" s="52"/>
      <c r="AR30" s="52">
        <v>7.6956521739130396E-2</v>
      </c>
      <c r="AS30" s="52">
        <v>4.1304347826087023E-3</v>
      </c>
      <c r="AT30" s="136"/>
      <c r="AU30" s="52"/>
      <c r="AV30" s="52"/>
      <c r="AW30" s="52"/>
      <c r="AX30" s="52"/>
      <c r="AY30" s="52"/>
      <c r="AZ30" s="52"/>
      <c r="BA30" s="52"/>
      <c r="BB30" s="52"/>
      <c r="BC30" s="52"/>
      <c r="BD30" s="52"/>
      <c r="BE30" s="52"/>
      <c r="BF30" s="52"/>
      <c r="BG30" s="52"/>
      <c r="BH30" s="52"/>
      <c r="BI30" s="52"/>
      <c r="BJ30" s="52"/>
    </row>
    <row r="31" spans="1:62" s="53" customFormat="1">
      <c r="A31" s="52" t="s">
        <v>198</v>
      </c>
      <c r="B31" s="52" t="s">
        <v>525</v>
      </c>
      <c r="C31" s="52"/>
      <c r="D31" s="52" t="s">
        <v>1090</v>
      </c>
      <c r="E31" s="52" t="s">
        <v>623</v>
      </c>
      <c r="F31" s="52" t="s">
        <v>203</v>
      </c>
      <c r="G31" s="52" t="s">
        <v>565</v>
      </c>
      <c r="H31" s="65" t="s">
        <v>424</v>
      </c>
      <c r="I31" s="52"/>
      <c r="J31" s="52" t="s">
        <v>213</v>
      </c>
      <c r="K31" s="52" t="s">
        <v>215</v>
      </c>
      <c r="L31" s="52" t="s">
        <v>237</v>
      </c>
      <c r="M31" s="52" t="s">
        <v>200</v>
      </c>
      <c r="N31" s="52">
        <v>6</v>
      </c>
      <c r="O31" s="52"/>
      <c r="P31" s="52">
        <v>9</v>
      </c>
      <c r="Q31" s="52">
        <v>3.3</v>
      </c>
      <c r="R31" s="52"/>
      <c r="S31" s="52"/>
      <c r="T31" s="52"/>
      <c r="U31" s="52"/>
      <c r="V31" s="52"/>
      <c r="W31" s="52" t="s">
        <v>1110</v>
      </c>
      <c r="X31" s="52"/>
      <c r="Y31" s="52"/>
      <c r="Z31" s="52"/>
      <c r="AA31" s="52"/>
      <c r="AB31" s="52">
        <f t="shared" si="4"/>
        <v>286.44000000000005</v>
      </c>
      <c r="AC31" s="52"/>
      <c r="AD31" s="52">
        <f t="shared" si="3"/>
        <v>229.15200000000004</v>
      </c>
      <c r="AE31" s="52"/>
      <c r="AF31" s="52" t="s">
        <v>1219</v>
      </c>
      <c r="AG31" s="52" t="s">
        <v>215</v>
      </c>
      <c r="AH31" s="52">
        <v>900</v>
      </c>
      <c r="AI31" s="52" t="s">
        <v>218</v>
      </c>
      <c r="AJ31" s="52" t="s">
        <v>219</v>
      </c>
      <c r="AK31" s="52">
        <v>0</v>
      </c>
      <c r="AL31" s="52">
        <v>24</v>
      </c>
      <c r="AM31" s="52"/>
      <c r="AN31" s="52" t="s">
        <v>529</v>
      </c>
      <c r="AO31" s="52"/>
      <c r="AP31" s="52"/>
      <c r="AR31" s="52">
        <v>7.7826086956521698E-2</v>
      </c>
      <c r="AS31" s="52">
        <v>5.0000000000000044E-3</v>
      </c>
      <c r="AT31" s="136"/>
      <c r="AU31" s="52"/>
      <c r="AV31" s="52"/>
      <c r="AW31" s="52"/>
      <c r="AX31" s="52"/>
      <c r="AY31" s="52"/>
      <c r="AZ31" s="52"/>
      <c r="BA31" s="52"/>
      <c r="BB31" s="52"/>
      <c r="BC31" s="52"/>
      <c r="BD31" s="52"/>
      <c r="BE31" s="52"/>
      <c r="BF31" s="52"/>
      <c r="BG31" s="52"/>
      <c r="BH31" s="52"/>
      <c r="BI31" s="52"/>
      <c r="BJ31" s="52"/>
    </row>
    <row r="32" spans="1:62" s="53" customFormat="1">
      <c r="A32" s="52" t="s">
        <v>198</v>
      </c>
      <c r="B32" s="52" t="s">
        <v>525</v>
      </c>
      <c r="C32" s="52"/>
      <c r="D32" s="52" t="s">
        <v>1090</v>
      </c>
      <c r="E32" s="52" t="s">
        <v>623</v>
      </c>
      <c r="F32" s="52" t="s">
        <v>203</v>
      </c>
      <c r="G32" s="52" t="s">
        <v>565</v>
      </c>
      <c r="H32" s="65" t="s">
        <v>424</v>
      </c>
      <c r="I32" s="52"/>
      <c r="J32" s="52" t="s">
        <v>213</v>
      </c>
      <c r="K32" s="52" t="s">
        <v>215</v>
      </c>
      <c r="L32" s="52" t="s">
        <v>237</v>
      </c>
      <c r="M32" s="52" t="s">
        <v>200</v>
      </c>
      <c r="N32" s="52">
        <v>6</v>
      </c>
      <c r="O32" s="52"/>
      <c r="P32" s="52">
        <v>9</v>
      </c>
      <c r="Q32" s="52">
        <v>4.3</v>
      </c>
      <c r="R32" s="52"/>
      <c r="S32" s="52"/>
      <c r="T32" s="52"/>
      <c r="U32" s="52"/>
      <c r="V32" s="52"/>
      <c r="W32" s="52" t="s">
        <v>1110</v>
      </c>
      <c r="X32" s="52"/>
      <c r="Y32" s="52"/>
      <c r="Z32" s="52"/>
      <c r="AA32" s="52"/>
      <c r="AB32" s="52">
        <f t="shared" si="4"/>
        <v>286.44000000000005</v>
      </c>
      <c r="AC32" s="52"/>
      <c r="AD32" s="52">
        <f t="shared" si="3"/>
        <v>229.15200000000004</v>
      </c>
      <c r="AE32" s="52"/>
      <c r="AF32" s="52" t="s">
        <v>1219</v>
      </c>
      <c r="AG32" s="52" t="s">
        <v>215</v>
      </c>
      <c r="AH32" s="52">
        <v>900</v>
      </c>
      <c r="AI32" s="52" t="s">
        <v>218</v>
      </c>
      <c r="AJ32" s="52" t="s">
        <v>219</v>
      </c>
      <c r="AK32" s="52">
        <v>0</v>
      </c>
      <c r="AL32" s="52">
        <v>24</v>
      </c>
      <c r="AM32" s="52"/>
      <c r="AN32" s="52" t="s">
        <v>529</v>
      </c>
      <c r="AO32" s="52"/>
      <c r="AP32" s="52"/>
      <c r="AR32" s="52">
        <v>7.4130434782608598E-2</v>
      </c>
      <c r="AS32" s="52">
        <v>3.6956521739130999E-3</v>
      </c>
      <c r="AT32" s="136"/>
      <c r="AU32" s="52"/>
      <c r="AV32" s="52"/>
      <c r="AW32" s="52"/>
      <c r="AX32" s="52"/>
      <c r="AY32" s="52"/>
      <c r="AZ32" s="52"/>
      <c r="BA32" s="52"/>
      <c r="BB32" s="52"/>
      <c r="BC32" s="52"/>
      <c r="BD32" s="52"/>
      <c r="BE32" s="52"/>
      <c r="BF32" s="52"/>
      <c r="BG32" s="52"/>
      <c r="BH32" s="52"/>
      <c r="BI32" s="52"/>
      <c r="BJ32" s="52"/>
    </row>
    <row r="33" spans="1:62" s="53" customFormat="1">
      <c r="A33" s="52" t="s">
        <v>198</v>
      </c>
      <c r="B33" s="52" t="s">
        <v>525</v>
      </c>
      <c r="C33" s="52"/>
      <c r="D33" s="52" t="s">
        <v>1090</v>
      </c>
      <c r="E33" s="52" t="s">
        <v>623</v>
      </c>
      <c r="F33" s="52" t="s">
        <v>203</v>
      </c>
      <c r="G33" s="52" t="s">
        <v>565</v>
      </c>
      <c r="H33" s="65" t="s">
        <v>424</v>
      </c>
      <c r="I33" s="52"/>
      <c r="J33" s="52" t="s">
        <v>213</v>
      </c>
      <c r="K33" s="52" t="s">
        <v>215</v>
      </c>
      <c r="L33" s="52" t="s">
        <v>237</v>
      </c>
      <c r="M33" s="52" t="s">
        <v>200</v>
      </c>
      <c r="N33" s="52">
        <v>6</v>
      </c>
      <c r="O33" s="52"/>
      <c r="P33" s="52">
        <v>9</v>
      </c>
      <c r="Q33" s="52">
        <v>5.3</v>
      </c>
      <c r="R33" s="52"/>
      <c r="S33" s="52"/>
      <c r="T33" s="52"/>
      <c r="U33" s="52"/>
      <c r="V33" s="52"/>
      <c r="W33" s="52" t="s">
        <v>1110</v>
      </c>
      <c r="X33" s="52"/>
      <c r="Y33" s="52"/>
      <c r="Z33" s="52"/>
      <c r="AA33" s="52"/>
      <c r="AB33" s="52">
        <f t="shared" si="4"/>
        <v>286.44000000000005</v>
      </c>
      <c r="AC33" s="52"/>
      <c r="AD33" s="52">
        <f t="shared" si="3"/>
        <v>229.15200000000004</v>
      </c>
      <c r="AE33" s="52"/>
      <c r="AF33" s="52" t="s">
        <v>1219</v>
      </c>
      <c r="AG33" s="52" t="s">
        <v>215</v>
      </c>
      <c r="AH33" s="52">
        <v>900</v>
      </c>
      <c r="AI33" s="52" t="s">
        <v>218</v>
      </c>
      <c r="AJ33" s="52" t="s">
        <v>219</v>
      </c>
      <c r="AK33" s="52">
        <v>0</v>
      </c>
      <c r="AL33" s="52">
        <v>24</v>
      </c>
      <c r="AM33" s="52"/>
      <c r="AN33" s="52" t="s">
        <v>529</v>
      </c>
      <c r="AO33" s="52"/>
      <c r="AP33" s="52"/>
      <c r="AR33" s="52">
        <v>7.49999999999999E-2</v>
      </c>
      <c r="AS33" s="52">
        <v>5.0000000000000044E-3</v>
      </c>
      <c r="AT33" s="136"/>
      <c r="AU33" s="52"/>
      <c r="AV33" s="52"/>
      <c r="AW33" s="52"/>
      <c r="AX33" s="52"/>
      <c r="AY33" s="52"/>
      <c r="AZ33" s="52"/>
      <c r="BA33" s="52"/>
      <c r="BB33" s="52"/>
      <c r="BC33" s="52"/>
      <c r="BD33" s="52"/>
      <c r="BE33" s="52"/>
      <c r="BF33" s="52"/>
      <c r="BG33" s="52"/>
      <c r="BH33" s="52"/>
      <c r="BI33" s="52"/>
      <c r="BJ33" s="52"/>
    </row>
    <row r="34" spans="1:62" s="49" customFormat="1">
      <c r="A34" s="48" t="s">
        <v>201</v>
      </c>
      <c r="B34" s="48" t="s">
        <v>671</v>
      </c>
      <c r="C34" s="48"/>
      <c r="D34" s="48" t="s">
        <v>671</v>
      </c>
      <c r="E34" s="48" t="s">
        <v>623</v>
      </c>
      <c r="F34" s="48" t="s">
        <v>203</v>
      </c>
      <c r="G34" s="48" t="s">
        <v>565</v>
      </c>
      <c r="H34" s="61" t="s">
        <v>424</v>
      </c>
      <c r="I34" s="48"/>
      <c r="J34" s="48" t="s">
        <v>213</v>
      </c>
      <c r="K34" s="48" t="s">
        <v>215</v>
      </c>
      <c r="L34" s="48" t="s">
        <v>79</v>
      </c>
      <c r="M34" s="48">
        <v>6</v>
      </c>
      <c r="N34" s="48">
        <v>4</v>
      </c>
      <c r="O34" s="48"/>
      <c r="P34" s="48">
        <v>6</v>
      </c>
      <c r="R34" s="48">
        <v>1</v>
      </c>
      <c r="S34" s="48">
        <v>40</v>
      </c>
      <c r="T34" s="48" t="s">
        <v>670</v>
      </c>
      <c r="U34" s="48">
        <v>0.31238095238095198</v>
      </c>
      <c r="V34" s="48">
        <v>1.3333333333333031E-2</v>
      </c>
      <c r="W34" s="48" t="s">
        <v>1139</v>
      </c>
      <c r="X34" s="48"/>
      <c r="Y34" s="48"/>
      <c r="Z34" s="48">
        <v>16.837748344370798</v>
      </c>
      <c r="AA34" s="48">
        <v>0.96026490066230052</v>
      </c>
      <c r="AB34" s="48"/>
      <c r="AC34" s="48"/>
      <c r="AD34" s="48">
        <f>(Z34*100)/17</f>
        <v>99.045578496298816</v>
      </c>
      <c r="AE34" s="48">
        <f>(AA34*100)/17</f>
        <v>5.6486170627194152</v>
      </c>
      <c r="AF34" s="48" t="s">
        <v>1142</v>
      </c>
      <c r="AG34" s="48" t="s">
        <v>215</v>
      </c>
      <c r="AH34" s="48"/>
      <c r="AI34" s="48" t="s">
        <v>219</v>
      </c>
      <c r="AJ34" s="48" t="s">
        <v>219</v>
      </c>
      <c r="AK34" s="48">
        <v>0</v>
      </c>
      <c r="AL34" s="48">
        <v>28</v>
      </c>
      <c r="AM34" s="48"/>
      <c r="AN34" s="48" t="s">
        <v>529</v>
      </c>
      <c r="AO34" s="48"/>
      <c r="AP34" s="48"/>
      <c r="AR34" s="48">
        <v>2.9014084507042199E-2</v>
      </c>
      <c r="AS34" s="48">
        <v>2.2535211267605999E-3</v>
      </c>
      <c r="AT34" s="133"/>
      <c r="AU34" s="48"/>
      <c r="AV34" s="48"/>
      <c r="AW34" s="48"/>
      <c r="AX34" s="48"/>
      <c r="AY34" s="48"/>
      <c r="AZ34" s="48"/>
      <c r="BA34" s="48">
        <v>12068.9655172413</v>
      </c>
      <c r="BB34" s="48">
        <v>1034.4827586206993</v>
      </c>
      <c r="BC34" s="48">
        <v>0.679172413793103</v>
      </c>
      <c r="BD34" s="48">
        <v>0.68606896551724095</v>
      </c>
      <c r="BE34" s="48">
        <v>56.571428571428598</v>
      </c>
      <c r="BF34" s="48">
        <v>10.285714285714207</v>
      </c>
      <c r="BG34" s="48">
        <v>5</v>
      </c>
      <c r="BH34" s="48"/>
      <c r="BI34" s="48"/>
      <c r="BJ34" s="48"/>
    </row>
    <row r="35" spans="1:62" s="49" customFormat="1">
      <c r="A35" s="48" t="s">
        <v>201</v>
      </c>
      <c r="B35" s="48" t="s">
        <v>671</v>
      </c>
      <c r="C35" s="48"/>
      <c r="D35" s="48" t="s">
        <v>671</v>
      </c>
      <c r="E35" s="48" t="s">
        <v>623</v>
      </c>
      <c r="F35" s="48" t="s">
        <v>203</v>
      </c>
      <c r="G35" s="48" t="s">
        <v>565</v>
      </c>
      <c r="H35" s="61" t="s">
        <v>424</v>
      </c>
      <c r="I35" s="48"/>
      <c r="J35" s="48" t="s">
        <v>213</v>
      </c>
      <c r="K35" s="48" t="s">
        <v>215</v>
      </c>
      <c r="L35" s="48" t="s">
        <v>79</v>
      </c>
      <c r="M35" s="48">
        <v>6</v>
      </c>
      <c r="N35" s="48">
        <v>4</v>
      </c>
      <c r="O35" s="48"/>
      <c r="P35" s="48">
        <v>8</v>
      </c>
      <c r="R35" s="48">
        <v>1</v>
      </c>
      <c r="S35" s="48">
        <v>40</v>
      </c>
      <c r="T35" s="48" t="s">
        <v>670</v>
      </c>
      <c r="U35" s="48">
        <v>0.35047619047619</v>
      </c>
      <c r="V35" s="48">
        <v>1.7142857142857015E-2</v>
      </c>
      <c r="W35" s="48" t="s">
        <v>1139</v>
      </c>
      <c r="X35" s="48"/>
      <c r="Y35" s="48"/>
      <c r="Z35" s="48">
        <v>16.274834437086</v>
      </c>
      <c r="AA35" s="48">
        <v>3.4188741721854972</v>
      </c>
      <c r="AB35" s="48"/>
      <c r="AC35" s="48"/>
      <c r="AD35" s="48">
        <f t="shared" ref="AD35:AE37" si="5">(Z35*100)/17</f>
        <v>95.734320218152931</v>
      </c>
      <c r="AE35" s="48">
        <f t="shared" si="5"/>
        <v>20.111024542267632</v>
      </c>
      <c r="AF35" s="48" t="s">
        <v>1142</v>
      </c>
      <c r="AG35" s="48" t="s">
        <v>215</v>
      </c>
      <c r="AH35" s="48"/>
      <c r="AI35" s="48" t="s">
        <v>219</v>
      </c>
      <c r="AJ35" s="48" t="s">
        <v>219</v>
      </c>
      <c r="AK35" s="48">
        <v>0</v>
      </c>
      <c r="AL35" s="48">
        <v>28</v>
      </c>
      <c r="AM35" s="48"/>
      <c r="AN35" s="48" t="s">
        <v>529</v>
      </c>
      <c r="AO35" s="48"/>
      <c r="AP35" s="48"/>
      <c r="AR35" s="48">
        <v>3.5774647887323902E-2</v>
      </c>
      <c r="AS35" s="48">
        <v>5.6338028169014009E-3</v>
      </c>
      <c r="AT35" s="133"/>
      <c r="AU35" s="48"/>
      <c r="AV35" s="48"/>
      <c r="AW35" s="48"/>
      <c r="AX35" s="48"/>
      <c r="AY35" s="48"/>
      <c r="AZ35" s="48"/>
      <c r="BA35" s="48">
        <v>13793.1034482758</v>
      </c>
      <c r="BB35" s="48">
        <v>2068.9655172413986</v>
      </c>
      <c r="BC35" s="48">
        <v>0.67370114942528703</v>
      </c>
      <c r="BD35" s="48">
        <v>0.67990804597701104</v>
      </c>
      <c r="BE35" s="48">
        <v>67.428571428571402</v>
      </c>
      <c r="BF35" s="48">
        <v>8</v>
      </c>
      <c r="BG35" s="48">
        <v>5</v>
      </c>
      <c r="BH35" s="48"/>
      <c r="BI35" s="48"/>
      <c r="BJ35" s="48"/>
    </row>
    <row r="36" spans="1:62" s="49" customFormat="1">
      <c r="A36" s="48" t="s">
        <v>201</v>
      </c>
      <c r="B36" s="48" t="s">
        <v>671</v>
      </c>
      <c r="C36" s="48"/>
      <c r="D36" s="48" t="s">
        <v>671</v>
      </c>
      <c r="E36" s="48" t="s">
        <v>623</v>
      </c>
      <c r="F36" s="48" t="s">
        <v>203</v>
      </c>
      <c r="G36" s="48" t="s">
        <v>565</v>
      </c>
      <c r="H36" s="61" t="s">
        <v>424</v>
      </c>
      <c r="I36" s="48"/>
      <c r="J36" s="48" t="s">
        <v>213</v>
      </c>
      <c r="K36" s="48" t="s">
        <v>215</v>
      </c>
      <c r="L36" s="48" t="s">
        <v>79</v>
      </c>
      <c r="M36" s="48">
        <v>6</v>
      </c>
      <c r="N36" s="48">
        <v>4</v>
      </c>
      <c r="O36" s="48"/>
      <c r="P36" s="48">
        <v>10</v>
      </c>
      <c r="R36" s="48">
        <v>1</v>
      </c>
      <c r="S36" s="48">
        <v>40</v>
      </c>
      <c r="T36" s="48" t="s">
        <v>670</v>
      </c>
      <c r="U36" s="48">
        <v>0.45142857142857101</v>
      </c>
      <c r="V36" s="48">
        <v>1.714285714285696E-2</v>
      </c>
      <c r="W36" s="48" t="s">
        <v>1139</v>
      </c>
      <c r="X36" s="48"/>
      <c r="Y36" s="48"/>
      <c r="Z36" s="48">
        <v>23.137417218543</v>
      </c>
      <c r="AA36" s="48">
        <v>1.523178807947001</v>
      </c>
      <c r="AB36" s="48"/>
      <c r="AC36" s="48"/>
      <c r="AD36" s="48">
        <f t="shared" si="5"/>
        <v>136.10245422672352</v>
      </c>
      <c r="AE36" s="48">
        <f t="shared" si="5"/>
        <v>8.9598753408647127</v>
      </c>
      <c r="AF36" s="48" t="s">
        <v>1142</v>
      </c>
      <c r="AG36" s="48" t="s">
        <v>215</v>
      </c>
      <c r="AH36" s="48"/>
      <c r="AI36" s="48" t="s">
        <v>219</v>
      </c>
      <c r="AJ36" s="48" t="s">
        <v>219</v>
      </c>
      <c r="AK36" s="48">
        <v>0</v>
      </c>
      <c r="AL36" s="48">
        <v>28</v>
      </c>
      <c r="AM36" s="48"/>
      <c r="AN36" s="48" t="s">
        <v>529</v>
      </c>
      <c r="AO36" s="48"/>
      <c r="AP36" s="48"/>
      <c r="AR36" s="48">
        <v>4.5352112676056301E-2</v>
      </c>
      <c r="AS36" s="48">
        <v>3.9436619718309987E-3</v>
      </c>
      <c r="AT36" s="133"/>
      <c r="AU36" s="48"/>
      <c r="AV36" s="48"/>
      <c r="AW36" s="48"/>
      <c r="AX36" s="48"/>
      <c r="AY36" s="48"/>
      <c r="AZ36" s="48"/>
      <c r="BA36" s="48">
        <v>15172.4137931034</v>
      </c>
      <c r="BB36" s="48">
        <v>3103.4482758620998</v>
      </c>
      <c r="BC36" s="48">
        <v>0.68197701149425305</v>
      </c>
      <c r="BD36" s="48">
        <v>0.68542528735632202</v>
      </c>
      <c r="BE36" s="48">
        <v>80</v>
      </c>
      <c r="BF36" s="48">
        <v>4.5714285714284983</v>
      </c>
      <c r="BG36" s="48">
        <v>5</v>
      </c>
      <c r="BH36" s="48"/>
      <c r="BI36" s="48"/>
      <c r="BJ36" s="48"/>
    </row>
    <row r="37" spans="1:62" s="49" customFormat="1">
      <c r="A37" s="48" t="s">
        <v>201</v>
      </c>
      <c r="B37" s="48" t="s">
        <v>671</v>
      </c>
      <c r="C37" s="48"/>
      <c r="D37" s="48" t="s">
        <v>671</v>
      </c>
      <c r="E37" s="48" t="s">
        <v>623</v>
      </c>
      <c r="F37" s="48" t="s">
        <v>203</v>
      </c>
      <c r="G37" s="48" t="s">
        <v>565</v>
      </c>
      <c r="H37" s="61" t="s">
        <v>424</v>
      </c>
      <c r="I37" s="48"/>
      <c r="J37" s="48" t="s">
        <v>213</v>
      </c>
      <c r="K37" s="48" t="s">
        <v>215</v>
      </c>
      <c r="L37" s="48" t="s">
        <v>79</v>
      </c>
      <c r="M37" s="48">
        <v>6</v>
      </c>
      <c r="N37" s="48">
        <v>4</v>
      </c>
      <c r="O37" s="48"/>
      <c r="P37" s="48">
        <v>12</v>
      </c>
      <c r="R37" s="48">
        <v>1</v>
      </c>
      <c r="S37" s="48">
        <v>40</v>
      </c>
      <c r="T37" s="48" t="s">
        <v>670</v>
      </c>
      <c r="U37" s="48">
        <v>0.40761904761904699</v>
      </c>
      <c r="V37" s="48">
        <v>1.904761904761898E-2</v>
      </c>
      <c r="W37" s="48" t="s">
        <v>1139</v>
      </c>
      <c r="X37" s="48"/>
      <c r="Y37" s="48"/>
      <c r="Z37" s="48">
        <v>19.8923841059602</v>
      </c>
      <c r="AA37" s="48">
        <v>1.1423841059602993</v>
      </c>
      <c r="AB37" s="48"/>
      <c r="AC37" s="48"/>
      <c r="AD37" s="48">
        <f t="shared" si="5"/>
        <v>117.01402415270707</v>
      </c>
      <c r="AE37" s="48">
        <f t="shared" si="5"/>
        <v>6.7199065056488188</v>
      </c>
      <c r="AF37" s="48" t="s">
        <v>1142</v>
      </c>
      <c r="AG37" s="48" t="s">
        <v>215</v>
      </c>
      <c r="AH37" s="48"/>
      <c r="AI37" s="48" t="s">
        <v>219</v>
      </c>
      <c r="AJ37" s="48" t="s">
        <v>219</v>
      </c>
      <c r="AK37" s="48">
        <v>0</v>
      </c>
      <c r="AL37" s="48">
        <v>28</v>
      </c>
      <c r="AM37" s="48"/>
      <c r="AN37" s="48" t="s">
        <v>529</v>
      </c>
      <c r="AO37" s="48"/>
      <c r="AP37" s="48"/>
      <c r="AR37" s="48">
        <v>4.8732394366197099E-2</v>
      </c>
      <c r="AS37" s="48">
        <v>2.8169014084507005E-3</v>
      </c>
      <c r="AT37" s="133"/>
      <c r="AU37" s="48"/>
      <c r="AV37" s="48"/>
      <c r="AW37" s="48"/>
      <c r="AX37" s="48"/>
      <c r="AY37" s="48"/>
      <c r="AZ37" s="48"/>
      <c r="BA37" s="48">
        <v>13965.517241379301</v>
      </c>
      <c r="BB37" s="48">
        <v>862.0689655171991</v>
      </c>
      <c r="BC37" s="48">
        <v>0.66891954022988498</v>
      </c>
      <c r="BD37" s="48">
        <v>0.67995402298850505</v>
      </c>
      <c r="BE37" s="48">
        <v>90.857142857142804</v>
      </c>
      <c r="BF37" s="48">
        <v>4</v>
      </c>
      <c r="BG37" s="48">
        <v>5</v>
      </c>
      <c r="BH37" s="48"/>
      <c r="BI37" s="48"/>
      <c r="BJ37" s="48"/>
    </row>
    <row r="38" spans="1:62" s="153" customFormat="1">
      <c r="A38" s="48" t="s">
        <v>201</v>
      </c>
      <c r="B38" s="151" t="s">
        <v>671</v>
      </c>
      <c r="C38" s="151"/>
      <c r="D38" s="151" t="s">
        <v>671</v>
      </c>
      <c r="E38" s="151" t="s">
        <v>623</v>
      </c>
      <c r="F38" s="151" t="s">
        <v>203</v>
      </c>
      <c r="G38" s="151" t="s">
        <v>565</v>
      </c>
      <c r="H38" s="152" t="s">
        <v>424</v>
      </c>
      <c r="I38" s="151"/>
      <c r="J38" s="151" t="s">
        <v>213</v>
      </c>
      <c r="K38" s="151" t="s">
        <v>215</v>
      </c>
      <c r="L38" s="151" t="s">
        <v>79</v>
      </c>
      <c r="M38" s="151">
        <v>6</v>
      </c>
      <c r="N38" s="151">
        <v>4</v>
      </c>
      <c r="O38" s="151"/>
      <c r="P38" s="151">
        <v>14</v>
      </c>
      <c r="R38" s="151">
        <v>1</v>
      </c>
      <c r="S38" s="151">
        <v>40</v>
      </c>
      <c r="T38" s="151" t="s">
        <v>670</v>
      </c>
      <c r="U38" s="151">
        <v>0.40190476190476099</v>
      </c>
      <c r="V38" s="151">
        <v>1.7142857142858015E-2</v>
      </c>
      <c r="W38" s="48" t="s">
        <v>1139</v>
      </c>
      <c r="X38" s="151"/>
      <c r="Y38" s="151"/>
      <c r="Z38" s="151"/>
      <c r="AA38" s="151"/>
      <c r="AB38" s="151"/>
      <c r="AC38" s="151"/>
      <c r="AD38" s="151">
        <f>AVERAGE(AD34:AD37)</f>
        <v>111.97409427347058</v>
      </c>
      <c r="AE38" s="151"/>
      <c r="AF38" s="48" t="s">
        <v>1183</v>
      </c>
      <c r="AG38" s="48" t="s">
        <v>215</v>
      </c>
      <c r="AH38" s="151"/>
      <c r="AI38" s="151" t="s">
        <v>219</v>
      </c>
      <c r="AJ38" s="151" t="s">
        <v>219</v>
      </c>
      <c r="AK38" s="151">
        <v>0</v>
      </c>
      <c r="AL38" s="151">
        <v>28</v>
      </c>
      <c r="AM38" s="151"/>
      <c r="AN38" s="151" t="s">
        <v>529</v>
      </c>
      <c r="AO38" s="151"/>
      <c r="AP38" s="151"/>
      <c r="AR38" s="151">
        <v>5.1549295774647799E-2</v>
      </c>
      <c r="AS38" s="151">
        <v>1.1267605633802802E-2</v>
      </c>
      <c r="AT38" s="154"/>
      <c r="AU38" s="151"/>
      <c r="AV38" s="151"/>
      <c r="AW38" s="151"/>
      <c r="AX38" s="151"/>
      <c r="AY38" s="151"/>
      <c r="AZ38" s="151"/>
      <c r="BA38" s="151">
        <v>12586.206896551699</v>
      </c>
      <c r="BB38" s="151">
        <v>2758.6206896551012</v>
      </c>
      <c r="BC38" s="151">
        <v>0.66</v>
      </c>
      <c r="BD38" s="151">
        <v>0.67172413793103403</v>
      </c>
      <c r="BE38" s="151">
        <v>69.714285714285694</v>
      </c>
      <c r="BF38" s="151">
        <v>4.571428571428612</v>
      </c>
      <c r="BG38" s="151">
        <v>5</v>
      </c>
      <c r="BH38" s="151"/>
      <c r="BI38" s="151"/>
      <c r="BJ38" s="151"/>
    </row>
    <row r="39" spans="1:62" s="103" customFormat="1">
      <c r="A39" s="48" t="s">
        <v>201</v>
      </c>
      <c r="B39" s="63" t="s">
        <v>671</v>
      </c>
      <c r="C39" s="63"/>
      <c r="D39" s="63" t="s">
        <v>671</v>
      </c>
      <c r="E39" s="63" t="s">
        <v>623</v>
      </c>
      <c r="F39" s="63" t="s">
        <v>203</v>
      </c>
      <c r="G39" s="63" t="s">
        <v>565</v>
      </c>
      <c r="H39" s="67" t="s">
        <v>75</v>
      </c>
      <c r="I39" s="63"/>
      <c r="J39" s="63" t="s">
        <v>213</v>
      </c>
      <c r="K39" s="63" t="s">
        <v>215</v>
      </c>
      <c r="L39" s="63" t="s">
        <v>79</v>
      </c>
      <c r="M39" s="63">
        <v>6</v>
      </c>
      <c r="N39" s="63">
        <v>4</v>
      </c>
      <c r="O39" s="63"/>
      <c r="P39" s="63" t="s">
        <v>409</v>
      </c>
      <c r="R39" s="63">
        <v>1</v>
      </c>
      <c r="S39" s="63">
        <v>40</v>
      </c>
      <c r="T39" s="63" t="s">
        <v>670</v>
      </c>
      <c r="U39" s="63">
        <v>0.392380952380952</v>
      </c>
      <c r="V39" s="63">
        <v>3.8095238095238015E-2</v>
      </c>
      <c r="W39" s="48" t="s">
        <v>1139</v>
      </c>
      <c r="X39" s="63"/>
      <c r="Y39" s="63"/>
      <c r="Z39" s="63">
        <v>32.069536423841001</v>
      </c>
      <c r="AA39" s="63">
        <v>3.9983443708608983</v>
      </c>
      <c r="AB39" s="63"/>
      <c r="AC39" s="63"/>
      <c r="AD39" s="63">
        <f>(Z39*100)/17</f>
        <v>188.64433190494705</v>
      </c>
      <c r="AE39" s="63">
        <f>(AA39*100)/17</f>
        <v>23.51967276976999</v>
      </c>
      <c r="AF39" s="48" t="s">
        <v>1142</v>
      </c>
      <c r="AG39" s="48" t="s">
        <v>215</v>
      </c>
      <c r="AH39" s="63"/>
      <c r="AI39" s="63" t="s">
        <v>219</v>
      </c>
      <c r="AJ39" s="63" t="s">
        <v>219</v>
      </c>
      <c r="AK39" s="63">
        <v>0</v>
      </c>
      <c r="AL39" s="63">
        <v>28</v>
      </c>
      <c r="AM39" s="63"/>
      <c r="AN39" s="63" t="s">
        <v>529</v>
      </c>
      <c r="AO39" s="63"/>
      <c r="AP39" s="63"/>
      <c r="AR39" s="63">
        <v>8.6478873239436496E-2</v>
      </c>
      <c r="AS39" s="63">
        <v>6.1971830985916021E-3</v>
      </c>
      <c r="AT39" s="134"/>
      <c r="AU39" s="63"/>
      <c r="AV39" s="63"/>
      <c r="AW39" s="63"/>
      <c r="AX39" s="63"/>
      <c r="AY39" s="63"/>
      <c r="AZ39" s="63"/>
      <c r="BA39" s="63">
        <v>7931.0344827586096</v>
      </c>
      <c r="BB39" s="63">
        <v>1379.3103448275897</v>
      </c>
      <c r="BC39" s="63">
        <v>0.65567816091954001</v>
      </c>
      <c r="BD39" s="63">
        <v>0.66947126436781601</v>
      </c>
      <c r="BE39" s="63">
        <v>47.428571428571402</v>
      </c>
      <c r="BF39" s="63">
        <v>16</v>
      </c>
      <c r="BG39" s="63">
        <v>24</v>
      </c>
      <c r="BH39" s="63"/>
      <c r="BI39" s="63"/>
      <c r="BJ39" s="63"/>
    </row>
    <row r="40" spans="1:62" s="103" customFormat="1">
      <c r="A40" s="48" t="s">
        <v>201</v>
      </c>
      <c r="B40" s="63" t="s">
        <v>671</v>
      </c>
      <c r="C40" s="63"/>
      <c r="D40" s="63" t="s">
        <v>671</v>
      </c>
      <c r="E40" s="63" t="s">
        <v>623</v>
      </c>
      <c r="F40" s="63" t="s">
        <v>203</v>
      </c>
      <c r="G40" s="63" t="s">
        <v>565</v>
      </c>
      <c r="H40" s="67" t="s">
        <v>75</v>
      </c>
      <c r="I40" s="63"/>
      <c r="J40" s="63" t="s">
        <v>213</v>
      </c>
      <c r="K40" s="63" t="s">
        <v>215</v>
      </c>
      <c r="L40" s="63" t="s">
        <v>79</v>
      </c>
      <c r="M40" s="63">
        <v>6</v>
      </c>
      <c r="N40" s="63">
        <v>4</v>
      </c>
      <c r="O40" s="63"/>
      <c r="P40" s="63" t="s">
        <v>410</v>
      </c>
      <c r="R40" s="63">
        <v>1</v>
      </c>
      <c r="S40" s="63">
        <v>40</v>
      </c>
      <c r="T40" s="63" t="s">
        <v>670</v>
      </c>
      <c r="U40" s="63">
        <v>0.544761904761904</v>
      </c>
      <c r="V40" s="63">
        <v>3.6190476190475995E-2</v>
      </c>
      <c r="W40" s="48" t="s">
        <v>1139</v>
      </c>
      <c r="X40" s="63"/>
      <c r="Y40" s="63"/>
      <c r="Z40" s="63">
        <v>35.306291390728397</v>
      </c>
      <c r="AA40" s="63">
        <v>7.0447019867550047</v>
      </c>
      <c r="AB40" s="63"/>
      <c r="AC40" s="63"/>
      <c r="AD40" s="63">
        <f t="shared" ref="AD40:AE57" si="6">(Z40*100)/17</f>
        <v>207.68406700428469</v>
      </c>
      <c r="AE40" s="63">
        <f t="shared" si="6"/>
        <v>41.439423451500026</v>
      </c>
      <c r="AF40" s="48" t="s">
        <v>1142</v>
      </c>
      <c r="AG40" s="48" t="s">
        <v>215</v>
      </c>
      <c r="AH40" s="63"/>
      <c r="AI40" s="63" t="s">
        <v>219</v>
      </c>
      <c r="AJ40" s="63" t="s">
        <v>219</v>
      </c>
      <c r="AK40" s="63">
        <v>0</v>
      </c>
      <c r="AL40" s="63">
        <v>28</v>
      </c>
      <c r="AM40" s="63"/>
      <c r="AN40" s="63" t="s">
        <v>529</v>
      </c>
      <c r="AO40" s="63"/>
      <c r="AP40" s="63"/>
      <c r="AR40" s="63">
        <v>8.6478873239436496E-2</v>
      </c>
      <c r="AS40" s="63">
        <v>9.0140845070423026E-3</v>
      </c>
      <c r="AT40" s="134"/>
      <c r="AU40" s="63"/>
      <c r="AV40" s="63"/>
      <c r="AW40" s="63"/>
      <c r="AX40" s="63"/>
      <c r="AY40" s="63"/>
      <c r="AZ40" s="63"/>
      <c r="BA40" s="63">
        <v>17068.9655172413</v>
      </c>
      <c r="BB40" s="63">
        <v>1896.5517241380003</v>
      </c>
      <c r="BC40" s="63">
        <v>0.67503448275862099</v>
      </c>
      <c r="BD40" s="63">
        <v>0.69641379310344798</v>
      </c>
      <c r="BE40" s="63">
        <v>17.714285714285701</v>
      </c>
      <c r="BF40" s="63">
        <v>6.8571428571429003</v>
      </c>
      <c r="BG40" s="63">
        <v>24</v>
      </c>
      <c r="BH40" s="63"/>
      <c r="BI40" s="63"/>
      <c r="BJ40" s="63"/>
    </row>
    <row r="41" spans="1:62" s="153" customFormat="1">
      <c r="A41" s="48" t="s">
        <v>201</v>
      </c>
      <c r="B41" s="151" t="s">
        <v>671</v>
      </c>
      <c r="C41" s="151"/>
      <c r="D41" s="151" t="s">
        <v>671</v>
      </c>
      <c r="E41" s="151" t="s">
        <v>623</v>
      </c>
      <c r="F41" s="151" t="s">
        <v>203</v>
      </c>
      <c r="G41" s="151" t="s">
        <v>565</v>
      </c>
      <c r="H41" s="152" t="s">
        <v>75</v>
      </c>
      <c r="I41" s="151"/>
      <c r="J41" s="151" t="s">
        <v>213</v>
      </c>
      <c r="K41" s="151" t="s">
        <v>215</v>
      </c>
      <c r="L41" s="151" t="s">
        <v>79</v>
      </c>
      <c r="M41" s="151">
        <v>6</v>
      </c>
      <c r="N41" s="151">
        <v>4</v>
      </c>
      <c r="O41" s="151"/>
      <c r="P41" s="151" t="s">
        <v>411</v>
      </c>
      <c r="R41" s="151">
        <v>1</v>
      </c>
      <c r="S41" s="151">
        <v>40</v>
      </c>
      <c r="T41" s="151" t="s">
        <v>670</v>
      </c>
      <c r="U41" s="151">
        <v>0.62666666666666604</v>
      </c>
      <c r="V41" s="151">
        <v>3.047619047619099E-2</v>
      </c>
      <c r="W41" s="151" t="s">
        <v>1139</v>
      </c>
      <c r="X41" s="151"/>
      <c r="Y41" s="151"/>
      <c r="Z41" s="151">
        <v>44.842715231787999</v>
      </c>
      <c r="AA41" s="151">
        <v>5.3228476821191997</v>
      </c>
      <c r="AB41" s="151"/>
      <c r="AC41" s="151"/>
      <c r="AD41" s="151">
        <f t="shared" si="6"/>
        <v>263.78067783404703</v>
      </c>
      <c r="AE41" s="151">
        <f t="shared" si="6"/>
        <v>31.310868718348235</v>
      </c>
      <c r="AF41" s="151" t="s">
        <v>1142</v>
      </c>
      <c r="AG41" s="48" t="s">
        <v>215</v>
      </c>
      <c r="AH41" s="151"/>
      <c r="AI41" s="151" t="s">
        <v>219</v>
      </c>
      <c r="AJ41" s="151" t="s">
        <v>219</v>
      </c>
      <c r="AK41" s="151">
        <v>0</v>
      </c>
      <c r="AL41" s="151">
        <v>28</v>
      </c>
      <c r="AM41" s="151"/>
      <c r="AN41" s="151" t="s">
        <v>529</v>
      </c>
      <c r="AO41" s="151"/>
      <c r="AP41" s="151"/>
      <c r="AR41" s="151">
        <v>7.1830985915492904E-2</v>
      </c>
      <c r="AS41" s="151">
        <v>1.0140845070422497E-2</v>
      </c>
      <c r="AT41" s="154"/>
      <c r="AU41" s="151"/>
      <c r="AV41" s="151"/>
      <c r="AW41" s="151"/>
      <c r="AX41" s="151"/>
      <c r="AY41" s="151"/>
      <c r="AZ41" s="151"/>
      <c r="BA41" s="151">
        <v>14482.758620689599</v>
      </c>
      <c r="BB41" s="151">
        <v>1379.3103448275997</v>
      </c>
      <c r="BC41" s="151">
        <v>0.64818390804597703</v>
      </c>
      <c r="BD41" s="151">
        <v>0.65434482758620705</v>
      </c>
      <c r="BE41" s="151">
        <v>41.142857142857103</v>
      </c>
      <c r="BF41" s="151">
        <v>6.8571428571428967</v>
      </c>
      <c r="BG41" s="151">
        <v>24</v>
      </c>
      <c r="BH41" s="151"/>
      <c r="BI41" s="151"/>
      <c r="BJ41" s="151"/>
    </row>
    <row r="42" spans="1:62" s="153" customFormat="1">
      <c r="A42" s="48" t="s">
        <v>201</v>
      </c>
      <c r="B42" s="151" t="s">
        <v>671</v>
      </c>
      <c r="C42" s="151"/>
      <c r="D42" s="151" t="s">
        <v>671</v>
      </c>
      <c r="E42" s="151" t="s">
        <v>623</v>
      </c>
      <c r="F42" s="151" t="s">
        <v>203</v>
      </c>
      <c r="G42" s="151" t="s">
        <v>565</v>
      </c>
      <c r="H42" s="152" t="s">
        <v>75</v>
      </c>
      <c r="I42" s="151"/>
      <c r="J42" s="151" t="s">
        <v>213</v>
      </c>
      <c r="K42" s="151" t="s">
        <v>215</v>
      </c>
      <c r="L42" s="151" t="s">
        <v>79</v>
      </c>
      <c r="M42" s="151">
        <v>6</v>
      </c>
      <c r="N42" s="151">
        <v>4</v>
      </c>
      <c r="O42" s="151"/>
      <c r="P42" s="151" t="s">
        <v>412</v>
      </c>
      <c r="R42" s="151">
        <v>1</v>
      </c>
      <c r="S42" s="151">
        <v>40</v>
      </c>
      <c r="T42" s="151" t="s">
        <v>670</v>
      </c>
      <c r="U42" s="151">
        <v>0.60761904761904695</v>
      </c>
      <c r="V42" s="151">
        <v>2.8571428571429025E-2</v>
      </c>
      <c r="W42" s="151" t="s">
        <v>1139</v>
      </c>
      <c r="X42" s="151"/>
      <c r="Y42" s="151"/>
      <c r="Z42" s="151">
        <v>43.700331125827802</v>
      </c>
      <c r="AA42" s="151">
        <v>4.5695364238409963</v>
      </c>
      <c r="AB42" s="151"/>
      <c r="AC42" s="151"/>
      <c r="AD42" s="151">
        <f t="shared" si="6"/>
        <v>257.0607713283988</v>
      </c>
      <c r="AE42" s="151">
        <f t="shared" si="6"/>
        <v>26.879626022594096</v>
      </c>
      <c r="AF42" s="151" t="s">
        <v>1142</v>
      </c>
      <c r="AG42" s="48" t="s">
        <v>215</v>
      </c>
      <c r="AH42" s="151"/>
      <c r="AI42" s="151" t="s">
        <v>219</v>
      </c>
      <c r="AJ42" s="151" t="s">
        <v>219</v>
      </c>
      <c r="AK42" s="151">
        <v>0</v>
      </c>
      <c r="AL42" s="151">
        <v>28</v>
      </c>
      <c r="AM42" s="151"/>
      <c r="AN42" s="151" t="s">
        <v>529</v>
      </c>
      <c r="AO42" s="151"/>
      <c r="AP42" s="151"/>
      <c r="AR42" s="151">
        <v>7.2394366197182994E-2</v>
      </c>
      <c r="AS42" s="151">
        <v>3.9436619718310056E-3</v>
      </c>
      <c r="AT42" s="154"/>
      <c r="AU42" s="151"/>
      <c r="AV42" s="151"/>
      <c r="AW42" s="151"/>
      <c r="AX42" s="151"/>
      <c r="AY42" s="151"/>
      <c r="AZ42" s="151"/>
      <c r="BA42" s="151">
        <v>18965.517241379301</v>
      </c>
      <c r="BB42" s="151">
        <v>862.0689655171991</v>
      </c>
      <c r="BC42" s="151">
        <v>0.67370114942528703</v>
      </c>
      <c r="BD42" s="151">
        <v>0.68055172413793097</v>
      </c>
      <c r="BE42" s="151">
        <v>60.571428571428598</v>
      </c>
      <c r="BF42" s="151">
        <v>7.9999999999999005</v>
      </c>
      <c r="BG42" s="151">
        <v>24</v>
      </c>
      <c r="BH42" s="151"/>
      <c r="BI42" s="151"/>
      <c r="BJ42" s="151"/>
    </row>
    <row r="43" spans="1:62" s="153" customFormat="1">
      <c r="A43" s="48" t="s">
        <v>201</v>
      </c>
      <c r="B43" s="151" t="s">
        <v>671</v>
      </c>
      <c r="C43" s="151"/>
      <c r="D43" s="151" t="s">
        <v>671</v>
      </c>
      <c r="E43" s="151" t="s">
        <v>623</v>
      </c>
      <c r="F43" s="151" t="s">
        <v>203</v>
      </c>
      <c r="G43" s="151" t="s">
        <v>565</v>
      </c>
      <c r="H43" s="152" t="s">
        <v>75</v>
      </c>
      <c r="I43" s="151"/>
      <c r="J43" s="151" t="s">
        <v>213</v>
      </c>
      <c r="K43" s="151" t="s">
        <v>215</v>
      </c>
      <c r="L43" s="151" t="s">
        <v>79</v>
      </c>
      <c r="M43" s="151">
        <v>6</v>
      </c>
      <c r="N43" s="151">
        <v>4</v>
      </c>
      <c r="O43" s="151"/>
      <c r="P43" s="151" t="s">
        <v>413</v>
      </c>
      <c r="R43" s="151">
        <v>1</v>
      </c>
      <c r="S43" s="151">
        <v>40</v>
      </c>
      <c r="T43" s="151" t="s">
        <v>670</v>
      </c>
      <c r="U43" s="151">
        <v>0.53714285714285703</v>
      </c>
      <c r="V43" s="151">
        <v>2.0952380952380945E-2</v>
      </c>
      <c r="W43" s="151" t="s">
        <v>1139</v>
      </c>
      <c r="X43" s="151"/>
      <c r="Y43" s="151"/>
      <c r="Z43" s="151">
        <v>32.276490066225101</v>
      </c>
      <c r="AA43" s="151">
        <v>1.7135761589403971</v>
      </c>
      <c r="AB43" s="151"/>
      <c r="AC43" s="151"/>
      <c r="AD43" s="151">
        <f t="shared" si="6"/>
        <v>189.86170627191237</v>
      </c>
      <c r="AE43" s="151">
        <f t="shared" si="6"/>
        <v>10.079859758472923</v>
      </c>
      <c r="AF43" s="151" t="s">
        <v>1142</v>
      </c>
      <c r="AG43" s="48" t="s">
        <v>215</v>
      </c>
      <c r="AH43" s="151"/>
      <c r="AI43" s="151" t="s">
        <v>219</v>
      </c>
      <c r="AJ43" s="151" t="s">
        <v>219</v>
      </c>
      <c r="AK43" s="151">
        <v>0</v>
      </c>
      <c r="AL43" s="151">
        <v>28</v>
      </c>
      <c r="AM43" s="151"/>
      <c r="AN43" s="151" t="s">
        <v>529</v>
      </c>
      <c r="AO43" s="151"/>
      <c r="AP43" s="151"/>
      <c r="AR43" s="151">
        <v>0.107323943661971</v>
      </c>
      <c r="AS43" s="151">
        <v>4.5070422535209986E-3</v>
      </c>
      <c r="AT43" s="154"/>
      <c r="AU43" s="151"/>
      <c r="AV43" s="151"/>
      <c r="AW43" s="151"/>
      <c r="AX43" s="151"/>
      <c r="AY43" s="151"/>
      <c r="AZ43" s="151"/>
      <c r="BA43" s="151">
        <v>13448.2758620689</v>
      </c>
      <c r="BB43" s="151">
        <v>1724.1379310345001</v>
      </c>
      <c r="BC43" s="151">
        <v>0.677103448275862</v>
      </c>
      <c r="BD43" s="151">
        <v>0.690896551724138</v>
      </c>
      <c r="BE43" s="151">
        <v>24</v>
      </c>
      <c r="BF43" s="151">
        <v>6.2857142857142989</v>
      </c>
      <c r="BG43" s="151">
        <v>24</v>
      </c>
      <c r="BH43" s="151"/>
      <c r="BI43" s="151"/>
      <c r="BJ43" s="151"/>
    </row>
    <row r="44" spans="1:62" s="153" customFormat="1">
      <c r="A44" s="48" t="s">
        <v>201</v>
      </c>
      <c r="B44" s="151" t="s">
        <v>661</v>
      </c>
      <c r="C44" s="151"/>
      <c r="D44" s="151" t="s">
        <v>661</v>
      </c>
      <c r="E44" s="151" t="s">
        <v>623</v>
      </c>
      <c r="F44" s="151" t="s">
        <v>203</v>
      </c>
      <c r="G44" s="151" t="s">
        <v>565</v>
      </c>
      <c r="H44" s="152" t="s">
        <v>75</v>
      </c>
      <c r="I44" s="151"/>
      <c r="J44" s="151" t="s">
        <v>213</v>
      </c>
      <c r="K44" s="151" t="s">
        <v>215</v>
      </c>
      <c r="L44" s="151" t="s">
        <v>79</v>
      </c>
      <c r="M44" s="151">
        <v>6</v>
      </c>
      <c r="N44" s="151">
        <v>4</v>
      </c>
      <c r="O44" s="151"/>
      <c r="P44" s="151" t="s">
        <v>414</v>
      </c>
      <c r="R44" s="153">
        <v>1</v>
      </c>
      <c r="S44" s="151">
        <v>10</v>
      </c>
      <c r="T44" s="151" t="s">
        <v>670</v>
      </c>
      <c r="U44" s="151">
        <v>0.60444589735207599</v>
      </c>
      <c r="V44" s="151">
        <v>2.3537103628636036E-2</v>
      </c>
      <c r="W44" s="151" t="s">
        <v>1139</v>
      </c>
      <c r="X44" s="151"/>
      <c r="Y44" s="151"/>
      <c r="Z44" s="151">
        <v>25.547619047619001</v>
      </c>
      <c r="AA44" s="151">
        <v>0.61904761904759897</v>
      </c>
      <c r="AB44" s="151"/>
      <c r="AC44" s="151"/>
      <c r="AD44" s="151">
        <f t="shared" si="6"/>
        <v>150.28011204481766</v>
      </c>
      <c r="AE44" s="151">
        <f t="shared" si="6"/>
        <v>3.641456582632935</v>
      </c>
      <c r="AF44" s="151" t="s">
        <v>1142</v>
      </c>
      <c r="AG44" s="48" t="s">
        <v>215</v>
      </c>
      <c r="AH44" s="151"/>
      <c r="AI44" s="151" t="s">
        <v>219</v>
      </c>
      <c r="AJ44" s="151" t="s">
        <v>219</v>
      </c>
      <c r="AK44" s="151">
        <v>0</v>
      </c>
      <c r="AL44" s="151">
        <v>28</v>
      </c>
      <c r="AM44" s="151"/>
      <c r="AN44" s="151" t="s">
        <v>529</v>
      </c>
      <c r="AO44" s="151"/>
      <c r="AP44" s="151"/>
      <c r="AR44" s="151">
        <v>0.116633373934226</v>
      </c>
      <c r="AS44" s="151">
        <v>9.4681282988230003E-3</v>
      </c>
      <c r="AT44" s="154"/>
      <c r="AU44" s="151"/>
      <c r="AV44" s="151"/>
      <c r="AW44" s="151"/>
      <c r="AX44" s="151"/>
      <c r="AY44" s="151"/>
      <c r="AZ44" s="151"/>
      <c r="BA44" s="151">
        <v>10638.4411835458</v>
      </c>
      <c r="BB44" s="151">
        <v>3455.3764734183005</v>
      </c>
      <c r="BC44" s="151">
        <v>0.71363636363636296</v>
      </c>
      <c r="BD44" s="151">
        <v>1.3636363636364002E-2</v>
      </c>
      <c r="BE44" s="151"/>
      <c r="BF44" s="151"/>
      <c r="BG44" s="151"/>
      <c r="BH44" s="151"/>
      <c r="BI44" s="151"/>
      <c r="BJ44" s="151"/>
    </row>
    <row r="45" spans="1:62" s="153" customFormat="1">
      <c r="A45" s="48" t="s">
        <v>201</v>
      </c>
      <c r="B45" s="151" t="s">
        <v>661</v>
      </c>
      <c r="C45" s="151"/>
      <c r="D45" s="151" t="s">
        <v>661</v>
      </c>
      <c r="E45" s="151" t="s">
        <v>623</v>
      </c>
      <c r="F45" s="151" t="s">
        <v>203</v>
      </c>
      <c r="G45" s="151" t="s">
        <v>565</v>
      </c>
      <c r="H45" s="152" t="s">
        <v>75</v>
      </c>
      <c r="I45" s="151"/>
      <c r="J45" s="151" t="s">
        <v>213</v>
      </c>
      <c r="K45" s="151" t="s">
        <v>215</v>
      </c>
      <c r="L45" s="151" t="s">
        <v>79</v>
      </c>
      <c r="M45" s="151">
        <v>6</v>
      </c>
      <c r="N45" s="151">
        <v>4</v>
      </c>
      <c r="O45" s="151"/>
      <c r="P45" s="151" t="s">
        <v>414</v>
      </c>
      <c r="R45" s="153">
        <v>3</v>
      </c>
      <c r="S45" s="151">
        <v>10</v>
      </c>
      <c r="T45" s="151" t="s">
        <v>670</v>
      </c>
      <c r="U45" s="151">
        <v>0.57306309251389298</v>
      </c>
      <c r="V45" s="151">
        <v>2.647924158221604E-2</v>
      </c>
      <c r="W45" s="151" t="s">
        <v>1139</v>
      </c>
      <c r="X45" s="151"/>
      <c r="Y45" s="151"/>
      <c r="Z45" s="151">
        <v>23.357142857142797</v>
      </c>
      <c r="AA45" s="151">
        <v>0.80952380952380165</v>
      </c>
      <c r="AB45" s="151"/>
      <c r="AC45" s="151"/>
      <c r="AD45" s="151">
        <f t="shared" si="6"/>
        <v>137.39495798319294</v>
      </c>
      <c r="AE45" s="151">
        <f t="shared" si="6"/>
        <v>4.7619047619047157</v>
      </c>
      <c r="AF45" s="151" t="s">
        <v>1142</v>
      </c>
      <c r="AG45" s="48" t="s">
        <v>215</v>
      </c>
      <c r="AH45" s="151"/>
      <c r="AI45" s="151" t="s">
        <v>219</v>
      </c>
      <c r="AJ45" s="151" t="s">
        <v>219</v>
      </c>
      <c r="AK45" s="151">
        <v>0</v>
      </c>
      <c r="AL45" s="151">
        <v>28</v>
      </c>
      <c r="AM45" s="151"/>
      <c r="AN45" s="151" t="s">
        <v>529</v>
      </c>
      <c r="AO45" s="151"/>
      <c r="AP45" s="151"/>
      <c r="AR45" s="151">
        <v>0.102585464880227</v>
      </c>
      <c r="AS45" s="151">
        <v>7.0255785627279937E-3</v>
      </c>
      <c r="AT45" s="154"/>
      <c r="AU45" s="151"/>
      <c r="AV45" s="151"/>
      <c r="AW45" s="151"/>
      <c r="AX45" s="151"/>
      <c r="AY45" s="151"/>
      <c r="AZ45" s="151"/>
      <c r="BA45" s="151">
        <v>8213.6155881645409</v>
      </c>
      <c r="BB45" s="151">
        <v>1635.7950445032493</v>
      </c>
      <c r="BC45" s="151">
        <v>0.62272727272727202</v>
      </c>
      <c r="BD45" s="151">
        <v>1.704545454545503E-2</v>
      </c>
      <c r="BE45" s="151"/>
      <c r="BF45" s="151"/>
      <c r="BG45" s="151"/>
      <c r="BH45" s="151"/>
      <c r="BI45" s="151"/>
      <c r="BJ45" s="151"/>
    </row>
    <row r="46" spans="1:62" s="153" customFormat="1">
      <c r="A46" s="48" t="s">
        <v>201</v>
      </c>
      <c r="B46" s="151" t="s">
        <v>661</v>
      </c>
      <c r="C46" s="151"/>
      <c r="D46" s="151" t="s">
        <v>661</v>
      </c>
      <c r="E46" s="151" t="s">
        <v>623</v>
      </c>
      <c r="F46" s="151" t="s">
        <v>203</v>
      </c>
      <c r="G46" s="151" t="s">
        <v>565</v>
      </c>
      <c r="H46" s="152" t="s">
        <v>75</v>
      </c>
      <c r="I46" s="151"/>
      <c r="J46" s="151" t="s">
        <v>213</v>
      </c>
      <c r="K46" s="151" t="s">
        <v>215</v>
      </c>
      <c r="L46" s="151" t="s">
        <v>79</v>
      </c>
      <c r="M46" s="151">
        <v>6</v>
      </c>
      <c r="N46" s="151">
        <v>4</v>
      </c>
      <c r="O46" s="151"/>
      <c r="P46" s="151" t="s">
        <v>414</v>
      </c>
      <c r="R46" s="153">
        <v>5</v>
      </c>
      <c r="S46" s="151">
        <v>10</v>
      </c>
      <c r="T46" s="151" t="s">
        <v>670</v>
      </c>
      <c r="U46" s="151">
        <v>0.50049035632559602</v>
      </c>
      <c r="V46" s="151">
        <v>2.061131088591095E-2</v>
      </c>
      <c r="W46" s="151" t="s">
        <v>1139</v>
      </c>
      <c r="X46" s="151"/>
      <c r="Y46" s="151"/>
      <c r="Z46" s="151">
        <v>23.023809523809497</v>
      </c>
      <c r="AA46" s="151">
        <v>0.57142857142850056</v>
      </c>
      <c r="AB46" s="151"/>
      <c r="AC46" s="151"/>
      <c r="AD46" s="151">
        <f t="shared" si="6"/>
        <v>135.43417366946761</v>
      </c>
      <c r="AE46" s="151">
        <f t="shared" si="6"/>
        <v>3.3613445378147091</v>
      </c>
      <c r="AF46" s="151" t="s">
        <v>1142</v>
      </c>
      <c r="AG46" s="48" t="s">
        <v>215</v>
      </c>
      <c r="AH46" s="151"/>
      <c r="AI46" s="151" t="s">
        <v>219</v>
      </c>
      <c r="AJ46" s="151" t="s">
        <v>219</v>
      </c>
      <c r="AK46" s="151">
        <v>0</v>
      </c>
      <c r="AL46" s="151">
        <v>28</v>
      </c>
      <c r="AM46" s="151"/>
      <c r="AN46" s="151" t="s">
        <v>529</v>
      </c>
      <c r="AO46" s="151"/>
      <c r="AP46" s="151"/>
      <c r="AR46" s="151">
        <v>9.31270807957775E-2</v>
      </c>
      <c r="AS46" s="151">
        <v>3.0499390986600955E-3</v>
      </c>
      <c r="AT46" s="154"/>
      <c r="AU46" s="151"/>
      <c r="AV46" s="151"/>
      <c r="AW46" s="151"/>
      <c r="AX46" s="151"/>
      <c r="AY46" s="151"/>
      <c r="AZ46" s="151"/>
      <c r="BA46" s="151">
        <v>8941.0632667789196</v>
      </c>
      <c r="BB46" s="151">
        <v>909.30959826798971</v>
      </c>
      <c r="BC46" s="151">
        <v>0.61704545454545401</v>
      </c>
      <c r="BD46" s="151">
        <v>1.5909090909090984E-2</v>
      </c>
      <c r="BE46" s="151"/>
      <c r="BF46" s="151"/>
      <c r="BG46" s="151"/>
      <c r="BH46" s="151"/>
      <c r="BI46" s="151"/>
      <c r="BJ46" s="151"/>
    </row>
    <row r="47" spans="1:62" s="53" customFormat="1">
      <c r="A47" s="48" t="s">
        <v>201</v>
      </c>
      <c r="B47" s="52" t="s">
        <v>661</v>
      </c>
      <c r="C47" s="52"/>
      <c r="D47" s="52" t="s">
        <v>661</v>
      </c>
      <c r="E47" s="52" t="s">
        <v>623</v>
      </c>
      <c r="F47" s="52" t="s">
        <v>203</v>
      </c>
      <c r="G47" s="52" t="s">
        <v>565</v>
      </c>
      <c r="H47" s="65" t="s">
        <v>75</v>
      </c>
      <c r="I47" s="52"/>
      <c r="J47" s="52" t="s">
        <v>213</v>
      </c>
      <c r="K47" s="52" t="s">
        <v>215</v>
      </c>
      <c r="L47" s="52" t="s">
        <v>79</v>
      </c>
      <c r="M47" s="52">
        <v>6</v>
      </c>
      <c r="N47" s="52">
        <v>4</v>
      </c>
      <c r="O47" s="52"/>
      <c r="P47" s="52" t="s">
        <v>414</v>
      </c>
      <c r="R47" s="53">
        <v>7</v>
      </c>
      <c r="S47" s="52">
        <v>10</v>
      </c>
      <c r="T47" s="52" t="s">
        <v>670</v>
      </c>
      <c r="U47" s="52">
        <v>0.55346518470088202</v>
      </c>
      <c r="V47" s="52">
        <v>2.1575678326250958E-2</v>
      </c>
      <c r="W47" s="52" t="s">
        <v>1139</v>
      </c>
      <c r="X47" s="52"/>
      <c r="Y47" s="52"/>
      <c r="Z47" s="52">
        <v>23.5015873015873</v>
      </c>
      <c r="AA47" s="52">
        <v>1.3325396825395983</v>
      </c>
      <c r="AB47" s="52"/>
      <c r="AC47" s="52"/>
      <c r="AD47" s="52">
        <f t="shared" si="6"/>
        <v>138.24463118580766</v>
      </c>
      <c r="AE47" s="52">
        <f t="shared" si="6"/>
        <v>7.838468720821167</v>
      </c>
      <c r="AF47" s="52" t="s">
        <v>1142</v>
      </c>
      <c r="AG47" s="48" t="s">
        <v>215</v>
      </c>
      <c r="AH47" s="52"/>
      <c r="AI47" s="52" t="s">
        <v>219</v>
      </c>
      <c r="AJ47" s="52" t="s">
        <v>219</v>
      </c>
      <c r="AK47" s="52">
        <v>0</v>
      </c>
      <c r="AL47" s="52">
        <v>28</v>
      </c>
      <c r="AM47" s="52"/>
      <c r="AN47" s="52" t="s">
        <v>529</v>
      </c>
      <c r="AO47" s="52"/>
      <c r="AP47" s="52"/>
      <c r="AR47" s="52">
        <v>0.103809987819732</v>
      </c>
      <c r="AS47" s="52">
        <v>1.1595615103532006E-2</v>
      </c>
      <c r="AT47" s="136"/>
      <c r="AU47" s="52"/>
      <c r="AV47" s="52"/>
      <c r="AW47" s="52"/>
      <c r="AX47" s="52"/>
      <c r="AY47" s="52"/>
      <c r="AZ47" s="52"/>
      <c r="BA47" s="52">
        <v>8394.5152754390201</v>
      </c>
      <c r="BB47" s="52">
        <v>1212.4127976906402</v>
      </c>
      <c r="BC47" s="52">
        <v>0.58522727272727204</v>
      </c>
      <c r="BD47" s="52">
        <v>1.2499999999999956E-2</v>
      </c>
      <c r="BE47" s="52"/>
      <c r="BF47" s="52"/>
      <c r="BG47" s="52"/>
      <c r="BH47" s="52"/>
      <c r="BI47" s="52"/>
      <c r="BJ47" s="52"/>
    </row>
    <row r="48" spans="1:62" s="162" customFormat="1">
      <c r="A48" s="48" t="s">
        <v>201</v>
      </c>
      <c r="B48" s="160" t="s">
        <v>661</v>
      </c>
      <c r="C48" s="160"/>
      <c r="D48" s="160" t="s">
        <v>661</v>
      </c>
      <c r="E48" s="160" t="s">
        <v>623</v>
      </c>
      <c r="F48" s="160" t="s">
        <v>203</v>
      </c>
      <c r="G48" s="160" t="s">
        <v>565</v>
      </c>
      <c r="H48" s="161" t="s">
        <v>75</v>
      </c>
      <c r="I48" s="160"/>
      <c r="J48" s="160" t="s">
        <v>213</v>
      </c>
      <c r="K48" s="160" t="s">
        <v>215</v>
      </c>
      <c r="L48" s="160" t="s">
        <v>79</v>
      </c>
      <c r="M48" s="160">
        <v>6</v>
      </c>
      <c r="N48" s="160">
        <v>4</v>
      </c>
      <c r="O48" s="160"/>
      <c r="P48" s="160" t="s">
        <v>414</v>
      </c>
      <c r="R48" s="162">
        <v>9</v>
      </c>
      <c r="S48" s="160">
        <v>10</v>
      </c>
      <c r="T48" s="160" t="s">
        <v>670</v>
      </c>
      <c r="U48" s="160">
        <v>0.59269369074861</v>
      </c>
      <c r="V48" s="160">
        <v>2.6495586793069958E-2</v>
      </c>
      <c r="W48" s="48" t="s">
        <v>1139</v>
      </c>
      <c r="X48" s="160"/>
      <c r="Y48" s="160"/>
      <c r="Z48" s="160">
        <v>21.264285714285702</v>
      </c>
      <c r="AA48" s="160">
        <v>1.4277777777776981</v>
      </c>
      <c r="AB48" s="160"/>
      <c r="AC48" s="160"/>
      <c r="AD48" s="160">
        <f t="shared" si="6"/>
        <v>125.0840336134453</v>
      </c>
      <c r="AE48" s="160">
        <f t="shared" si="6"/>
        <v>8.3986928104570477</v>
      </c>
      <c r="AF48" s="48" t="s">
        <v>1142</v>
      </c>
      <c r="AG48" s="48" t="s">
        <v>215</v>
      </c>
      <c r="AH48" s="160"/>
      <c r="AI48" s="160" t="s">
        <v>219</v>
      </c>
      <c r="AJ48" s="160" t="s">
        <v>219</v>
      </c>
      <c r="AK48" s="160">
        <v>0</v>
      </c>
      <c r="AL48" s="160">
        <v>28</v>
      </c>
      <c r="AM48" s="160"/>
      <c r="AN48" s="160" t="s">
        <v>529</v>
      </c>
      <c r="AO48" s="160"/>
      <c r="AP48" s="160"/>
      <c r="AR48" s="160">
        <v>8.3045066991473807E-2</v>
      </c>
      <c r="AS48" s="160">
        <v>1.0374340235485099E-2</v>
      </c>
      <c r="AT48" s="163"/>
      <c r="AU48" s="160"/>
      <c r="AV48" s="160"/>
      <c r="AW48" s="160"/>
      <c r="AX48" s="160"/>
      <c r="AY48" s="160"/>
      <c r="AZ48" s="160"/>
      <c r="BA48" s="160">
        <v>4817.8975222516201</v>
      </c>
      <c r="BB48" s="160">
        <v>1332.6918450805897</v>
      </c>
      <c r="BC48" s="160">
        <v>0.53749999999999998</v>
      </c>
      <c r="BD48" s="160">
        <v>2.7272727272727004E-2</v>
      </c>
      <c r="BE48" s="160"/>
      <c r="BF48" s="160"/>
      <c r="BG48" s="160"/>
      <c r="BH48" s="160"/>
      <c r="BI48" s="160"/>
      <c r="BJ48" s="160"/>
    </row>
    <row r="49" spans="1:62" s="153" customFormat="1">
      <c r="A49" s="48" t="s">
        <v>201</v>
      </c>
      <c r="B49" s="151" t="s">
        <v>661</v>
      </c>
      <c r="C49" s="151"/>
      <c r="D49" s="151" t="s">
        <v>661</v>
      </c>
      <c r="E49" s="151" t="s">
        <v>623</v>
      </c>
      <c r="F49" s="151" t="s">
        <v>203</v>
      </c>
      <c r="G49" s="151" t="s">
        <v>565</v>
      </c>
      <c r="H49" s="152" t="s">
        <v>75</v>
      </c>
      <c r="I49" s="151"/>
      <c r="J49" s="151" t="s">
        <v>213</v>
      </c>
      <c r="K49" s="151" t="s">
        <v>215</v>
      </c>
      <c r="L49" s="151" t="s">
        <v>79</v>
      </c>
      <c r="M49" s="151">
        <v>6</v>
      </c>
      <c r="N49" s="151">
        <v>4</v>
      </c>
      <c r="O49" s="151"/>
      <c r="P49" s="151" t="s">
        <v>414</v>
      </c>
      <c r="R49" s="153">
        <v>11</v>
      </c>
      <c r="S49" s="151">
        <v>10</v>
      </c>
      <c r="T49" s="151" t="s">
        <v>670</v>
      </c>
      <c r="U49" s="151">
        <v>0.47502451781627902</v>
      </c>
      <c r="V49" s="151">
        <v>1.5691402419091949E-2</v>
      </c>
      <c r="W49" s="48" t="s">
        <v>1139</v>
      </c>
      <c r="X49" s="151"/>
      <c r="Y49" s="151"/>
      <c r="Z49" s="151"/>
      <c r="AA49" s="151"/>
      <c r="AB49" s="151"/>
      <c r="AC49" s="151"/>
      <c r="AD49" s="151">
        <f>AD48</f>
        <v>125.0840336134453</v>
      </c>
      <c r="AE49" s="151"/>
      <c r="AF49" s="48" t="s">
        <v>1184</v>
      </c>
      <c r="AG49" s="48" t="s">
        <v>215</v>
      </c>
      <c r="AH49" s="151"/>
      <c r="AI49" s="151" t="s">
        <v>219</v>
      </c>
      <c r="AJ49" s="151" t="s">
        <v>219</v>
      </c>
      <c r="AK49" s="151">
        <v>0</v>
      </c>
      <c r="AL49" s="151">
        <v>28</v>
      </c>
      <c r="AM49" s="151"/>
      <c r="AN49" s="151" t="s">
        <v>529</v>
      </c>
      <c r="AO49" s="151"/>
      <c r="AP49" s="151"/>
      <c r="AR49" s="151">
        <v>8.0602517255379605E-2</v>
      </c>
      <c r="AS49" s="151">
        <v>5.1904181892000884E-3</v>
      </c>
      <c r="AT49" s="154"/>
      <c r="AU49" s="151"/>
      <c r="AV49" s="151"/>
      <c r="AW49" s="151"/>
      <c r="AX49" s="151"/>
      <c r="AY49" s="151"/>
      <c r="AZ49" s="151"/>
      <c r="BA49" s="151">
        <v>2332.4512869858099</v>
      </c>
      <c r="BB49" s="151">
        <v>847.72672600432998</v>
      </c>
      <c r="BC49" s="151">
        <v>0.48749999999999999</v>
      </c>
      <c r="BD49" s="151">
        <v>2.8409090909090995E-2</v>
      </c>
      <c r="BE49" s="151"/>
      <c r="BF49" s="151"/>
      <c r="BG49" s="151"/>
      <c r="BH49" s="151"/>
      <c r="BI49" s="151"/>
      <c r="BJ49" s="151"/>
    </row>
    <row r="50" spans="1:62" s="103" customFormat="1">
      <c r="A50" s="48" t="s">
        <v>201</v>
      </c>
      <c r="B50" s="63" t="s">
        <v>661</v>
      </c>
      <c r="C50" s="63"/>
      <c r="D50" s="63" t="s">
        <v>661</v>
      </c>
      <c r="E50" s="63" t="s">
        <v>623</v>
      </c>
      <c r="F50" s="63" t="s">
        <v>203</v>
      </c>
      <c r="G50" s="63" t="s">
        <v>565</v>
      </c>
      <c r="H50" s="67" t="s">
        <v>75</v>
      </c>
      <c r="I50" s="63"/>
      <c r="J50" s="63" t="s">
        <v>213</v>
      </c>
      <c r="K50" s="63" t="s">
        <v>215</v>
      </c>
      <c r="L50" s="63" t="s">
        <v>79</v>
      </c>
      <c r="M50" s="63">
        <v>6</v>
      </c>
      <c r="N50" s="63">
        <v>4</v>
      </c>
      <c r="O50" s="63"/>
      <c r="P50" s="63" t="s">
        <v>415</v>
      </c>
      <c r="R50" s="164">
        <v>1</v>
      </c>
      <c r="S50" s="63">
        <v>10</v>
      </c>
      <c r="T50" s="63" t="s">
        <v>670</v>
      </c>
      <c r="U50" s="63">
        <v>0.58000980712651196</v>
      </c>
      <c r="V50" s="63">
        <v>2.2556390977442997E-2</v>
      </c>
      <c r="W50" s="48" t="s">
        <v>1139</v>
      </c>
      <c r="X50" s="63"/>
      <c r="Y50" s="63"/>
      <c r="Z50" s="63">
        <v>28.3087301587301</v>
      </c>
      <c r="AA50" s="63">
        <v>0.5238095238094993</v>
      </c>
      <c r="AB50" s="63"/>
      <c r="AC50" s="63"/>
      <c r="AD50" s="63">
        <f t="shared" si="6"/>
        <v>166.52194211017706</v>
      </c>
      <c r="AE50" s="63">
        <f t="shared" si="6"/>
        <v>3.0812324929970547</v>
      </c>
      <c r="AF50" s="48" t="s">
        <v>1142</v>
      </c>
      <c r="AG50" s="48" t="s">
        <v>215</v>
      </c>
      <c r="AH50" s="63"/>
      <c r="AI50" s="63" t="s">
        <v>219</v>
      </c>
      <c r="AJ50" s="63" t="s">
        <v>219</v>
      </c>
      <c r="AK50" s="63">
        <v>0</v>
      </c>
      <c r="AL50" s="63">
        <v>28</v>
      </c>
      <c r="AM50" s="63"/>
      <c r="AN50" s="63" t="s">
        <v>529</v>
      </c>
      <c r="AO50" s="63"/>
      <c r="AP50" s="63"/>
      <c r="AR50" s="63">
        <v>9.2850994721883795E-2</v>
      </c>
      <c r="AS50" s="63">
        <v>3.6638246041413025E-3</v>
      </c>
      <c r="AT50" s="134"/>
      <c r="AU50" s="63"/>
      <c r="AV50" s="63"/>
      <c r="AW50" s="63"/>
      <c r="AX50" s="63"/>
      <c r="AY50" s="63"/>
      <c r="AZ50" s="63"/>
      <c r="BA50" s="63">
        <v>12702.429636757201</v>
      </c>
      <c r="BB50" s="63">
        <v>1031.5131104161992</v>
      </c>
      <c r="BC50" s="63">
        <v>0.69886363636363602</v>
      </c>
      <c r="BD50" s="63">
        <v>6.8181818181819454E-3</v>
      </c>
      <c r="BE50" s="63"/>
      <c r="BF50" s="63"/>
      <c r="BG50" s="63"/>
      <c r="BH50" s="63"/>
      <c r="BI50" s="63"/>
      <c r="BJ50" s="63"/>
    </row>
    <row r="51" spans="1:62" s="103" customFormat="1">
      <c r="A51" s="48" t="s">
        <v>201</v>
      </c>
      <c r="B51" s="63" t="s">
        <v>661</v>
      </c>
      <c r="C51" s="63"/>
      <c r="D51" s="63" t="s">
        <v>661</v>
      </c>
      <c r="E51" s="63" t="s">
        <v>623</v>
      </c>
      <c r="F51" s="63" t="s">
        <v>203</v>
      </c>
      <c r="G51" s="63" t="s">
        <v>565</v>
      </c>
      <c r="H51" s="67" t="s">
        <v>75</v>
      </c>
      <c r="I51" s="63"/>
      <c r="J51" s="63" t="s">
        <v>213</v>
      </c>
      <c r="K51" s="63" t="s">
        <v>215</v>
      </c>
      <c r="L51" s="63" t="s">
        <v>79</v>
      </c>
      <c r="M51" s="63">
        <v>6</v>
      </c>
      <c r="N51" s="63">
        <v>4</v>
      </c>
      <c r="O51" s="63"/>
      <c r="P51" s="63" t="s">
        <v>415</v>
      </c>
      <c r="R51" s="164">
        <v>3</v>
      </c>
      <c r="S51" s="63">
        <v>10</v>
      </c>
      <c r="T51" s="63" t="s">
        <v>670</v>
      </c>
      <c r="U51" s="63">
        <v>0.61825760052304601</v>
      </c>
      <c r="V51" s="63">
        <v>1.4710689767898022E-2</v>
      </c>
      <c r="W51" s="48" t="s">
        <v>1139</v>
      </c>
      <c r="X51" s="63"/>
      <c r="Y51" s="63"/>
      <c r="Z51" s="63">
        <v>27.215079365079301</v>
      </c>
      <c r="AA51" s="63">
        <v>0.80873015873019971</v>
      </c>
      <c r="AB51" s="63"/>
      <c r="AC51" s="63"/>
      <c r="AD51" s="63">
        <f t="shared" si="6"/>
        <v>160.08870214752528</v>
      </c>
      <c r="AE51" s="63">
        <f t="shared" si="6"/>
        <v>4.7572362278247038</v>
      </c>
      <c r="AF51" s="48" t="s">
        <v>1142</v>
      </c>
      <c r="AG51" s="48" t="s">
        <v>215</v>
      </c>
      <c r="AH51" s="63"/>
      <c r="AI51" s="63" t="s">
        <v>219</v>
      </c>
      <c r="AJ51" s="63" t="s">
        <v>219</v>
      </c>
      <c r="AK51" s="63">
        <v>0</v>
      </c>
      <c r="AL51" s="63">
        <v>28</v>
      </c>
      <c r="AM51" s="63"/>
      <c r="AN51" s="63" t="s">
        <v>529</v>
      </c>
      <c r="AO51" s="63"/>
      <c r="AP51" s="63"/>
      <c r="AR51" s="63">
        <v>0.102013804303694</v>
      </c>
      <c r="AS51" s="63">
        <v>6.4116930572469949E-3</v>
      </c>
      <c r="AT51" s="134"/>
      <c r="AU51" s="63"/>
      <c r="AV51" s="63"/>
      <c r="AW51" s="63"/>
      <c r="AX51" s="63"/>
      <c r="AY51" s="63"/>
      <c r="AZ51" s="63"/>
      <c r="BA51" s="63">
        <v>11792.157806110101</v>
      </c>
      <c r="BB51" s="63">
        <v>1515.5159971132998</v>
      </c>
      <c r="BC51" s="63">
        <v>0.63749999999999996</v>
      </c>
      <c r="BD51" s="63">
        <v>3.4090909090909061E-2</v>
      </c>
      <c r="BE51" s="63"/>
      <c r="BF51" s="63"/>
      <c r="BG51" s="63"/>
      <c r="BH51" s="63"/>
      <c r="BI51" s="63"/>
      <c r="BJ51" s="63"/>
    </row>
    <row r="52" spans="1:62" s="103" customFormat="1" ht="17" customHeight="1">
      <c r="A52" s="48" t="s">
        <v>201</v>
      </c>
      <c r="B52" s="63" t="s">
        <v>661</v>
      </c>
      <c r="C52" s="63"/>
      <c r="D52" s="63" t="s">
        <v>661</v>
      </c>
      <c r="E52" s="63" t="s">
        <v>623</v>
      </c>
      <c r="F52" s="63" t="s">
        <v>203</v>
      </c>
      <c r="G52" s="63" t="s">
        <v>565</v>
      </c>
      <c r="H52" s="67" t="s">
        <v>75</v>
      </c>
      <c r="I52" s="63"/>
      <c r="J52" s="63" t="s">
        <v>213</v>
      </c>
      <c r="K52" s="63" t="s">
        <v>215</v>
      </c>
      <c r="L52" s="63" t="s">
        <v>79</v>
      </c>
      <c r="M52" s="63">
        <v>6</v>
      </c>
      <c r="N52" s="63">
        <v>4</v>
      </c>
      <c r="O52" s="63"/>
      <c r="P52" s="63" t="s">
        <v>415</v>
      </c>
      <c r="R52" s="164">
        <v>5</v>
      </c>
      <c r="S52" s="63">
        <v>10</v>
      </c>
      <c r="T52" s="63" t="s">
        <v>670</v>
      </c>
      <c r="U52" s="63">
        <v>0.62021902582543298</v>
      </c>
      <c r="V52" s="63">
        <v>1.8649885583523984E-2</v>
      </c>
      <c r="W52" s="48" t="s">
        <v>1139</v>
      </c>
      <c r="X52" s="63"/>
      <c r="Y52" s="63"/>
      <c r="Z52" s="63">
        <v>27.023809523809497</v>
      </c>
      <c r="AA52" s="63">
        <v>0.95238095238090248</v>
      </c>
      <c r="AB52" s="63"/>
      <c r="AC52" s="63"/>
      <c r="AD52" s="63">
        <f t="shared" si="6"/>
        <v>158.9635854341735</v>
      </c>
      <c r="AE52" s="63">
        <f t="shared" si="6"/>
        <v>5.60224089635825</v>
      </c>
      <c r="AF52" s="48" t="s">
        <v>1142</v>
      </c>
      <c r="AG52" s="48" t="s">
        <v>215</v>
      </c>
      <c r="AH52" s="63"/>
      <c r="AI52" s="63" t="s">
        <v>219</v>
      </c>
      <c r="AJ52" s="63" t="s">
        <v>219</v>
      </c>
      <c r="AK52" s="63">
        <v>0</v>
      </c>
      <c r="AL52" s="63">
        <v>28</v>
      </c>
      <c r="AM52" s="63"/>
      <c r="AN52" s="63" t="s">
        <v>529</v>
      </c>
      <c r="AO52" s="63"/>
      <c r="AP52" s="63"/>
      <c r="AR52" s="63">
        <v>0.121853024766544</v>
      </c>
      <c r="AS52" s="63">
        <v>8.8542427933419876E-3</v>
      </c>
      <c r="AT52" s="134"/>
      <c r="AU52" s="63"/>
      <c r="AV52" s="63"/>
      <c r="AW52" s="63"/>
      <c r="AX52" s="63"/>
      <c r="AY52" s="63"/>
      <c r="AZ52" s="63"/>
      <c r="BA52" s="63">
        <v>11186.913639643901</v>
      </c>
      <c r="BB52" s="63">
        <v>667.78927110899895</v>
      </c>
      <c r="BC52" s="63">
        <v>0.55681818181818099</v>
      </c>
      <c r="BD52" s="63">
        <v>2.7272727272728003E-2</v>
      </c>
      <c r="BE52" s="63"/>
      <c r="BF52" s="63"/>
      <c r="BG52" s="63"/>
      <c r="BH52" s="63"/>
      <c r="BI52" s="63"/>
      <c r="BJ52" s="63"/>
    </row>
    <row r="53" spans="1:62" s="53" customFormat="1">
      <c r="A53" s="48" t="s">
        <v>201</v>
      </c>
      <c r="B53" s="52" t="s">
        <v>661</v>
      </c>
      <c r="C53" s="52"/>
      <c r="D53" s="52" t="s">
        <v>661</v>
      </c>
      <c r="E53" s="52" t="s">
        <v>623</v>
      </c>
      <c r="F53" s="52" t="s">
        <v>203</v>
      </c>
      <c r="G53" s="52" t="s">
        <v>565</v>
      </c>
      <c r="H53" s="65" t="s">
        <v>75</v>
      </c>
      <c r="I53" s="52"/>
      <c r="J53" s="52" t="s">
        <v>213</v>
      </c>
      <c r="K53" s="52" t="s">
        <v>215</v>
      </c>
      <c r="L53" s="52" t="s">
        <v>79</v>
      </c>
      <c r="M53" s="52">
        <v>6</v>
      </c>
      <c r="N53" s="52">
        <v>4</v>
      </c>
      <c r="O53" s="52"/>
      <c r="P53" s="52" t="s">
        <v>415</v>
      </c>
      <c r="R53" s="208">
        <v>7</v>
      </c>
      <c r="S53" s="52">
        <v>10</v>
      </c>
      <c r="T53" s="52" t="s">
        <v>670</v>
      </c>
      <c r="U53" s="52">
        <v>0.561376266753841</v>
      </c>
      <c r="V53" s="52">
        <v>2.9437724746648963E-2</v>
      </c>
      <c r="W53" s="52" t="s">
        <v>1139</v>
      </c>
      <c r="X53" s="52"/>
      <c r="Y53" s="52"/>
      <c r="Z53" s="52">
        <v>28.8341269841269</v>
      </c>
      <c r="AA53" s="52">
        <v>0.38095238095240191</v>
      </c>
      <c r="AB53" s="52"/>
      <c r="AC53" s="52"/>
      <c r="AD53" s="52">
        <f t="shared" si="6"/>
        <v>169.61251167133472</v>
      </c>
      <c r="AE53" s="52">
        <f t="shared" si="6"/>
        <v>2.2408963585435409</v>
      </c>
      <c r="AF53" s="52" t="s">
        <v>1142</v>
      </c>
      <c r="AG53" s="48" t="s">
        <v>215</v>
      </c>
      <c r="AH53" s="52"/>
      <c r="AI53" s="52" t="s">
        <v>219</v>
      </c>
      <c r="AJ53" s="52" t="s">
        <v>219</v>
      </c>
      <c r="AK53" s="52">
        <v>0</v>
      </c>
      <c r="AL53" s="52">
        <v>28</v>
      </c>
      <c r="AM53" s="52"/>
      <c r="AN53" s="52" t="s">
        <v>529</v>
      </c>
      <c r="AO53" s="52"/>
      <c r="AP53" s="52"/>
      <c r="AR53" s="52">
        <v>0.10964352415753099</v>
      </c>
      <c r="AS53" s="52">
        <v>7.0158343483560093E-3</v>
      </c>
      <c r="AT53" s="136"/>
      <c r="AU53" s="52"/>
      <c r="AV53" s="52"/>
      <c r="AW53" s="52"/>
      <c r="AX53" s="52"/>
      <c r="AY53" s="52"/>
      <c r="AZ53" s="52"/>
      <c r="BA53" s="52">
        <v>10823.189800336701</v>
      </c>
      <c r="BB53" s="52">
        <v>1999.5188838104987</v>
      </c>
      <c r="BC53" s="52">
        <v>0.51704545454545403</v>
      </c>
      <c r="BD53" s="52">
        <v>5.2272727272727915E-2</v>
      </c>
      <c r="BE53" s="52"/>
      <c r="BF53" s="52"/>
      <c r="BG53" s="52"/>
      <c r="BH53" s="52"/>
      <c r="BI53" s="52"/>
      <c r="BJ53" s="52"/>
    </row>
    <row r="54" spans="1:62" s="153" customFormat="1">
      <c r="A54" s="48" t="s">
        <v>201</v>
      </c>
      <c r="B54" s="151" t="s">
        <v>661</v>
      </c>
      <c r="C54" s="151"/>
      <c r="D54" s="151" t="s">
        <v>661</v>
      </c>
      <c r="E54" s="151" t="s">
        <v>623</v>
      </c>
      <c r="F54" s="151" t="s">
        <v>203</v>
      </c>
      <c r="G54" s="151" t="s">
        <v>565</v>
      </c>
      <c r="H54" s="152" t="s">
        <v>75</v>
      </c>
      <c r="I54" s="151"/>
      <c r="J54" s="151" t="s">
        <v>213</v>
      </c>
      <c r="K54" s="151" t="s">
        <v>215</v>
      </c>
      <c r="L54" s="151" t="s">
        <v>79</v>
      </c>
      <c r="M54" s="151">
        <v>6</v>
      </c>
      <c r="N54" s="151">
        <v>4</v>
      </c>
      <c r="O54" s="151"/>
      <c r="P54" s="151" t="s">
        <v>415</v>
      </c>
      <c r="R54" s="165">
        <v>9</v>
      </c>
      <c r="S54" s="151">
        <v>10</v>
      </c>
      <c r="T54" s="151" t="s">
        <v>670</v>
      </c>
      <c r="U54" s="151">
        <v>0.58002615233736499</v>
      </c>
      <c r="V54" s="151">
        <v>2.7459954233408967E-2</v>
      </c>
      <c r="W54" s="48" t="s">
        <v>1139</v>
      </c>
      <c r="X54" s="151"/>
      <c r="Y54" s="151"/>
      <c r="Z54" s="151"/>
      <c r="AA54" s="151"/>
      <c r="AB54" s="151"/>
      <c r="AC54" s="151"/>
      <c r="AD54" s="151"/>
      <c r="AE54" s="151"/>
      <c r="AF54" s="48" t="s">
        <v>1142</v>
      </c>
      <c r="AG54" s="48" t="s">
        <v>215</v>
      </c>
      <c r="AH54" s="151"/>
      <c r="AI54" s="151" t="s">
        <v>219</v>
      </c>
      <c r="AJ54" s="151" t="s">
        <v>219</v>
      </c>
      <c r="AK54" s="151">
        <v>0</v>
      </c>
      <c r="AL54" s="151">
        <v>28</v>
      </c>
      <c r="AM54" s="151"/>
      <c r="AN54" s="151" t="s">
        <v>529</v>
      </c>
      <c r="AO54" s="151"/>
      <c r="AP54" s="151"/>
      <c r="AR54" s="151">
        <v>0.10811043442955701</v>
      </c>
      <c r="AS54" s="151">
        <v>1.3131952902963998E-2</v>
      </c>
      <c r="AT54" s="154"/>
      <c r="AU54" s="151"/>
      <c r="AV54" s="151"/>
      <c r="AW54" s="151"/>
      <c r="AX54" s="151"/>
      <c r="AY54" s="151"/>
      <c r="AZ54" s="151"/>
      <c r="BA54" s="151">
        <v>8580.2261246090893</v>
      </c>
      <c r="BB54" s="151">
        <v>1818.6191965359103</v>
      </c>
      <c r="BC54" s="151">
        <v>0.56590909090909103</v>
      </c>
      <c r="BD54" s="151">
        <v>3.4090909090909172E-3</v>
      </c>
      <c r="BE54" s="151"/>
      <c r="BF54" s="151"/>
      <c r="BG54" s="151"/>
      <c r="BH54" s="151"/>
      <c r="BI54" s="151"/>
      <c r="BJ54" s="151"/>
    </row>
    <row r="55" spans="1:62" s="103" customFormat="1">
      <c r="A55" s="48" t="s">
        <v>201</v>
      </c>
      <c r="B55" s="63" t="s">
        <v>661</v>
      </c>
      <c r="C55" s="63"/>
      <c r="D55" s="63" t="s">
        <v>661</v>
      </c>
      <c r="E55" s="63" t="s">
        <v>623</v>
      </c>
      <c r="F55" s="63" t="s">
        <v>203</v>
      </c>
      <c r="G55" s="63" t="s">
        <v>565</v>
      </c>
      <c r="H55" s="67" t="s">
        <v>75</v>
      </c>
      <c r="I55" s="63"/>
      <c r="J55" s="63" t="s">
        <v>213</v>
      </c>
      <c r="K55" s="63" t="s">
        <v>215</v>
      </c>
      <c r="L55" s="63" t="s">
        <v>79</v>
      </c>
      <c r="M55" s="63">
        <v>6</v>
      </c>
      <c r="N55" s="63">
        <v>4</v>
      </c>
      <c r="O55" s="63"/>
      <c r="P55" s="63" t="s">
        <v>416</v>
      </c>
      <c r="R55" s="166">
        <v>1</v>
      </c>
      <c r="S55" s="63">
        <v>10</v>
      </c>
      <c r="T55" s="63" t="s">
        <v>670</v>
      </c>
      <c r="U55" s="63">
        <v>0.55238640078457002</v>
      </c>
      <c r="V55" s="63">
        <v>1.6672115070283988E-2</v>
      </c>
      <c r="W55" s="48" t="s">
        <v>1139</v>
      </c>
      <c r="X55" s="63"/>
      <c r="Y55" s="63"/>
      <c r="Z55" s="63">
        <v>29.1714285714285</v>
      </c>
      <c r="AA55" s="63">
        <v>0.5246031746031985</v>
      </c>
      <c r="AB55" s="63"/>
      <c r="AC55" s="63"/>
      <c r="AD55" s="63">
        <f t="shared" si="6"/>
        <v>171.59663865546176</v>
      </c>
      <c r="AE55" s="63">
        <f t="shared" si="6"/>
        <v>3.0859010270776381</v>
      </c>
      <c r="AF55" s="48" t="s">
        <v>1142</v>
      </c>
      <c r="AG55" s="48" t="s">
        <v>215</v>
      </c>
      <c r="AH55" s="63"/>
      <c r="AI55" s="63" t="s">
        <v>219</v>
      </c>
      <c r="AJ55" s="63" t="s">
        <v>219</v>
      </c>
      <c r="AK55" s="63">
        <v>0</v>
      </c>
      <c r="AL55" s="63">
        <v>28</v>
      </c>
      <c r="AM55" s="63"/>
      <c r="AN55" s="63" t="s">
        <v>529</v>
      </c>
      <c r="AO55" s="63"/>
      <c r="AP55" s="63"/>
      <c r="AR55" s="63">
        <v>8.7335769386926498E-2</v>
      </c>
      <c r="AS55" s="63">
        <v>7.636215996751905E-3</v>
      </c>
      <c r="AT55" s="134"/>
      <c r="AU55" s="63"/>
      <c r="AV55" s="63"/>
      <c r="AW55" s="63"/>
      <c r="AX55" s="63"/>
      <c r="AY55" s="63"/>
      <c r="AZ55" s="63"/>
      <c r="BA55" s="63">
        <v>14026.4613904257</v>
      </c>
      <c r="BB55" s="63">
        <v>1030.5508780371001</v>
      </c>
      <c r="BC55" s="63">
        <v>0.673863636363636</v>
      </c>
      <c r="BD55" s="63">
        <v>1.136363636363602E-2</v>
      </c>
      <c r="BE55" s="63"/>
      <c r="BF55" s="63"/>
      <c r="BG55" s="63"/>
      <c r="BH55" s="63"/>
      <c r="BI55" s="63"/>
      <c r="BJ55" s="63"/>
    </row>
    <row r="56" spans="1:62" s="103" customFormat="1">
      <c r="A56" s="48" t="s">
        <v>201</v>
      </c>
      <c r="B56" s="63" t="s">
        <v>661</v>
      </c>
      <c r="C56" s="63"/>
      <c r="D56" s="63" t="s">
        <v>661</v>
      </c>
      <c r="E56" s="63" t="s">
        <v>623</v>
      </c>
      <c r="F56" s="63" t="s">
        <v>203</v>
      </c>
      <c r="G56" s="63" t="s">
        <v>565</v>
      </c>
      <c r="H56" s="67" t="s">
        <v>75</v>
      </c>
      <c r="I56" s="63"/>
      <c r="J56" s="63" t="s">
        <v>213</v>
      </c>
      <c r="K56" s="63" t="s">
        <v>215</v>
      </c>
      <c r="L56" s="63" t="s">
        <v>79</v>
      </c>
      <c r="M56" s="63">
        <v>6</v>
      </c>
      <c r="N56" s="63">
        <v>4</v>
      </c>
      <c r="O56" s="63"/>
      <c r="P56" s="63" t="s">
        <v>416</v>
      </c>
      <c r="R56" s="166">
        <v>3</v>
      </c>
      <c r="S56" s="63">
        <v>10</v>
      </c>
      <c r="T56" s="63" t="s">
        <v>670</v>
      </c>
      <c r="U56" s="63">
        <v>0.63968617195161803</v>
      </c>
      <c r="V56" s="63">
        <v>2.6479241582215929E-2</v>
      </c>
      <c r="W56" s="48" t="s">
        <v>1139</v>
      </c>
      <c r="X56" s="63"/>
      <c r="Y56" s="63"/>
      <c r="Z56" s="63">
        <v>26.743650793650701</v>
      </c>
      <c r="AA56" s="63">
        <v>1.5238095238095974</v>
      </c>
      <c r="AB56" s="63"/>
      <c r="AC56" s="63"/>
      <c r="AD56" s="63">
        <f t="shared" si="6"/>
        <v>157.31559290382765</v>
      </c>
      <c r="AE56" s="63">
        <f t="shared" si="6"/>
        <v>8.963585434174103</v>
      </c>
      <c r="AF56" s="48" t="s">
        <v>1142</v>
      </c>
      <c r="AG56" s="48" t="s">
        <v>215</v>
      </c>
      <c r="AH56" s="63"/>
      <c r="AI56" s="63" t="s">
        <v>219</v>
      </c>
      <c r="AJ56" s="63" t="s">
        <v>219</v>
      </c>
      <c r="AK56" s="63">
        <v>0</v>
      </c>
      <c r="AL56" s="63">
        <v>28</v>
      </c>
      <c r="AM56" s="63"/>
      <c r="AN56" s="63" t="s">
        <v>529</v>
      </c>
      <c r="AO56" s="63"/>
      <c r="AP56" s="63"/>
      <c r="AR56" s="63">
        <v>0.13282825822168001</v>
      </c>
      <c r="AS56" s="63">
        <v>1.4353227771011001E-2</v>
      </c>
      <c r="AT56" s="134"/>
      <c r="AU56" s="63"/>
      <c r="AV56" s="63"/>
      <c r="AW56" s="63"/>
      <c r="AX56" s="63"/>
      <c r="AY56" s="63"/>
      <c r="AZ56" s="63"/>
      <c r="BA56" s="63">
        <v>9662.7375511185892</v>
      </c>
      <c r="BB56" s="63">
        <v>1454.8953572287101</v>
      </c>
      <c r="BC56" s="63">
        <v>0.63181818181818095</v>
      </c>
      <c r="BD56" s="63">
        <v>1.2500000000000067E-2</v>
      </c>
      <c r="BE56" s="63"/>
      <c r="BF56" s="63"/>
      <c r="BG56" s="63"/>
      <c r="BH56" s="63"/>
      <c r="BI56" s="63"/>
      <c r="BJ56" s="63"/>
    </row>
    <row r="57" spans="1:62" s="103" customFormat="1">
      <c r="A57" s="48" t="s">
        <v>201</v>
      </c>
      <c r="B57" s="63" t="s">
        <v>661</v>
      </c>
      <c r="C57" s="63"/>
      <c r="D57" s="63" t="s">
        <v>661</v>
      </c>
      <c r="E57" s="63" t="s">
        <v>623</v>
      </c>
      <c r="F57" s="63" t="s">
        <v>203</v>
      </c>
      <c r="G57" s="63" t="s">
        <v>565</v>
      </c>
      <c r="H57" s="67" t="s">
        <v>75</v>
      </c>
      <c r="I57" s="63"/>
      <c r="J57" s="63" t="s">
        <v>213</v>
      </c>
      <c r="K57" s="63" t="s">
        <v>215</v>
      </c>
      <c r="L57" s="63" t="s">
        <v>79</v>
      </c>
      <c r="M57" s="63">
        <v>6</v>
      </c>
      <c r="N57" s="63">
        <v>4</v>
      </c>
      <c r="O57" s="63"/>
      <c r="P57" s="63" t="s">
        <v>416</v>
      </c>
      <c r="R57" s="166">
        <v>5</v>
      </c>
      <c r="S57" s="63">
        <v>10</v>
      </c>
      <c r="T57" s="63" t="s">
        <v>670</v>
      </c>
      <c r="U57" s="63">
        <v>0.56319058515854803</v>
      </c>
      <c r="V57" s="63">
        <v>1.8633540372670954E-2</v>
      </c>
      <c r="W57" s="48" t="s">
        <v>1139</v>
      </c>
      <c r="X57" s="63"/>
      <c r="Y57" s="63"/>
      <c r="Z57" s="63">
        <v>26.792063492063399</v>
      </c>
      <c r="AA57" s="63">
        <v>2.1904761904762009</v>
      </c>
      <c r="AB57" s="63"/>
      <c r="AC57" s="63"/>
      <c r="AD57" s="63">
        <f t="shared" si="6"/>
        <v>157.60037348272587</v>
      </c>
      <c r="AE57" s="63">
        <f t="shared" si="6"/>
        <v>12.885154061624711</v>
      </c>
      <c r="AF57" s="48" t="s">
        <v>1142</v>
      </c>
      <c r="AG57" s="48" t="s">
        <v>215</v>
      </c>
      <c r="AH57" s="63"/>
      <c r="AI57" s="63" t="s">
        <v>219</v>
      </c>
      <c r="AJ57" s="63" t="s">
        <v>219</v>
      </c>
      <c r="AK57" s="63">
        <v>0</v>
      </c>
      <c r="AL57" s="63">
        <v>28</v>
      </c>
      <c r="AM57" s="63"/>
      <c r="AN57" s="63" t="s">
        <v>529</v>
      </c>
      <c r="AO57" s="63"/>
      <c r="AP57" s="63"/>
      <c r="AR57" s="63">
        <v>0.122135606983353</v>
      </c>
      <c r="AS57" s="63">
        <v>1.3135200974421987E-2</v>
      </c>
      <c r="AT57" s="134"/>
      <c r="AU57" s="63"/>
      <c r="AV57" s="63"/>
      <c r="AW57" s="63"/>
      <c r="AX57" s="63"/>
      <c r="AY57" s="63"/>
      <c r="AZ57" s="63"/>
      <c r="BA57" s="63">
        <v>10510.464277122899</v>
      </c>
      <c r="BB57" s="63">
        <v>666.82703872980164</v>
      </c>
      <c r="BC57" s="63">
        <v>0.60227272727272696</v>
      </c>
      <c r="BD57" s="63">
        <v>3.0681818181818032E-2</v>
      </c>
      <c r="BE57" s="63"/>
      <c r="BF57" s="63"/>
      <c r="BG57" s="63"/>
      <c r="BH57" s="63"/>
      <c r="BI57" s="63"/>
      <c r="BJ57" s="63"/>
    </row>
    <row r="58" spans="1:62" s="53" customFormat="1">
      <c r="A58" s="48" t="s">
        <v>201</v>
      </c>
      <c r="B58" s="52" t="s">
        <v>661</v>
      </c>
      <c r="C58" s="52"/>
      <c r="D58" s="52" t="s">
        <v>661</v>
      </c>
      <c r="E58" s="52" t="s">
        <v>623</v>
      </c>
      <c r="F58" s="52" t="s">
        <v>203</v>
      </c>
      <c r="G58" s="52" t="s">
        <v>565</v>
      </c>
      <c r="H58" s="65" t="s">
        <v>75</v>
      </c>
      <c r="I58" s="52"/>
      <c r="J58" s="52" t="s">
        <v>213</v>
      </c>
      <c r="K58" s="52" t="s">
        <v>215</v>
      </c>
      <c r="L58" s="52" t="s">
        <v>79</v>
      </c>
      <c r="M58" s="52">
        <v>6</v>
      </c>
      <c r="N58" s="52">
        <v>4</v>
      </c>
      <c r="O58" s="52"/>
      <c r="P58" s="52" t="s">
        <v>416</v>
      </c>
      <c r="R58" s="207">
        <v>7</v>
      </c>
      <c r="S58" s="52">
        <v>10</v>
      </c>
      <c r="T58" s="52" t="s">
        <v>670</v>
      </c>
      <c r="U58" s="52">
        <v>0.59163125204315103</v>
      </c>
      <c r="V58" s="52">
        <v>3.2379862700228967E-2</v>
      </c>
      <c r="W58" s="52" t="s">
        <v>1139</v>
      </c>
      <c r="X58" s="52"/>
      <c r="Y58" s="52"/>
      <c r="Z58" s="52"/>
      <c r="AA58" s="52"/>
      <c r="AB58" s="52"/>
      <c r="AC58" s="52"/>
      <c r="AD58" s="52">
        <f>AD57</f>
        <v>157.60037348272587</v>
      </c>
      <c r="AE58" s="52"/>
      <c r="AF58" s="52" t="s">
        <v>1184</v>
      </c>
      <c r="AG58" s="48" t="s">
        <v>215</v>
      </c>
      <c r="AH58" s="52"/>
      <c r="AI58" s="52" t="s">
        <v>219</v>
      </c>
      <c r="AJ58" s="52" t="s">
        <v>219</v>
      </c>
      <c r="AK58" s="52">
        <v>0</v>
      </c>
      <c r="AL58" s="52">
        <v>28</v>
      </c>
      <c r="AM58" s="52"/>
      <c r="AN58" s="52" t="s">
        <v>529</v>
      </c>
      <c r="AO58" s="52"/>
      <c r="AP58" s="52"/>
      <c r="AR58" s="52">
        <v>0.13404628501827001</v>
      </c>
      <c r="AS58" s="52">
        <v>2.7784003248070982E-2</v>
      </c>
      <c r="AT58" s="136"/>
      <c r="AU58" s="52"/>
      <c r="AV58" s="52"/>
      <c r="AW58" s="52"/>
      <c r="AX58" s="52"/>
      <c r="AY58" s="52"/>
      <c r="AZ58" s="52"/>
      <c r="BA58" s="52">
        <v>6266.0572528265602</v>
      </c>
      <c r="BB58" s="52">
        <v>2061.1017560740893</v>
      </c>
      <c r="BC58" s="52">
        <v>0.58068181818181797</v>
      </c>
      <c r="BD58" s="52">
        <v>5.6818181818180102E-3</v>
      </c>
      <c r="BE58" s="52"/>
      <c r="BF58" s="52"/>
      <c r="BG58" s="52"/>
      <c r="BH58" s="52"/>
      <c r="BI58" s="52"/>
      <c r="BJ58" s="52"/>
    </row>
    <row r="59" spans="1:62" s="51" customFormat="1">
      <c r="A59" s="50" t="s">
        <v>202</v>
      </c>
      <c r="B59" s="50" t="s">
        <v>525</v>
      </c>
      <c r="C59" s="50"/>
      <c r="D59" s="50" t="s">
        <v>672</v>
      </c>
      <c r="E59" s="50" t="s">
        <v>623</v>
      </c>
      <c r="F59" s="54" t="s">
        <v>203</v>
      </c>
      <c r="G59" s="50" t="s">
        <v>565</v>
      </c>
      <c r="H59" s="64" t="s">
        <v>75</v>
      </c>
      <c r="I59" s="50"/>
      <c r="J59" s="50" t="s">
        <v>213</v>
      </c>
      <c r="K59" s="50" t="s">
        <v>215</v>
      </c>
      <c r="L59" s="50" t="s">
        <v>79</v>
      </c>
      <c r="M59" s="50">
        <v>6</v>
      </c>
      <c r="N59" s="64" t="s">
        <v>428</v>
      </c>
      <c r="O59" s="64"/>
      <c r="P59" s="55">
        <v>3.5</v>
      </c>
      <c r="Q59" s="50"/>
      <c r="R59" s="50">
        <v>1</v>
      </c>
      <c r="S59" s="50"/>
      <c r="T59" s="50">
        <v>10</v>
      </c>
      <c r="V59" s="50"/>
      <c r="W59" s="50" t="s">
        <v>1110</v>
      </c>
      <c r="X59" s="50"/>
      <c r="Y59" s="50"/>
      <c r="Z59" s="50"/>
      <c r="AA59" s="50"/>
      <c r="AB59" s="50">
        <v>399</v>
      </c>
      <c r="AD59" s="50">
        <f>AB59*0.8</f>
        <v>319.20000000000005</v>
      </c>
      <c r="AF59" s="48" t="s">
        <v>1218</v>
      </c>
      <c r="AG59" s="48" t="s">
        <v>215</v>
      </c>
      <c r="AH59" s="50"/>
      <c r="AI59" s="50" t="s">
        <v>219</v>
      </c>
      <c r="AJ59" s="50" t="s">
        <v>219</v>
      </c>
      <c r="AK59" s="50">
        <v>0</v>
      </c>
      <c r="AL59" s="50">
        <v>26.4</v>
      </c>
      <c r="AM59" s="50" t="s">
        <v>209</v>
      </c>
      <c r="AN59" s="50" t="s">
        <v>529</v>
      </c>
      <c r="AO59" s="50"/>
      <c r="AP59" s="50"/>
      <c r="AR59" s="50">
        <v>7.1363636363636296E-2</v>
      </c>
      <c r="AS59" s="50">
        <v>2.0000000000000004E-2</v>
      </c>
      <c r="AT59" s="137"/>
      <c r="AU59" s="50"/>
      <c r="AV59" s="50"/>
      <c r="AW59" s="50"/>
      <c r="AX59" s="50"/>
      <c r="AY59" s="50"/>
      <c r="AZ59" s="50"/>
      <c r="BA59" s="50"/>
      <c r="BB59" s="50"/>
      <c r="BC59" s="50"/>
      <c r="BD59" s="50"/>
      <c r="BE59" s="50"/>
      <c r="BF59" s="50"/>
      <c r="BG59" s="50"/>
      <c r="BH59" s="50"/>
      <c r="BI59" s="50"/>
      <c r="BJ59" s="50"/>
    </row>
    <row r="60" spans="1:62" s="51" customFormat="1">
      <c r="A60" s="50" t="s">
        <v>202</v>
      </c>
      <c r="B60" s="50" t="s">
        <v>525</v>
      </c>
      <c r="C60" s="50"/>
      <c r="D60" s="50" t="s">
        <v>672</v>
      </c>
      <c r="E60" s="50" t="s">
        <v>623</v>
      </c>
      <c r="F60" s="54" t="s">
        <v>203</v>
      </c>
      <c r="G60" s="50" t="s">
        <v>565</v>
      </c>
      <c r="H60" s="64" t="s">
        <v>75</v>
      </c>
      <c r="I60" s="50"/>
      <c r="J60" s="50" t="s">
        <v>213</v>
      </c>
      <c r="K60" s="50" t="s">
        <v>215</v>
      </c>
      <c r="L60" s="50" t="s">
        <v>79</v>
      </c>
      <c r="M60" s="50">
        <v>6</v>
      </c>
      <c r="N60" s="64" t="s">
        <v>428</v>
      </c>
      <c r="O60" s="64"/>
      <c r="P60" s="50">
        <v>8</v>
      </c>
      <c r="Q60" s="50"/>
      <c r="R60" s="50">
        <v>1</v>
      </c>
      <c r="S60" s="50"/>
      <c r="T60" s="50">
        <v>10</v>
      </c>
      <c r="V60" s="50"/>
      <c r="W60" s="50" t="s">
        <v>1110</v>
      </c>
      <c r="X60" s="50"/>
      <c r="Y60" s="50"/>
      <c r="Z60" s="50"/>
      <c r="AA60" s="50"/>
      <c r="AB60" s="50">
        <v>399</v>
      </c>
      <c r="AD60" s="50">
        <f t="shared" ref="AD60:AD71" si="7">AB60*0.8</f>
        <v>319.20000000000005</v>
      </c>
      <c r="AF60" s="48" t="s">
        <v>1218</v>
      </c>
      <c r="AG60" s="48" t="s">
        <v>215</v>
      </c>
      <c r="AH60" s="50"/>
      <c r="AI60" s="50" t="s">
        <v>219</v>
      </c>
      <c r="AJ60" s="50" t="s">
        <v>219</v>
      </c>
      <c r="AK60" s="50">
        <v>0.6</v>
      </c>
      <c r="AL60" s="50">
        <v>27</v>
      </c>
      <c r="AM60" s="50" t="s">
        <v>209</v>
      </c>
      <c r="AN60" s="50" t="s">
        <v>529</v>
      </c>
      <c r="AO60" s="50"/>
      <c r="AP60" s="50"/>
      <c r="AR60" s="50">
        <v>8.7727272727272695E-2</v>
      </c>
      <c r="AS60" s="50">
        <v>7.7272727272727076E-3</v>
      </c>
      <c r="AT60" s="137"/>
      <c r="AU60" s="50"/>
      <c r="AV60" s="50"/>
      <c r="AW60" s="50"/>
      <c r="AX60" s="50"/>
      <c r="AY60" s="50"/>
      <c r="AZ60" s="50"/>
      <c r="BA60" s="50"/>
      <c r="BB60" s="50"/>
      <c r="BC60" s="50"/>
      <c r="BD60" s="50"/>
      <c r="BE60" s="50"/>
      <c r="BF60" s="50"/>
      <c r="BG60" s="50"/>
      <c r="BH60" s="50"/>
      <c r="BI60" s="50"/>
      <c r="BJ60" s="50"/>
    </row>
    <row r="61" spans="1:62" s="51" customFormat="1">
      <c r="A61" s="50" t="s">
        <v>202</v>
      </c>
      <c r="B61" s="50" t="s">
        <v>525</v>
      </c>
      <c r="C61" s="50"/>
      <c r="D61" s="50" t="s">
        <v>672</v>
      </c>
      <c r="E61" s="50" t="s">
        <v>623</v>
      </c>
      <c r="F61" s="54" t="s">
        <v>203</v>
      </c>
      <c r="G61" s="50" t="s">
        <v>565</v>
      </c>
      <c r="H61" s="64" t="s">
        <v>75</v>
      </c>
      <c r="I61" s="50"/>
      <c r="J61" s="50" t="s">
        <v>213</v>
      </c>
      <c r="K61" s="50" t="s">
        <v>215</v>
      </c>
      <c r="L61" s="50" t="s">
        <v>79</v>
      </c>
      <c r="M61" s="50">
        <v>6</v>
      </c>
      <c r="N61" s="64" t="s">
        <v>428</v>
      </c>
      <c r="O61" s="64"/>
      <c r="P61" s="50">
        <v>7</v>
      </c>
      <c r="Q61" s="50"/>
      <c r="R61" s="50">
        <v>1</v>
      </c>
      <c r="S61" s="50"/>
      <c r="T61" s="50">
        <v>10</v>
      </c>
      <c r="V61" s="50"/>
      <c r="W61" s="50" t="s">
        <v>1110</v>
      </c>
      <c r="X61" s="50"/>
      <c r="Y61" s="50"/>
      <c r="Z61" s="50"/>
      <c r="AA61" s="50"/>
      <c r="AB61" s="50">
        <v>399</v>
      </c>
      <c r="AD61" s="50">
        <f t="shared" si="7"/>
        <v>319.20000000000005</v>
      </c>
      <c r="AF61" s="48" t="s">
        <v>1218</v>
      </c>
      <c r="AG61" s="48" t="s">
        <v>215</v>
      </c>
      <c r="AH61" s="50"/>
      <c r="AI61" s="50" t="s">
        <v>219</v>
      </c>
      <c r="AJ61" s="50" t="s">
        <v>218</v>
      </c>
      <c r="AK61" s="50">
        <v>1.6</v>
      </c>
      <c r="AL61" s="50">
        <v>28</v>
      </c>
      <c r="AM61" s="50" t="s">
        <v>209</v>
      </c>
      <c r="AN61" s="50" t="s">
        <v>529</v>
      </c>
      <c r="AO61" s="50"/>
      <c r="AP61" s="50"/>
      <c r="AR61" s="50">
        <v>0.11409090909090901</v>
      </c>
      <c r="AS61" s="50">
        <v>9.5454545454539963E-3</v>
      </c>
      <c r="AT61" s="137"/>
      <c r="AU61" s="50"/>
      <c r="AV61" s="50"/>
      <c r="AW61" s="50"/>
      <c r="AX61" s="50"/>
      <c r="AY61" s="50"/>
      <c r="AZ61" s="50"/>
      <c r="BA61" s="50"/>
      <c r="BB61" s="50"/>
      <c r="BC61" s="50"/>
      <c r="BD61" s="50"/>
      <c r="BE61" s="50"/>
      <c r="BF61" s="50"/>
      <c r="BG61" s="50"/>
      <c r="BH61" s="50"/>
      <c r="BI61" s="50"/>
      <c r="BJ61" s="50"/>
    </row>
    <row r="62" spans="1:62" s="51" customFormat="1">
      <c r="A62" s="50" t="s">
        <v>202</v>
      </c>
      <c r="B62" s="50" t="s">
        <v>525</v>
      </c>
      <c r="C62" s="50"/>
      <c r="D62" s="50" t="s">
        <v>672</v>
      </c>
      <c r="E62" s="50" t="s">
        <v>623</v>
      </c>
      <c r="F62" s="54" t="s">
        <v>203</v>
      </c>
      <c r="G62" s="50" t="s">
        <v>565</v>
      </c>
      <c r="H62" s="64" t="s">
        <v>75</v>
      </c>
      <c r="I62" s="50"/>
      <c r="J62" s="50" t="s">
        <v>213</v>
      </c>
      <c r="K62" s="50" t="s">
        <v>215</v>
      </c>
      <c r="L62" s="50" t="s">
        <v>79</v>
      </c>
      <c r="M62" s="50">
        <v>6</v>
      </c>
      <c r="N62" s="64" t="s">
        <v>428</v>
      </c>
      <c r="O62" s="64"/>
      <c r="P62" s="50">
        <v>9</v>
      </c>
      <c r="Q62" s="50"/>
      <c r="R62" s="50">
        <v>1</v>
      </c>
      <c r="S62" s="50"/>
      <c r="T62" s="50">
        <v>10</v>
      </c>
      <c r="V62" s="50"/>
      <c r="W62" s="50" t="s">
        <v>1110</v>
      </c>
      <c r="X62" s="50"/>
      <c r="Y62" s="50"/>
      <c r="Z62" s="50"/>
      <c r="AA62" s="50"/>
      <c r="AB62" s="50">
        <v>399</v>
      </c>
      <c r="AD62" s="50">
        <f t="shared" si="7"/>
        <v>319.20000000000005</v>
      </c>
      <c r="AF62" s="48" t="s">
        <v>1218</v>
      </c>
      <c r="AG62" s="48" t="s">
        <v>215</v>
      </c>
      <c r="AH62" s="50"/>
      <c r="AI62" s="50" t="s">
        <v>219</v>
      </c>
      <c r="AJ62" s="50" t="s">
        <v>218</v>
      </c>
      <c r="AK62" s="50">
        <v>2.5</v>
      </c>
      <c r="AL62" s="50">
        <v>28.9</v>
      </c>
      <c r="AM62" s="50" t="s">
        <v>209</v>
      </c>
      <c r="AN62" s="50" t="s">
        <v>529</v>
      </c>
      <c r="AO62" s="50"/>
      <c r="AP62" s="50"/>
      <c r="AR62" s="50">
        <v>8.9090909090909096E-2</v>
      </c>
      <c r="AS62" s="50">
        <v>7.2727272727272085E-3</v>
      </c>
      <c r="AT62" s="137"/>
      <c r="AU62" s="50"/>
      <c r="AV62" s="50"/>
      <c r="AW62" s="50"/>
      <c r="AX62" s="50"/>
      <c r="AY62" s="50"/>
      <c r="AZ62" s="50"/>
      <c r="BA62" s="50"/>
      <c r="BB62" s="50"/>
      <c r="BC62" s="50"/>
      <c r="BD62" s="50"/>
      <c r="BE62" s="50"/>
      <c r="BF62" s="50"/>
      <c r="BG62" s="50"/>
      <c r="BH62" s="50"/>
      <c r="BI62" s="50"/>
      <c r="BJ62" s="50"/>
    </row>
    <row r="63" spans="1:62" s="51" customFormat="1">
      <c r="A63" s="50" t="s">
        <v>202</v>
      </c>
      <c r="B63" s="50" t="s">
        <v>525</v>
      </c>
      <c r="C63" s="50"/>
      <c r="D63" s="50" t="s">
        <v>672</v>
      </c>
      <c r="E63" s="50" t="s">
        <v>623</v>
      </c>
      <c r="F63" s="54" t="s">
        <v>203</v>
      </c>
      <c r="G63" s="50" t="s">
        <v>565</v>
      </c>
      <c r="H63" s="64" t="s">
        <v>75</v>
      </c>
      <c r="I63" s="50"/>
      <c r="J63" s="50" t="s">
        <v>213</v>
      </c>
      <c r="K63" s="50" t="s">
        <v>215</v>
      </c>
      <c r="L63" s="50" t="s">
        <v>79</v>
      </c>
      <c r="M63" s="50">
        <v>6</v>
      </c>
      <c r="N63" s="64" t="s">
        <v>428</v>
      </c>
      <c r="O63" s="64"/>
      <c r="P63" s="50">
        <v>5</v>
      </c>
      <c r="Q63" s="50"/>
      <c r="R63" s="50">
        <v>1</v>
      </c>
      <c r="S63" s="50"/>
      <c r="T63" s="50">
        <v>10</v>
      </c>
      <c r="V63" s="50"/>
      <c r="W63" s="50" t="s">
        <v>1110</v>
      </c>
      <c r="X63" s="50"/>
      <c r="Y63" s="50"/>
      <c r="Z63" s="50"/>
      <c r="AA63" s="50"/>
      <c r="AB63" s="50">
        <v>399</v>
      </c>
      <c r="AD63" s="50">
        <f t="shared" si="7"/>
        <v>319.20000000000005</v>
      </c>
      <c r="AF63" s="48" t="s">
        <v>1218</v>
      </c>
      <c r="AG63" s="48" t="s">
        <v>215</v>
      </c>
      <c r="AH63" s="50"/>
      <c r="AI63" s="50" t="s">
        <v>219</v>
      </c>
      <c r="AJ63" s="50" t="s">
        <v>218</v>
      </c>
      <c r="AK63" s="50">
        <v>3.2</v>
      </c>
      <c r="AL63" s="50">
        <v>29.6</v>
      </c>
      <c r="AM63" s="50" t="s">
        <v>209</v>
      </c>
      <c r="AN63" s="50" t="s">
        <v>529</v>
      </c>
      <c r="AO63" s="50"/>
      <c r="AP63" s="50"/>
      <c r="AR63" s="50">
        <v>7.3636363636363597E-2</v>
      </c>
      <c r="AS63" s="50">
        <v>9.0909090909091078E-3</v>
      </c>
      <c r="AT63" s="137"/>
      <c r="AU63" s="50"/>
      <c r="AV63" s="50"/>
      <c r="AW63" s="50"/>
      <c r="AX63" s="50"/>
      <c r="AY63" s="50"/>
      <c r="AZ63" s="50"/>
      <c r="BA63" s="50"/>
      <c r="BB63" s="50"/>
      <c r="BC63" s="50"/>
      <c r="BD63" s="50"/>
      <c r="BE63" s="50"/>
      <c r="BF63" s="50"/>
      <c r="BG63" s="50"/>
      <c r="BH63" s="50"/>
      <c r="BI63" s="50"/>
      <c r="BJ63" s="50"/>
    </row>
    <row r="64" spans="1:62" s="72" customFormat="1">
      <c r="A64" s="68" t="s">
        <v>202</v>
      </c>
      <c r="B64" s="68" t="s">
        <v>525</v>
      </c>
      <c r="C64" s="68"/>
      <c r="D64" s="68" t="s">
        <v>672</v>
      </c>
      <c r="E64" s="68" t="s">
        <v>623</v>
      </c>
      <c r="F64" s="69" t="s">
        <v>203</v>
      </c>
      <c r="G64" s="68" t="s">
        <v>565</v>
      </c>
      <c r="H64" s="70" t="s">
        <v>204</v>
      </c>
      <c r="I64" s="68"/>
      <c r="J64" s="68" t="s">
        <v>213</v>
      </c>
      <c r="K64" s="68" t="s">
        <v>215</v>
      </c>
      <c r="L64" s="68" t="s">
        <v>79</v>
      </c>
      <c r="M64" s="68">
        <v>6</v>
      </c>
      <c r="N64" s="70" t="s">
        <v>429</v>
      </c>
      <c r="O64" s="70"/>
      <c r="P64" s="71">
        <v>3.5</v>
      </c>
      <c r="Q64" s="68"/>
      <c r="R64" s="68">
        <v>1</v>
      </c>
      <c r="S64" s="68"/>
      <c r="T64" s="68">
        <v>10</v>
      </c>
      <c r="V64" s="68"/>
      <c r="W64" s="50" t="s">
        <v>1110</v>
      </c>
      <c r="X64" s="68"/>
      <c r="Y64" s="68"/>
      <c r="Z64" s="68"/>
      <c r="AA64" s="68"/>
      <c r="AB64" s="68">
        <v>104</v>
      </c>
      <c r="AD64" s="50">
        <f t="shared" si="7"/>
        <v>83.2</v>
      </c>
      <c r="AF64" s="48" t="s">
        <v>1218</v>
      </c>
      <c r="AG64" s="48" t="s">
        <v>215</v>
      </c>
      <c r="AH64" s="68"/>
      <c r="AI64" s="68" t="s">
        <v>219</v>
      </c>
      <c r="AJ64" s="68" t="s">
        <v>219</v>
      </c>
      <c r="AK64" s="68">
        <v>0</v>
      </c>
      <c r="AL64" s="68">
        <v>26.4</v>
      </c>
      <c r="AM64" s="68" t="s">
        <v>209</v>
      </c>
      <c r="AN64" s="68" t="s">
        <v>529</v>
      </c>
      <c r="AO64" s="68"/>
      <c r="AP64" s="68"/>
      <c r="AR64" s="68">
        <v>2.9090909090909001E-2</v>
      </c>
      <c r="AS64" s="68">
        <v>1.1363636363636402E-2</v>
      </c>
      <c r="AT64" s="138"/>
      <c r="AU64" s="68"/>
      <c r="AV64" s="68"/>
      <c r="AW64" s="68"/>
      <c r="AX64" s="68"/>
      <c r="AY64" s="68"/>
      <c r="AZ64" s="68"/>
      <c r="BA64" s="68"/>
      <c r="BB64" s="68"/>
      <c r="BC64" s="68"/>
      <c r="BD64" s="68"/>
      <c r="BE64" s="68"/>
      <c r="BF64" s="68"/>
      <c r="BG64" s="68"/>
      <c r="BH64" s="68"/>
      <c r="BI64" s="68"/>
      <c r="BJ64" s="68"/>
    </row>
    <row r="65" spans="1:62" s="72" customFormat="1">
      <c r="A65" s="68" t="s">
        <v>202</v>
      </c>
      <c r="B65" s="68" t="s">
        <v>525</v>
      </c>
      <c r="C65" s="68"/>
      <c r="D65" s="68" t="s">
        <v>672</v>
      </c>
      <c r="E65" s="68" t="s">
        <v>623</v>
      </c>
      <c r="F65" s="69" t="s">
        <v>203</v>
      </c>
      <c r="G65" s="68" t="s">
        <v>565</v>
      </c>
      <c r="H65" s="70" t="s">
        <v>204</v>
      </c>
      <c r="I65" s="68"/>
      <c r="J65" s="68" t="s">
        <v>213</v>
      </c>
      <c r="K65" s="68" t="s">
        <v>215</v>
      </c>
      <c r="L65" s="68" t="s">
        <v>79</v>
      </c>
      <c r="M65" s="68">
        <v>6</v>
      </c>
      <c r="N65" s="70" t="s">
        <v>429</v>
      </c>
      <c r="O65" s="70"/>
      <c r="P65" s="68">
        <v>8</v>
      </c>
      <c r="Q65" s="68"/>
      <c r="R65" s="68">
        <v>1</v>
      </c>
      <c r="S65" s="68"/>
      <c r="T65" s="68">
        <v>10</v>
      </c>
      <c r="V65" s="68"/>
      <c r="W65" s="50" t="s">
        <v>1110</v>
      </c>
      <c r="X65" s="68"/>
      <c r="Y65" s="68"/>
      <c r="Z65" s="68"/>
      <c r="AA65" s="68"/>
      <c r="AB65" s="68">
        <v>104</v>
      </c>
      <c r="AD65" s="50">
        <f t="shared" si="7"/>
        <v>83.2</v>
      </c>
      <c r="AF65" s="48" t="s">
        <v>1218</v>
      </c>
      <c r="AG65" s="48" t="s">
        <v>215</v>
      </c>
      <c r="AH65" s="68"/>
      <c r="AI65" s="68" t="s">
        <v>219</v>
      </c>
      <c r="AJ65" s="68" t="s">
        <v>219</v>
      </c>
      <c r="AK65" s="68">
        <v>0.6</v>
      </c>
      <c r="AL65" s="68">
        <v>27</v>
      </c>
      <c r="AM65" s="68" t="s">
        <v>209</v>
      </c>
      <c r="AN65" s="68" t="s">
        <v>529</v>
      </c>
      <c r="AO65" s="68"/>
      <c r="AP65" s="68"/>
      <c r="AR65" s="68">
        <v>5.7272727272727197E-2</v>
      </c>
      <c r="AS65" s="68">
        <v>7.7272727272728048E-3</v>
      </c>
      <c r="AT65" s="138"/>
      <c r="AU65" s="68"/>
      <c r="AV65" s="68"/>
      <c r="AW65" s="68"/>
      <c r="AX65" s="68"/>
      <c r="AY65" s="68"/>
      <c r="AZ65" s="68"/>
      <c r="BA65" s="68"/>
      <c r="BB65" s="68"/>
      <c r="BC65" s="68"/>
      <c r="BD65" s="68"/>
      <c r="BE65" s="68"/>
      <c r="BF65" s="68"/>
      <c r="BG65" s="68"/>
      <c r="BH65" s="68"/>
      <c r="BI65" s="68"/>
      <c r="BJ65" s="68"/>
    </row>
    <row r="66" spans="1:62" s="72" customFormat="1">
      <c r="A66" s="68" t="s">
        <v>202</v>
      </c>
      <c r="B66" s="68" t="s">
        <v>525</v>
      </c>
      <c r="C66" s="68"/>
      <c r="D66" s="68" t="s">
        <v>672</v>
      </c>
      <c r="E66" s="68" t="s">
        <v>623</v>
      </c>
      <c r="F66" s="69" t="s">
        <v>203</v>
      </c>
      <c r="G66" s="68" t="s">
        <v>565</v>
      </c>
      <c r="H66" s="70" t="s">
        <v>204</v>
      </c>
      <c r="I66" s="68"/>
      <c r="J66" s="68" t="s">
        <v>213</v>
      </c>
      <c r="K66" s="68" t="s">
        <v>215</v>
      </c>
      <c r="L66" s="68" t="s">
        <v>79</v>
      </c>
      <c r="M66" s="68">
        <v>6</v>
      </c>
      <c r="N66" s="70" t="s">
        <v>429</v>
      </c>
      <c r="O66" s="70"/>
      <c r="P66" s="68">
        <v>7</v>
      </c>
      <c r="Q66" s="68"/>
      <c r="R66" s="68">
        <v>1</v>
      </c>
      <c r="S66" s="68"/>
      <c r="T66" s="68">
        <v>10</v>
      </c>
      <c r="V66" s="68"/>
      <c r="W66" s="50" t="s">
        <v>1110</v>
      </c>
      <c r="X66" s="68"/>
      <c r="Y66" s="68"/>
      <c r="Z66" s="68"/>
      <c r="AA66" s="68"/>
      <c r="AB66" s="68">
        <v>104</v>
      </c>
      <c r="AD66" s="50">
        <f t="shared" si="7"/>
        <v>83.2</v>
      </c>
      <c r="AF66" s="48" t="s">
        <v>1218</v>
      </c>
      <c r="AG66" s="48" t="s">
        <v>215</v>
      </c>
      <c r="AH66" s="68"/>
      <c r="AI66" s="68" t="s">
        <v>219</v>
      </c>
      <c r="AJ66" s="68" t="s">
        <v>218</v>
      </c>
      <c r="AK66" s="68">
        <v>1.6</v>
      </c>
      <c r="AL66" s="68">
        <v>28</v>
      </c>
      <c r="AM66" s="68" t="s">
        <v>209</v>
      </c>
      <c r="AN66" s="68" t="s">
        <v>529</v>
      </c>
      <c r="AO66" s="68"/>
      <c r="AP66" s="68"/>
      <c r="AR66" s="68">
        <v>5.7272727272727197E-2</v>
      </c>
      <c r="AS66" s="68">
        <v>3.6363636363637014E-3</v>
      </c>
      <c r="AT66" s="138"/>
      <c r="AU66" s="68"/>
      <c r="AV66" s="68"/>
      <c r="AW66" s="68"/>
      <c r="AX66" s="68"/>
      <c r="AY66" s="68"/>
      <c r="AZ66" s="68"/>
      <c r="BA66" s="68"/>
      <c r="BB66" s="68"/>
      <c r="BC66" s="68"/>
      <c r="BD66" s="68"/>
      <c r="BE66" s="68"/>
      <c r="BF66" s="68"/>
      <c r="BG66" s="68"/>
      <c r="BH66" s="68"/>
      <c r="BI66" s="68"/>
      <c r="BJ66" s="68"/>
    </row>
    <row r="67" spans="1:62" s="72" customFormat="1">
      <c r="A67" s="68" t="s">
        <v>202</v>
      </c>
      <c r="B67" s="68" t="s">
        <v>525</v>
      </c>
      <c r="C67" s="68"/>
      <c r="D67" s="68" t="s">
        <v>672</v>
      </c>
      <c r="E67" s="68" t="s">
        <v>623</v>
      </c>
      <c r="F67" s="69" t="s">
        <v>203</v>
      </c>
      <c r="G67" s="68" t="s">
        <v>565</v>
      </c>
      <c r="H67" s="70" t="s">
        <v>204</v>
      </c>
      <c r="I67" s="68"/>
      <c r="J67" s="68" t="s">
        <v>213</v>
      </c>
      <c r="K67" s="68" t="s">
        <v>215</v>
      </c>
      <c r="L67" s="68" t="s">
        <v>79</v>
      </c>
      <c r="M67" s="68">
        <v>6</v>
      </c>
      <c r="N67" s="70" t="s">
        <v>429</v>
      </c>
      <c r="O67" s="70"/>
      <c r="P67" s="68">
        <v>9</v>
      </c>
      <c r="Q67" s="68"/>
      <c r="R67" s="68">
        <v>1</v>
      </c>
      <c r="S67" s="68"/>
      <c r="T67" s="68">
        <v>10</v>
      </c>
      <c r="V67" s="68"/>
      <c r="W67" s="50" t="s">
        <v>1110</v>
      </c>
      <c r="X67" s="68"/>
      <c r="Y67" s="68"/>
      <c r="Z67" s="68"/>
      <c r="AA67" s="68"/>
      <c r="AB67" s="68">
        <v>104</v>
      </c>
      <c r="AD67" s="50">
        <f t="shared" si="7"/>
        <v>83.2</v>
      </c>
      <c r="AF67" s="48" t="s">
        <v>1218</v>
      </c>
      <c r="AG67" s="48" t="s">
        <v>215</v>
      </c>
      <c r="AH67" s="68"/>
      <c r="AI67" s="68" t="s">
        <v>219</v>
      </c>
      <c r="AJ67" s="68" t="s">
        <v>218</v>
      </c>
      <c r="AK67" s="68">
        <v>2.5</v>
      </c>
      <c r="AL67" s="68">
        <v>28.9</v>
      </c>
      <c r="AM67" s="68" t="s">
        <v>209</v>
      </c>
      <c r="AN67" s="68" t="s">
        <v>529</v>
      </c>
      <c r="AO67" s="68"/>
      <c r="AP67" s="68"/>
      <c r="AR67" s="68">
        <v>4.5909090909090899E-2</v>
      </c>
      <c r="AS67" s="68">
        <v>4.0909090909089993E-3</v>
      </c>
      <c r="AT67" s="138"/>
      <c r="AU67" s="68"/>
      <c r="AV67" s="68"/>
      <c r="AW67" s="68"/>
      <c r="AX67" s="68"/>
      <c r="AY67" s="68"/>
      <c r="AZ67" s="68"/>
      <c r="BA67" s="68"/>
      <c r="BB67" s="68"/>
      <c r="BC67" s="68"/>
      <c r="BD67" s="68"/>
      <c r="BE67" s="68"/>
      <c r="BF67" s="68"/>
      <c r="BG67" s="68"/>
      <c r="BH67" s="68"/>
      <c r="BI67" s="68"/>
      <c r="BJ67" s="68"/>
    </row>
    <row r="68" spans="1:62" s="72" customFormat="1">
      <c r="A68" s="68" t="s">
        <v>202</v>
      </c>
      <c r="B68" s="68" t="s">
        <v>525</v>
      </c>
      <c r="C68" s="68"/>
      <c r="D68" s="68" t="s">
        <v>672</v>
      </c>
      <c r="E68" s="68" t="s">
        <v>623</v>
      </c>
      <c r="F68" s="69" t="s">
        <v>203</v>
      </c>
      <c r="G68" s="68" t="s">
        <v>565</v>
      </c>
      <c r="H68" s="70" t="s">
        <v>204</v>
      </c>
      <c r="I68" s="68"/>
      <c r="J68" s="68" t="s">
        <v>213</v>
      </c>
      <c r="K68" s="68" t="s">
        <v>215</v>
      </c>
      <c r="L68" s="68" t="s">
        <v>79</v>
      </c>
      <c r="M68" s="68">
        <v>6</v>
      </c>
      <c r="N68" s="70" t="s">
        <v>429</v>
      </c>
      <c r="O68" s="70"/>
      <c r="P68" s="68">
        <v>5</v>
      </c>
      <c r="Q68" s="68"/>
      <c r="R68" s="68">
        <v>1</v>
      </c>
      <c r="S68" s="68"/>
      <c r="T68" s="68">
        <v>10</v>
      </c>
      <c r="V68" s="68"/>
      <c r="W68" s="50" t="s">
        <v>1110</v>
      </c>
      <c r="X68" s="68"/>
      <c r="Y68" s="68"/>
      <c r="Z68" s="68"/>
      <c r="AA68" s="68"/>
      <c r="AB68" s="68">
        <v>104</v>
      </c>
      <c r="AD68" s="50">
        <f t="shared" si="7"/>
        <v>83.2</v>
      </c>
      <c r="AF68" s="48" t="s">
        <v>1218</v>
      </c>
      <c r="AG68" s="48" t="s">
        <v>215</v>
      </c>
      <c r="AH68" s="68"/>
      <c r="AI68" s="68" t="s">
        <v>219</v>
      </c>
      <c r="AJ68" s="68" t="s">
        <v>218</v>
      </c>
      <c r="AK68" s="68">
        <v>3.2</v>
      </c>
      <c r="AL68" s="68">
        <v>29.6</v>
      </c>
      <c r="AM68" s="68" t="s">
        <v>209</v>
      </c>
      <c r="AN68" s="68" t="s">
        <v>529</v>
      </c>
      <c r="AO68" s="68"/>
      <c r="AP68" s="68"/>
      <c r="AR68" s="68">
        <v>3.8181818181818102E-2</v>
      </c>
      <c r="AS68" s="68">
        <v>4.0909090909090964E-3</v>
      </c>
      <c r="AT68" s="138"/>
      <c r="AU68" s="68"/>
      <c r="AV68" s="68"/>
      <c r="AW68" s="68"/>
      <c r="AX68" s="68"/>
      <c r="AY68" s="68"/>
      <c r="AZ68" s="68"/>
      <c r="BA68" s="68"/>
      <c r="BB68" s="68"/>
      <c r="BC68" s="68"/>
      <c r="BD68" s="68"/>
      <c r="BE68" s="68"/>
      <c r="BF68" s="68"/>
      <c r="BG68" s="68"/>
      <c r="BH68" s="68"/>
      <c r="BI68" s="68"/>
      <c r="BJ68" s="68"/>
    </row>
    <row r="69" spans="1:62" s="77" customFormat="1">
      <c r="A69" s="73" t="s">
        <v>202</v>
      </c>
      <c r="B69" s="73" t="s">
        <v>525</v>
      </c>
      <c r="C69" s="73"/>
      <c r="D69" s="73" t="s">
        <v>672</v>
      </c>
      <c r="E69" s="73" t="s">
        <v>623</v>
      </c>
      <c r="F69" s="74" t="s">
        <v>203</v>
      </c>
      <c r="G69" s="73" t="s">
        <v>565</v>
      </c>
      <c r="H69" s="75" t="s">
        <v>205</v>
      </c>
      <c r="I69" s="73"/>
      <c r="J69" s="73" t="s">
        <v>213</v>
      </c>
      <c r="K69" s="73" t="s">
        <v>215</v>
      </c>
      <c r="L69" s="73" t="s">
        <v>79</v>
      </c>
      <c r="M69" s="73">
        <v>6</v>
      </c>
      <c r="N69" s="73">
        <v>4</v>
      </c>
      <c r="O69" s="73"/>
      <c r="P69" s="76">
        <v>3.5</v>
      </c>
      <c r="Q69" s="73"/>
      <c r="R69" s="73">
        <v>1</v>
      </c>
      <c r="S69" s="73"/>
      <c r="T69" s="73">
        <v>10</v>
      </c>
      <c r="V69" s="73"/>
      <c r="W69" s="50" t="s">
        <v>1110</v>
      </c>
      <c r="X69" s="73"/>
      <c r="Y69" s="73"/>
      <c r="Z69" s="73"/>
      <c r="AA69" s="73"/>
      <c r="AB69" s="73">
        <v>392</v>
      </c>
      <c r="AD69" s="50">
        <f t="shared" si="7"/>
        <v>313.60000000000002</v>
      </c>
      <c r="AF69" s="48" t="s">
        <v>1218</v>
      </c>
      <c r="AG69" s="48" t="s">
        <v>215</v>
      </c>
      <c r="AH69" s="73"/>
      <c r="AI69" s="73" t="s">
        <v>219</v>
      </c>
      <c r="AJ69" s="73" t="s">
        <v>219</v>
      </c>
      <c r="AK69" s="73">
        <v>0</v>
      </c>
      <c r="AL69" s="73">
        <v>26.4</v>
      </c>
      <c r="AM69" s="73" t="s">
        <v>209</v>
      </c>
      <c r="AN69" s="73" t="s">
        <v>529</v>
      </c>
      <c r="AO69" s="73"/>
      <c r="AP69" s="73"/>
      <c r="AR69" s="73">
        <v>8.7727272727272695E-2</v>
      </c>
      <c r="AS69" s="73">
        <v>5.4545454545455035E-3</v>
      </c>
      <c r="AT69" s="139"/>
      <c r="AU69" s="73"/>
      <c r="AV69" s="73"/>
      <c r="AW69" s="73"/>
      <c r="AX69" s="73"/>
      <c r="AY69" s="73"/>
      <c r="AZ69" s="73"/>
      <c r="BA69" s="73"/>
      <c r="BB69" s="73"/>
      <c r="BC69" s="73"/>
      <c r="BD69" s="73"/>
      <c r="BE69" s="73"/>
      <c r="BF69" s="73"/>
      <c r="BG69" s="73"/>
      <c r="BH69" s="73"/>
      <c r="BI69" s="73"/>
      <c r="BJ69" s="73"/>
    </row>
    <row r="70" spans="1:62" s="77" customFormat="1">
      <c r="A70" s="73" t="s">
        <v>202</v>
      </c>
      <c r="B70" s="73" t="s">
        <v>525</v>
      </c>
      <c r="C70" s="73"/>
      <c r="D70" s="73" t="s">
        <v>672</v>
      </c>
      <c r="E70" s="73" t="s">
        <v>623</v>
      </c>
      <c r="F70" s="74" t="s">
        <v>203</v>
      </c>
      <c r="G70" s="73" t="s">
        <v>565</v>
      </c>
      <c r="H70" s="75" t="s">
        <v>205</v>
      </c>
      <c r="I70" s="73"/>
      <c r="J70" s="73" t="s">
        <v>213</v>
      </c>
      <c r="K70" s="73" t="s">
        <v>215</v>
      </c>
      <c r="L70" s="73" t="s">
        <v>79</v>
      </c>
      <c r="M70" s="73">
        <v>6</v>
      </c>
      <c r="N70" s="73">
        <v>2</v>
      </c>
      <c r="O70" s="73"/>
      <c r="P70" s="73">
        <v>7</v>
      </c>
      <c r="Q70" s="73"/>
      <c r="R70" s="73">
        <v>1</v>
      </c>
      <c r="S70" s="73"/>
      <c r="T70" s="73">
        <v>10</v>
      </c>
      <c r="V70" s="73"/>
      <c r="W70" s="50" t="s">
        <v>1110</v>
      </c>
      <c r="X70" s="73"/>
      <c r="Y70" s="73"/>
      <c r="Z70" s="73"/>
      <c r="AA70" s="73"/>
      <c r="AB70" s="73">
        <v>392</v>
      </c>
      <c r="AD70" s="50">
        <f t="shared" si="7"/>
        <v>313.60000000000002</v>
      </c>
      <c r="AF70" s="48" t="s">
        <v>1218</v>
      </c>
      <c r="AG70" s="48" t="s">
        <v>215</v>
      </c>
      <c r="AH70" s="73"/>
      <c r="AI70" s="73" t="s">
        <v>219</v>
      </c>
      <c r="AJ70" s="73" t="s">
        <v>218</v>
      </c>
      <c r="AK70" s="73">
        <v>1.6</v>
      </c>
      <c r="AL70" s="73">
        <v>28</v>
      </c>
      <c r="AM70" s="73" t="s">
        <v>209</v>
      </c>
      <c r="AN70" s="73" t="s">
        <v>529</v>
      </c>
      <c r="AO70" s="73"/>
      <c r="AP70" s="73"/>
      <c r="AR70" s="73">
        <v>9.5454545454545403E-2</v>
      </c>
      <c r="AS70" s="73">
        <v>5.4545454545446015E-3</v>
      </c>
      <c r="AT70" s="139"/>
      <c r="AU70" s="73"/>
      <c r="AV70" s="73"/>
      <c r="AW70" s="73"/>
      <c r="AX70" s="73"/>
      <c r="AY70" s="73"/>
      <c r="AZ70" s="73"/>
      <c r="BA70" s="73"/>
      <c r="BB70" s="73"/>
      <c r="BC70" s="73"/>
      <c r="BD70" s="73"/>
      <c r="BE70" s="73"/>
      <c r="BF70" s="73"/>
      <c r="BG70" s="73"/>
      <c r="BH70" s="73"/>
      <c r="BI70" s="73"/>
      <c r="BJ70" s="73"/>
    </row>
    <row r="71" spans="1:62" s="77" customFormat="1">
      <c r="A71" s="73" t="s">
        <v>202</v>
      </c>
      <c r="B71" s="73" t="s">
        <v>525</v>
      </c>
      <c r="C71" s="73"/>
      <c r="D71" s="73" t="s">
        <v>672</v>
      </c>
      <c r="E71" s="73" t="s">
        <v>623</v>
      </c>
      <c r="F71" s="74" t="s">
        <v>203</v>
      </c>
      <c r="G71" s="73" t="s">
        <v>565</v>
      </c>
      <c r="H71" s="75" t="s">
        <v>205</v>
      </c>
      <c r="I71" s="73"/>
      <c r="J71" s="73" t="s">
        <v>213</v>
      </c>
      <c r="K71" s="73" t="s">
        <v>215</v>
      </c>
      <c r="L71" s="73" t="s">
        <v>79</v>
      </c>
      <c r="M71" s="73">
        <v>6</v>
      </c>
      <c r="N71" s="73">
        <v>1</v>
      </c>
      <c r="O71" s="73"/>
      <c r="P71" s="73">
        <v>5</v>
      </c>
      <c r="Q71" s="73"/>
      <c r="R71" s="73">
        <v>1</v>
      </c>
      <c r="S71" s="73"/>
      <c r="T71" s="73">
        <v>10</v>
      </c>
      <c r="V71" s="73"/>
      <c r="W71" s="50" t="s">
        <v>1110</v>
      </c>
      <c r="X71" s="73"/>
      <c r="Y71" s="73"/>
      <c r="Z71" s="73"/>
      <c r="AA71" s="73"/>
      <c r="AB71" s="73">
        <v>392</v>
      </c>
      <c r="AD71" s="50">
        <f t="shared" si="7"/>
        <v>313.60000000000002</v>
      </c>
      <c r="AF71" s="48" t="s">
        <v>1218</v>
      </c>
      <c r="AG71" s="48" t="s">
        <v>215</v>
      </c>
      <c r="AH71" s="73"/>
      <c r="AI71" s="73" t="s">
        <v>219</v>
      </c>
      <c r="AJ71" s="73" t="s">
        <v>218</v>
      </c>
      <c r="AK71" s="73">
        <v>3.2</v>
      </c>
      <c r="AL71" s="73">
        <v>29.6</v>
      </c>
      <c r="AM71" s="73" t="s">
        <v>209</v>
      </c>
      <c r="AN71" s="73" t="s">
        <v>529</v>
      </c>
      <c r="AO71" s="73"/>
      <c r="AP71" s="73"/>
      <c r="AR71" s="73">
        <v>6.2272727272727202E-2</v>
      </c>
      <c r="AS71" s="73">
        <v>3.6363636363637014E-3</v>
      </c>
      <c r="AT71" s="139"/>
      <c r="AU71" s="73"/>
      <c r="AV71" s="73"/>
      <c r="AW71" s="73"/>
      <c r="AX71" s="73"/>
      <c r="AY71" s="73"/>
      <c r="AZ71" s="73"/>
      <c r="BA71" s="73"/>
      <c r="BB71" s="73"/>
      <c r="BC71" s="73"/>
      <c r="BD71" s="73"/>
      <c r="BE71" s="73"/>
      <c r="BF71" s="73"/>
      <c r="BG71" s="73"/>
      <c r="BH71" s="73"/>
      <c r="BI71" s="73"/>
      <c r="BJ71" s="73"/>
    </row>
    <row r="72" spans="1:62" s="150" customFormat="1">
      <c r="A72" s="136" t="s">
        <v>221</v>
      </c>
      <c r="B72" s="136" t="s">
        <v>673</v>
      </c>
      <c r="C72" s="136"/>
      <c r="D72" s="136" t="s">
        <v>672</v>
      </c>
      <c r="E72" s="136" t="s">
        <v>624</v>
      </c>
      <c r="F72" s="148" t="s">
        <v>229</v>
      </c>
      <c r="G72" s="148" t="s">
        <v>566</v>
      </c>
      <c r="H72" s="149" t="s">
        <v>228</v>
      </c>
      <c r="I72" s="136" t="s">
        <v>236</v>
      </c>
      <c r="J72" s="136" t="s">
        <v>213</v>
      </c>
      <c r="K72" s="136" t="s">
        <v>215</v>
      </c>
      <c r="L72" s="136" t="s">
        <v>79</v>
      </c>
      <c r="M72" s="136"/>
      <c r="N72" s="136">
        <v>6</v>
      </c>
      <c r="O72" s="136"/>
      <c r="P72" s="136" t="s">
        <v>233</v>
      </c>
      <c r="Q72" s="136"/>
      <c r="R72" s="136">
        <v>2</v>
      </c>
      <c r="S72" s="136"/>
      <c r="T72" s="136"/>
      <c r="U72" s="136"/>
      <c r="V72" s="136"/>
      <c r="W72" s="136"/>
      <c r="X72" s="136"/>
      <c r="Y72" s="136"/>
      <c r="Z72" s="136"/>
      <c r="AA72" s="136"/>
      <c r="AB72" s="136"/>
      <c r="AC72" s="136"/>
      <c r="AD72" s="50">
        <v>20.88</v>
      </c>
      <c r="AE72" s="136"/>
      <c r="AF72" s="133" t="s">
        <v>1144</v>
      </c>
      <c r="AG72" s="48" t="s">
        <v>215</v>
      </c>
      <c r="AH72" s="136"/>
      <c r="AI72" s="136" t="s">
        <v>219</v>
      </c>
      <c r="AJ72" s="136" t="s">
        <v>230</v>
      </c>
      <c r="AK72" s="136">
        <v>-2</v>
      </c>
      <c r="AL72" s="136">
        <v>26</v>
      </c>
      <c r="AM72" s="136">
        <f>24*60</f>
        <v>1440</v>
      </c>
      <c r="AN72" s="136" t="s">
        <v>529</v>
      </c>
      <c r="AO72" s="136"/>
      <c r="AP72" s="136"/>
      <c r="AR72" s="136">
        <v>8.8888888888888795E-2</v>
      </c>
      <c r="AS72" s="136">
        <v>1.6666666666666205E-2</v>
      </c>
      <c r="AT72" s="136"/>
      <c r="AU72" s="136"/>
      <c r="AV72" s="136"/>
      <c r="AW72" s="136">
        <v>0.12727272727272701</v>
      </c>
      <c r="AX72" s="136">
        <v>4.3636363636363001E-2</v>
      </c>
      <c r="AY72" s="136"/>
      <c r="AZ72" s="136"/>
      <c r="BA72" s="136"/>
      <c r="BB72" s="136"/>
      <c r="BC72" s="136"/>
      <c r="BD72" s="136"/>
      <c r="BE72" s="136" t="s">
        <v>231</v>
      </c>
      <c r="BF72" s="136"/>
      <c r="BH72" s="136">
        <v>74.285714285714306</v>
      </c>
      <c r="BI72" s="136">
        <v>4.8979591836734002</v>
      </c>
      <c r="BJ72" s="136">
        <v>24</v>
      </c>
    </row>
    <row r="73" spans="1:62" s="150" customFormat="1">
      <c r="A73" s="136" t="s">
        <v>221</v>
      </c>
      <c r="B73" s="136" t="s">
        <v>673</v>
      </c>
      <c r="C73" s="136"/>
      <c r="D73" s="136" t="s">
        <v>672</v>
      </c>
      <c r="E73" s="136" t="s">
        <v>624</v>
      </c>
      <c r="F73" s="148" t="s">
        <v>229</v>
      </c>
      <c r="G73" s="148" t="s">
        <v>566</v>
      </c>
      <c r="H73" s="149" t="s">
        <v>228</v>
      </c>
      <c r="I73" s="136" t="s">
        <v>236</v>
      </c>
      <c r="J73" s="136" t="s">
        <v>213</v>
      </c>
      <c r="K73" s="136" t="s">
        <v>215</v>
      </c>
      <c r="L73" s="136" t="s">
        <v>79</v>
      </c>
      <c r="M73" s="136"/>
      <c r="N73" s="136">
        <v>10</v>
      </c>
      <c r="O73" s="136"/>
      <c r="P73" s="136" t="s">
        <v>233</v>
      </c>
      <c r="Q73" s="136"/>
      <c r="R73" s="136">
        <v>2</v>
      </c>
      <c r="S73" s="136">
        <v>5</v>
      </c>
      <c r="T73" s="136">
        <v>11</v>
      </c>
      <c r="V73" s="136"/>
      <c r="W73" s="136" t="s">
        <v>1113</v>
      </c>
      <c r="X73" s="136"/>
      <c r="Y73" s="136"/>
      <c r="Z73" s="136">
        <v>3.55</v>
      </c>
      <c r="AA73" s="136">
        <v>0.25</v>
      </c>
      <c r="AB73" s="136"/>
      <c r="AC73" s="136"/>
      <c r="AD73" s="50">
        <v>20.88</v>
      </c>
      <c r="AE73" s="136"/>
      <c r="AF73" s="133" t="s">
        <v>1144</v>
      </c>
      <c r="AG73" s="48" t="s">
        <v>215</v>
      </c>
      <c r="AH73" s="136"/>
      <c r="AI73" s="136" t="s">
        <v>219</v>
      </c>
      <c r="AJ73" s="136" t="s">
        <v>219</v>
      </c>
      <c r="AK73" s="136">
        <v>0</v>
      </c>
      <c r="AL73" s="136">
        <v>28</v>
      </c>
      <c r="AM73" s="136">
        <f t="shared" ref="AM73:AM74" si="8">24*60</f>
        <v>1440</v>
      </c>
      <c r="AN73" s="136" t="s">
        <v>529</v>
      </c>
      <c r="AO73" s="136"/>
      <c r="AP73" s="136"/>
      <c r="AR73" s="136">
        <v>0.12962962962962901</v>
      </c>
      <c r="AS73" s="136">
        <v>1.6666666666666996E-2</v>
      </c>
      <c r="AT73" s="136"/>
      <c r="AU73" s="136"/>
      <c r="AV73" s="136"/>
      <c r="AW73" s="136">
        <v>0.205454545454545</v>
      </c>
      <c r="AX73" s="136">
        <v>2.1818181818181986E-2</v>
      </c>
      <c r="AY73" s="136"/>
      <c r="AZ73" s="136"/>
      <c r="BA73" s="136" t="s">
        <v>234</v>
      </c>
      <c r="BB73" s="136"/>
      <c r="BC73" s="136"/>
      <c r="BD73" s="136"/>
      <c r="BE73" s="136" t="s">
        <v>231</v>
      </c>
      <c r="BF73" s="136"/>
      <c r="BH73" s="136">
        <v>89.387755102040899</v>
      </c>
      <c r="BI73" s="136">
        <v>3.6734693877550999</v>
      </c>
      <c r="BJ73" s="136">
        <v>24</v>
      </c>
    </row>
    <row r="74" spans="1:62" s="150" customFormat="1">
      <c r="A74" s="136" t="s">
        <v>221</v>
      </c>
      <c r="B74" s="136" t="s">
        <v>673</v>
      </c>
      <c r="C74" s="136"/>
      <c r="D74" s="136" t="s">
        <v>672</v>
      </c>
      <c r="E74" s="136" t="s">
        <v>624</v>
      </c>
      <c r="F74" s="148" t="s">
        <v>229</v>
      </c>
      <c r="G74" s="148" t="s">
        <v>566</v>
      </c>
      <c r="H74" s="149" t="s">
        <v>228</v>
      </c>
      <c r="I74" s="136" t="s">
        <v>236</v>
      </c>
      <c r="J74" s="136" t="s">
        <v>213</v>
      </c>
      <c r="K74" s="136" t="s">
        <v>215</v>
      </c>
      <c r="L74" s="136" t="s">
        <v>79</v>
      </c>
      <c r="M74" s="136"/>
      <c r="N74" s="136">
        <v>4</v>
      </c>
      <c r="O74" s="136"/>
      <c r="P74" s="136" t="s">
        <v>233</v>
      </c>
      <c r="Q74" s="136"/>
      <c r="R74" s="136">
        <v>2</v>
      </c>
      <c r="S74" s="136"/>
      <c r="T74" s="136"/>
      <c r="U74" s="136"/>
      <c r="V74" s="136"/>
      <c r="W74" s="136"/>
      <c r="X74" s="136"/>
      <c r="Y74" s="136"/>
      <c r="Z74" s="136"/>
      <c r="AA74" s="136"/>
      <c r="AB74" s="136"/>
      <c r="AC74" s="136"/>
      <c r="AD74" s="50">
        <v>20.88</v>
      </c>
      <c r="AE74" s="136"/>
      <c r="AF74" s="133" t="s">
        <v>1144</v>
      </c>
      <c r="AG74" s="48" t="s">
        <v>215</v>
      </c>
      <c r="AH74" s="136"/>
      <c r="AI74" s="136" t="s">
        <v>219</v>
      </c>
      <c r="AJ74" s="136" t="s">
        <v>218</v>
      </c>
      <c r="AK74" s="136">
        <v>5</v>
      </c>
      <c r="AL74" s="136">
        <v>33</v>
      </c>
      <c r="AM74" s="136">
        <f t="shared" si="8"/>
        <v>1440</v>
      </c>
      <c r="AN74" s="136" t="s">
        <v>529</v>
      </c>
      <c r="AO74" s="136"/>
      <c r="AP74" s="136"/>
      <c r="AR74" s="136">
        <v>0.13518518518518499</v>
      </c>
      <c r="AS74" s="136">
        <v>1.8518518518520211E-3</v>
      </c>
      <c r="AT74" s="136"/>
      <c r="AU74" s="136"/>
      <c r="AV74" s="136"/>
      <c r="AW74" s="136">
        <v>0.11090909090909</v>
      </c>
      <c r="AX74" s="136">
        <v>2.5454545454545993E-2</v>
      </c>
      <c r="AY74" s="136"/>
      <c r="AZ74" s="136"/>
      <c r="BA74" s="136"/>
      <c r="BB74" s="136"/>
      <c r="BC74" s="136"/>
      <c r="BD74" s="136"/>
      <c r="BE74" s="136" t="s">
        <v>232</v>
      </c>
      <c r="BF74" s="136"/>
      <c r="BH74" s="136">
        <v>59.183673469387799</v>
      </c>
      <c r="BI74" s="136">
        <v>10.408163265306101</v>
      </c>
      <c r="BJ74" s="136">
        <v>24</v>
      </c>
    </row>
    <row r="75" spans="1:62" s="150" customFormat="1">
      <c r="A75" s="136" t="s">
        <v>221</v>
      </c>
      <c r="B75" s="136" t="s">
        <v>675</v>
      </c>
      <c r="C75" s="136"/>
      <c r="D75" s="136" t="s">
        <v>672</v>
      </c>
      <c r="E75" s="136" t="s">
        <v>624</v>
      </c>
      <c r="F75" s="148" t="s">
        <v>229</v>
      </c>
      <c r="G75" s="148" t="s">
        <v>566</v>
      </c>
      <c r="H75" s="149" t="s">
        <v>228</v>
      </c>
      <c r="I75" s="136" t="s">
        <v>236</v>
      </c>
      <c r="J75" s="136" t="s">
        <v>213</v>
      </c>
      <c r="K75" s="136" t="s">
        <v>215</v>
      </c>
      <c r="L75" s="136" t="s">
        <v>79</v>
      </c>
      <c r="M75" s="136"/>
      <c r="N75" s="136"/>
      <c r="O75" s="136"/>
      <c r="P75" s="136" t="s">
        <v>297</v>
      </c>
      <c r="Q75" s="136"/>
      <c r="R75" s="149" t="s">
        <v>430</v>
      </c>
      <c r="S75" s="136"/>
      <c r="T75" s="136"/>
      <c r="U75" s="136"/>
      <c r="V75" s="136"/>
      <c r="W75" s="136"/>
      <c r="X75" s="136"/>
      <c r="Y75" s="136"/>
      <c r="Z75" s="136"/>
      <c r="AA75" s="136"/>
      <c r="AB75" s="136"/>
      <c r="AC75" s="136"/>
      <c r="AD75" s="50">
        <v>20.88</v>
      </c>
      <c r="AE75" s="136"/>
      <c r="AF75" s="133" t="s">
        <v>1144</v>
      </c>
      <c r="AG75" s="48" t="s">
        <v>215</v>
      </c>
      <c r="AH75" s="136"/>
      <c r="AI75" s="136" t="s">
        <v>219</v>
      </c>
      <c r="AJ75" s="136" t="s">
        <v>219</v>
      </c>
      <c r="AK75" s="136">
        <v>0</v>
      </c>
      <c r="AL75" s="136">
        <v>28</v>
      </c>
      <c r="AM75" s="136" t="s">
        <v>305</v>
      </c>
      <c r="AN75" s="136" t="s">
        <v>529</v>
      </c>
      <c r="AO75" s="136"/>
      <c r="AP75" s="136"/>
      <c r="AR75" s="136">
        <v>0.16831476323119701</v>
      </c>
      <c r="AS75" s="136">
        <v>3.7952646239554994E-2</v>
      </c>
      <c r="AT75" s="136"/>
      <c r="AU75" s="136"/>
      <c r="AV75" s="136"/>
      <c r="AW75" s="136">
        <v>0.12583565459609999</v>
      </c>
      <c r="AX75" s="136">
        <v>4.5961002785515098E-2</v>
      </c>
      <c r="AY75" s="136"/>
      <c r="AZ75" s="136"/>
      <c r="BA75" s="136"/>
      <c r="BB75" s="136"/>
      <c r="BC75" s="136"/>
      <c r="BD75" s="136"/>
      <c r="BE75" s="136"/>
      <c r="BF75" s="136"/>
      <c r="BG75" s="136"/>
      <c r="BH75" s="136"/>
      <c r="BI75" s="136"/>
      <c r="BJ75" s="136">
        <v>24</v>
      </c>
    </row>
    <row r="76" spans="1:62" s="150" customFormat="1">
      <c r="A76" s="136" t="s">
        <v>221</v>
      </c>
      <c r="B76" s="136" t="s">
        <v>675</v>
      </c>
      <c r="C76" s="136"/>
      <c r="D76" s="136" t="s">
        <v>672</v>
      </c>
      <c r="E76" s="136" t="s">
        <v>624</v>
      </c>
      <c r="F76" s="148" t="s">
        <v>229</v>
      </c>
      <c r="G76" s="148" t="s">
        <v>566</v>
      </c>
      <c r="H76" s="149" t="s">
        <v>228</v>
      </c>
      <c r="I76" s="136" t="s">
        <v>236</v>
      </c>
      <c r="J76" s="136" t="s">
        <v>213</v>
      </c>
      <c r="K76" s="136" t="s">
        <v>215</v>
      </c>
      <c r="L76" s="136" t="s">
        <v>79</v>
      </c>
      <c r="M76" s="136"/>
      <c r="N76" s="136"/>
      <c r="O76" s="136"/>
      <c r="P76" s="136" t="s">
        <v>298</v>
      </c>
      <c r="Q76" s="136"/>
      <c r="R76" s="149" t="s">
        <v>430</v>
      </c>
      <c r="S76" s="136"/>
      <c r="T76" s="136"/>
      <c r="U76" s="136"/>
      <c r="V76" s="136"/>
      <c r="W76" s="136"/>
      <c r="X76" s="136"/>
      <c r="Y76" s="136"/>
      <c r="Z76" s="136"/>
      <c r="AA76" s="136"/>
      <c r="AB76" s="136"/>
      <c r="AC76" s="136"/>
      <c r="AD76" s="50">
        <v>20.88</v>
      </c>
      <c r="AE76" s="136"/>
      <c r="AF76" s="133" t="s">
        <v>1144</v>
      </c>
      <c r="AG76" s="48" t="s">
        <v>215</v>
      </c>
      <c r="AH76" s="136"/>
      <c r="AI76" s="136" t="s">
        <v>219</v>
      </c>
      <c r="AJ76" s="136" t="s">
        <v>219</v>
      </c>
      <c r="AK76" s="136">
        <v>0</v>
      </c>
      <c r="AL76" s="136">
        <v>28</v>
      </c>
      <c r="AM76" s="136" t="s">
        <v>305</v>
      </c>
      <c r="AN76" s="136" t="s">
        <v>529</v>
      </c>
      <c r="AO76" s="136"/>
      <c r="AP76" s="136"/>
      <c r="AR76" s="136">
        <v>0.114345403899721</v>
      </c>
      <c r="AS76" s="136">
        <v>4.5961002785514987E-2</v>
      </c>
      <c r="AT76" s="136"/>
      <c r="AU76" s="136"/>
      <c r="AV76" s="136"/>
      <c r="AW76" s="136">
        <v>0.12698467966573801</v>
      </c>
      <c r="AX76" s="136">
        <v>4.9442896935933012E-2</v>
      </c>
      <c r="AY76" s="136"/>
      <c r="AZ76" s="136"/>
      <c r="BA76" s="136">
        <v>5833.3333333333203</v>
      </c>
      <c r="BB76" s="136">
        <v>227.27272727272975</v>
      </c>
      <c r="BC76" s="136"/>
      <c r="BD76" s="136"/>
      <c r="BE76" s="136"/>
      <c r="BF76" s="136"/>
      <c r="BG76" s="136"/>
      <c r="BH76" s="136"/>
      <c r="BI76" s="136"/>
      <c r="BJ76" s="136">
        <v>24</v>
      </c>
    </row>
    <row r="77" spans="1:62" s="150" customFormat="1">
      <c r="A77" s="136" t="s">
        <v>221</v>
      </c>
      <c r="B77" s="136" t="s">
        <v>675</v>
      </c>
      <c r="C77" s="136"/>
      <c r="D77" s="136" t="s">
        <v>672</v>
      </c>
      <c r="E77" s="136" t="s">
        <v>624</v>
      </c>
      <c r="F77" s="148" t="s">
        <v>229</v>
      </c>
      <c r="G77" s="148" t="s">
        <v>566</v>
      </c>
      <c r="H77" s="149" t="s">
        <v>228</v>
      </c>
      <c r="I77" s="136" t="s">
        <v>236</v>
      </c>
      <c r="J77" s="136" t="s">
        <v>213</v>
      </c>
      <c r="K77" s="136" t="s">
        <v>215</v>
      </c>
      <c r="L77" s="136" t="s">
        <v>79</v>
      </c>
      <c r="M77" s="136"/>
      <c r="N77" s="136"/>
      <c r="O77" s="136"/>
      <c r="P77" s="136" t="s">
        <v>299</v>
      </c>
      <c r="Q77" s="136"/>
      <c r="R77" s="149" t="s">
        <v>430</v>
      </c>
      <c r="S77" s="136"/>
      <c r="T77" s="136"/>
      <c r="U77" s="136"/>
      <c r="V77" s="136"/>
      <c r="W77" s="136"/>
      <c r="X77" s="136"/>
      <c r="Y77" s="136"/>
      <c r="Z77" s="136"/>
      <c r="AA77" s="136"/>
      <c r="AB77" s="136"/>
      <c r="AC77" s="136"/>
      <c r="AD77" s="50">
        <v>20.88</v>
      </c>
      <c r="AE77" s="136"/>
      <c r="AF77" s="133" t="s">
        <v>1144</v>
      </c>
      <c r="AG77" s="48" t="s">
        <v>215</v>
      </c>
      <c r="AH77" s="136"/>
      <c r="AI77" s="136" t="s">
        <v>219</v>
      </c>
      <c r="AJ77" s="136" t="s">
        <v>219</v>
      </c>
      <c r="AK77" s="136">
        <v>0</v>
      </c>
      <c r="AL77" s="136">
        <v>28</v>
      </c>
      <c r="AM77" s="136" t="s">
        <v>305</v>
      </c>
      <c r="AN77" s="136" t="s">
        <v>529</v>
      </c>
      <c r="AO77" s="136"/>
      <c r="AP77" s="136"/>
      <c r="AR77" s="136">
        <v>7.5278551532033305E-2</v>
      </c>
      <c r="AS77" s="136">
        <v>3.7883008356545692E-2</v>
      </c>
      <c r="AT77" s="136"/>
      <c r="AU77" s="136"/>
      <c r="AV77" s="136"/>
      <c r="AW77" s="136">
        <v>0.212012534818941</v>
      </c>
      <c r="AX77" s="136">
        <v>3.4435933147631992E-2</v>
      </c>
      <c r="AY77" s="136"/>
      <c r="AZ77" s="136"/>
      <c r="BA77" s="136">
        <v>4848.4848484848399</v>
      </c>
      <c r="BB77" s="136">
        <v>530.30303030303003</v>
      </c>
      <c r="BC77" s="136"/>
      <c r="BD77" s="136"/>
      <c r="BE77" s="136"/>
      <c r="BF77" s="136"/>
      <c r="BG77" s="136"/>
      <c r="BH77" s="136">
        <v>94.88372093023257</v>
      </c>
      <c r="BI77" s="136">
        <v>10.46511627906977</v>
      </c>
      <c r="BJ77" s="136">
        <v>24</v>
      </c>
    </row>
    <row r="78" spans="1:62" s="150" customFormat="1">
      <c r="A78" s="136" t="s">
        <v>221</v>
      </c>
      <c r="B78" s="136" t="s">
        <v>675</v>
      </c>
      <c r="C78" s="136"/>
      <c r="D78" s="136" t="s">
        <v>672</v>
      </c>
      <c r="E78" s="136" t="s">
        <v>624</v>
      </c>
      <c r="F78" s="148" t="s">
        <v>229</v>
      </c>
      <c r="G78" s="148" t="s">
        <v>566</v>
      </c>
      <c r="H78" s="149" t="s">
        <v>228</v>
      </c>
      <c r="I78" s="136" t="s">
        <v>236</v>
      </c>
      <c r="J78" s="136" t="s">
        <v>213</v>
      </c>
      <c r="K78" s="136" t="s">
        <v>215</v>
      </c>
      <c r="L78" s="136" t="s">
        <v>79</v>
      </c>
      <c r="M78" s="136"/>
      <c r="N78" s="136"/>
      <c r="O78" s="136"/>
      <c r="P78" s="136" t="s">
        <v>300</v>
      </c>
      <c r="Q78" s="136"/>
      <c r="R78" s="149" t="s">
        <v>430</v>
      </c>
      <c r="S78" s="136"/>
      <c r="T78" s="136"/>
      <c r="U78" s="136"/>
      <c r="V78" s="136"/>
      <c r="W78" s="136"/>
      <c r="X78" s="136"/>
      <c r="Y78" s="136"/>
      <c r="Z78" s="136"/>
      <c r="AA78" s="136"/>
      <c r="AB78" s="136"/>
      <c r="AC78" s="136"/>
      <c r="AD78" s="50">
        <v>20.88</v>
      </c>
      <c r="AE78" s="136"/>
      <c r="AF78" s="133" t="s">
        <v>1144</v>
      </c>
      <c r="AG78" s="48" t="s">
        <v>215</v>
      </c>
      <c r="AH78" s="136"/>
      <c r="AI78" s="136" t="s">
        <v>219</v>
      </c>
      <c r="AJ78" s="136" t="s">
        <v>219</v>
      </c>
      <c r="AK78" s="136">
        <v>0</v>
      </c>
      <c r="AL78" s="136">
        <v>28</v>
      </c>
      <c r="AM78" s="136" t="s">
        <v>305</v>
      </c>
      <c r="AN78" s="136" t="s">
        <v>529</v>
      </c>
      <c r="AO78" s="136"/>
      <c r="AP78" s="136"/>
      <c r="AR78" s="136">
        <v>0.103969359331476</v>
      </c>
      <c r="AS78" s="136">
        <v>1.2639275766016006E-2</v>
      </c>
      <c r="AT78" s="136"/>
      <c r="AU78" s="136"/>
      <c r="AV78" s="136"/>
      <c r="AW78" s="136">
        <v>0.20278551532033401</v>
      </c>
      <c r="AX78" s="136">
        <v>2.6392757660166993E-2</v>
      </c>
      <c r="AY78" s="136"/>
      <c r="AZ78" s="136"/>
      <c r="BA78" s="136">
        <v>5833.3333333333203</v>
      </c>
      <c r="BB78" s="136">
        <v>681.81818181818926</v>
      </c>
      <c r="BC78" s="136"/>
      <c r="BD78" s="136"/>
      <c r="BE78" s="136"/>
      <c r="BF78" s="136"/>
      <c r="BG78" s="136"/>
      <c r="BH78" s="136">
        <v>99.534883720930239</v>
      </c>
      <c r="BI78" s="136">
        <v>1.1627906976744191</v>
      </c>
      <c r="BJ78" s="136">
        <v>24</v>
      </c>
    </row>
    <row r="79" spans="1:62" s="150" customFormat="1">
      <c r="A79" s="136" t="s">
        <v>221</v>
      </c>
      <c r="B79" s="136" t="s">
        <v>675</v>
      </c>
      <c r="C79" s="136"/>
      <c r="D79" s="136" t="s">
        <v>672</v>
      </c>
      <c r="E79" s="136" t="s">
        <v>624</v>
      </c>
      <c r="F79" s="148" t="s">
        <v>229</v>
      </c>
      <c r="G79" s="148" t="s">
        <v>566</v>
      </c>
      <c r="H79" s="149" t="s">
        <v>228</v>
      </c>
      <c r="I79" s="136" t="s">
        <v>236</v>
      </c>
      <c r="J79" s="136" t="s">
        <v>213</v>
      </c>
      <c r="K79" s="136" t="s">
        <v>215</v>
      </c>
      <c r="L79" s="136" t="s">
        <v>79</v>
      </c>
      <c r="M79" s="136"/>
      <c r="N79" s="136"/>
      <c r="O79" s="136"/>
      <c r="P79" s="136" t="s">
        <v>301</v>
      </c>
      <c r="Q79" s="136"/>
      <c r="R79" s="149" t="s">
        <v>430</v>
      </c>
      <c r="S79" s="136"/>
      <c r="T79" s="136"/>
      <c r="U79" s="136"/>
      <c r="V79" s="136"/>
      <c r="W79" s="136"/>
      <c r="X79" s="136"/>
      <c r="Y79" s="136"/>
      <c r="Z79" s="136"/>
      <c r="AA79" s="136"/>
      <c r="AB79" s="136"/>
      <c r="AC79" s="136"/>
      <c r="AD79" s="50">
        <v>20.88</v>
      </c>
      <c r="AE79" s="136"/>
      <c r="AF79" s="133" t="s">
        <v>1144</v>
      </c>
      <c r="AG79" s="48" t="s">
        <v>215</v>
      </c>
      <c r="AH79" s="136"/>
      <c r="AI79" s="136" t="s">
        <v>219</v>
      </c>
      <c r="AJ79" s="136" t="s">
        <v>219</v>
      </c>
      <c r="AK79" s="136">
        <v>0</v>
      </c>
      <c r="AL79" s="136">
        <v>28</v>
      </c>
      <c r="AM79" s="136" t="s">
        <v>305</v>
      </c>
      <c r="AN79" s="136" t="s">
        <v>529</v>
      </c>
      <c r="AO79" s="136"/>
      <c r="AP79" s="136"/>
      <c r="AR79" s="136">
        <v>0.10052228412256201</v>
      </c>
      <c r="AS79" s="136">
        <v>2.4129526462395995E-2</v>
      </c>
      <c r="AT79" s="136"/>
      <c r="AU79" s="136"/>
      <c r="AV79" s="136"/>
      <c r="AW79" s="136">
        <v>0.18325208913648999</v>
      </c>
      <c r="AX79" s="136">
        <v>6.8941504178270108E-3</v>
      </c>
      <c r="AY79" s="136"/>
      <c r="AZ79" s="136"/>
      <c r="BA79" s="136">
        <v>9469.69696969697</v>
      </c>
      <c r="BB79" s="136">
        <v>1439.3939393939309</v>
      </c>
      <c r="BC79" s="136"/>
      <c r="BD79" s="136"/>
      <c r="BE79" s="136"/>
      <c r="BF79" s="136"/>
      <c r="BG79" s="136"/>
      <c r="BH79" s="136">
        <v>93.023255813953497</v>
      </c>
      <c r="BI79" s="136">
        <v>13.2558139534883</v>
      </c>
      <c r="BJ79" s="136">
        <v>24</v>
      </c>
    </row>
    <row r="80" spans="1:62" s="150" customFormat="1">
      <c r="A80" s="136" t="s">
        <v>221</v>
      </c>
      <c r="B80" s="136" t="s">
        <v>675</v>
      </c>
      <c r="C80" s="136"/>
      <c r="D80" s="136" t="s">
        <v>672</v>
      </c>
      <c r="E80" s="136" t="s">
        <v>624</v>
      </c>
      <c r="F80" s="148" t="s">
        <v>229</v>
      </c>
      <c r="G80" s="148" t="s">
        <v>566</v>
      </c>
      <c r="H80" s="149" t="s">
        <v>228</v>
      </c>
      <c r="I80" s="136" t="s">
        <v>236</v>
      </c>
      <c r="J80" s="136" t="s">
        <v>213</v>
      </c>
      <c r="K80" s="136" t="s">
        <v>215</v>
      </c>
      <c r="L80" s="136" t="s">
        <v>79</v>
      </c>
      <c r="M80" s="136"/>
      <c r="N80" s="136"/>
      <c r="O80" s="136"/>
      <c r="P80" s="136" t="s">
        <v>302</v>
      </c>
      <c r="Q80" s="136"/>
      <c r="R80" s="149" t="s">
        <v>430</v>
      </c>
      <c r="S80" s="136"/>
      <c r="T80" s="136"/>
      <c r="U80" s="136"/>
      <c r="V80" s="136"/>
      <c r="W80" s="136"/>
      <c r="X80" s="136"/>
      <c r="Y80" s="136"/>
      <c r="Z80" s="136"/>
      <c r="AA80" s="136"/>
      <c r="AB80" s="136"/>
      <c r="AC80" s="136"/>
      <c r="AD80" s="50">
        <v>20.88</v>
      </c>
      <c r="AE80" s="136"/>
      <c r="AF80" s="133" t="s">
        <v>1144</v>
      </c>
      <c r="AG80" s="48" t="s">
        <v>215</v>
      </c>
      <c r="AH80" s="136"/>
      <c r="AI80" s="136" t="s">
        <v>219</v>
      </c>
      <c r="AJ80" s="136" t="s">
        <v>219</v>
      </c>
      <c r="AK80" s="136">
        <v>0</v>
      </c>
      <c r="AL80" s="136">
        <v>28</v>
      </c>
      <c r="AM80" s="136" t="s">
        <v>305</v>
      </c>
      <c r="AN80" s="136" t="s">
        <v>529</v>
      </c>
      <c r="AO80" s="136"/>
      <c r="AP80" s="136"/>
      <c r="AR80" s="136">
        <v>0.16027158774373201</v>
      </c>
      <c r="AS80" s="136">
        <v>2.876044568245098E-2</v>
      </c>
      <c r="AT80" s="136"/>
      <c r="AU80" s="136"/>
      <c r="AV80" s="136"/>
      <c r="AW80" s="136">
        <v>0.21312674094707501</v>
      </c>
      <c r="AX80" s="136">
        <v>1.3753481894149988E-2</v>
      </c>
      <c r="AY80" s="136"/>
      <c r="AZ80" s="136"/>
      <c r="BA80" s="136">
        <v>12727.272727272701</v>
      </c>
      <c r="BB80" s="136">
        <v>1893.9393939393995</v>
      </c>
      <c r="BC80" s="136"/>
      <c r="BD80" s="136"/>
      <c r="BE80" s="136"/>
      <c r="BF80" s="136"/>
      <c r="BG80" s="136"/>
      <c r="BH80" s="136">
        <v>83.255813953488399</v>
      </c>
      <c r="BI80" s="136">
        <v>32.790697674418603</v>
      </c>
      <c r="BJ80" s="136">
        <v>24</v>
      </c>
    </row>
    <row r="81" spans="1:62" s="150" customFormat="1">
      <c r="A81" s="136" t="s">
        <v>221</v>
      </c>
      <c r="B81" s="136" t="s">
        <v>675</v>
      </c>
      <c r="C81" s="136"/>
      <c r="D81" s="136" t="s">
        <v>672</v>
      </c>
      <c r="E81" s="136" t="s">
        <v>624</v>
      </c>
      <c r="F81" s="148" t="s">
        <v>229</v>
      </c>
      <c r="G81" s="148" t="s">
        <v>566</v>
      </c>
      <c r="H81" s="149" t="s">
        <v>228</v>
      </c>
      <c r="I81" s="136" t="s">
        <v>236</v>
      </c>
      <c r="J81" s="136" t="s">
        <v>213</v>
      </c>
      <c r="K81" s="136" t="s">
        <v>215</v>
      </c>
      <c r="L81" s="136" t="s">
        <v>79</v>
      </c>
      <c r="M81" s="136"/>
      <c r="N81" s="136"/>
      <c r="O81" s="136"/>
      <c r="P81" s="136" t="s">
        <v>303</v>
      </c>
      <c r="Q81" s="136"/>
      <c r="R81" s="149" t="s">
        <v>430</v>
      </c>
      <c r="S81" s="136"/>
      <c r="T81" s="136"/>
      <c r="U81" s="136"/>
      <c r="V81" s="136"/>
      <c r="W81" s="136"/>
      <c r="X81" s="136"/>
      <c r="Y81" s="136"/>
      <c r="Z81" s="136"/>
      <c r="AA81" s="136"/>
      <c r="AB81" s="136"/>
      <c r="AC81" s="136"/>
      <c r="AD81" s="50">
        <v>20.88</v>
      </c>
      <c r="AE81" s="136"/>
      <c r="AF81" s="133" t="s">
        <v>1144</v>
      </c>
      <c r="AG81" s="48" t="s">
        <v>215</v>
      </c>
      <c r="AH81" s="136"/>
      <c r="AI81" s="136" t="s">
        <v>219</v>
      </c>
      <c r="AJ81" s="136" t="s">
        <v>219</v>
      </c>
      <c r="AK81" s="136">
        <v>0</v>
      </c>
      <c r="AL81" s="136">
        <v>28</v>
      </c>
      <c r="AM81" s="136" t="s">
        <v>305</v>
      </c>
      <c r="AN81" s="136" t="s">
        <v>529</v>
      </c>
      <c r="AO81" s="136"/>
      <c r="AP81" s="136"/>
      <c r="AR81" s="136">
        <v>0.18896239554317501</v>
      </c>
      <c r="AS81" s="136">
        <v>4.9442896935933012E-2</v>
      </c>
      <c r="AT81" s="136"/>
      <c r="AU81" s="136"/>
      <c r="AV81" s="136"/>
      <c r="AW81" s="136">
        <v>0.20734679665738101</v>
      </c>
      <c r="AX81" s="136">
        <v>6.6643454038996991E-2</v>
      </c>
      <c r="AY81" s="136"/>
      <c r="AZ81" s="136"/>
      <c r="BA81" s="136">
        <v>12500</v>
      </c>
      <c r="BB81" s="136">
        <v>3333.3333333332994</v>
      </c>
      <c r="BC81" s="136"/>
      <c r="BD81" s="136"/>
      <c r="BE81" s="136"/>
      <c r="BF81" s="136"/>
      <c r="BG81" s="136"/>
      <c r="BH81" s="136">
        <v>80</v>
      </c>
      <c r="BI81" s="136">
        <v>29.767441860465098</v>
      </c>
      <c r="BJ81" s="136">
        <v>24</v>
      </c>
    </row>
    <row r="82" spans="1:62" s="150" customFormat="1">
      <c r="A82" s="136" t="s">
        <v>221</v>
      </c>
      <c r="B82" s="136" t="s">
        <v>675</v>
      </c>
      <c r="C82" s="136"/>
      <c r="D82" s="136" t="s">
        <v>672</v>
      </c>
      <c r="E82" s="136" t="s">
        <v>624</v>
      </c>
      <c r="F82" s="148" t="s">
        <v>229</v>
      </c>
      <c r="G82" s="148" t="s">
        <v>566</v>
      </c>
      <c r="H82" s="149" t="s">
        <v>228</v>
      </c>
      <c r="I82" s="136" t="s">
        <v>236</v>
      </c>
      <c r="J82" s="136" t="s">
        <v>213</v>
      </c>
      <c r="K82" s="136" t="s">
        <v>215</v>
      </c>
      <c r="L82" s="136" t="s">
        <v>79</v>
      </c>
      <c r="M82" s="136"/>
      <c r="N82" s="136"/>
      <c r="O82" s="136"/>
      <c r="P82" s="136" t="s">
        <v>304</v>
      </c>
      <c r="Q82" s="136"/>
      <c r="R82" s="149" t="s">
        <v>430</v>
      </c>
      <c r="S82" s="136"/>
      <c r="T82" s="136"/>
      <c r="U82" s="136"/>
      <c r="V82" s="136"/>
      <c r="W82" s="136"/>
      <c r="X82" s="136"/>
      <c r="Y82" s="136"/>
      <c r="Z82" s="136"/>
      <c r="AA82" s="136"/>
      <c r="AB82" s="136"/>
      <c r="AC82" s="136"/>
      <c r="AD82" s="50">
        <v>20.88</v>
      </c>
      <c r="AE82" s="136"/>
      <c r="AF82" s="133" t="s">
        <v>1144</v>
      </c>
      <c r="AG82" s="48" t="s">
        <v>215</v>
      </c>
      <c r="AH82" s="136"/>
      <c r="AI82" s="136" t="s">
        <v>219</v>
      </c>
      <c r="AJ82" s="136" t="s">
        <v>219</v>
      </c>
      <c r="AK82" s="136">
        <v>0</v>
      </c>
      <c r="AL82" s="136">
        <v>28</v>
      </c>
      <c r="AM82" s="136" t="s">
        <v>305</v>
      </c>
      <c r="AN82" s="136"/>
      <c r="AO82" s="136"/>
      <c r="AP82" s="136"/>
      <c r="AQ82" s="136"/>
      <c r="AR82" s="136"/>
      <c r="AS82" s="136"/>
      <c r="AT82" s="136"/>
      <c r="AU82" s="136"/>
      <c r="AV82" s="136"/>
      <c r="AW82" s="136"/>
      <c r="AX82" s="136"/>
      <c r="AY82" s="136"/>
      <c r="AZ82" s="136"/>
      <c r="BA82" s="136"/>
      <c r="BB82" s="136"/>
      <c r="BC82" s="136"/>
      <c r="BD82" s="136"/>
      <c r="BE82" s="136"/>
      <c r="BF82" s="136"/>
      <c r="BG82" s="136"/>
      <c r="BH82" s="136">
        <v>89.767441860465198</v>
      </c>
      <c r="BI82" s="136">
        <v>0.46511627906979847</v>
      </c>
      <c r="BJ82" s="136">
        <v>24</v>
      </c>
    </row>
    <row r="83" spans="1:62" s="109" customFormat="1">
      <c r="A83" s="60" t="s">
        <v>244</v>
      </c>
      <c r="B83" s="60" t="s">
        <v>679</v>
      </c>
      <c r="C83" s="60"/>
      <c r="D83" s="60" t="s">
        <v>681</v>
      </c>
      <c r="E83" s="60" t="s">
        <v>623</v>
      </c>
      <c r="F83" s="107" t="s">
        <v>253</v>
      </c>
      <c r="G83" s="60" t="s">
        <v>565</v>
      </c>
      <c r="H83" s="66" t="s">
        <v>75</v>
      </c>
      <c r="I83" s="60"/>
      <c r="J83" s="60" t="s">
        <v>213</v>
      </c>
      <c r="K83" s="60" t="s">
        <v>215</v>
      </c>
      <c r="L83" s="60" t="s">
        <v>79</v>
      </c>
      <c r="M83" s="60" t="s">
        <v>250</v>
      </c>
      <c r="N83" s="60">
        <v>3</v>
      </c>
      <c r="O83" s="60"/>
      <c r="P83" s="60" t="s">
        <v>245</v>
      </c>
      <c r="Q83" s="60"/>
      <c r="R83" s="60">
        <v>1</v>
      </c>
      <c r="S83" s="60" t="s">
        <v>683</v>
      </c>
      <c r="T83" s="60" t="s">
        <v>685</v>
      </c>
      <c r="U83" s="60" t="s">
        <v>688</v>
      </c>
      <c r="V83" s="60"/>
      <c r="W83" s="60" t="s">
        <v>1140</v>
      </c>
      <c r="X83" s="60">
        <v>63.630461922596702</v>
      </c>
      <c r="Y83" s="60">
        <v>3.3757802746566981</v>
      </c>
      <c r="Z83" s="60"/>
      <c r="AA83" s="60"/>
      <c r="AD83" s="60">
        <f t="shared" ref="AD83:AE88" si="9">(X83*100)/69</f>
        <v>92.218060757386525</v>
      </c>
      <c r="AE83" s="60">
        <f t="shared" si="9"/>
        <v>4.8924351806618818</v>
      </c>
      <c r="AF83" s="60" t="s">
        <v>1143</v>
      </c>
      <c r="AG83" s="60" t="s">
        <v>215</v>
      </c>
      <c r="AH83" s="60"/>
      <c r="AI83" s="60" t="s">
        <v>219</v>
      </c>
      <c r="AJ83" s="60" t="s">
        <v>219</v>
      </c>
      <c r="AK83" s="60">
        <v>0</v>
      </c>
      <c r="AL83" s="60">
        <v>26</v>
      </c>
      <c r="AM83" s="60"/>
      <c r="AN83" s="108">
        <v>6.48888888888888</v>
      </c>
      <c r="AO83" s="108">
        <v>0.26666666666667016</v>
      </c>
      <c r="AP83" s="60" t="s">
        <v>570</v>
      </c>
      <c r="AQ83" s="60"/>
      <c r="AR83" s="60">
        <f>6.48888888888888/60</f>
        <v>0.10814814814814801</v>
      </c>
      <c r="AS83" s="60">
        <f>0.26666666666667/60</f>
        <v>4.4444444444445E-3</v>
      </c>
      <c r="AT83" s="140"/>
      <c r="AU83" s="60"/>
      <c r="AV83" s="60"/>
      <c r="AW83" s="60"/>
      <c r="AX83" s="60"/>
      <c r="AY83" s="60"/>
      <c r="AZ83" s="60"/>
      <c r="BA83" s="60"/>
      <c r="BB83" s="60"/>
      <c r="BC83" s="60"/>
      <c r="BD83" s="60"/>
      <c r="BE83" s="60" t="s">
        <v>247</v>
      </c>
      <c r="BF83" s="60"/>
      <c r="BG83" s="60">
        <v>24</v>
      </c>
      <c r="BH83" s="60"/>
      <c r="BI83" s="60"/>
      <c r="BJ83" s="60"/>
    </row>
    <row r="84" spans="1:62" s="109" customFormat="1">
      <c r="A84" s="60" t="s">
        <v>244</v>
      </c>
      <c r="B84" s="60" t="s">
        <v>679</v>
      </c>
      <c r="C84" s="60"/>
      <c r="D84" s="60" t="s">
        <v>681</v>
      </c>
      <c r="E84" s="60" t="s">
        <v>623</v>
      </c>
      <c r="F84" s="107" t="s">
        <v>253</v>
      </c>
      <c r="G84" s="60" t="s">
        <v>565</v>
      </c>
      <c r="H84" s="66" t="s">
        <v>75</v>
      </c>
      <c r="I84" s="60"/>
      <c r="J84" s="60" t="s">
        <v>213</v>
      </c>
      <c r="K84" s="60" t="s">
        <v>215</v>
      </c>
      <c r="L84" s="60" t="s">
        <v>79</v>
      </c>
      <c r="M84" s="60" t="s">
        <v>250</v>
      </c>
      <c r="N84" s="60">
        <v>3</v>
      </c>
      <c r="O84" s="60"/>
      <c r="P84" s="60" t="s">
        <v>245</v>
      </c>
      <c r="Q84" s="60"/>
      <c r="R84" s="60">
        <v>7</v>
      </c>
      <c r="S84" s="60" t="s">
        <v>683</v>
      </c>
      <c r="T84" s="60" t="s">
        <v>677</v>
      </c>
      <c r="U84" s="60"/>
      <c r="V84" s="60"/>
      <c r="W84" s="60" t="s">
        <v>1140</v>
      </c>
      <c r="X84" s="60">
        <v>59.106117353308299</v>
      </c>
      <c r="Y84" s="60">
        <v>2.8614232209737978</v>
      </c>
      <c r="Z84" s="60"/>
      <c r="AA84" s="60"/>
      <c r="AD84" s="60">
        <f t="shared" si="9"/>
        <v>85.661039642475799</v>
      </c>
      <c r="AE84" s="60">
        <f t="shared" si="9"/>
        <v>4.1469901753243441</v>
      </c>
      <c r="AF84" s="60" t="s">
        <v>1143</v>
      </c>
      <c r="AG84" s="60" t="s">
        <v>215</v>
      </c>
      <c r="AH84" s="60"/>
      <c r="AI84" s="60" t="s">
        <v>219</v>
      </c>
      <c r="AJ84" s="60" t="s">
        <v>219</v>
      </c>
      <c r="AK84" s="60">
        <v>0</v>
      </c>
      <c r="AL84" s="60">
        <v>26</v>
      </c>
      <c r="AM84" s="60"/>
      <c r="AN84" s="108">
        <v>7.4222222222222198</v>
      </c>
      <c r="AO84" s="108">
        <v>0.6222222222222209</v>
      </c>
      <c r="AP84" s="60" t="s">
        <v>570</v>
      </c>
      <c r="AQ84" s="60"/>
      <c r="AR84" s="60">
        <f>7.42222222222222/60</f>
        <v>0.12370370370370366</v>
      </c>
      <c r="AS84" s="60">
        <f>0.622222222222221/60</f>
        <v>1.0370370370370351E-2</v>
      </c>
      <c r="AT84" s="140"/>
      <c r="AU84" s="60"/>
      <c r="AV84" s="60"/>
      <c r="AW84" s="60"/>
      <c r="AX84" s="60"/>
      <c r="AY84" s="60"/>
      <c r="AZ84" s="60"/>
      <c r="BA84" s="60"/>
      <c r="BB84" s="60"/>
      <c r="BC84" s="60"/>
      <c r="BD84" s="60"/>
      <c r="BE84" s="60"/>
      <c r="BF84" s="60"/>
      <c r="BG84" s="60">
        <v>24</v>
      </c>
      <c r="BH84" s="60"/>
      <c r="BI84" s="60"/>
      <c r="BJ84" s="60"/>
    </row>
    <row r="85" spans="1:62" s="109" customFormat="1">
      <c r="A85" s="60" t="s">
        <v>244</v>
      </c>
      <c r="B85" s="60" t="s">
        <v>679</v>
      </c>
      <c r="C85" s="60"/>
      <c r="D85" s="60" t="s">
        <v>681</v>
      </c>
      <c r="E85" s="60" t="s">
        <v>623</v>
      </c>
      <c r="F85" s="107" t="s">
        <v>253</v>
      </c>
      <c r="G85" s="60" t="s">
        <v>565</v>
      </c>
      <c r="H85" s="66" t="s">
        <v>75</v>
      </c>
      <c r="I85" s="60"/>
      <c r="J85" s="60" t="s">
        <v>213</v>
      </c>
      <c r="K85" s="60" t="s">
        <v>215</v>
      </c>
      <c r="L85" s="60" t="s">
        <v>79</v>
      </c>
      <c r="M85" s="60" t="s">
        <v>250</v>
      </c>
      <c r="N85" s="60">
        <v>3</v>
      </c>
      <c r="O85" s="60"/>
      <c r="P85" s="60" t="s">
        <v>245</v>
      </c>
      <c r="Q85" s="60"/>
      <c r="R85" s="60">
        <v>14</v>
      </c>
      <c r="S85" s="60" t="s">
        <v>683</v>
      </c>
      <c r="T85" s="60" t="s">
        <v>677</v>
      </c>
      <c r="U85" s="60"/>
      <c r="V85" s="60"/>
      <c r="W85" s="60" t="s">
        <v>1140</v>
      </c>
      <c r="X85" s="60">
        <v>47.061173533083597</v>
      </c>
      <c r="Y85" s="60">
        <v>2.8564294631710041</v>
      </c>
      <c r="Z85" s="60"/>
      <c r="AA85" s="60"/>
      <c r="AD85" s="60">
        <f t="shared" si="9"/>
        <v>68.204599323309552</v>
      </c>
      <c r="AE85" s="60">
        <f t="shared" si="9"/>
        <v>4.1397528451753676</v>
      </c>
      <c r="AF85" s="60" t="s">
        <v>1143</v>
      </c>
      <c r="AG85" s="60" t="s">
        <v>215</v>
      </c>
      <c r="AH85" s="60"/>
      <c r="AI85" s="60" t="s">
        <v>219</v>
      </c>
      <c r="AJ85" s="60" t="s">
        <v>219</v>
      </c>
      <c r="AK85" s="60">
        <v>0</v>
      </c>
      <c r="AL85" s="60">
        <v>26</v>
      </c>
      <c r="AM85" s="60"/>
      <c r="AN85" s="108">
        <v>7.1999999999999904</v>
      </c>
      <c r="AO85" s="108">
        <v>1.4222222222222296</v>
      </c>
      <c r="AP85" s="60" t="s">
        <v>570</v>
      </c>
      <c r="AQ85" s="60"/>
      <c r="AR85" s="60">
        <f>7.19999999999999/60</f>
        <v>0.11999999999999984</v>
      </c>
      <c r="AS85" s="60">
        <f>1.42222222222223/60</f>
        <v>2.3703703703703834E-2</v>
      </c>
      <c r="AT85" s="140"/>
      <c r="AU85" s="60"/>
      <c r="AV85" s="60"/>
      <c r="AW85" s="60"/>
      <c r="AX85" s="60"/>
      <c r="AY85" s="60"/>
      <c r="AZ85" s="60"/>
      <c r="BA85" s="60"/>
      <c r="BB85" s="60"/>
      <c r="BC85" s="60"/>
      <c r="BD85" s="60"/>
      <c r="BE85" s="60" t="s">
        <v>248</v>
      </c>
      <c r="BF85" s="60"/>
      <c r="BG85" s="60">
        <v>24</v>
      </c>
      <c r="BH85" s="60"/>
      <c r="BI85" s="60"/>
      <c r="BJ85" s="60"/>
    </row>
    <row r="86" spans="1:62" s="109" customFormat="1">
      <c r="A86" s="60" t="s">
        <v>244</v>
      </c>
      <c r="B86" s="60" t="s">
        <v>679</v>
      </c>
      <c r="C86" s="60"/>
      <c r="D86" s="60" t="s">
        <v>681</v>
      </c>
      <c r="E86" s="60" t="s">
        <v>623</v>
      </c>
      <c r="F86" s="107" t="s">
        <v>253</v>
      </c>
      <c r="G86" s="60" t="s">
        <v>565</v>
      </c>
      <c r="H86" s="66" t="s">
        <v>75</v>
      </c>
      <c r="I86" s="60"/>
      <c r="J86" s="60" t="s">
        <v>213</v>
      </c>
      <c r="K86" s="60" t="s">
        <v>215</v>
      </c>
      <c r="L86" s="60" t="s">
        <v>79</v>
      </c>
      <c r="M86" s="60" t="s">
        <v>250</v>
      </c>
      <c r="N86" s="60">
        <v>3</v>
      </c>
      <c r="O86" s="60"/>
      <c r="P86" s="60" t="s">
        <v>245</v>
      </c>
      <c r="Q86" s="60"/>
      <c r="R86" s="60">
        <v>21</v>
      </c>
      <c r="S86" s="60" t="s">
        <v>683</v>
      </c>
      <c r="T86" s="60" t="s">
        <v>677</v>
      </c>
      <c r="U86" s="60"/>
      <c r="V86" s="60"/>
      <c r="W86" s="60" t="s">
        <v>1140</v>
      </c>
      <c r="X86" s="60">
        <v>41.5031210986266</v>
      </c>
      <c r="Y86" s="60">
        <v>2.3370786516854025</v>
      </c>
      <c r="Z86" s="60"/>
      <c r="AA86" s="60"/>
      <c r="AD86" s="60">
        <f t="shared" si="9"/>
        <v>60.149450867574778</v>
      </c>
      <c r="AE86" s="60">
        <f t="shared" si="9"/>
        <v>3.3870705096889893</v>
      </c>
      <c r="AF86" s="60" t="s">
        <v>1143</v>
      </c>
      <c r="AG86" s="60" t="s">
        <v>215</v>
      </c>
      <c r="AH86" s="60"/>
      <c r="AI86" s="60" t="s">
        <v>219</v>
      </c>
      <c r="AJ86" s="60" t="s">
        <v>219</v>
      </c>
      <c r="AK86" s="60">
        <v>0</v>
      </c>
      <c r="AL86" s="60">
        <v>26</v>
      </c>
      <c r="AM86" s="60"/>
      <c r="AN86" s="108">
        <v>6.7999999999999901</v>
      </c>
      <c r="AO86" s="108">
        <v>1.4222222222222296</v>
      </c>
      <c r="AP86" s="60" t="s">
        <v>570</v>
      </c>
      <c r="AQ86" s="60"/>
      <c r="AR86" s="60">
        <f>6.79999999999999/60</f>
        <v>0.11333333333333316</v>
      </c>
      <c r="AS86" s="60">
        <f>1.42222222222223/60</f>
        <v>2.3703703703703834E-2</v>
      </c>
      <c r="AT86" s="140"/>
      <c r="AU86" s="60"/>
      <c r="AV86" s="60"/>
      <c r="AW86" s="60"/>
      <c r="AX86" s="60"/>
      <c r="AY86" s="60"/>
      <c r="AZ86" s="60"/>
      <c r="BA86" s="60"/>
      <c r="BB86" s="60"/>
      <c r="BC86" s="60"/>
      <c r="BD86" s="60"/>
      <c r="BE86" s="60"/>
      <c r="BF86" s="60"/>
      <c r="BG86" s="60">
        <v>24</v>
      </c>
      <c r="BH86" s="60"/>
      <c r="BI86" s="60"/>
      <c r="BJ86" s="60"/>
    </row>
    <row r="87" spans="1:62" s="60" customFormat="1">
      <c r="A87" s="60" t="s">
        <v>244</v>
      </c>
      <c r="B87" s="60" t="s">
        <v>679</v>
      </c>
      <c r="D87" s="60" t="s">
        <v>681</v>
      </c>
      <c r="E87" s="60" t="s">
        <v>623</v>
      </c>
      <c r="F87" s="107" t="s">
        <v>253</v>
      </c>
      <c r="G87" s="60" t="s">
        <v>565</v>
      </c>
      <c r="H87" s="66" t="s">
        <v>75</v>
      </c>
      <c r="J87" s="60" t="s">
        <v>213</v>
      </c>
      <c r="K87" s="60" t="s">
        <v>215</v>
      </c>
      <c r="L87" s="60" t="s">
        <v>79</v>
      </c>
      <c r="M87" s="60" t="s">
        <v>250</v>
      </c>
      <c r="N87" s="60">
        <v>3</v>
      </c>
      <c r="P87" s="60" t="s">
        <v>245</v>
      </c>
      <c r="R87" s="60">
        <v>30</v>
      </c>
      <c r="T87" s="60" t="s">
        <v>686</v>
      </c>
      <c r="U87" s="167" t="s">
        <v>689</v>
      </c>
      <c r="W87" s="60" t="s">
        <v>1140</v>
      </c>
      <c r="X87" s="60">
        <v>32.419475655430603</v>
      </c>
      <c r="Y87" s="60">
        <v>3.6354556803994953</v>
      </c>
      <c r="AD87" s="60">
        <f t="shared" si="9"/>
        <v>46.984747326711016</v>
      </c>
      <c r="AE87" s="60">
        <f t="shared" si="9"/>
        <v>5.2687763484050665</v>
      </c>
      <c r="AF87" s="60" t="s">
        <v>1143</v>
      </c>
      <c r="AG87" s="60" t="s">
        <v>215</v>
      </c>
      <c r="AI87" s="60" t="s">
        <v>219</v>
      </c>
      <c r="AJ87" s="60" t="s">
        <v>219</v>
      </c>
      <c r="AK87" s="60">
        <v>0</v>
      </c>
      <c r="AL87" s="60">
        <v>26</v>
      </c>
      <c r="AN87" s="167">
        <v>10.177777777777701</v>
      </c>
      <c r="AO87" s="167">
        <v>1.1999999999999993</v>
      </c>
      <c r="AP87" s="60" t="s">
        <v>570</v>
      </c>
      <c r="AR87" s="60">
        <f>10.1777777777777/60</f>
        <v>0.16962962962962835</v>
      </c>
      <c r="AS87" s="60">
        <f>1.2/60</f>
        <v>0.02</v>
      </c>
      <c r="AT87" s="140"/>
      <c r="BG87" s="60">
        <v>24</v>
      </c>
    </row>
    <row r="88" spans="1:62" s="60" customFormat="1">
      <c r="A88" s="60" t="s">
        <v>244</v>
      </c>
      <c r="B88" s="60" t="s">
        <v>679</v>
      </c>
      <c r="D88" s="60" t="s">
        <v>681</v>
      </c>
      <c r="E88" s="60" t="s">
        <v>623</v>
      </c>
      <c r="F88" s="107" t="s">
        <v>253</v>
      </c>
      <c r="G88" s="60" t="s">
        <v>565</v>
      </c>
      <c r="H88" s="66" t="s">
        <v>75</v>
      </c>
      <c r="J88" s="60" t="s">
        <v>213</v>
      </c>
      <c r="K88" s="60" t="s">
        <v>215</v>
      </c>
      <c r="L88" s="60" t="s">
        <v>79</v>
      </c>
      <c r="M88" s="60" t="s">
        <v>250</v>
      </c>
      <c r="N88" s="60">
        <v>3</v>
      </c>
      <c r="P88" s="60" t="s">
        <v>245</v>
      </c>
      <c r="R88" s="60">
        <v>31</v>
      </c>
      <c r="S88" s="60" t="s">
        <v>683</v>
      </c>
      <c r="T88" s="60" t="s">
        <v>677</v>
      </c>
      <c r="W88" s="60" t="s">
        <v>1140</v>
      </c>
      <c r="X88" s="60">
        <v>32.419475655430603</v>
      </c>
      <c r="Y88" s="60">
        <v>3.6354556803994953</v>
      </c>
      <c r="AD88" s="60">
        <f t="shared" si="9"/>
        <v>46.984747326711016</v>
      </c>
      <c r="AE88" s="60">
        <f t="shared" si="9"/>
        <v>5.2687763484050665</v>
      </c>
      <c r="AF88" s="60" t="s">
        <v>1143</v>
      </c>
      <c r="AG88" s="60" t="s">
        <v>215</v>
      </c>
      <c r="AI88" s="60" t="s">
        <v>219</v>
      </c>
      <c r="AJ88" s="60" t="s">
        <v>219</v>
      </c>
      <c r="AK88" s="60">
        <v>0</v>
      </c>
      <c r="AL88" s="60">
        <v>26</v>
      </c>
      <c r="AT88" s="140"/>
      <c r="BE88" s="60" t="s">
        <v>249</v>
      </c>
      <c r="BG88" s="60">
        <v>24</v>
      </c>
    </row>
    <row r="89" spans="1:62" s="114" customFormat="1">
      <c r="A89" s="110" t="s">
        <v>244</v>
      </c>
      <c r="B89" s="110" t="s">
        <v>680</v>
      </c>
      <c r="C89" s="110"/>
      <c r="D89" s="110" t="s">
        <v>682</v>
      </c>
      <c r="E89" s="110" t="s">
        <v>623</v>
      </c>
      <c r="F89" s="111" t="s">
        <v>253</v>
      </c>
      <c r="G89" s="111" t="s">
        <v>564</v>
      </c>
      <c r="H89" s="112" t="s">
        <v>22</v>
      </c>
      <c r="I89" s="110"/>
      <c r="J89" s="110" t="s">
        <v>214</v>
      </c>
      <c r="K89" s="110" t="s">
        <v>215</v>
      </c>
      <c r="L89" s="110" t="s">
        <v>79</v>
      </c>
      <c r="M89" s="110" t="s">
        <v>251</v>
      </c>
      <c r="N89" s="110">
        <v>3</v>
      </c>
      <c r="O89" s="110"/>
      <c r="P89" s="110" t="s">
        <v>246</v>
      </c>
      <c r="Q89" s="110"/>
      <c r="R89" s="110">
        <v>1</v>
      </c>
      <c r="S89" s="110" t="s">
        <v>684</v>
      </c>
      <c r="T89" s="110" t="s">
        <v>687</v>
      </c>
      <c r="U89" s="110" t="s">
        <v>690</v>
      </c>
      <c r="V89" s="110"/>
      <c r="W89" s="60" t="s">
        <v>1140</v>
      </c>
      <c r="X89" s="110">
        <v>13.515446817333601</v>
      </c>
      <c r="Y89" s="110">
        <v>0.43956043956039892</v>
      </c>
      <c r="Z89" s="110"/>
      <c r="AA89" s="110"/>
      <c r="AB89" s="110"/>
      <c r="AC89" s="110"/>
      <c r="AD89" s="110">
        <f>(X89*100)/59.5</f>
        <v>22.715036667787562</v>
      </c>
      <c r="AE89" s="110">
        <f>(Y89*100)/59.5</f>
        <v>0.73875704127798136</v>
      </c>
      <c r="AF89" s="60" t="s">
        <v>1425</v>
      </c>
      <c r="AG89" s="60" t="s">
        <v>215</v>
      </c>
      <c r="AH89" s="110"/>
      <c r="AI89" s="110" t="s">
        <v>219</v>
      </c>
      <c r="AJ89" s="110" t="s">
        <v>219</v>
      </c>
      <c r="AK89" s="110">
        <v>0</v>
      </c>
      <c r="AL89" s="110">
        <v>26</v>
      </c>
      <c r="AM89" s="110"/>
      <c r="AN89" s="113">
        <v>1.4418604651162701</v>
      </c>
      <c r="AO89" s="113">
        <v>0.25581395348837987</v>
      </c>
      <c r="AP89" s="110" t="s">
        <v>570</v>
      </c>
      <c r="AQ89" s="110"/>
      <c r="AR89" s="110">
        <f>1.44186046511627/60</f>
        <v>2.4031007751937835E-2</v>
      </c>
      <c r="AS89" s="110">
        <f>0.25581395348838/60</f>
        <v>4.263565891473E-3</v>
      </c>
      <c r="AT89" s="141"/>
      <c r="AU89" s="110"/>
      <c r="AV89" s="110"/>
      <c r="AW89" s="110"/>
      <c r="AX89" s="110"/>
      <c r="AY89" s="110"/>
      <c r="AZ89" s="110"/>
      <c r="BA89" s="110"/>
      <c r="BB89" s="110"/>
      <c r="BC89" s="110"/>
      <c r="BD89" s="110"/>
      <c r="BE89" s="110">
        <v>0</v>
      </c>
      <c r="BF89" s="110"/>
      <c r="BG89" s="110">
        <v>24</v>
      </c>
      <c r="BH89" s="110"/>
      <c r="BI89" s="110"/>
      <c r="BJ89" s="110"/>
    </row>
    <row r="90" spans="1:62" s="153" customFormat="1">
      <c r="A90" s="151" t="s">
        <v>244</v>
      </c>
      <c r="B90" s="151" t="s">
        <v>680</v>
      </c>
      <c r="C90" s="151"/>
      <c r="D90" s="151" t="s">
        <v>682</v>
      </c>
      <c r="E90" s="151" t="s">
        <v>623</v>
      </c>
      <c r="F90" s="155" t="s">
        <v>253</v>
      </c>
      <c r="G90" s="155" t="s">
        <v>564</v>
      </c>
      <c r="H90" s="152" t="s">
        <v>22</v>
      </c>
      <c r="I90" s="151"/>
      <c r="J90" s="151" t="s">
        <v>214</v>
      </c>
      <c r="K90" s="151" t="s">
        <v>215</v>
      </c>
      <c r="L90" s="151" t="s">
        <v>79</v>
      </c>
      <c r="M90" s="151" t="s">
        <v>251</v>
      </c>
      <c r="N90" s="151">
        <v>3</v>
      </c>
      <c r="O90" s="151"/>
      <c r="P90" s="151" t="s">
        <v>246</v>
      </c>
      <c r="Q90" s="151"/>
      <c r="R90" s="151">
        <v>5</v>
      </c>
      <c r="S90" s="151" t="s">
        <v>684</v>
      </c>
      <c r="T90" s="151"/>
      <c r="U90" s="151"/>
      <c r="V90" s="151"/>
      <c r="W90" s="60" t="s">
        <v>1140</v>
      </c>
      <c r="X90" s="151"/>
      <c r="Y90" s="151"/>
      <c r="Z90" s="151"/>
      <c r="AA90" s="151"/>
      <c r="AB90" s="151"/>
      <c r="AC90" s="151"/>
      <c r="AD90" s="151">
        <f>AVERAGE(AD89,AD92)</f>
        <v>16.861606761717738</v>
      </c>
      <c r="AE90" s="151"/>
      <c r="AF90" s="60" t="s">
        <v>1183</v>
      </c>
      <c r="AG90" s="60" t="s">
        <v>215</v>
      </c>
      <c r="AH90" s="151"/>
      <c r="AI90" s="151" t="s">
        <v>219</v>
      </c>
      <c r="AJ90" s="151" t="s">
        <v>219</v>
      </c>
      <c r="AK90" s="151">
        <v>0</v>
      </c>
      <c r="AL90" s="151">
        <v>26</v>
      </c>
      <c r="AM90" s="151"/>
      <c r="AN90" s="147">
        <v>3.16279069767441</v>
      </c>
      <c r="AO90" s="147">
        <v>0.55813953488372015</v>
      </c>
      <c r="AP90" s="151" t="s">
        <v>570</v>
      </c>
      <c r="AQ90" s="151"/>
      <c r="AR90" s="151">
        <f>3.16279069767441/60</f>
        <v>5.2713178294573497E-2</v>
      </c>
      <c r="AS90" s="151">
        <f>0.55813953488372/60</f>
        <v>9.3023255813953331E-3</v>
      </c>
      <c r="AT90" s="154"/>
      <c r="AU90" s="151"/>
      <c r="AV90" s="151"/>
      <c r="AW90" s="151"/>
      <c r="AX90" s="151"/>
      <c r="AY90" s="151"/>
      <c r="AZ90" s="151"/>
      <c r="BA90" s="151"/>
      <c r="BB90" s="151"/>
      <c r="BC90" s="151"/>
      <c r="BD90" s="151"/>
      <c r="BE90" s="151">
        <v>0</v>
      </c>
      <c r="BF90" s="151"/>
      <c r="BG90" s="151">
        <v>24</v>
      </c>
      <c r="BH90" s="151"/>
      <c r="BI90" s="151"/>
      <c r="BJ90" s="151"/>
    </row>
    <row r="91" spans="1:62" s="153" customFormat="1">
      <c r="A91" s="151" t="s">
        <v>244</v>
      </c>
      <c r="B91" s="151" t="s">
        <v>680</v>
      </c>
      <c r="C91" s="151"/>
      <c r="D91" s="151" t="s">
        <v>682</v>
      </c>
      <c r="E91" s="151" t="s">
        <v>623</v>
      </c>
      <c r="F91" s="155" t="s">
        <v>253</v>
      </c>
      <c r="G91" s="155" t="s">
        <v>564</v>
      </c>
      <c r="H91" s="152" t="s">
        <v>22</v>
      </c>
      <c r="I91" s="151"/>
      <c r="J91" s="151" t="s">
        <v>214</v>
      </c>
      <c r="K91" s="151" t="s">
        <v>215</v>
      </c>
      <c r="L91" s="151" t="s">
        <v>79</v>
      </c>
      <c r="M91" s="151" t="s">
        <v>251</v>
      </c>
      <c r="N91" s="151">
        <v>3</v>
      </c>
      <c r="O91" s="151"/>
      <c r="P91" s="151" t="s">
        <v>246</v>
      </c>
      <c r="Q91" s="151"/>
      <c r="R91" s="151">
        <v>7</v>
      </c>
      <c r="S91" s="151" t="s">
        <v>684</v>
      </c>
      <c r="T91" s="151"/>
      <c r="U91" s="151"/>
      <c r="V91" s="151"/>
      <c r="W91" s="60" t="s">
        <v>1140</v>
      </c>
      <c r="X91" s="151"/>
      <c r="Y91" s="151"/>
      <c r="Z91" s="151"/>
      <c r="AA91" s="151"/>
      <c r="AB91" s="151"/>
      <c r="AC91" s="151"/>
      <c r="AD91" s="151">
        <f>AVERAGE(AD89,AD92)</f>
        <v>16.861606761717738</v>
      </c>
      <c r="AE91" s="151"/>
      <c r="AF91" s="60" t="s">
        <v>1183</v>
      </c>
      <c r="AG91" s="60" t="s">
        <v>215</v>
      </c>
      <c r="AH91" s="151"/>
      <c r="AI91" s="151" t="s">
        <v>219</v>
      </c>
      <c r="AJ91" s="151" t="s">
        <v>219</v>
      </c>
      <c r="AK91" s="151">
        <v>0</v>
      </c>
      <c r="AL91" s="151">
        <v>26</v>
      </c>
      <c r="AM91" s="151"/>
      <c r="AN91" s="147">
        <v>3.53488372093023</v>
      </c>
      <c r="AO91" s="147">
        <v>0.34883720930231998</v>
      </c>
      <c r="AP91" s="151" t="s">
        <v>570</v>
      </c>
      <c r="AQ91" s="151"/>
      <c r="AR91" s="151">
        <f>3.53488372093023/60</f>
        <v>5.89147286821705E-2</v>
      </c>
      <c r="AS91" s="151">
        <f>0.34883720930232/60</f>
        <v>5.8139534883720001E-3</v>
      </c>
      <c r="AT91" s="154"/>
      <c r="AU91" s="151"/>
      <c r="AV91" s="151"/>
      <c r="AW91" s="151"/>
      <c r="AX91" s="151"/>
      <c r="AY91" s="151"/>
      <c r="AZ91" s="151"/>
      <c r="BA91" s="151"/>
      <c r="BB91" s="151"/>
      <c r="BC91" s="151"/>
      <c r="BD91" s="151"/>
      <c r="BE91" s="151">
        <v>0</v>
      </c>
      <c r="BF91" s="151"/>
      <c r="BG91" s="151">
        <v>24</v>
      </c>
      <c r="BH91" s="151"/>
      <c r="BI91" s="151"/>
      <c r="BJ91" s="151"/>
    </row>
    <row r="92" spans="1:62" s="114" customFormat="1">
      <c r="A92" s="110" t="s">
        <v>244</v>
      </c>
      <c r="B92" s="110" t="s">
        <v>680</v>
      </c>
      <c r="C92" s="110"/>
      <c r="D92" s="110" t="s">
        <v>682</v>
      </c>
      <c r="E92" s="110" t="s">
        <v>623</v>
      </c>
      <c r="F92" s="111" t="s">
        <v>253</v>
      </c>
      <c r="G92" s="111" t="s">
        <v>564</v>
      </c>
      <c r="H92" s="112" t="s">
        <v>22</v>
      </c>
      <c r="I92" s="110"/>
      <c r="J92" s="110" t="s">
        <v>214</v>
      </c>
      <c r="K92" s="110" t="s">
        <v>215</v>
      </c>
      <c r="L92" s="110" t="s">
        <v>79</v>
      </c>
      <c r="M92" s="110" t="s">
        <v>251</v>
      </c>
      <c r="N92" s="110">
        <v>3</v>
      </c>
      <c r="O92" s="110"/>
      <c r="P92" s="110" t="s">
        <v>246</v>
      </c>
      <c r="Q92" s="110"/>
      <c r="R92" s="110">
        <v>14</v>
      </c>
      <c r="S92" s="110" t="s">
        <v>684</v>
      </c>
      <c r="T92" s="110" t="s">
        <v>678</v>
      </c>
      <c r="U92" s="110"/>
      <c r="V92" s="110"/>
      <c r="W92" s="60" t="s">
        <v>1140</v>
      </c>
      <c r="X92" s="110">
        <v>6.5498652291105097</v>
      </c>
      <c r="Y92" s="110">
        <v>0.27472527472527997</v>
      </c>
      <c r="Z92" s="110"/>
      <c r="AA92" s="110"/>
      <c r="AB92" s="110"/>
      <c r="AC92" s="110"/>
      <c r="AD92" s="110">
        <f>(X92*100)/59.5</f>
        <v>11.008176855647916</v>
      </c>
      <c r="AE92" s="110">
        <f>(Y92*100)/59.5</f>
        <v>0.46172315079878984</v>
      </c>
      <c r="AF92" s="60" t="s">
        <v>1425</v>
      </c>
      <c r="AG92" s="60" t="s">
        <v>215</v>
      </c>
      <c r="AH92" s="110"/>
      <c r="AI92" s="110" t="s">
        <v>219</v>
      </c>
      <c r="AJ92" s="110" t="s">
        <v>219</v>
      </c>
      <c r="AK92" s="110">
        <v>0</v>
      </c>
      <c r="AL92" s="110">
        <v>26</v>
      </c>
      <c r="AM92" s="110"/>
      <c r="AN92" s="113">
        <v>5.16279069767441</v>
      </c>
      <c r="AO92" s="113">
        <v>0.34883720930232975</v>
      </c>
      <c r="AP92" s="110" t="s">
        <v>570</v>
      </c>
      <c r="AQ92" s="110"/>
      <c r="AR92" s="110">
        <f>5.16279069767441/60</f>
        <v>8.604651162790683E-2</v>
      </c>
      <c r="AS92" s="110">
        <f>0.34883720930233/60</f>
        <v>5.8139534883721667E-3</v>
      </c>
      <c r="AT92" s="141"/>
      <c r="AU92" s="110"/>
      <c r="AV92" s="110"/>
      <c r="AW92" s="110"/>
      <c r="AX92" s="110"/>
      <c r="AY92" s="110"/>
      <c r="AZ92" s="110"/>
      <c r="BA92" s="110"/>
      <c r="BB92" s="110"/>
      <c r="BC92" s="110"/>
      <c r="BD92" s="110"/>
      <c r="BE92" s="110">
        <v>0</v>
      </c>
      <c r="BF92" s="110"/>
      <c r="BG92" s="110">
        <v>24</v>
      </c>
      <c r="BH92" s="110"/>
      <c r="BI92" s="110"/>
      <c r="BJ92" s="110"/>
    </row>
    <row r="93" spans="1:62" s="114" customFormat="1">
      <c r="A93" s="110" t="s">
        <v>244</v>
      </c>
      <c r="B93" s="110" t="s">
        <v>680</v>
      </c>
      <c r="C93" s="110"/>
      <c r="D93" s="110" t="s">
        <v>682</v>
      </c>
      <c r="E93" s="110" t="s">
        <v>623</v>
      </c>
      <c r="F93" s="111" t="s">
        <v>253</v>
      </c>
      <c r="G93" s="111" t="s">
        <v>564</v>
      </c>
      <c r="H93" s="112" t="s">
        <v>22</v>
      </c>
      <c r="I93" s="110"/>
      <c r="J93" s="110" t="s">
        <v>214</v>
      </c>
      <c r="K93" s="110" t="s">
        <v>215</v>
      </c>
      <c r="L93" s="110" t="s">
        <v>79</v>
      </c>
      <c r="M93" s="110" t="s">
        <v>251</v>
      </c>
      <c r="N93" s="110">
        <v>3</v>
      </c>
      <c r="O93" s="110"/>
      <c r="P93" s="110" t="s">
        <v>246</v>
      </c>
      <c r="Q93" s="110"/>
      <c r="R93" s="110">
        <v>21</v>
      </c>
      <c r="S93" s="110" t="s">
        <v>684</v>
      </c>
      <c r="T93" s="110" t="s">
        <v>692</v>
      </c>
      <c r="U93" s="110" t="s">
        <v>691</v>
      </c>
      <c r="V93" s="110"/>
      <c r="W93" s="60" t="s">
        <v>1140</v>
      </c>
      <c r="X93" s="110">
        <v>4.8247978436657704</v>
      </c>
      <c r="Y93" s="110">
        <v>0.27472527472526931</v>
      </c>
      <c r="Z93" s="110"/>
      <c r="AA93" s="110"/>
      <c r="AB93" s="110"/>
      <c r="AC93" s="110"/>
      <c r="AD93" s="110">
        <f>(X93*100)/59.5</f>
        <v>8.108903938934068</v>
      </c>
      <c r="AE93" s="110">
        <f>(Y93*100)/59.5</f>
        <v>0.46172315079877196</v>
      </c>
      <c r="AF93" s="60" t="s">
        <v>1425</v>
      </c>
      <c r="AG93" s="60" t="s">
        <v>215</v>
      </c>
      <c r="AH93" s="110"/>
      <c r="AI93" s="110" t="s">
        <v>219</v>
      </c>
      <c r="AJ93" s="110" t="s">
        <v>219</v>
      </c>
      <c r="AK93" s="110">
        <v>0</v>
      </c>
      <c r="AL93" s="110">
        <v>26</v>
      </c>
      <c r="AM93" s="110"/>
      <c r="AN93" s="113">
        <v>5.2790697674418503</v>
      </c>
      <c r="AO93" s="113">
        <v>0.30232558139534937</v>
      </c>
      <c r="AP93" s="110" t="s">
        <v>570</v>
      </c>
      <c r="AQ93" s="110"/>
      <c r="AR93" s="110">
        <f>5.27906976744185/60</f>
        <v>8.7984496124030837E-2</v>
      </c>
      <c r="AS93" s="110">
        <f>0.302325581395349/60</f>
        <v>5.0387596899224832E-3</v>
      </c>
      <c r="AT93" s="141"/>
      <c r="AU93" s="110"/>
      <c r="AV93" s="110"/>
      <c r="AW93" s="110"/>
      <c r="AX93" s="110"/>
      <c r="AY93" s="110"/>
      <c r="AZ93" s="110"/>
      <c r="BA93" s="110"/>
      <c r="BB93" s="110"/>
      <c r="BC93" s="110"/>
      <c r="BD93" s="110"/>
      <c r="BE93" s="110">
        <v>0</v>
      </c>
      <c r="BF93" s="110"/>
      <c r="BG93" s="110">
        <v>24</v>
      </c>
      <c r="BH93" s="110"/>
      <c r="BI93" s="110"/>
      <c r="BJ93" s="110"/>
    </row>
    <row r="94" spans="1:62" s="51" customFormat="1">
      <c r="A94" s="54" t="s">
        <v>252</v>
      </c>
      <c r="B94" s="54" t="s">
        <v>671</v>
      </c>
      <c r="C94" s="54"/>
      <c r="D94" s="54"/>
      <c r="E94" s="48" t="s">
        <v>623</v>
      </c>
      <c r="F94" s="54" t="s">
        <v>253</v>
      </c>
      <c r="G94" s="57" t="s">
        <v>564</v>
      </c>
      <c r="H94" s="64" t="s">
        <v>19</v>
      </c>
      <c r="I94" s="50"/>
      <c r="J94" s="50" t="s">
        <v>214</v>
      </c>
      <c r="K94" s="50" t="s">
        <v>216</v>
      </c>
      <c r="L94" s="50" t="s">
        <v>79</v>
      </c>
      <c r="M94" s="50">
        <v>30</v>
      </c>
      <c r="N94" s="50">
        <v>4</v>
      </c>
      <c r="O94" s="50"/>
      <c r="P94" s="58" t="s">
        <v>254</v>
      </c>
      <c r="Q94" s="50"/>
      <c r="R94" s="50">
        <v>10</v>
      </c>
      <c r="S94" s="50"/>
      <c r="T94" s="50"/>
      <c r="U94" s="50"/>
      <c r="V94" s="50"/>
      <c r="W94" s="50"/>
      <c r="X94" s="50"/>
      <c r="Y94" s="50"/>
      <c r="Z94" s="50"/>
      <c r="AA94" s="50"/>
      <c r="AB94" s="50"/>
      <c r="AC94" s="50"/>
      <c r="AD94" s="50">
        <v>34</v>
      </c>
      <c r="AE94" s="50"/>
      <c r="AF94" s="50" t="s">
        <v>1180</v>
      </c>
      <c r="AG94" s="50" t="s">
        <v>216</v>
      </c>
      <c r="AH94" s="50"/>
      <c r="AI94" s="50" t="s">
        <v>219</v>
      </c>
      <c r="AJ94" s="50" t="s">
        <v>219</v>
      </c>
      <c r="AK94" s="50">
        <v>0</v>
      </c>
      <c r="AL94" s="50">
        <v>24</v>
      </c>
      <c r="AM94" s="50">
        <v>0</v>
      </c>
      <c r="AN94" s="52">
        <v>2.6388975155279502</v>
      </c>
      <c r="AO94" s="52">
        <v>0.24277950310558999</v>
      </c>
      <c r="AP94" s="48" t="s">
        <v>570</v>
      </c>
      <c r="AQ94" s="50"/>
      <c r="AR94" s="50">
        <f>2.63889751552795/60</f>
        <v>4.3981625258799166E-2</v>
      </c>
      <c r="AS94" s="50">
        <f>0.24277950310559/60</f>
        <v>4.0463250517598333E-3</v>
      </c>
      <c r="AT94" s="137"/>
      <c r="AU94" s="50"/>
      <c r="AV94" s="50"/>
      <c r="AW94" s="50"/>
      <c r="AX94" s="50"/>
      <c r="AY94" s="50"/>
      <c r="AZ94" s="50"/>
      <c r="BA94" s="50"/>
      <c r="BB94" s="50"/>
      <c r="BC94" s="50"/>
      <c r="BD94" s="50"/>
      <c r="BE94" s="50"/>
      <c r="BF94" s="50"/>
      <c r="BG94" s="50"/>
      <c r="BH94" s="50"/>
      <c r="BI94" s="50"/>
      <c r="BJ94" s="50"/>
    </row>
    <row r="95" spans="1:62" s="51" customFormat="1">
      <c r="A95" s="54" t="s">
        <v>252</v>
      </c>
      <c r="B95" s="54" t="s">
        <v>671</v>
      </c>
      <c r="C95" s="54"/>
      <c r="D95" s="54"/>
      <c r="E95" s="48" t="s">
        <v>623</v>
      </c>
      <c r="F95" s="54" t="s">
        <v>253</v>
      </c>
      <c r="G95" s="57" t="s">
        <v>564</v>
      </c>
      <c r="H95" s="64" t="s">
        <v>19</v>
      </c>
      <c r="I95" s="50"/>
      <c r="J95" s="50" t="s">
        <v>214</v>
      </c>
      <c r="K95" s="50" t="s">
        <v>216</v>
      </c>
      <c r="L95" s="50" t="s">
        <v>79</v>
      </c>
      <c r="M95" s="50">
        <v>30</v>
      </c>
      <c r="N95" s="50">
        <v>4</v>
      </c>
      <c r="O95" s="50"/>
      <c r="P95" s="58" t="s">
        <v>254</v>
      </c>
      <c r="Q95" s="50"/>
      <c r="R95" s="50">
        <v>10.125</v>
      </c>
      <c r="S95" s="50"/>
      <c r="T95" s="50"/>
      <c r="U95" s="50"/>
      <c r="V95" s="50"/>
      <c r="W95" s="50"/>
      <c r="X95" s="50"/>
      <c r="Y95" s="50"/>
      <c r="Z95" s="50"/>
      <c r="AA95" s="50"/>
      <c r="AB95" s="50"/>
      <c r="AC95" s="50"/>
      <c r="AD95" s="50">
        <v>34</v>
      </c>
      <c r="AE95" s="50"/>
      <c r="AF95" s="50" t="s">
        <v>1180</v>
      </c>
      <c r="AG95" s="50" t="s">
        <v>216</v>
      </c>
      <c r="AH95" s="50"/>
      <c r="AI95" s="50" t="s">
        <v>219</v>
      </c>
      <c r="AJ95" s="50" t="s">
        <v>219</v>
      </c>
      <c r="AK95" s="50">
        <v>0</v>
      </c>
      <c r="AL95" s="50">
        <v>24</v>
      </c>
      <c r="AM95" s="50">
        <f>3*60</f>
        <v>180</v>
      </c>
      <c r="AN95" s="52">
        <v>2.2247670807453401</v>
      </c>
      <c r="AO95" s="52">
        <v>0.4</v>
      </c>
      <c r="AP95" s="48" t="s">
        <v>570</v>
      </c>
      <c r="AQ95" s="50"/>
      <c r="AR95" s="50">
        <f>2.22476708074534/60</f>
        <v>3.7079451345755667E-2</v>
      </c>
      <c r="AS95" s="50">
        <f>0.4/60</f>
        <v>6.6666666666666671E-3</v>
      </c>
      <c r="AT95" s="137"/>
      <c r="AU95" s="50"/>
      <c r="AV95" s="50"/>
      <c r="AW95" s="50"/>
      <c r="AX95" s="50"/>
      <c r="AY95" s="50"/>
      <c r="AZ95" s="50"/>
      <c r="BA95" s="50"/>
      <c r="BB95" s="50"/>
      <c r="BC95" s="50"/>
      <c r="BD95" s="50"/>
      <c r="BE95" s="50"/>
      <c r="BF95" s="50"/>
      <c r="BG95" s="50"/>
      <c r="BH95" s="50"/>
      <c r="BI95" s="50"/>
      <c r="BJ95" s="50"/>
    </row>
    <row r="96" spans="1:62" s="51" customFormat="1">
      <c r="A96" s="54" t="s">
        <v>252</v>
      </c>
      <c r="B96" s="54" t="s">
        <v>671</v>
      </c>
      <c r="C96" s="54"/>
      <c r="D96" s="54"/>
      <c r="E96" s="48" t="s">
        <v>623</v>
      </c>
      <c r="F96" s="54" t="s">
        <v>253</v>
      </c>
      <c r="G96" s="57" t="s">
        <v>564</v>
      </c>
      <c r="H96" s="64" t="s">
        <v>19</v>
      </c>
      <c r="I96" s="50"/>
      <c r="J96" s="50" t="s">
        <v>214</v>
      </c>
      <c r="K96" s="50" t="s">
        <v>216</v>
      </c>
      <c r="L96" s="50" t="s">
        <v>79</v>
      </c>
      <c r="M96" s="50">
        <v>30</v>
      </c>
      <c r="N96" s="50">
        <v>4</v>
      </c>
      <c r="O96" s="50"/>
      <c r="P96" s="58" t="s">
        <v>254</v>
      </c>
      <c r="Q96" s="50"/>
      <c r="R96" s="50">
        <v>10.416</v>
      </c>
      <c r="S96" s="50"/>
      <c r="T96" s="50"/>
      <c r="U96" s="50"/>
      <c r="V96" s="50"/>
      <c r="W96" s="50"/>
      <c r="X96" s="50"/>
      <c r="Y96" s="50"/>
      <c r="Z96" s="50"/>
      <c r="AA96" s="50"/>
      <c r="AB96" s="50"/>
      <c r="AC96" s="50"/>
      <c r="AD96" s="50">
        <v>34</v>
      </c>
      <c r="AE96" s="50"/>
      <c r="AF96" s="50" t="s">
        <v>1180</v>
      </c>
      <c r="AG96" s="50" t="s">
        <v>216</v>
      </c>
      <c r="AH96" s="50"/>
      <c r="AI96" s="50" t="s">
        <v>219</v>
      </c>
      <c r="AJ96" s="50" t="s">
        <v>219</v>
      </c>
      <c r="AK96" s="50">
        <v>0</v>
      </c>
      <c r="AL96" s="50">
        <v>24</v>
      </c>
      <c r="AM96" s="50">
        <f>10*60</f>
        <v>600</v>
      </c>
      <c r="AN96" s="52">
        <v>2.2392080745341598</v>
      </c>
      <c r="AO96" s="52">
        <v>0.17142857142856999</v>
      </c>
      <c r="AP96" s="48" t="s">
        <v>570</v>
      </c>
      <c r="AQ96" s="50"/>
      <c r="AR96" s="50">
        <f>2.23920807453416/60</f>
        <v>3.7320134575569333E-2</v>
      </c>
      <c r="AS96" s="50">
        <f>0.17142857142857/60</f>
        <v>2.8571428571428333E-3</v>
      </c>
      <c r="AT96" s="137"/>
      <c r="AU96" s="50"/>
      <c r="AV96" s="50"/>
      <c r="AW96" s="50"/>
      <c r="AX96" s="50"/>
      <c r="AY96" s="50"/>
      <c r="AZ96" s="50"/>
      <c r="BA96" s="50"/>
      <c r="BB96" s="50"/>
      <c r="BC96" s="50"/>
      <c r="BD96" s="50"/>
      <c r="BE96" s="50"/>
      <c r="BF96" s="50"/>
      <c r="BG96" s="50"/>
      <c r="BH96" s="50"/>
      <c r="BI96" s="50"/>
      <c r="BJ96" s="50"/>
    </row>
    <row r="97" spans="1:62" s="51" customFormat="1">
      <c r="A97" s="54" t="s">
        <v>252</v>
      </c>
      <c r="B97" s="54" t="s">
        <v>671</v>
      </c>
      <c r="C97" s="54"/>
      <c r="D97" s="54"/>
      <c r="E97" s="48" t="s">
        <v>623</v>
      </c>
      <c r="F97" s="54" t="s">
        <v>253</v>
      </c>
      <c r="G97" s="57" t="s">
        <v>564</v>
      </c>
      <c r="H97" s="64" t="s">
        <v>19</v>
      </c>
      <c r="I97" s="50"/>
      <c r="J97" s="50" t="s">
        <v>214</v>
      </c>
      <c r="K97" s="50" t="s">
        <v>216</v>
      </c>
      <c r="L97" s="50" t="s">
        <v>79</v>
      </c>
      <c r="M97" s="50">
        <v>30</v>
      </c>
      <c r="N97" s="50">
        <v>4</v>
      </c>
      <c r="O97" s="50"/>
      <c r="P97" s="58" t="s">
        <v>254</v>
      </c>
      <c r="Q97" s="50"/>
      <c r="R97" s="50">
        <v>10</v>
      </c>
      <c r="S97" s="50"/>
      <c r="T97" s="50"/>
      <c r="U97" s="50"/>
      <c r="V97" s="50"/>
      <c r="W97" s="50"/>
      <c r="X97" s="50"/>
      <c r="Y97" s="50"/>
      <c r="Z97" s="50"/>
      <c r="AA97" s="50"/>
      <c r="AB97" s="50"/>
      <c r="AC97" s="50"/>
      <c r="AD97" s="50">
        <v>34</v>
      </c>
      <c r="AE97" s="50"/>
      <c r="AF97" s="50" t="s">
        <v>1180</v>
      </c>
      <c r="AG97" s="50" t="s">
        <v>216</v>
      </c>
      <c r="AH97" s="50"/>
      <c r="AI97" s="50" t="s">
        <v>219</v>
      </c>
      <c r="AJ97" s="50" t="s">
        <v>218</v>
      </c>
      <c r="AK97" s="50">
        <v>4</v>
      </c>
      <c r="AL97" s="50">
        <v>28</v>
      </c>
      <c r="AM97" s="50">
        <v>0</v>
      </c>
      <c r="AN97" s="52">
        <v>2.65007763975155</v>
      </c>
      <c r="AO97" s="52">
        <v>7.1428571428569801E-2</v>
      </c>
      <c r="AP97" s="48" t="s">
        <v>570</v>
      </c>
      <c r="AQ97" s="50"/>
      <c r="AR97" s="50">
        <f>2.65007763975155/60</f>
        <v>4.4167960662525832E-2</v>
      </c>
      <c r="AS97" s="50">
        <f>0.0714285714285698/60</f>
        <v>1.1904761904761633E-3</v>
      </c>
      <c r="AT97" s="137"/>
      <c r="AU97" s="50"/>
      <c r="AV97" s="50"/>
      <c r="AW97" s="50"/>
      <c r="AX97" s="50"/>
      <c r="AY97" s="50"/>
      <c r="AZ97" s="50"/>
      <c r="BA97" s="50"/>
      <c r="BB97" s="50"/>
      <c r="BC97" s="50"/>
      <c r="BD97" s="50"/>
      <c r="BE97" s="50"/>
      <c r="BF97" s="50"/>
      <c r="BG97" s="50"/>
      <c r="BH97" s="50"/>
      <c r="BI97" s="50"/>
      <c r="BJ97" s="50"/>
    </row>
    <row r="98" spans="1:62" s="51" customFormat="1">
      <c r="A98" s="54" t="s">
        <v>252</v>
      </c>
      <c r="B98" s="54" t="s">
        <v>671</v>
      </c>
      <c r="C98" s="54"/>
      <c r="D98" s="54"/>
      <c r="E98" s="48" t="s">
        <v>623</v>
      </c>
      <c r="F98" s="54" t="s">
        <v>253</v>
      </c>
      <c r="G98" s="57" t="s">
        <v>564</v>
      </c>
      <c r="H98" s="64" t="s">
        <v>19</v>
      </c>
      <c r="I98" s="50"/>
      <c r="J98" s="50" t="s">
        <v>214</v>
      </c>
      <c r="K98" s="50" t="s">
        <v>216</v>
      </c>
      <c r="L98" s="50" t="s">
        <v>79</v>
      </c>
      <c r="M98" s="50">
        <v>30</v>
      </c>
      <c r="N98" s="50">
        <v>4</v>
      </c>
      <c r="O98" s="50"/>
      <c r="P98" s="58" t="s">
        <v>254</v>
      </c>
      <c r="Q98" s="50"/>
      <c r="R98" s="50">
        <v>10.125</v>
      </c>
      <c r="S98" s="50"/>
      <c r="T98" s="50"/>
      <c r="U98" s="50"/>
      <c r="V98" s="50"/>
      <c r="W98" s="50"/>
      <c r="X98" s="50"/>
      <c r="Y98" s="50"/>
      <c r="Z98" s="50"/>
      <c r="AA98" s="50"/>
      <c r="AB98" s="50"/>
      <c r="AC98" s="50"/>
      <c r="AD98" s="50">
        <v>34</v>
      </c>
      <c r="AE98" s="50"/>
      <c r="AF98" s="50" t="s">
        <v>1180</v>
      </c>
      <c r="AG98" s="50" t="s">
        <v>216</v>
      </c>
      <c r="AH98" s="50"/>
      <c r="AI98" s="50" t="s">
        <v>219</v>
      </c>
      <c r="AJ98" s="50" t="s">
        <v>218</v>
      </c>
      <c r="AK98" s="50">
        <v>4</v>
      </c>
      <c r="AL98" s="50">
        <v>28</v>
      </c>
      <c r="AM98" s="50">
        <f t="shared" ref="AM98" si="10">3*60</f>
        <v>180</v>
      </c>
      <c r="AN98" s="52">
        <v>2.7072981366459601</v>
      </c>
      <c r="AO98" s="52">
        <v>0.18571428571428</v>
      </c>
      <c r="AP98" s="48" t="s">
        <v>570</v>
      </c>
      <c r="AQ98" s="50"/>
      <c r="AR98" s="50">
        <f>2.70729813664596/60</f>
        <v>4.5121635610766E-2</v>
      </c>
      <c r="AS98" s="50">
        <f>0.18571428571428/60</f>
        <v>3.0952380952379999E-3</v>
      </c>
      <c r="AT98" s="137"/>
      <c r="AU98" s="50"/>
      <c r="AV98" s="50"/>
      <c r="AW98" s="50"/>
      <c r="AX98" s="50"/>
      <c r="AY98" s="50"/>
      <c r="AZ98" s="50"/>
      <c r="BA98" s="50"/>
      <c r="BB98" s="50"/>
      <c r="BC98" s="50"/>
      <c r="BD98" s="50"/>
      <c r="BE98" s="50"/>
      <c r="BF98" s="50"/>
      <c r="BG98" s="50"/>
      <c r="BH98" s="50"/>
      <c r="BI98" s="50"/>
      <c r="BJ98" s="50"/>
    </row>
    <row r="99" spans="1:62" s="51" customFormat="1">
      <c r="A99" s="54" t="s">
        <v>252</v>
      </c>
      <c r="B99" s="54" t="s">
        <v>671</v>
      </c>
      <c r="C99" s="54"/>
      <c r="D99" s="54"/>
      <c r="E99" s="48" t="s">
        <v>623</v>
      </c>
      <c r="F99" s="54" t="s">
        <v>253</v>
      </c>
      <c r="G99" s="57" t="s">
        <v>564</v>
      </c>
      <c r="H99" s="64" t="s">
        <v>19</v>
      </c>
      <c r="I99" s="50"/>
      <c r="J99" s="50" t="s">
        <v>214</v>
      </c>
      <c r="K99" s="50" t="s">
        <v>216</v>
      </c>
      <c r="L99" s="50" t="s">
        <v>79</v>
      </c>
      <c r="M99" s="50">
        <v>30</v>
      </c>
      <c r="N99" s="50">
        <v>4</v>
      </c>
      <c r="O99" s="50"/>
      <c r="P99" s="58" t="s">
        <v>254</v>
      </c>
      <c r="Q99" s="50"/>
      <c r="R99" s="50">
        <v>10.416</v>
      </c>
      <c r="S99" s="50"/>
      <c r="T99" s="50"/>
      <c r="U99" s="50"/>
      <c r="V99" s="50"/>
      <c r="W99" s="50"/>
      <c r="X99" s="50"/>
      <c r="Y99" s="50"/>
      <c r="Z99" s="50"/>
      <c r="AA99" s="50"/>
      <c r="AB99" s="50"/>
      <c r="AC99" s="50"/>
      <c r="AD99" s="50">
        <v>34</v>
      </c>
      <c r="AE99" s="50"/>
      <c r="AF99" s="50" t="s">
        <v>1180</v>
      </c>
      <c r="AG99" s="50" t="s">
        <v>216</v>
      </c>
      <c r="AH99" s="50"/>
      <c r="AI99" s="50" t="s">
        <v>219</v>
      </c>
      <c r="AJ99" s="50" t="s">
        <v>218</v>
      </c>
      <c r="AK99" s="50">
        <v>4</v>
      </c>
      <c r="AL99" s="50">
        <v>28</v>
      </c>
      <c r="AM99" s="50">
        <f t="shared" ref="AM99:AM102" si="11">10*60</f>
        <v>600</v>
      </c>
      <c r="AN99" s="50">
        <v>2.47888198757764</v>
      </c>
      <c r="AO99" s="50">
        <v>0.32864906832298002</v>
      </c>
      <c r="AP99" s="48" t="s">
        <v>570</v>
      </c>
      <c r="AQ99" s="50"/>
      <c r="AR99" s="50">
        <f>2.47888198757764/60</f>
        <v>4.1314699792960666E-2</v>
      </c>
      <c r="AS99" s="50">
        <f>0.32864906832298/60</f>
        <v>5.4774844720496671E-3</v>
      </c>
      <c r="AT99" s="137"/>
      <c r="AU99" s="50"/>
      <c r="AV99" s="50"/>
      <c r="AW99" s="50"/>
      <c r="AX99" s="50"/>
      <c r="AY99" s="50"/>
      <c r="AZ99" s="50"/>
      <c r="BA99" s="50"/>
      <c r="BB99" s="50"/>
      <c r="BC99" s="50"/>
      <c r="BD99" s="50"/>
      <c r="BE99" s="50"/>
      <c r="BF99" s="50"/>
      <c r="BG99" s="50"/>
      <c r="BH99" s="50"/>
      <c r="BI99" s="50"/>
      <c r="BJ99" s="50"/>
    </row>
    <row r="100" spans="1:62" s="51" customFormat="1">
      <c r="A100" s="54" t="s">
        <v>252</v>
      </c>
      <c r="B100" s="54" t="s">
        <v>671</v>
      </c>
      <c r="C100" s="54"/>
      <c r="D100" s="54"/>
      <c r="E100" s="48" t="s">
        <v>623</v>
      </c>
      <c r="F100" s="54" t="s">
        <v>253</v>
      </c>
      <c r="G100" s="57" t="s">
        <v>564</v>
      </c>
      <c r="H100" s="64" t="s">
        <v>19</v>
      </c>
      <c r="I100" s="50"/>
      <c r="J100" s="50" t="s">
        <v>214</v>
      </c>
      <c r="K100" s="50" t="s">
        <v>216</v>
      </c>
      <c r="L100" s="50" t="s">
        <v>79</v>
      </c>
      <c r="M100" s="50">
        <v>30</v>
      </c>
      <c r="N100" s="50">
        <v>4</v>
      </c>
      <c r="O100" s="50"/>
      <c r="P100" s="58" t="s">
        <v>254</v>
      </c>
      <c r="Q100" s="50"/>
      <c r="R100" s="50">
        <v>10</v>
      </c>
      <c r="S100" s="50"/>
      <c r="T100" s="50"/>
      <c r="U100" s="50"/>
      <c r="V100" s="50"/>
      <c r="W100" s="50"/>
      <c r="X100" s="50"/>
      <c r="Y100" s="50"/>
      <c r="Z100" s="50"/>
      <c r="AA100" s="50"/>
      <c r="AB100" s="50"/>
      <c r="AC100" s="50"/>
      <c r="AD100" s="50">
        <v>34</v>
      </c>
      <c r="AE100" s="50"/>
      <c r="AF100" s="50" t="s">
        <v>1180</v>
      </c>
      <c r="AG100" s="50" t="s">
        <v>216</v>
      </c>
      <c r="AH100" s="50"/>
      <c r="AI100" s="50" t="s">
        <v>219</v>
      </c>
      <c r="AJ100" s="50" t="s">
        <v>240</v>
      </c>
      <c r="AK100" s="50">
        <v>7</v>
      </c>
      <c r="AL100" s="50">
        <v>31</v>
      </c>
      <c r="AM100" s="50">
        <v>0</v>
      </c>
      <c r="AN100" s="50">
        <v>2.5468944099378801</v>
      </c>
      <c r="AO100" s="50">
        <v>7.1428571428580098E-2</v>
      </c>
      <c r="AP100" s="48" t="s">
        <v>570</v>
      </c>
      <c r="AQ100" s="50"/>
      <c r="AR100" s="50">
        <f>2.54689440993788/60</f>
        <v>4.2448240165631333E-2</v>
      </c>
      <c r="AS100" s="50">
        <f>0.0714285714285801/60</f>
        <v>1.190476190476335E-3</v>
      </c>
      <c r="AT100" s="137"/>
      <c r="AU100" s="50"/>
      <c r="AV100" s="50"/>
      <c r="AW100" s="50"/>
      <c r="AX100" s="50"/>
      <c r="AY100" s="50"/>
      <c r="AZ100" s="50"/>
      <c r="BA100" s="50"/>
      <c r="BB100" s="50"/>
      <c r="BC100" s="50"/>
      <c r="BD100" s="50"/>
      <c r="BE100" s="50"/>
      <c r="BF100" s="50"/>
      <c r="BG100" s="50"/>
      <c r="BH100" s="50"/>
      <c r="BI100" s="50"/>
      <c r="BJ100" s="50"/>
    </row>
    <row r="101" spans="1:62" s="51" customFormat="1">
      <c r="A101" s="54" t="s">
        <v>252</v>
      </c>
      <c r="B101" s="54" t="s">
        <v>671</v>
      </c>
      <c r="C101" s="54"/>
      <c r="D101" s="54"/>
      <c r="E101" s="48" t="s">
        <v>623</v>
      </c>
      <c r="F101" s="54" t="s">
        <v>253</v>
      </c>
      <c r="G101" s="57" t="s">
        <v>564</v>
      </c>
      <c r="H101" s="64" t="s">
        <v>19</v>
      </c>
      <c r="I101" s="50"/>
      <c r="J101" s="50" t="s">
        <v>214</v>
      </c>
      <c r="K101" s="50" t="s">
        <v>216</v>
      </c>
      <c r="L101" s="50" t="s">
        <v>79</v>
      </c>
      <c r="M101" s="50">
        <v>30</v>
      </c>
      <c r="N101" s="50">
        <v>4</v>
      </c>
      <c r="O101" s="50"/>
      <c r="P101" s="58" t="s">
        <v>254</v>
      </c>
      <c r="Q101" s="50"/>
      <c r="R101" s="50">
        <v>10.125</v>
      </c>
      <c r="S101" s="50"/>
      <c r="T101" s="50"/>
      <c r="U101" s="50"/>
      <c r="V101" s="50"/>
      <c r="W101" s="50"/>
      <c r="X101" s="50"/>
      <c r="Y101" s="50"/>
      <c r="Z101" s="50"/>
      <c r="AA101" s="50"/>
      <c r="AB101" s="50"/>
      <c r="AC101" s="50"/>
      <c r="AD101" s="50">
        <v>34</v>
      </c>
      <c r="AE101" s="50"/>
      <c r="AF101" s="50" t="s">
        <v>1180</v>
      </c>
      <c r="AG101" s="50" t="s">
        <v>216</v>
      </c>
      <c r="AH101" s="50"/>
      <c r="AI101" s="50" t="s">
        <v>219</v>
      </c>
      <c r="AJ101" s="50" t="s">
        <v>240</v>
      </c>
      <c r="AK101" s="50">
        <v>7</v>
      </c>
      <c r="AL101" s="50">
        <v>31</v>
      </c>
      <c r="AM101" s="50">
        <f>3*60</f>
        <v>180</v>
      </c>
      <c r="AN101" s="50">
        <v>3.1756211180124199</v>
      </c>
      <c r="AO101" s="50">
        <v>0.14285714285713999</v>
      </c>
      <c r="AP101" s="48" t="s">
        <v>570</v>
      </c>
      <c r="AQ101" s="50"/>
      <c r="AR101" s="50">
        <f>3.17562111801242/60</f>
        <v>5.2927018633540331E-2</v>
      </c>
      <c r="AS101" s="50">
        <f>0.14285714285714/60</f>
        <v>2.380952380952333E-3</v>
      </c>
      <c r="AT101" s="137"/>
      <c r="AU101" s="50"/>
      <c r="AV101" s="50"/>
      <c r="AW101" s="50"/>
      <c r="AX101" s="50"/>
      <c r="AY101" s="50"/>
      <c r="AZ101" s="50"/>
      <c r="BA101" s="50"/>
      <c r="BB101" s="50"/>
      <c r="BC101" s="50"/>
      <c r="BD101" s="50"/>
      <c r="BE101" s="50"/>
      <c r="BF101" s="50"/>
      <c r="BG101" s="50"/>
      <c r="BH101" s="50"/>
      <c r="BI101" s="50"/>
      <c r="BJ101" s="50"/>
    </row>
    <row r="102" spans="1:62" s="51" customFormat="1">
      <c r="A102" s="54" t="s">
        <v>252</v>
      </c>
      <c r="B102" s="54" t="s">
        <v>671</v>
      </c>
      <c r="C102" s="54"/>
      <c r="D102" s="54"/>
      <c r="E102" s="48" t="s">
        <v>623</v>
      </c>
      <c r="F102" s="54" t="s">
        <v>253</v>
      </c>
      <c r="G102" s="57" t="s">
        <v>564</v>
      </c>
      <c r="H102" s="64" t="s">
        <v>19</v>
      </c>
      <c r="I102" s="50"/>
      <c r="J102" s="50" t="s">
        <v>214</v>
      </c>
      <c r="K102" s="50" t="s">
        <v>216</v>
      </c>
      <c r="L102" s="50" t="s">
        <v>79</v>
      </c>
      <c r="M102" s="50">
        <v>30</v>
      </c>
      <c r="N102" s="50">
        <v>4</v>
      </c>
      <c r="O102" s="50"/>
      <c r="P102" s="58" t="s">
        <v>254</v>
      </c>
      <c r="Q102" s="50"/>
      <c r="R102" s="50">
        <v>10.416</v>
      </c>
      <c r="S102" s="50"/>
      <c r="T102" s="50"/>
      <c r="U102" s="50"/>
      <c r="V102" s="50"/>
      <c r="W102" s="50"/>
      <c r="X102" s="50"/>
      <c r="Y102" s="50"/>
      <c r="Z102" s="50"/>
      <c r="AA102" s="50"/>
      <c r="AB102" s="50"/>
      <c r="AC102" s="50"/>
      <c r="AD102" s="50">
        <v>34</v>
      </c>
      <c r="AE102" s="50"/>
      <c r="AF102" s="50" t="s">
        <v>1180</v>
      </c>
      <c r="AG102" s="50" t="s">
        <v>216</v>
      </c>
      <c r="AH102" s="50"/>
      <c r="AI102" s="50" t="s">
        <v>219</v>
      </c>
      <c r="AJ102" s="50" t="s">
        <v>240</v>
      </c>
      <c r="AK102" s="50">
        <v>7</v>
      </c>
      <c r="AL102" s="50">
        <v>31</v>
      </c>
      <c r="AM102" s="50">
        <f t="shared" si="11"/>
        <v>600</v>
      </c>
      <c r="AN102" s="50">
        <v>3.4757763975155198</v>
      </c>
      <c r="AO102" s="50">
        <v>0.81428571428572005</v>
      </c>
      <c r="AP102" s="48" t="s">
        <v>570</v>
      </c>
      <c r="AQ102" s="50"/>
      <c r="AR102" s="50">
        <f>3.47577639751552/60</f>
        <v>5.7929606625258666E-2</v>
      </c>
      <c r="AS102" s="50">
        <f>0.81428571428572/60</f>
        <v>1.3571428571428668E-2</v>
      </c>
      <c r="AT102" s="137"/>
      <c r="AU102" s="50"/>
      <c r="AV102" s="50"/>
      <c r="AW102" s="50"/>
      <c r="AX102" s="50"/>
      <c r="AY102" s="50"/>
      <c r="AZ102" s="50"/>
      <c r="BA102" s="50"/>
      <c r="BB102" s="50"/>
      <c r="BC102" s="50"/>
      <c r="BD102" s="50"/>
      <c r="BE102" s="50"/>
      <c r="BF102" s="50"/>
      <c r="BG102" s="50"/>
      <c r="BH102" s="50"/>
      <c r="BI102" s="50"/>
      <c r="BJ102" s="50"/>
    </row>
    <row r="103" spans="1:62" s="53" customFormat="1">
      <c r="A103" s="52" t="s">
        <v>257</v>
      </c>
      <c r="B103" s="52" t="s">
        <v>671</v>
      </c>
      <c r="C103" s="52"/>
      <c r="D103" s="52"/>
      <c r="E103" s="52" t="s">
        <v>624</v>
      </c>
      <c r="F103" s="56" t="s">
        <v>262</v>
      </c>
      <c r="G103" s="62" t="s">
        <v>566</v>
      </c>
      <c r="H103" s="65" t="s">
        <v>228</v>
      </c>
      <c r="I103" s="52"/>
      <c r="J103" s="52" t="s">
        <v>213</v>
      </c>
      <c r="K103" s="52" t="s">
        <v>215</v>
      </c>
      <c r="L103" s="52" t="s">
        <v>79</v>
      </c>
      <c r="M103" s="52">
        <v>5</v>
      </c>
      <c r="N103" s="52">
        <v>10</v>
      </c>
      <c r="O103" s="52"/>
      <c r="P103" s="52">
        <v>-1</v>
      </c>
      <c r="Q103" s="52"/>
      <c r="R103" s="52">
        <v>1.1659999999999999</v>
      </c>
      <c r="S103" s="52"/>
      <c r="T103" s="52"/>
      <c r="U103" s="52"/>
      <c r="V103" s="52"/>
      <c r="W103" s="52"/>
      <c r="X103" s="52"/>
      <c r="Y103" s="52"/>
      <c r="Z103" s="52"/>
      <c r="AA103" s="52"/>
      <c r="AB103" s="52"/>
      <c r="AC103" s="52"/>
      <c r="AD103" s="50">
        <v>20.88</v>
      </c>
      <c r="AE103" s="50"/>
      <c r="AF103" s="50" t="s">
        <v>1144</v>
      </c>
      <c r="AG103" s="50" t="s">
        <v>216</v>
      </c>
      <c r="AH103" s="52"/>
      <c r="AI103" s="52" t="s">
        <v>219</v>
      </c>
      <c r="AJ103" s="52" t="s">
        <v>219</v>
      </c>
      <c r="AK103" s="52">
        <v>0</v>
      </c>
      <c r="AL103" s="52">
        <v>27.3</v>
      </c>
      <c r="AM103" s="52">
        <f>4*60</f>
        <v>240</v>
      </c>
      <c r="AN103" s="52" t="s">
        <v>529</v>
      </c>
      <c r="AO103" s="52"/>
      <c r="AP103" s="52"/>
      <c r="AR103" s="52">
        <v>0.13941176470588201</v>
      </c>
      <c r="AS103" s="52">
        <v>1.2352941176469984E-2</v>
      </c>
      <c r="AT103" s="52"/>
      <c r="AU103" s="52"/>
      <c r="AV103" s="52"/>
      <c r="AW103" s="52"/>
      <c r="AX103" s="52"/>
      <c r="AY103" s="52"/>
      <c r="AZ103" s="52"/>
      <c r="BA103" s="52"/>
      <c r="BB103" s="52"/>
      <c r="BC103" s="52"/>
      <c r="BD103" s="52"/>
      <c r="BE103" s="52">
        <v>68.421052631578902</v>
      </c>
      <c r="BF103" s="52">
        <v>3.1578947368420955</v>
      </c>
      <c r="BG103" s="52">
        <v>72</v>
      </c>
      <c r="BH103" s="52">
        <v>74.831460674157299</v>
      </c>
      <c r="BI103" s="52">
        <v>2.6966292134831065</v>
      </c>
      <c r="BJ103" s="52"/>
    </row>
    <row r="104" spans="1:62" s="53" customFormat="1">
      <c r="A104" s="52" t="s">
        <v>257</v>
      </c>
      <c r="B104" s="52" t="s">
        <v>671</v>
      </c>
      <c r="C104" s="52"/>
      <c r="D104" s="52"/>
      <c r="E104" s="52" t="s">
        <v>624</v>
      </c>
      <c r="F104" s="56" t="s">
        <v>262</v>
      </c>
      <c r="G104" s="62" t="s">
        <v>566</v>
      </c>
      <c r="H104" s="65" t="s">
        <v>228</v>
      </c>
      <c r="I104" s="52"/>
      <c r="J104" s="52" t="s">
        <v>213</v>
      </c>
      <c r="K104" s="52" t="s">
        <v>215</v>
      </c>
      <c r="L104" s="52" t="s">
        <v>79</v>
      </c>
      <c r="M104" s="52">
        <v>5</v>
      </c>
      <c r="N104" s="52">
        <v>10</v>
      </c>
      <c r="O104" s="52"/>
      <c r="P104" s="52">
        <v>-1</v>
      </c>
      <c r="Q104" s="52"/>
      <c r="R104" s="52">
        <v>2</v>
      </c>
      <c r="S104" s="52"/>
      <c r="T104" s="52"/>
      <c r="U104" s="52"/>
      <c r="V104" s="52"/>
      <c r="W104" s="52"/>
      <c r="X104" s="52"/>
      <c r="Y104" s="52"/>
      <c r="Z104" s="52"/>
      <c r="AA104" s="52"/>
      <c r="AB104" s="52"/>
      <c r="AC104" s="52"/>
      <c r="AD104" s="50">
        <v>20.88</v>
      </c>
      <c r="AE104" s="50"/>
      <c r="AF104" s="50" t="s">
        <v>1144</v>
      </c>
      <c r="AG104" s="50" t="s">
        <v>216</v>
      </c>
      <c r="AH104" s="52"/>
      <c r="AI104" s="52" t="s">
        <v>219</v>
      </c>
      <c r="AJ104" s="52" t="s">
        <v>219</v>
      </c>
      <c r="AK104" s="52">
        <v>0</v>
      </c>
      <c r="AL104" s="52">
        <v>27.3</v>
      </c>
      <c r="AM104" s="52">
        <f>24*60</f>
        <v>1440</v>
      </c>
      <c r="AN104" s="52" t="s">
        <v>529</v>
      </c>
      <c r="AP104" s="52"/>
      <c r="AR104" s="52">
        <v>0.113529411764705</v>
      </c>
      <c r="AS104" s="52">
        <v>1.3529411764705998E-2</v>
      </c>
      <c r="AT104" s="52"/>
      <c r="AU104" s="52"/>
      <c r="AV104" s="52"/>
      <c r="AW104" s="52"/>
      <c r="AX104" s="52"/>
      <c r="AY104" s="52"/>
      <c r="AZ104" s="52"/>
      <c r="BA104" s="52"/>
      <c r="BB104" s="52"/>
      <c r="BC104" s="52"/>
      <c r="BD104" s="52"/>
      <c r="BE104" s="52">
        <v>63.508771929824498</v>
      </c>
      <c r="BF104" s="52">
        <v>6.4912280701755023</v>
      </c>
      <c r="BG104" s="52">
        <v>72</v>
      </c>
      <c r="BH104" s="52">
        <v>73.7078651685393</v>
      </c>
      <c r="BI104" s="52">
        <v>5.1685393258427013</v>
      </c>
      <c r="BJ104" s="52"/>
    </row>
    <row r="105" spans="1:62" s="53" customFormat="1">
      <c r="A105" s="52" t="s">
        <v>257</v>
      </c>
      <c r="B105" s="52" t="s">
        <v>671</v>
      </c>
      <c r="C105" s="52"/>
      <c r="D105" s="52"/>
      <c r="E105" s="52" t="s">
        <v>624</v>
      </c>
      <c r="F105" s="56" t="s">
        <v>262</v>
      </c>
      <c r="G105" s="62" t="s">
        <v>566</v>
      </c>
      <c r="H105" s="65" t="s">
        <v>228</v>
      </c>
      <c r="I105" s="52"/>
      <c r="J105" s="52" t="s">
        <v>213</v>
      </c>
      <c r="K105" s="52" t="s">
        <v>215</v>
      </c>
      <c r="L105" s="52" t="s">
        <v>79</v>
      </c>
      <c r="M105" s="52">
        <v>5</v>
      </c>
      <c r="N105" s="52">
        <v>10</v>
      </c>
      <c r="O105" s="52"/>
      <c r="P105" s="52">
        <v>-1</v>
      </c>
      <c r="Q105" s="52"/>
      <c r="R105" s="52">
        <v>3</v>
      </c>
      <c r="S105" s="52"/>
      <c r="T105" s="52"/>
      <c r="U105" s="52"/>
      <c r="V105" s="52"/>
      <c r="W105" s="52"/>
      <c r="X105" s="52"/>
      <c r="Y105" s="52"/>
      <c r="Z105" s="52"/>
      <c r="AA105" s="52"/>
      <c r="AB105" s="52"/>
      <c r="AC105" s="52"/>
      <c r="AD105" s="50">
        <v>20.88</v>
      </c>
      <c r="AE105" s="50"/>
      <c r="AF105" s="50" t="s">
        <v>1144</v>
      </c>
      <c r="AG105" s="50" t="s">
        <v>216</v>
      </c>
      <c r="AH105" s="52"/>
      <c r="AI105" s="52" t="s">
        <v>219</v>
      </c>
      <c r="AJ105" s="52" t="s">
        <v>219</v>
      </c>
      <c r="AK105" s="52">
        <v>0</v>
      </c>
      <c r="AL105" s="52">
        <v>27.3</v>
      </c>
      <c r="AM105" s="52">
        <f>48*60</f>
        <v>2880</v>
      </c>
      <c r="AN105" s="52" t="s">
        <v>529</v>
      </c>
      <c r="AP105" s="52"/>
      <c r="AR105" s="52">
        <v>0.126470588235294</v>
      </c>
      <c r="AS105" s="52">
        <v>1.2941176470588012E-2</v>
      </c>
      <c r="AT105" s="52"/>
      <c r="AU105" s="52"/>
      <c r="AV105" s="52"/>
      <c r="AW105" s="52"/>
      <c r="AX105" s="52"/>
      <c r="AY105" s="52"/>
      <c r="AZ105" s="52"/>
      <c r="BA105" s="52"/>
      <c r="BB105" s="52"/>
      <c r="BC105" s="52"/>
      <c r="BD105" s="52"/>
      <c r="BE105" s="52">
        <v>55.789473684210499</v>
      </c>
      <c r="BF105" s="52">
        <v>4.5614035087719031</v>
      </c>
      <c r="BG105" s="52">
        <v>72</v>
      </c>
      <c r="BH105" s="52">
        <v>66.8539325842696</v>
      </c>
      <c r="BI105" s="52">
        <v>4.0449438202247023</v>
      </c>
      <c r="BJ105" s="52"/>
    </row>
    <row r="106" spans="1:62" s="53" customFormat="1">
      <c r="A106" s="52" t="s">
        <v>257</v>
      </c>
      <c r="B106" s="52" t="s">
        <v>671</v>
      </c>
      <c r="C106" s="52"/>
      <c r="D106" s="52"/>
      <c r="E106" s="52" t="s">
        <v>624</v>
      </c>
      <c r="F106" s="56" t="s">
        <v>262</v>
      </c>
      <c r="G106" s="62" t="s">
        <v>566</v>
      </c>
      <c r="H106" s="65" t="s">
        <v>228</v>
      </c>
      <c r="I106" s="52"/>
      <c r="J106" s="52" t="s">
        <v>213</v>
      </c>
      <c r="K106" s="52" t="s">
        <v>215</v>
      </c>
      <c r="L106" s="52" t="s">
        <v>79</v>
      </c>
      <c r="M106" s="52">
        <v>5</v>
      </c>
      <c r="N106" s="52">
        <v>10</v>
      </c>
      <c r="O106" s="52"/>
      <c r="P106" s="52">
        <v>-1</v>
      </c>
      <c r="Q106" s="52"/>
      <c r="R106" s="52">
        <v>1.1659999999999999</v>
      </c>
      <c r="S106" s="52"/>
      <c r="T106" s="52"/>
      <c r="U106" s="52"/>
      <c r="V106" s="52"/>
      <c r="W106" s="52"/>
      <c r="X106" s="52"/>
      <c r="Y106" s="52"/>
      <c r="Z106" s="52"/>
      <c r="AA106" s="52"/>
      <c r="AB106" s="52"/>
      <c r="AC106" s="52"/>
      <c r="AD106" s="50">
        <v>20.88</v>
      </c>
      <c r="AE106" s="50"/>
      <c r="AF106" s="50" t="s">
        <v>1144</v>
      </c>
      <c r="AG106" s="50" t="s">
        <v>216</v>
      </c>
      <c r="AH106" s="52"/>
      <c r="AI106" s="52" t="s">
        <v>219</v>
      </c>
      <c r="AJ106" s="52" t="s">
        <v>218</v>
      </c>
      <c r="AK106" s="52">
        <v>3.5</v>
      </c>
      <c r="AL106" s="52">
        <v>30.8</v>
      </c>
      <c r="AM106" s="52">
        <f>4*60</f>
        <v>240</v>
      </c>
      <c r="AN106" s="52" t="s">
        <v>529</v>
      </c>
      <c r="AP106" s="52"/>
      <c r="AR106" s="52">
        <v>0.17999999999999899</v>
      </c>
      <c r="AS106" s="52">
        <v>1.5882352941177014E-2</v>
      </c>
      <c r="AT106" s="52"/>
      <c r="AU106" s="52"/>
      <c r="AV106" s="52"/>
      <c r="AW106" s="52"/>
      <c r="AX106" s="52"/>
      <c r="AY106" s="52"/>
      <c r="AZ106" s="52"/>
      <c r="BA106" s="52"/>
      <c r="BB106" s="52"/>
      <c r="BC106" s="52"/>
      <c r="BD106" s="52"/>
      <c r="BE106" s="52">
        <v>76.491228070175396</v>
      </c>
      <c r="BF106" s="52">
        <v>4.3859649122806985</v>
      </c>
      <c r="BG106" s="52">
        <v>72</v>
      </c>
      <c r="BH106" s="52">
        <v>83.595505617977494</v>
      </c>
      <c r="BI106" s="52">
        <v>3.932584269662911</v>
      </c>
      <c r="BJ106" s="52"/>
    </row>
    <row r="107" spans="1:62" s="53" customFormat="1">
      <c r="A107" s="52" t="s">
        <v>257</v>
      </c>
      <c r="B107" s="52" t="s">
        <v>671</v>
      </c>
      <c r="C107" s="52"/>
      <c r="D107" s="52"/>
      <c r="E107" s="52" t="s">
        <v>624</v>
      </c>
      <c r="F107" s="56" t="s">
        <v>262</v>
      </c>
      <c r="G107" s="62" t="s">
        <v>566</v>
      </c>
      <c r="H107" s="65" t="s">
        <v>228</v>
      </c>
      <c r="I107" s="52"/>
      <c r="J107" s="52" t="s">
        <v>213</v>
      </c>
      <c r="K107" s="52" t="s">
        <v>215</v>
      </c>
      <c r="L107" s="52" t="s">
        <v>79</v>
      </c>
      <c r="M107" s="52">
        <v>5</v>
      </c>
      <c r="N107" s="52">
        <v>10</v>
      </c>
      <c r="O107" s="52"/>
      <c r="P107" s="52">
        <v>-1</v>
      </c>
      <c r="Q107" s="52"/>
      <c r="R107" s="52">
        <v>2</v>
      </c>
      <c r="S107" s="52"/>
      <c r="T107" s="52"/>
      <c r="U107" s="52"/>
      <c r="V107" s="52"/>
      <c r="W107" s="52"/>
      <c r="X107" s="52"/>
      <c r="Y107" s="52"/>
      <c r="Z107" s="52"/>
      <c r="AA107" s="52"/>
      <c r="AB107" s="52"/>
      <c r="AC107" s="52"/>
      <c r="AD107" s="50">
        <v>20.88</v>
      </c>
      <c r="AE107" s="50"/>
      <c r="AF107" s="50" t="s">
        <v>1144</v>
      </c>
      <c r="AG107" s="50" t="s">
        <v>216</v>
      </c>
      <c r="AH107" s="52"/>
      <c r="AI107" s="52" t="s">
        <v>219</v>
      </c>
      <c r="AJ107" s="52" t="s">
        <v>218</v>
      </c>
      <c r="AK107" s="52">
        <v>3.5</v>
      </c>
      <c r="AL107" s="52">
        <v>30.8</v>
      </c>
      <c r="AM107" s="52">
        <f>24*60</f>
        <v>1440</v>
      </c>
      <c r="AN107" s="52" t="s">
        <v>529</v>
      </c>
      <c r="AP107" s="52"/>
      <c r="AR107" s="52">
        <v>0.154705882352941</v>
      </c>
      <c r="AS107" s="52">
        <v>1.3529411764706012E-2</v>
      </c>
      <c r="AT107" s="52"/>
      <c r="AU107" s="52"/>
      <c r="AV107" s="52"/>
      <c r="AW107" s="52"/>
      <c r="AX107" s="52"/>
      <c r="AY107" s="52"/>
      <c r="AZ107" s="52"/>
      <c r="BA107" s="52"/>
      <c r="BB107" s="52"/>
      <c r="BC107" s="52"/>
      <c r="BD107" s="52"/>
      <c r="BE107" s="52">
        <v>66.315789473684205</v>
      </c>
      <c r="BF107" s="52">
        <v>5.6140350877193015</v>
      </c>
      <c r="BG107" s="52">
        <v>72</v>
      </c>
      <c r="BH107" s="52">
        <v>68.539325842696599</v>
      </c>
      <c r="BI107" s="52">
        <v>7.6404494382021966</v>
      </c>
      <c r="BJ107" s="52"/>
    </row>
    <row r="108" spans="1:62" s="53" customFormat="1">
      <c r="A108" s="52" t="s">
        <v>257</v>
      </c>
      <c r="B108" s="52" t="s">
        <v>671</v>
      </c>
      <c r="C108" s="52"/>
      <c r="D108" s="52"/>
      <c r="E108" s="52" t="s">
        <v>624</v>
      </c>
      <c r="F108" s="56" t="s">
        <v>262</v>
      </c>
      <c r="G108" s="62" t="s">
        <v>566</v>
      </c>
      <c r="H108" s="65" t="s">
        <v>228</v>
      </c>
      <c r="I108" s="52"/>
      <c r="J108" s="52" t="s">
        <v>213</v>
      </c>
      <c r="K108" s="52" t="s">
        <v>215</v>
      </c>
      <c r="L108" s="52" t="s">
        <v>79</v>
      </c>
      <c r="M108" s="52">
        <v>5</v>
      </c>
      <c r="N108" s="52">
        <v>10</v>
      </c>
      <c r="O108" s="52"/>
      <c r="P108" s="52">
        <v>-1</v>
      </c>
      <c r="Q108" s="52"/>
      <c r="R108" s="52">
        <v>3</v>
      </c>
      <c r="S108" s="52"/>
      <c r="T108" s="52"/>
      <c r="U108" s="52"/>
      <c r="V108" s="52"/>
      <c r="W108" s="52"/>
      <c r="X108" s="52"/>
      <c r="Y108" s="52"/>
      <c r="Z108" s="52"/>
      <c r="AA108" s="52"/>
      <c r="AB108" s="52"/>
      <c r="AC108" s="52"/>
      <c r="AD108" s="50">
        <v>20.88</v>
      </c>
      <c r="AE108" s="50"/>
      <c r="AF108" s="50" t="s">
        <v>1144</v>
      </c>
      <c r="AG108" s="50" t="s">
        <v>216</v>
      </c>
      <c r="AH108" s="52"/>
      <c r="AI108" s="52" t="s">
        <v>219</v>
      </c>
      <c r="AJ108" s="52" t="s">
        <v>218</v>
      </c>
      <c r="AK108" s="52">
        <v>3.5</v>
      </c>
      <c r="AL108" s="52">
        <v>30.8</v>
      </c>
      <c r="AM108" s="52">
        <f>48*60</f>
        <v>2880</v>
      </c>
      <c r="AN108" s="52" t="s">
        <v>529</v>
      </c>
      <c r="AP108" s="52"/>
      <c r="AR108" s="52">
        <v>0.159999999999999</v>
      </c>
      <c r="AS108" s="52">
        <v>1.4705882352941985E-2</v>
      </c>
      <c r="AT108" s="52"/>
      <c r="AU108" s="52"/>
      <c r="AV108" s="52"/>
      <c r="AW108" s="52"/>
      <c r="AX108" s="52"/>
      <c r="AY108" s="52"/>
      <c r="AZ108" s="52"/>
      <c r="BA108" s="52"/>
      <c r="BB108" s="52"/>
      <c r="BC108" s="52"/>
      <c r="BD108" s="52"/>
      <c r="BE108" s="52">
        <v>48.947368421052602</v>
      </c>
      <c r="BF108" s="52">
        <v>3.6842105263158018</v>
      </c>
      <c r="BG108" s="52">
        <v>72</v>
      </c>
      <c r="BH108" s="52">
        <v>62.247191011235898</v>
      </c>
      <c r="BI108" s="52">
        <v>3.9325842696628968</v>
      </c>
      <c r="BJ108" s="52"/>
    </row>
    <row r="109" spans="1:62" s="51" customFormat="1">
      <c r="A109" s="50" t="s">
        <v>259</v>
      </c>
      <c r="B109" s="50" t="s">
        <v>671</v>
      </c>
      <c r="C109" s="50"/>
      <c r="D109" s="50"/>
      <c r="E109" s="52" t="s">
        <v>624</v>
      </c>
      <c r="F109" s="50" t="s">
        <v>261</v>
      </c>
      <c r="G109" s="62" t="s">
        <v>566</v>
      </c>
      <c r="H109" s="64" t="s">
        <v>228</v>
      </c>
      <c r="I109" s="50"/>
      <c r="J109" s="50" t="s">
        <v>213</v>
      </c>
      <c r="K109" s="50" t="s">
        <v>215</v>
      </c>
      <c r="L109" s="50" t="s">
        <v>79</v>
      </c>
      <c r="M109" s="50">
        <v>5</v>
      </c>
      <c r="N109" s="50">
        <v>3</v>
      </c>
      <c r="O109" s="50"/>
      <c r="P109" s="50">
        <v>-1</v>
      </c>
      <c r="Q109" s="50"/>
      <c r="R109" s="50">
        <v>2</v>
      </c>
      <c r="S109" s="50"/>
      <c r="T109" s="50"/>
      <c r="U109" s="50"/>
      <c r="V109" s="50"/>
      <c r="W109" s="50"/>
      <c r="X109" s="50"/>
      <c r="Y109" s="50"/>
      <c r="Z109" s="50"/>
      <c r="AA109" s="50"/>
      <c r="AB109" s="50"/>
      <c r="AC109" s="50"/>
      <c r="AD109" s="50">
        <v>20.88</v>
      </c>
      <c r="AE109" s="50"/>
      <c r="AF109" s="50" t="s">
        <v>1144</v>
      </c>
      <c r="AG109" s="50" t="s">
        <v>216</v>
      </c>
      <c r="AH109" s="50"/>
      <c r="AI109" s="50" t="s">
        <v>219</v>
      </c>
      <c r="AJ109" s="50" t="s">
        <v>219</v>
      </c>
      <c r="AK109" s="50">
        <v>0</v>
      </c>
      <c r="AL109" s="50">
        <v>27.4</v>
      </c>
      <c r="AM109" s="50">
        <f>24*60</f>
        <v>1440</v>
      </c>
      <c r="AN109" s="52" t="s">
        <v>529</v>
      </c>
      <c r="AP109" s="50"/>
      <c r="AR109" s="50">
        <v>0.158741944522275</v>
      </c>
      <c r="AS109" s="50">
        <v>2.2891566265060004E-2</v>
      </c>
      <c r="AT109" s="137"/>
      <c r="AU109" s="50"/>
      <c r="AV109" s="50"/>
      <c r="AW109" s="50"/>
      <c r="AX109" s="50"/>
      <c r="AY109" s="50"/>
      <c r="AZ109" s="50"/>
      <c r="BA109" s="50">
        <v>153030.30303030301</v>
      </c>
      <c r="BB109" s="50">
        <v>33333.333333332994</v>
      </c>
      <c r="BC109" s="50">
        <v>0.67427259684361496</v>
      </c>
      <c r="BD109" s="50">
        <v>6.3357245337150037E-3</v>
      </c>
      <c r="BE109" s="50">
        <v>39.705882352941103</v>
      </c>
      <c r="BF109" s="50">
        <v>9.8529411764705941</v>
      </c>
      <c r="BG109" s="50">
        <v>48</v>
      </c>
      <c r="BH109" s="50">
        <v>71.208529143578602</v>
      </c>
      <c r="BI109" s="50">
        <v>8.886862593813504</v>
      </c>
      <c r="BJ109" s="50">
        <v>24</v>
      </c>
    </row>
    <row r="110" spans="1:62" s="51" customFormat="1">
      <c r="A110" s="50" t="s">
        <v>259</v>
      </c>
      <c r="B110" s="50" t="s">
        <v>671</v>
      </c>
      <c r="C110" s="50"/>
      <c r="D110" s="50"/>
      <c r="E110" s="52" t="s">
        <v>624</v>
      </c>
      <c r="F110" s="50" t="s">
        <v>261</v>
      </c>
      <c r="G110" s="62" t="s">
        <v>566</v>
      </c>
      <c r="H110" s="64" t="s">
        <v>228</v>
      </c>
      <c r="I110" s="50"/>
      <c r="J110" s="50" t="s">
        <v>213</v>
      </c>
      <c r="K110" s="50" t="s">
        <v>215</v>
      </c>
      <c r="L110" s="50" t="s">
        <v>79</v>
      </c>
      <c r="M110" s="50">
        <v>5</v>
      </c>
      <c r="N110" s="50">
        <v>3</v>
      </c>
      <c r="O110" s="50"/>
      <c r="P110" s="50">
        <v>-1</v>
      </c>
      <c r="Q110" s="50"/>
      <c r="R110" s="50">
        <v>2</v>
      </c>
      <c r="S110" s="50"/>
      <c r="T110" s="50"/>
      <c r="U110" s="50"/>
      <c r="V110" s="50"/>
      <c r="W110" s="50"/>
      <c r="X110" s="50"/>
      <c r="Y110" s="50"/>
      <c r="Z110" s="50"/>
      <c r="AA110" s="50"/>
      <c r="AB110" s="50"/>
      <c r="AC110" s="50"/>
      <c r="AD110" s="50">
        <v>20.88</v>
      </c>
      <c r="AE110" s="50"/>
      <c r="AF110" s="50" t="s">
        <v>1144</v>
      </c>
      <c r="AG110" s="50" t="s">
        <v>216</v>
      </c>
      <c r="AH110" s="50"/>
      <c r="AI110" s="50" t="s">
        <v>219</v>
      </c>
      <c r="AJ110" s="50" t="s">
        <v>218</v>
      </c>
      <c r="AK110" s="50">
        <v>3.3</v>
      </c>
      <c r="AL110" s="50">
        <v>30.7</v>
      </c>
      <c r="AM110" s="50">
        <f>24*60</f>
        <v>1440</v>
      </c>
      <c r="AN110" s="52" t="s">
        <v>529</v>
      </c>
      <c r="AP110" s="50"/>
      <c r="AR110" s="50">
        <v>0.29246287475483301</v>
      </c>
      <c r="AS110" s="50">
        <v>6.6279069767441967E-2</v>
      </c>
      <c r="AT110" s="137"/>
      <c r="AU110" s="50"/>
      <c r="AV110" s="50"/>
      <c r="AW110" s="50"/>
      <c r="AX110" s="50"/>
      <c r="AY110" s="50"/>
      <c r="AZ110" s="50"/>
      <c r="BA110" s="50">
        <v>169696.969696969</v>
      </c>
      <c r="BB110" s="50">
        <v>33333.333333334012</v>
      </c>
      <c r="BC110" s="50">
        <v>0.605968436154949</v>
      </c>
      <c r="BD110" s="50">
        <v>9.7503586800570252E-3</v>
      </c>
      <c r="BE110" s="50">
        <v>43.235294117647001</v>
      </c>
      <c r="BF110" s="50">
        <v>6.176470588235297</v>
      </c>
      <c r="BG110" s="50">
        <v>48</v>
      </c>
      <c r="BH110" s="50">
        <v>68.244371186083995</v>
      </c>
      <c r="BI110" s="50">
        <v>9.1351616749667102</v>
      </c>
      <c r="BJ110" s="50">
        <v>24</v>
      </c>
    </row>
    <row r="111" spans="1:62" s="51" customFormat="1">
      <c r="A111" s="50" t="s">
        <v>259</v>
      </c>
      <c r="B111" s="50" t="s">
        <v>671</v>
      </c>
      <c r="C111" s="50"/>
      <c r="D111" s="50"/>
      <c r="E111" s="52" t="s">
        <v>624</v>
      </c>
      <c r="F111" s="50" t="s">
        <v>261</v>
      </c>
      <c r="G111" s="62" t="s">
        <v>566</v>
      </c>
      <c r="H111" s="64" t="s">
        <v>228</v>
      </c>
      <c r="I111" s="50"/>
      <c r="J111" s="50" t="s">
        <v>213</v>
      </c>
      <c r="K111" s="50" t="s">
        <v>215</v>
      </c>
      <c r="L111" s="50" t="s">
        <v>237</v>
      </c>
      <c r="M111" s="50"/>
      <c r="N111" s="50"/>
      <c r="O111" s="50"/>
      <c r="P111" s="50">
        <v>-1</v>
      </c>
      <c r="Q111" s="50">
        <v>24</v>
      </c>
      <c r="R111" s="50">
        <v>26</v>
      </c>
      <c r="S111" s="50"/>
      <c r="T111" s="50"/>
      <c r="U111" s="50"/>
      <c r="V111" s="50"/>
      <c r="W111" s="50"/>
      <c r="X111" s="50"/>
      <c r="Y111" s="50"/>
      <c r="Z111" s="50"/>
      <c r="AA111" s="50"/>
      <c r="AB111" s="50"/>
      <c r="AC111" s="50"/>
      <c r="AD111" s="50">
        <v>20.88</v>
      </c>
      <c r="AE111" s="50"/>
      <c r="AF111" s="50" t="s">
        <v>1144</v>
      </c>
      <c r="AG111" s="50" t="s">
        <v>216</v>
      </c>
      <c r="AH111" s="50"/>
      <c r="AI111" s="50" t="s">
        <v>219</v>
      </c>
      <c r="AJ111" s="50" t="s">
        <v>219</v>
      </c>
      <c r="AK111" s="50">
        <v>0</v>
      </c>
      <c r="AL111" s="50">
        <v>27.4</v>
      </c>
      <c r="AM111" s="50">
        <f>24*60</f>
        <v>1440</v>
      </c>
      <c r="AP111" s="50"/>
      <c r="AQ111" s="50"/>
      <c r="AR111" s="50"/>
      <c r="AS111" s="50"/>
      <c r="AT111" s="137"/>
      <c r="AU111" s="50"/>
      <c r="AV111" s="50"/>
      <c r="AW111" s="50"/>
      <c r="AX111" s="50"/>
      <c r="AY111" s="50"/>
      <c r="AZ111" s="50"/>
      <c r="BA111" s="50"/>
      <c r="BB111" s="50"/>
      <c r="BC111" s="50"/>
      <c r="BD111" s="50"/>
      <c r="BE111" s="50"/>
      <c r="BF111" s="50"/>
      <c r="BG111" s="50"/>
      <c r="BH111" s="50">
        <v>10</v>
      </c>
      <c r="BI111" s="50">
        <v>2.4583333333333002</v>
      </c>
      <c r="BJ111" s="50"/>
    </row>
    <row r="112" spans="1:62" s="51" customFormat="1">
      <c r="A112" s="50" t="s">
        <v>259</v>
      </c>
      <c r="B112" s="50" t="s">
        <v>671</v>
      </c>
      <c r="C112" s="50"/>
      <c r="D112" s="50"/>
      <c r="E112" s="52" t="s">
        <v>624</v>
      </c>
      <c r="F112" s="50" t="s">
        <v>261</v>
      </c>
      <c r="G112" s="62" t="s">
        <v>566</v>
      </c>
      <c r="H112" s="64" t="s">
        <v>228</v>
      </c>
      <c r="I112" s="50"/>
      <c r="J112" s="50" t="s">
        <v>213</v>
      </c>
      <c r="K112" s="50" t="s">
        <v>215</v>
      </c>
      <c r="L112" s="50" t="s">
        <v>237</v>
      </c>
      <c r="M112" s="50"/>
      <c r="N112" s="50"/>
      <c r="O112" s="50"/>
      <c r="P112" s="50">
        <v>-1</v>
      </c>
      <c r="Q112" s="50">
        <v>24</v>
      </c>
      <c r="R112" s="50">
        <v>26</v>
      </c>
      <c r="S112" s="50"/>
      <c r="T112" s="50"/>
      <c r="U112" s="50"/>
      <c r="V112" s="50"/>
      <c r="W112" s="50"/>
      <c r="X112" s="50"/>
      <c r="Y112" s="50"/>
      <c r="Z112" s="50"/>
      <c r="AA112" s="50"/>
      <c r="AB112" s="50"/>
      <c r="AC112" s="50"/>
      <c r="AD112" s="50">
        <v>20.88</v>
      </c>
      <c r="AE112" s="50"/>
      <c r="AF112" s="50" t="s">
        <v>1144</v>
      </c>
      <c r="AG112" s="50" t="s">
        <v>216</v>
      </c>
      <c r="AH112" s="50"/>
      <c r="AI112" s="50" t="s">
        <v>219</v>
      </c>
      <c r="AJ112" s="50" t="s">
        <v>218</v>
      </c>
      <c r="AK112" s="50">
        <v>3.3</v>
      </c>
      <c r="AL112" s="50">
        <v>30.7</v>
      </c>
      <c r="AM112" s="50">
        <f>24*60</f>
        <v>1440</v>
      </c>
      <c r="AP112" s="50"/>
      <c r="AQ112" s="50"/>
      <c r="AR112" s="50"/>
      <c r="AS112" s="50"/>
      <c r="AT112" s="137"/>
      <c r="AU112" s="50"/>
      <c r="AV112" s="50"/>
      <c r="AW112" s="50"/>
      <c r="AX112" s="50"/>
      <c r="AY112" s="50"/>
      <c r="AZ112" s="50"/>
      <c r="BA112" s="50"/>
      <c r="BB112" s="50"/>
      <c r="BC112" s="50"/>
      <c r="BD112" s="50"/>
      <c r="BE112" s="50"/>
      <c r="BF112" s="50"/>
      <c r="BG112" s="50"/>
      <c r="BH112" s="50">
        <v>1</v>
      </c>
      <c r="BI112" s="50">
        <v>0.58333333333332993</v>
      </c>
      <c r="BJ112" s="50"/>
    </row>
    <row r="113" spans="1:63" s="49" customFormat="1">
      <c r="A113" s="48" t="s">
        <v>269</v>
      </c>
      <c r="B113" s="48" t="s">
        <v>525</v>
      </c>
      <c r="C113" s="48"/>
      <c r="D113" s="48"/>
      <c r="E113" s="48" t="s">
        <v>623</v>
      </c>
      <c r="F113" s="48" t="s">
        <v>268</v>
      </c>
      <c r="G113" s="57" t="s">
        <v>564</v>
      </c>
      <c r="H113" s="61" t="s">
        <v>267</v>
      </c>
      <c r="I113" s="48"/>
      <c r="J113" s="48" t="s">
        <v>214</v>
      </c>
      <c r="K113" s="48" t="s">
        <v>216</v>
      </c>
      <c r="L113" s="48" t="s">
        <v>79</v>
      </c>
      <c r="M113" s="48">
        <v>1</v>
      </c>
      <c r="N113" s="48">
        <v>7</v>
      </c>
      <c r="O113" s="48"/>
      <c r="P113" s="48" t="s">
        <v>271</v>
      </c>
      <c r="Q113" s="48"/>
      <c r="R113" s="48">
        <v>5</v>
      </c>
      <c r="S113" s="48"/>
      <c r="T113" s="48"/>
      <c r="U113" s="48"/>
      <c r="V113" s="48"/>
      <c r="W113" s="48"/>
      <c r="X113" s="48"/>
      <c r="Y113" s="48"/>
      <c r="Z113" s="48"/>
      <c r="AA113" s="48"/>
      <c r="AB113" s="48"/>
      <c r="AC113" s="48"/>
      <c r="AD113" s="121">
        <v>34</v>
      </c>
      <c r="AE113" s="129"/>
      <c r="AF113" s="129" t="s">
        <v>1180</v>
      </c>
      <c r="AG113" s="129" t="s">
        <v>216</v>
      </c>
      <c r="AH113" s="48"/>
      <c r="AI113" s="48" t="s">
        <v>219</v>
      </c>
      <c r="AJ113" s="48" t="s">
        <v>219</v>
      </c>
      <c r="AK113" s="48">
        <v>0</v>
      </c>
      <c r="AL113" s="48">
        <v>27</v>
      </c>
      <c r="AM113" s="48"/>
      <c r="AN113">
        <v>5.2916666666666702E-5</v>
      </c>
      <c r="AO113">
        <v>2.2083333333333305E-5</v>
      </c>
      <c r="AP113" s="48" t="s">
        <v>575</v>
      </c>
      <c r="AQ113" s="48"/>
      <c r="AR113" s="48">
        <f>(0.0000529166666666667*1000)/(60*0.02241)</f>
        <v>3.9354950666865014E-2</v>
      </c>
      <c r="AS113" s="48">
        <f>((0.0000221*1000)/(60*0.02241))/SQRT(7)</f>
        <v>6.2122674799225943E-3</v>
      </c>
      <c r="AT113" s="133"/>
      <c r="AU113" s="48"/>
      <c r="AV113" s="48"/>
      <c r="AW113" s="48"/>
      <c r="AX113" s="48"/>
      <c r="AY113" s="48"/>
      <c r="AZ113" s="48"/>
      <c r="BA113" s="48"/>
      <c r="BB113" s="48"/>
      <c r="BC113" s="48"/>
      <c r="BD113" s="48"/>
      <c r="BE113" s="48"/>
      <c r="BF113" s="48"/>
      <c r="BG113" s="48"/>
      <c r="BH113" s="48"/>
      <c r="BI113" s="48"/>
      <c r="BJ113" s="48"/>
    </row>
    <row r="114" spans="1:63" s="49" customFormat="1">
      <c r="A114" s="48" t="s">
        <v>269</v>
      </c>
      <c r="B114" s="48" t="s">
        <v>525</v>
      </c>
      <c r="C114" s="48"/>
      <c r="D114" s="48"/>
      <c r="E114" s="48" t="s">
        <v>623</v>
      </c>
      <c r="F114" s="48" t="s">
        <v>268</v>
      </c>
      <c r="G114" s="57" t="s">
        <v>564</v>
      </c>
      <c r="H114" s="61" t="s">
        <v>267</v>
      </c>
      <c r="I114" s="48"/>
      <c r="J114" s="48" t="s">
        <v>214</v>
      </c>
      <c r="K114" s="48" t="s">
        <v>216</v>
      </c>
      <c r="L114" s="48" t="s">
        <v>79</v>
      </c>
      <c r="M114" s="48">
        <v>1</v>
      </c>
      <c r="N114" s="48">
        <v>9</v>
      </c>
      <c r="O114" s="48"/>
      <c r="P114" s="48" t="s">
        <v>271</v>
      </c>
      <c r="Q114" s="48"/>
      <c r="R114" s="48">
        <v>6</v>
      </c>
      <c r="S114" s="48"/>
      <c r="T114" s="48"/>
      <c r="U114" s="48"/>
      <c r="V114" s="48"/>
      <c r="W114" s="48"/>
      <c r="X114" s="48"/>
      <c r="Y114" s="48"/>
      <c r="Z114" s="48"/>
      <c r="AA114" s="48"/>
      <c r="AB114" s="48"/>
      <c r="AC114" s="48"/>
      <c r="AD114" s="121">
        <v>34</v>
      </c>
      <c r="AE114" s="129"/>
      <c r="AF114" s="129" t="s">
        <v>1180</v>
      </c>
      <c r="AG114" s="129" t="s">
        <v>216</v>
      </c>
      <c r="AH114" s="48"/>
      <c r="AI114" s="48" t="s">
        <v>219</v>
      </c>
      <c r="AJ114" s="48" t="s">
        <v>219</v>
      </c>
      <c r="AK114" s="48">
        <v>0</v>
      </c>
      <c r="AL114" s="48">
        <v>27</v>
      </c>
      <c r="AM114" s="48"/>
      <c r="AN114">
        <v>4.208333333333331E-5</v>
      </c>
      <c r="AO114">
        <v>1.5833333333333394E-5</v>
      </c>
      <c r="AP114" s="48" t="s">
        <v>575</v>
      </c>
      <c r="AQ114" s="48"/>
      <c r="AR114" s="48">
        <f>(0.0000420833333333333*1000)/(60*0.02241)</f>
        <v>3.129803163270363E-2</v>
      </c>
      <c r="AS114" s="48">
        <f>((0.000015833*1000)/(60*0.02241))/SQRT(9)</f>
        <v>3.9250830482423522E-3</v>
      </c>
      <c r="AT114" s="133"/>
      <c r="AU114" s="48"/>
      <c r="AV114" s="48"/>
      <c r="AW114" s="48"/>
      <c r="AX114" s="48"/>
      <c r="AY114" s="48"/>
      <c r="AZ114" s="48"/>
      <c r="BA114" s="48"/>
      <c r="BB114" s="48"/>
      <c r="BC114" s="48"/>
      <c r="BD114" s="48"/>
      <c r="BE114" s="48"/>
      <c r="BF114" s="48"/>
      <c r="BG114" s="48"/>
      <c r="BH114" s="48"/>
      <c r="BI114" s="48"/>
      <c r="BJ114" s="48"/>
    </row>
    <row r="115" spans="1:63" s="49" customFormat="1">
      <c r="A115" s="48" t="s">
        <v>269</v>
      </c>
      <c r="B115" s="48" t="s">
        <v>525</v>
      </c>
      <c r="C115" s="48"/>
      <c r="D115" s="48"/>
      <c r="E115" s="48" t="s">
        <v>623</v>
      </c>
      <c r="F115" s="48" t="s">
        <v>268</v>
      </c>
      <c r="G115" s="57" t="s">
        <v>564</v>
      </c>
      <c r="H115" s="61" t="s">
        <v>267</v>
      </c>
      <c r="I115" s="48"/>
      <c r="J115" s="48" t="s">
        <v>214</v>
      </c>
      <c r="K115" s="48" t="s">
        <v>216</v>
      </c>
      <c r="L115" s="48" t="s">
        <v>79</v>
      </c>
      <c r="M115" s="48">
        <v>1</v>
      </c>
      <c r="N115" s="48">
        <v>11</v>
      </c>
      <c r="O115" s="48"/>
      <c r="P115" s="48" t="s">
        <v>271</v>
      </c>
      <c r="Q115" s="48"/>
      <c r="R115" s="48">
        <v>7</v>
      </c>
      <c r="S115" s="48"/>
      <c r="T115" s="48"/>
      <c r="U115" s="48"/>
      <c r="V115" s="48"/>
      <c r="W115" s="48"/>
      <c r="X115" s="48"/>
      <c r="Y115" s="48"/>
      <c r="Z115" s="48"/>
      <c r="AA115" s="48"/>
      <c r="AB115" s="48"/>
      <c r="AC115" s="48"/>
      <c r="AD115" s="121">
        <v>34</v>
      </c>
      <c r="AE115" s="129"/>
      <c r="AF115" s="129" t="s">
        <v>1180</v>
      </c>
      <c r="AG115" s="129" t="s">
        <v>216</v>
      </c>
      <c r="AH115" s="48"/>
      <c r="AI115" s="48" t="s">
        <v>219</v>
      </c>
      <c r="AJ115" s="48" t="s">
        <v>219</v>
      </c>
      <c r="AK115" s="48">
        <v>0</v>
      </c>
      <c r="AL115" s="48">
        <v>27</v>
      </c>
      <c r="AM115" s="48"/>
      <c r="AN115">
        <v>1.9166666666666603E-5</v>
      </c>
      <c r="AO115">
        <v>2.1666666666666708E-5</v>
      </c>
      <c r="AP115" s="48" t="s">
        <v>575</v>
      </c>
      <c r="AQ115" s="48"/>
      <c r="AR115" s="48">
        <f>(0.0000191666666666666*1000)/(60*0.02241)</f>
        <v>1.4254549060439237E-2</v>
      </c>
      <c r="AS115" s="48">
        <f>((0.0000216667*1000)/(60*0.02241))/SQRT(11)</f>
        <v>4.8585124569113722E-3</v>
      </c>
      <c r="AT115" s="133"/>
      <c r="AU115" s="48"/>
      <c r="AV115" s="48"/>
      <c r="AW115" s="48"/>
      <c r="AX115" s="48"/>
      <c r="AY115" s="48"/>
      <c r="AZ115" s="48"/>
      <c r="BA115" s="48"/>
      <c r="BB115" s="48"/>
      <c r="BC115" s="48"/>
      <c r="BD115" s="48"/>
      <c r="BE115" s="48"/>
      <c r="BF115" s="48"/>
      <c r="BG115" s="48"/>
      <c r="BH115" s="48"/>
      <c r="BI115" s="48"/>
      <c r="BJ115" s="48"/>
    </row>
    <row r="116" spans="1:63" s="48" customFormat="1">
      <c r="A116" s="48" t="s">
        <v>269</v>
      </c>
      <c r="B116" s="48" t="s">
        <v>525</v>
      </c>
      <c r="E116" s="48" t="s">
        <v>623</v>
      </c>
      <c r="F116" s="48" t="s">
        <v>268</v>
      </c>
      <c r="G116" s="57" t="s">
        <v>564</v>
      </c>
      <c r="H116" s="61" t="s">
        <v>267</v>
      </c>
      <c r="J116" s="48" t="s">
        <v>214</v>
      </c>
      <c r="K116" s="48" t="s">
        <v>216</v>
      </c>
      <c r="L116" s="48" t="s">
        <v>79</v>
      </c>
      <c r="M116" s="48">
        <v>1</v>
      </c>
      <c r="N116" s="48">
        <v>8</v>
      </c>
      <c r="P116" s="48" t="s">
        <v>271</v>
      </c>
      <c r="R116" s="48">
        <v>8</v>
      </c>
      <c r="AD116" s="121">
        <v>34</v>
      </c>
      <c r="AE116" s="129"/>
      <c r="AF116" s="129" t="s">
        <v>1180</v>
      </c>
      <c r="AG116" s="129" t="s">
        <v>216</v>
      </c>
      <c r="AI116" s="48" t="s">
        <v>219</v>
      </c>
      <c r="AJ116" s="48" t="s">
        <v>219</v>
      </c>
      <c r="AK116" s="48">
        <v>0</v>
      </c>
      <c r="AL116" s="48">
        <v>27</v>
      </c>
      <c r="AN116" s="20">
        <v>2.1666666666666599E-5</v>
      </c>
      <c r="AO116" s="20">
        <v>1.4583333333333403E-5</v>
      </c>
      <c r="AP116" s="48" t="s">
        <v>575</v>
      </c>
      <c r="AR116" s="48">
        <f>(0.0000216666666666666*1000)/(60*0.02241)</f>
        <v>1.6113838068322624E-2</v>
      </c>
      <c r="AS116" s="48">
        <f>((0.0000145833*1000)/(60*0.02241))/SQRT(8)</f>
        <v>3.8345791767357496E-3</v>
      </c>
      <c r="AT116" s="133"/>
    </row>
    <row r="117" spans="1:63" s="48" customFormat="1">
      <c r="A117" s="48" t="s">
        <v>269</v>
      </c>
      <c r="B117" s="48" t="s">
        <v>525</v>
      </c>
      <c r="E117" s="48" t="s">
        <v>623</v>
      </c>
      <c r="F117" s="48" t="s">
        <v>268</v>
      </c>
      <c r="G117" s="57" t="s">
        <v>564</v>
      </c>
      <c r="H117" s="61" t="s">
        <v>267</v>
      </c>
      <c r="J117" s="48" t="s">
        <v>214</v>
      </c>
      <c r="K117" s="48" t="s">
        <v>216</v>
      </c>
      <c r="L117" s="48" t="s">
        <v>79</v>
      </c>
      <c r="M117" s="48">
        <v>1</v>
      </c>
      <c r="N117" s="48">
        <v>14</v>
      </c>
      <c r="P117" s="48" t="s">
        <v>271</v>
      </c>
      <c r="R117" s="48">
        <v>9</v>
      </c>
      <c r="AD117" s="121">
        <v>34</v>
      </c>
      <c r="AE117" s="129"/>
      <c r="AF117" s="129" t="s">
        <v>1180</v>
      </c>
      <c r="AG117" s="129" t="s">
        <v>216</v>
      </c>
      <c r="AI117" s="48" t="s">
        <v>219</v>
      </c>
      <c r="AJ117" s="48" t="s">
        <v>219</v>
      </c>
      <c r="AK117" s="48">
        <v>0</v>
      </c>
      <c r="AL117" s="48">
        <v>27</v>
      </c>
      <c r="AN117" s="20">
        <v>2.5416666666666602E-5</v>
      </c>
      <c r="AO117" s="20">
        <v>1.2916666666666702E-5</v>
      </c>
      <c r="AP117" s="48" t="s">
        <v>575</v>
      </c>
      <c r="AR117" s="48">
        <f>(0.0000254166666666666*1000)/(60*0.02241)</f>
        <v>1.8902771580147699E-2</v>
      </c>
      <c r="AS117" s="48">
        <f>((0.000012916667*1000)/(60*0.02241))/SQRT(14)</f>
        <v>2.5673988277474555E-3</v>
      </c>
      <c r="AT117" s="133"/>
    </row>
    <row r="118" spans="1:63" s="48" customFormat="1">
      <c r="A118" s="48" t="s">
        <v>269</v>
      </c>
      <c r="B118" s="48" t="s">
        <v>525</v>
      </c>
      <c r="E118" s="48" t="s">
        <v>623</v>
      </c>
      <c r="F118" s="48" t="s">
        <v>268</v>
      </c>
      <c r="G118" s="57" t="s">
        <v>564</v>
      </c>
      <c r="H118" s="61" t="s">
        <v>267</v>
      </c>
      <c r="J118" s="48" t="s">
        <v>214</v>
      </c>
      <c r="K118" s="48" t="s">
        <v>216</v>
      </c>
      <c r="L118" s="48" t="s">
        <v>79</v>
      </c>
      <c r="M118" s="48">
        <v>1</v>
      </c>
      <c r="N118" s="48">
        <v>11</v>
      </c>
      <c r="P118" s="48" t="s">
        <v>271</v>
      </c>
      <c r="R118" s="48">
        <v>10</v>
      </c>
      <c r="AD118" s="121">
        <v>34</v>
      </c>
      <c r="AE118" s="129"/>
      <c r="AF118" s="129" t="s">
        <v>1180</v>
      </c>
      <c r="AG118" s="129" t="s">
        <v>216</v>
      </c>
      <c r="AI118" s="48" t="s">
        <v>219</v>
      </c>
      <c r="AJ118" s="48" t="s">
        <v>219</v>
      </c>
      <c r="AK118" s="48">
        <v>0</v>
      </c>
      <c r="AL118" s="48">
        <v>27</v>
      </c>
      <c r="AN118" s="20">
        <v>3.2083333333333305E-5</v>
      </c>
      <c r="AO118" s="20">
        <v>1.4166666666666702E-5</v>
      </c>
      <c r="AP118" s="48" t="s">
        <v>575</v>
      </c>
      <c r="AR118" s="48">
        <f>(0.0000320833333333333*1000)/(60*0.02241)</f>
        <v>2.3860875601170086E-2</v>
      </c>
      <c r="AS118" s="48">
        <f>((0.00001416667*1000)/(60*0.02241))/SQRT(11)</f>
        <v>3.1767155435739004E-3</v>
      </c>
      <c r="AT118" s="133"/>
    </row>
    <row r="119" spans="1:63" s="48" customFormat="1">
      <c r="A119" s="48" t="s">
        <v>269</v>
      </c>
      <c r="B119" s="48" t="s">
        <v>525</v>
      </c>
      <c r="E119" s="48" t="s">
        <v>623</v>
      </c>
      <c r="F119" s="48" t="s">
        <v>268</v>
      </c>
      <c r="G119" s="57" t="s">
        <v>564</v>
      </c>
      <c r="H119" s="61" t="s">
        <v>267</v>
      </c>
      <c r="J119" s="48" t="s">
        <v>214</v>
      </c>
      <c r="K119" s="48" t="s">
        <v>216</v>
      </c>
      <c r="L119" s="48" t="s">
        <v>79</v>
      </c>
      <c r="M119" s="48">
        <v>1</v>
      </c>
      <c r="N119" s="48">
        <v>7</v>
      </c>
      <c r="P119" s="48" t="s">
        <v>271</v>
      </c>
      <c r="R119" s="48">
        <v>16</v>
      </c>
      <c r="AD119" s="121">
        <v>34</v>
      </c>
      <c r="AE119" s="129"/>
      <c r="AF119" s="129" t="s">
        <v>1180</v>
      </c>
      <c r="AG119" s="129" t="s">
        <v>216</v>
      </c>
      <c r="AI119" s="48" t="s">
        <v>219</v>
      </c>
      <c r="AJ119" s="48" t="s">
        <v>219</v>
      </c>
      <c r="AK119" s="48">
        <v>0</v>
      </c>
      <c r="AL119" s="48">
        <v>27</v>
      </c>
      <c r="AN119" s="20">
        <v>3.4166666666666598E-5</v>
      </c>
      <c r="AO119" s="20">
        <v>1.4583333333333403E-5</v>
      </c>
      <c r="AP119" s="48" t="s">
        <v>575</v>
      </c>
      <c r="AR119" s="48">
        <f>(0.0000341666666666666*1000)/(60*0.02241)</f>
        <v>2.5410283107739545E-2</v>
      </c>
      <c r="AS119" s="48">
        <f>((0.0000145833*1000)/(60*0.02241))/SQRT(7)</f>
        <v>4.0993375719436736E-3</v>
      </c>
      <c r="AT119" s="133"/>
    </row>
    <row r="120" spans="1:63" s="48" customFormat="1">
      <c r="A120" s="48" t="s">
        <v>269</v>
      </c>
      <c r="B120" s="48" t="s">
        <v>525</v>
      </c>
      <c r="E120" s="48" t="s">
        <v>623</v>
      </c>
      <c r="F120" s="48" t="s">
        <v>268</v>
      </c>
      <c r="G120" s="57" t="s">
        <v>564</v>
      </c>
      <c r="H120" s="61" t="s">
        <v>267</v>
      </c>
      <c r="J120" s="48" t="s">
        <v>214</v>
      </c>
      <c r="K120" s="48" t="s">
        <v>216</v>
      </c>
      <c r="L120" s="48" t="s">
        <v>79</v>
      </c>
      <c r="M120" s="48">
        <v>1</v>
      </c>
      <c r="N120" s="48">
        <v>8</v>
      </c>
      <c r="P120" s="48" t="s">
        <v>271</v>
      </c>
      <c r="R120" s="48">
        <v>18</v>
      </c>
      <c r="AD120" s="121">
        <v>34</v>
      </c>
      <c r="AE120" s="129"/>
      <c r="AF120" s="129" t="s">
        <v>1180</v>
      </c>
      <c r="AG120" s="129" t="s">
        <v>216</v>
      </c>
      <c r="AI120" s="48" t="s">
        <v>219</v>
      </c>
      <c r="AJ120" s="48" t="s">
        <v>219</v>
      </c>
      <c r="AK120" s="48">
        <v>0</v>
      </c>
      <c r="AL120" s="48">
        <v>27</v>
      </c>
      <c r="AN120" s="20">
        <v>2.8333333333333301E-5</v>
      </c>
      <c r="AO120" s="20">
        <v>1.3333333333333398E-5</v>
      </c>
      <c r="AP120" s="48" t="s">
        <v>575</v>
      </c>
      <c r="AR120" s="48">
        <f>(0.0000283333333333333*1000)/(60*0.02241)</f>
        <v>2.107194208934501E-2</v>
      </c>
      <c r="AS120" s="48">
        <f>((0.0000133334*1000)/(60*0.02241))/SQRT(8)</f>
        <v>3.5059265046380752E-3</v>
      </c>
      <c r="AT120" s="133"/>
    </row>
    <row r="121" spans="1:63" s="115" customFormat="1">
      <c r="A121" s="115" t="s">
        <v>269</v>
      </c>
      <c r="B121" s="115" t="s">
        <v>525</v>
      </c>
      <c r="E121" s="115" t="s">
        <v>623</v>
      </c>
      <c r="F121" s="115" t="s">
        <v>268</v>
      </c>
      <c r="G121" s="116" t="s">
        <v>564</v>
      </c>
      <c r="H121" s="117" t="s">
        <v>267</v>
      </c>
      <c r="J121" s="115" t="s">
        <v>214</v>
      </c>
      <c r="K121" s="115" t="s">
        <v>216</v>
      </c>
      <c r="L121" s="115" t="s">
        <v>79</v>
      </c>
      <c r="M121" s="115">
        <v>1</v>
      </c>
      <c r="N121" s="115">
        <v>5</v>
      </c>
      <c r="P121" s="115" t="s">
        <v>271</v>
      </c>
      <c r="R121" s="115">
        <v>20</v>
      </c>
      <c r="AD121" s="121">
        <v>34</v>
      </c>
      <c r="AE121" s="129"/>
      <c r="AF121" s="129" t="s">
        <v>1180</v>
      </c>
      <c r="AG121" s="129" t="s">
        <v>216</v>
      </c>
      <c r="AI121" s="115" t="s">
        <v>219</v>
      </c>
      <c r="AJ121" s="115" t="s">
        <v>219</v>
      </c>
      <c r="AK121" s="115">
        <v>0</v>
      </c>
      <c r="AL121" s="115">
        <v>27</v>
      </c>
      <c r="AN121" s="20">
        <v>1.62499999999999E-5</v>
      </c>
      <c r="AO121" s="20">
        <v>1.41666666666667E-5</v>
      </c>
      <c r="AP121" s="115" t="s">
        <v>575</v>
      </c>
      <c r="AR121" s="115">
        <f>(0.0000162499999999999*1000)/(60*0.02241)</f>
        <v>1.208537855124193E-2</v>
      </c>
      <c r="AS121" s="115">
        <f>((0.0000141667*1000)/(60*0.02241))/SQRT(5)</f>
        <v>4.711840579629074E-3</v>
      </c>
      <c r="AT121" s="142"/>
    </row>
    <row r="122" spans="1:63" s="118" customFormat="1">
      <c r="A122" s="118" t="s">
        <v>276</v>
      </c>
      <c r="B122" s="118" t="s">
        <v>695</v>
      </c>
      <c r="D122" s="118" t="s">
        <v>700</v>
      </c>
      <c r="E122" s="118" t="s">
        <v>623</v>
      </c>
      <c r="F122" s="118" t="s">
        <v>286</v>
      </c>
      <c r="G122" s="119" t="s">
        <v>564</v>
      </c>
      <c r="H122" s="118" t="s">
        <v>287</v>
      </c>
      <c r="J122" s="118" t="s">
        <v>214</v>
      </c>
      <c r="K122" s="118" t="s">
        <v>216</v>
      </c>
      <c r="L122" s="118" t="s">
        <v>290</v>
      </c>
      <c r="M122" s="118">
        <v>50</v>
      </c>
      <c r="N122" s="118">
        <v>5</v>
      </c>
      <c r="R122" s="118">
        <v>1</v>
      </c>
      <c r="T122" s="120">
        <v>4</v>
      </c>
      <c r="W122" s="118" t="s">
        <v>1141</v>
      </c>
      <c r="X122" s="118">
        <v>14.724024999999999</v>
      </c>
      <c r="Y122" s="118">
        <v>2.648892576821805</v>
      </c>
      <c r="AD122" s="121">
        <f>(X122*100)/59.5</f>
        <v>24.746260504201679</v>
      </c>
      <c r="AE122" s="121">
        <f>(Y122*100)/59.5</f>
        <v>4.4519202971795044</v>
      </c>
      <c r="AF122" s="121" t="s">
        <v>1425</v>
      </c>
      <c r="AG122" s="121" t="s">
        <v>215</v>
      </c>
      <c r="AI122" s="118" t="s">
        <v>219</v>
      </c>
      <c r="AJ122" s="118" t="s">
        <v>219</v>
      </c>
      <c r="AK122" s="118">
        <v>0</v>
      </c>
      <c r="AL122" s="118">
        <v>27</v>
      </c>
      <c r="AN122" s="118">
        <v>5.0566040000000001</v>
      </c>
      <c r="AO122" s="118">
        <v>1.051200268733794</v>
      </c>
      <c r="AP122" s="118" t="s">
        <v>570</v>
      </c>
      <c r="AR122" s="118">
        <f>AN122/60</f>
        <v>8.427673333333334E-2</v>
      </c>
      <c r="AS122" s="118">
        <f>AO122/60</f>
        <v>1.7520004478896567E-2</v>
      </c>
      <c r="AT122" s="143" t="s">
        <v>1069</v>
      </c>
      <c r="BK122" s="118" t="s">
        <v>1093</v>
      </c>
    </row>
    <row r="123" spans="1:63" s="118" customFormat="1">
      <c r="A123" s="118" t="s">
        <v>276</v>
      </c>
      <c r="B123" s="118" t="s">
        <v>695</v>
      </c>
      <c r="D123" s="118" t="s">
        <v>700</v>
      </c>
      <c r="E123" s="118" t="s">
        <v>623</v>
      </c>
      <c r="F123" s="118" t="s">
        <v>286</v>
      </c>
      <c r="G123" s="119" t="s">
        <v>564</v>
      </c>
      <c r="H123" s="118" t="s">
        <v>287</v>
      </c>
      <c r="J123" s="118" t="s">
        <v>214</v>
      </c>
      <c r="K123" s="118" t="s">
        <v>216</v>
      </c>
      <c r="L123" s="118" t="s">
        <v>291</v>
      </c>
      <c r="M123" s="118">
        <v>50</v>
      </c>
      <c r="N123" s="118">
        <v>5</v>
      </c>
      <c r="R123" s="118">
        <v>1.5</v>
      </c>
      <c r="T123" s="120">
        <v>4</v>
      </c>
      <c r="W123" s="118" t="s">
        <v>1141</v>
      </c>
      <c r="X123" s="118">
        <v>14.1883125</v>
      </c>
      <c r="Y123" s="118">
        <v>0.55385601411640972</v>
      </c>
      <c r="AD123" s="121">
        <f t="shared" ref="AD123:AD135" si="12">(X123*100)/59.5</f>
        <v>23.845903361344536</v>
      </c>
      <c r="AE123" s="121">
        <f t="shared" ref="AE123:AE135" si="13">(Y123*100)/59.5</f>
        <v>0.93085044389312555</v>
      </c>
      <c r="AF123" s="121" t="s">
        <v>1425</v>
      </c>
      <c r="AG123" s="121" t="s">
        <v>215</v>
      </c>
      <c r="AI123" s="118" t="s">
        <v>219</v>
      </c>
      <c r="AJ123" s="118" t="s">
        <v>219</v>
      </c>
      <c r="AK123" s="118">
        <v>0</v>
      </c>
      <c r="AL123" s="118">
        <v>27</v>
      </c>
      <c r="AN123" s="118">
        <v>7.0188680000000003</v>
      </c>
      <c r="AO123" s="118">
        <v>4.9137819634945128</v>
      </c>
      <c r="AP123" s="118" t="s">
        <v>570</v>
      </c>
      <c r="AR123" s="118">
        <f t="shared" ref="AR123:AS178" si="14">AN123/60</f>
        <v>0.11698113333333333</v>
      </c>
      <c r="AS123" s="118">
        <f t="shared" si="14"/>
        <v>8.1896366058241882E-2</v>
      </c>
      <c r="AT123" s="143" t="s">
        <v>1069</v>
      </c>
      <c r="BK123" s="118" t="s">
        <v>1093</v>
      </c>
    </row>
    <row r="124" spans="1:63" s="118" customFormat="1">
      <c r="A124" s="118" t="s">
        <v>276</v>
      </c>
      <c r="B124" s="118" t="s">
        <v>695</v>
      </c>
      <c r="D124" s="118" t="s">
        <v>700</v>
      </c>
      <c r="E124" s="118" t="s">
        <v>623</v>
      </c>
      <c r="F124" s="118" t="s">
        <v>286</v>
      </c>
      <c r="G124" s="119" t="s">
        <v>564</v>
      </c>
      <c r="H124" s="118" t="s">
        <v>287</v>
      </c>
      <c r="J124" s="118" t="s">
        <v>214</v>
      </c>
      <c r="K124" s="118" t="s">
        <v>216</v>
      </c>
      <c r="L124" s="118" t="s">
        <v>291</v>
      </c>
      <c r="M124" s="118">
        <v>50</v>
      </c>
      <c r="N124" s="118">
        <v>5</v>
      </c>
      <c r="R124" s="118">
        <v>2</v>
      </c>
      <c r="T124" s="120">
        <v>4</v>
      </c>
      <c r="W124" s="118" t="s">
        <v>1141</v>
      </c>
      <c r="X124" s="118">
        <v>14.805194999999999</v>
      </c>
      <c r="Y124" s="118">
        <v>0.99048301081256962</v>
      </c>
      <c r="AD124" s="121">
        <f t="shared" si="12"/>
        <v>24.882680672268904</v>
      </c>
      <c r="AE124" s="121">
        <f t="shared" si="13"/>
        <v>1.6646773290967558</v>
      </c>
      <c r="AF124" s="121" t="s">
        <v>1425</v>
      </c>
      <c r="AG124" s="121" t="s">
        <v>215</v>
      </c>
      <c r="AI124" s="118" t="s">
        <v>219</v>
      </c>
      <c r="AJ124" s="118" t="s">
        <v>219</v>
      </c>
      <c r="AK124" s="118">
        <v>0</v>
      </c>
      <c r="AL124" s="118">
        <v>27</v>
      </c>
      <c r="AN124" s="118">
        <v>7.3584899999999998</v>
      </c>
      <c r="AO124" s="118">
        <v>1.5289610621322789</v>
      </c>
      <c r="AP124" s="118" t="s">
        <v>570</v>
      </c>
      <c r="AR124" s="118">
        <f t="shared" si="14"/>
        <v>0.1226415</v>
      </c>
      <c r="AS124" s="118">
        <f t="shared" si="14"/>
        <v>2.5482684368871314E-2</v>
      </c>
      <c r="AT124" s="143" t="s">
        <v>1069</v>
      </c>
      <c r="BK124" s="118" t="s">
        <v>1093</v>
      </c>
    </row>
    <row r="125" spans="1:63" s="118" customFormat="1">
      <c r="A125" s="118" t="s">
        <v>276</v>
      </c>
      <c r="B125" s="118" t="s">
        <v>695</v>
      </c>
      <c r="D125" s="118" t="s">
        <v>700</v>
      </c>
      <c r="E125" s="118" t="s">
        <v>623</v>
      </c>
      <c r="F125" s="118" t="s">
        <v>286</v>
      </c>
      <c r="G125" s="119" t="s">
        <v>564</v>
      </c>
      <c r="H125" s="118" t="s">
        <v>287</v>
      </c>
      <c r="J125" s="118" t="s">
        <v>214</v>
      </c>
      <c r="K125" s="118" t="s">
        <v>216</v>
      </c>
      <c r="L125" s="118" t="s">
        <v>291</v>
      </c>
      <c r="M125" s="118">
        <v>50</v>
      </c>
      <c r="N125" s="118">
        <v>5</v>
      </c>
      <c r="R125" s="118">
        <v>2.5</v>
      </c>
      <c r="T125" s="120">
        <v>4</v>
      </c>
      <c r="W125" s="118" t="s">
        <v>1141</v>
      </c>
      <c r="X125" s="118">
        <v>15.8928575</v>
      </c>
      <c r="Y125" s="118">
        <v>1.087662922886919</v>
      </c>
      <c r="AD125" s="121">
        <f t="shared" si="12"/>
        <v>26.710684873949582</v>
      </c>
      <c r="AE125" s="121">
        <f t="shared" si="13"/>
        <v>1.82800491241499</v>
      </c>
      <c r="AF125" s="121" t="s">
        <v>1425</v>
      </c>
      <c r="AG125" s="121" t="s">
        <v>215</v>
      </c>
      <c r="AI125" s="118" t="s">
        <v>219</v>
      </c>
      <c r="AJ125" s="118" t="s">
        <v>219</v>
      </c>
      <c r="AK125" s="118">
        <v>0</v>
      </c>
      <c r="AL125" s="118">
        <v>27</v>
      </c>
      <c r="AN125" s="118">
        <v>33.735847999999997</v>
      </c>
      <c r="AO125" s="118">
        <v>9.9070794240348157</v>
      </c>
      <c r="AP125" s="118" t="s">
        <v>570</v>
      </c>
      <c r="AR125" s="118">
        <f t="shared" si="14"/>
        <v>0.56226413333333325</v>
      </c>
      <c r="AS125" s="118">
        <f t="shared" si="14"/>
        <v>0.16511799040058026</v>
      </c>
      <c r="AT125" s="143" t="s">
        <v>1069</v>
      </c>
      <c r="BK125" s="118" t="s">
        <v>1093</v>
      </c>
    </row>
    <row r="126" spans="1:63" s="118" customFormat="1">
      <c r="A126" s="118" t="s">
        <v>276</v>
      </c>
      <c r="B126" s="118" t="s">
        <v>695</v>
      </c>
      <c r="D126" s="118" t="s">
        <v>700</v>
      </c>
      <c r="E126" s="118" t="s">
        <v>623</v>
      </c>
      <c r="F126" s="118" t="s">
        <v>286</v>
      </c>
      <c r="G126" s="119" t="s">
        <v>564</v>
      </c>
      <c r="H126" s="118" t="s">
        <v>287</v>
      </c>
      <c r="J126" s="118" t="s">
        <v>214</v>
      </c>
      <c r="K126" s="118" t="s">
        <v>216</v>
      </c>
      <c r="L126" s="118" t="s">
        <v>291</v>
      </c>
      <c r="M126" s="118">
        <v>50</v>
      </c>
      <c r="N126" s="118">
        <v>5</v>
      </c>
      <c r="R126" s="118">
        <v>3</v>
      </c>
      <c r="T126" s="120">
        <v>4</v>
      </c>
      <c r="W126" s="118" t="s">
        <v>1141</v>
      </c>
      <c r="X126" s="118">
        <v>14.139609999999999</v>
      </c>
      <c r="Y126" s="118">
        <v>1.0336636323614501</v>
      </c>
      <c r="AD126" s="121">
        <f t="shared" si="12"/>
        <v>23.764050420168068</v>
      </c>
      <c r="AE126" s="121">
        <f t="shared" si="13"/>
        <v>1.7372498022881513</v>
      </c>
      <c r="AF126" s="121" t="s">
        <v>1425</v>
      </c>
      <c r="AG126" s="121" t="s">
        <v>215</v>
      </c>
      <c r="AI126" s="118" t="s">
        <v>219</v>
      </c>
      <c r="AJ126" s="118" t="s">
        <v>219</v>
      </c>
      <c r="AK126" s="118">
        <v>0</v>
      </c>
      <c r="AL126" s="118">
        <v>27</v>
      </c>
      <c r="AN126" s="118">
        <v>38.641508000000002</v>
      </c>
      <c r="AO126" s="118">
        <v>12.310564786795281</v>
      </c>
      <c r="AP126" s="118" t="s">
        <v>570</v>
      </c>
      <c r="AR126" s="118">
        <f t="shared" si="14"/>
        <v>0.64402513333333333</v>
      </c>
      <c r="AS126" s="118">
        <f t="shared" si="14"/>
        <v>0.20517607977992133</v>
      </c>
      <c r="AT126" s="143" t="s">
        <v>1069</v>
      </c>
      <c r="BK126" s="118" t="s">
        <v>1093</v>
      </c>
    </row>
    <row r="127" spans="1:63" s="118" customFormat="1">
      <c r="A127" s="118" t="s">
        <v>276</v>
      </c>
      <c r="B127" s="118" t="s">
        <v>695</v>
      </c>
      <c r="D127" s="118" t="s">
        <v>700</v>
      </c>
      <c r="E127" s="118" t="s">
        <v>623</v>
      </c>
      <c r="F127" s="118" t="s">
        <v>286</v>
      </c>
      <c r="G127" s="119" t="s">
        <v>564</v>
      </c>
      <c r="H127" s="118" t="s">
        <v>287</v>
      </c>
      <c r="J127" s="118" t="s">
        <v>214</v>
      </c>
      <c r="K127" s="118" t="s">
        <v>216</v>
      </c>
      <c r="L127" s="118" t="s">
        <v>79</v>
      </c>
      <c r="M127" s="118">
        <v>50</v>
      </c>
      <c r="N127" s="118">
        <v>5</v>
      </c>
      <c r="R127" s="118">
        <v>4</v>
      </c>
      <c r="T127" s="120">
        <v>4</v>
      </c>
      <c r="W127" s="118" t="s">
        <v>1141</v>
      </c>
      <c r="X127" s="118">
        <v>13.425325000000001</v>
      </c>
      <c r="Y127" s="118">
        <v>1.055193666667404</v>
      </c>
      <c r="AD127" s="121">
        <f t="shared" si="12"/>
        <v>22.563571428571429</v>
      </c>
      <c r="AE127" s="121">
        <f t="shared" si="13"/>
        <v>1.7734347338947967</v>
      </c>
      <c r="AF127" s="121" t="s">
        <v>1425</v>
      </c>
      <c r="AG127" s="121" t="s">
        <v>215</v>
      </c>
      <c r="AI127" s="118" t="s">
        <v>219</v>
      </c>
      <c r="AJ127" s="118" t="s">
        <v>219</v>
      </c>
      <c r="AK127" s="118">
        <v>0</v>
      </c>
      <c r="AL127" s="118">
        <v>27</v>
      </c>
      <c r="AN127" s="118">
        <v>23.849057999999999</v>
      </c>
      <c r="AO127" s="118">
        <v>16.125796095460029</v>
      </c>
      <c r="AP127" s="118" t="s">
        <v>570</v>
      </c>
      <c r="AR127" s="118">
        <f t="shared" si="14"/>
        <v>0.39748430000000001</v>
      </c>
      <c r="AS127" s="118">
        <f t="shared" si="14"/>
        <v>0.26876326825766716</v>
      </c>
      <c r="AT127" s="143" t="s">
        <v>1069</v>
      </c>
      <c r="BK127" s="118" t="s">
        <v>1093</v>
      </c>
    </row>
    <row r="128" spans="1:63" s="118" customFormat="1">
      <c r="A128" s="118" t="s">
        <v>276</v>
      </c>
      <c r="B128" s="118" t="s">
        <v>695</v>
      </c>
      <c r="D128" s="118" t="s">
        <v>700</v>
      </c>
      <c r="E128" s="118" t="s">
        <v>623</v>
      </c>
      <c r="F128" s="118" t="s">
        <v>286</v>
      </c>
      <c r="G128" s="119" t="s">
        <v>564</v>
      </c>
      <c r="H128" s="118" t="s">
        <v>287</v>
      </c>
      <c r="J128" s="118" t="s">
        <v>214</v>
      </c>
      <c r="K128" s="118" t="s">
        <v>216</v>
      </c>
      <c r="L128" s="118" t="s">
        <v>79</v>
      </c>
      <c r="M128" s="118">
        <v>50</v>
      </c>
      <c r="N128" s="118">
        <v>5</v>
      </c>
      <c r="R128" s="118">
        <v>5</v>
      </c>
      <c r="T128" s="120">
        <v>5</v>
      </c>
      <c r="W128" s="118" t="s">
        <v>1141</v>
      </c>
      <c r="X128" s="118">
        <v>10.77922</v>
      </c>
      <c r="Y128" s="118">
        <v>0.61431488014698132</v>
      </c>
      <c r="AD128" s="121">
        <f t="shared" si="12"/>
        <v>18.116336134453782</v>
      </c>
      <c r="AE128" s="121">
        <f t="shared" si="13"/>
        <v>1.0324619834403048</v>
      </c>
      <c r="AF128" s="121" t="s">
        <v>1425</v>
      </c>
      <c r="AG128" s="121" t="s">
        <v>215</v>
      </c>
      <c r="AI128" s="118" t="s">
        <v>219</v>
      </c>
      <c r="AJ128" s="118" t="s">
        <v>219</v>
      </c>
      <c r="AK128" s="118">
        <v>0</v>
      </c>
      <c r="AL128" s="118">
        <v>27</v>
      </c>
      <c r="AN128" s="118">
        <v>12.377357999999999</v>
      </c>
      <c r="AO128" s="118">
        <v>3.2775931270223282</v>
      </c>
      <c r="AP128" s="118" t="s">
        <v>570</v>
      </c>
      <c r="AR128" s="118">
        <f t="shared" si="14"/>
        <v>0.20628929999999998</v>
      </c>
      <c r="AS128" s="118">
        <f t="shared" si="14"/>
        <v>5.4626552117038804E-2</v>
      </c>
      <c r="AT128" s="143" t="s">
        <v>1069</v>
      </c>
      <c r="BK128" s="118" t="s">
        <v>1093</v>
      </c>
    </row>
    <row r="129" spans="1:63" s="118" customFormat="1">
      <c r="A129" s="118" t="s">
        <v>276</v>
      </c>
      <c r="B129" s="118" t="s">
        <v>695</v>
      </c>
      <c r="D129" s="118" t="s">
        <v>700</v>
      </c>
      <c r="E129" s="118" t="s">
        <v>623</v>
      </c>
      <c r="F129" s="118" t="s">
        <v>286</v>
      </c>
      <c r="G129" s="119" t="s">
        <v>564</v>
      </c>
      <c r="H129" s="118" t="s">
        <v>287</v>
      </c>
      <c r="J129" s="118" t="s">
        <v>214</v>
      </c>
      <c r="K129" s="118" t="s">
        <v>216</v>
      </c>
      <c r="L129" s="118" t="s">
        <v>79</v>
      </c>
      <c r="M129" s="118">
        <v>50</v>
      </c>
      <c r="N129" s="118">
        <v>5</v>
      </c>
      <c r="R129" s="118">
        <v>6</v>
      </c>
      <c r="T129" s="120">
        <v>4</v>
      </c>
      <c r="W129" s="118" t="s">
        <v>1141</v>
      </c>
      <c r="X129" s="118">
        <v>8.3766250000000007</v>
      </c>
      <c r="Y129" s="118">
        <v>1.431274920251755</v>
      </c>
      <c r="AD129" s="121">
        <f t="shared" si="12"/>
        <v>14.078361344537816</v>
      </c>
      <c r="AE129" s="121">
        <f t="shared" si="13"/>
        <v>2.4055040676500083</v>
      </c>
      <c r="AF129" s="121" t="s">
        <v>1425</v>
      </c>
      <c r="AG129" s="121" t="s">
        <v>215</v>
      </c>
      <c r="AI129" s="118" t="s">
        <v>219</v>
      </c>
      <c r="AJ129" s="118" t="s">
        <v>219</v>
      </c>
      <c r="AK129" s="118">
        <v>0</v>
      </c>
      <c r="AL129" s="118">
        <v>27</v>
      </c>
      <c r="AN129" s="118">
        <v>6.1635200000000001</v>
      </c>
      <c r="AO129" s="118">
        <v>3.0057366666592729</v>
      </c>
      <c r="AP129" s="118" t="s">
        <v>570</v>
      </c>
      <c r="AR129" s="118">
        <f t="shared" si="14"/>
        <v>0.10272533333333334</v>
      </c>
      <c r="AS129" s="118">
        <f t="shared" si="14"/>
        <v>5.0095611110987884E-2</v>
      </c>
      <c r="AT129" s="143" t="s">
        <v>1069</v>
      </c>
      <c r="BK129" s="118" t="s">
        <v>1093</v>
      </c>
    </row>
    <row r="130" spans="1:63" s="118" customFormat="1">
      <c r="A130" s="118" t="s">
        <v>276</v>
      </c>
      <c r="B130" s="118" t="s">
        <v>695</v>
      </c>
      <c r="D130" s="118" t="s">
        <v>700</v>
      </c>
      <c r="E130" s="118" t="s">
        <v>623</v>
      </c>
      <c r="F130" s="118" t="s">
        <v>286</v>
      </c>
      <c r="G130" s="119" t="s">
        <v>564</v>
      </c>
      <c r="H130" s="118" t="s">
        <v>287</v>
      </c>
      <c r="J130" s="118" t="s">
        <v>214</v>
      </c>
      <c r="K130" s="118" t="s">
        <v>216</v>
      </c>
      <c r="L130" s="118" t="s">
        <v>79</v>
      </c>
      <c r="M130" s="118">
        <v>50</v>
      </c>
      <c r="N130" s="118">
        <v>5</v>
      </c>
      <c r="R130" s="118">
        <v>9</v>
      </c>
      <c r="T130" s="120">
        <v>5</v>
      </c>
      <c r="W130" s="118" t="s">
        <v>1141</v>
      </c>
      <c r="X130" s="118">
        <v>5.5714300000000003</v>
      </c>
      <c r="Y130" s="118">
        <v>1.042688173467984</v>
      </c>
      <c r="AD130" s="121">
        <f t="shared" si="12"/>
        <v>9.3637478991596641</v>
      </c>
      <c r="AE130" s="121">
        <f t="shared" si="13"/>
        <v>1.7524170982655194</v>
      </c>
      <c r="AF130" s="121" t="s">
        <v>1425</v>
      </c>
      <c r="AG130" s="121" t="s">
        <v>215</v>
      </c>
      <c r="AI130" s="118" t="s">
        <v>219</v>
      </c>
      <c r="AJ130" s="118" t="s">
        <v>219</v>
      </c>
      <c r="AK130" s="118">
        <v>0</v>
      </c>
      <c r="AL130" s="118">
        <v>27</v>
      </c>
      <c r="AN130" s="118">
        <v>1.4150925000000001</v>
      </c>
      <c r="AO130" s="118">
        <v>0.87656244572548858</v>
      </c>
      <c r="AP130" s="118" t="s">
        <v>570</v>
      </c>
      <c r="AR130" s="118">
        <f t="shared" si="14"/>
        <v>2.3584875000000002E-2</v>
      </c>
      <c r="AS130" s="118">
        <f t="shared" si="14"/>
        <v>1.460937409542481E-2</v>
      </c>
      <c r="AT130" s="143" t="s">
        <v>1069</v>
      </c>
      <c r="BK130" s="118" t="s">
        <v>1093</v>
      </c>
    </row>
    <row r="131" spans="1:63" s="118" customFormat="1">
      <c r="A131" s="118" t="s">
        <v>276</v>
      </c>
      <c r="B131" s="118" t="s">
        <v>695</v>
      </c>
      <c r="D131" s="118" t="s">
        <v>700</v>
      </c>
      <c r="E131" s="118" t="s">
        <v>623</v>
      </c>
      <c r="F131" s="118" t="s">
        <v>286</v>
      </c>
      <c r="G131" s="119" t="s">
        <v>564</v>
      </c>
      <c r="H131" s="118" t="s">
        <v>287</v>
      </c>
      <c r="J131" s="118" t="s">
        <v>214</v>
      </c>
      <c r="K131" s="118" t="s">
        <v>216</v>
      </c>
      <c r="L131" s="118" t="s">
        <v>79</v>
      </c>
      <c r="M131" s="118">
        <v>50</v>
      </c>
      <c r="N131" s="118">
        <v>5</v>
      </c>
      <c r="R131" s="118">
        <v>12</v>
      </c>
      <c r="T131" s="120">
        <v>5</v>
      </c>
      <c r="W131" s="118" t="s">
        <v>1141</v>
      </c>
      <c r="X131" s="118">
        <v>5.3896100000000002</v>
      </c>
      <c r="Y131" s="118">
        <v>1.1048506304790711</v>
      </c>
      <c r="AD131" s="121">
        <f t="shared" si="12"/>
        <v>9.0581680672268909</v>
      </c>
      <c r="AE131" s="121">
        <f t="shared" si="13"/>
        <v>1.8568918159312118</v>
      </c>
      <c r="AF131" s="121" t="s">
        <v>1425</v>
      </c>
      <c r="AG131" s="121" t="s">
        <v>215</v>
      </c>
      <c r="AI131" s="118" t="s">
        <v>219</v>
      </c>
      <c r="AJ131" s="118" t="s">
        <v>219</v>
      </c>
      <c r="AK131" s="118">
        <v>0</v>
      </c>
      <c r="AL131" s="118">
        <v>27</v>
      </c>
      <c r="AN131" s="118">
        <v>2.5471724999999998</v>
      </c>
      <c r="AO131" s="118">
        <v>0.49621765362884529</v>
      </c>
      <c r="AP131" s="118" t="s">
        <v>570</v>
      </c>
      <c r="AR131" s="118">
        <f t="shared" si="14"/>
        <v>4.2452874999999994E-2</v>
      </c>
      <c r="AS131" s="118">
        <f t="shared" si="14"/>
        <v>8.2702942271474216E-3</v>
      </c>
      <c r="AT131" s="143" t="s">
        <v>1069</v>
      </c>
      <c r="BE131" s="118" t="s">
        <v>292</v>
      </c>
      <c r="BK131" s="118" t="s">
        <v>1093</v>
      </c>
    </row>
    <row r="132" spans="1:63" s="118" customFormat="1">
      <c r="A132" s="118" t="s">
        <v>276</v>
      </c>
      <c r="B132" s="118" t="s">
        <v>695</v>
      </c>
      <c r="D132" s="118" t="s">
        <v>700</v>
      </c>
      <c r="E132" s="118" t="s">
        <v>623</v>
      </c>
      <c r="F132" s="118" t="s">
        <v>286</v>
      </c>
      <c r="G132" s="119" t="s">
        <v>564</v>
      </c>
      <c r="H132" s="118" t="s">
        <v>287</v>
      </c>
      <c r="J132" s="118" t="s">
        <v>214</v>
      </c>
      <c r="K132" s="118" t="s">
        <v>216</v>
      </c>
      <c r="L132" s="118" t="s">
        <v>79</v>
      </c>
      <c r="M132" s="118">
        <v>50</v>
      </c>
      <c r="N132" s="118">
        <v>5</v>
      </c>
      <c r="R132" s="118">
        <v>15</v>
      </c>
      <c r="T132" s="120">
        <v>5</v>
      </c>
      <c r="W132" s="118" t="s">
        <v>1141</v>
      </c>
      <c r="X132" s="118">
        <v>5.428572</v>
      </c>
      <c r="Y132" s="118">
        <v>1.1063003001102369</v>
      </c>
      <c r="AD132" s="121">
        <f t="shared" si="12"/>
        <v>9.123650420168067</v>
      </c>
      <c r="AE132" s="121">
        <f t="shared" si="13"/>
        <v>1.8593282354793899</v>
      </c>
      <c r="AF132" s="121" t="s">
        <v>1425</v>
      </c>
      <c r="AG132" s="121" t="s">
        <v>215</v>
      </c>
      <c r="AI132" s="118" t="s">
        <v>219</v>
      </c>
      <c r="AJ132" s="118" t="s">
        <v>219</v>
      </c>
      <c r="AK132" s="118">
        <v>0</v>
      </c>
      <c r="AL132" s="118">
        <v>27</v>
      </c>
      <c r="AN132" s="118">
        <v>2.3584900000000002</v>
      </c>
      <c r="AO132" s="118">
        <v>1.8122052806226641</v>
      </c>
      <c r="AP132" s="118" t="s">
        <v>570</v>
      </c>
      <c r="AR132" s="118">
        <f t="shared" si="14"/>
        <v>3.9308166666666672E-2</v>
      </c>
      <c r="AS132" s="118">
        <f t="shared" si="14"/>
        <v>3.0203421343711068E-2</v>
      </c>
      <c r="AT132" s="143" t="s">
        <v>1069</v>
      </c>
      <c r="BK132" s="118" t="s">
        <v>1093</v>
      </c>
    </row>
    <row r="133" spans="1:63" s="118" customFormat="1">
      <c r="A133" s="118" t="s">
        <v>276</v>
      </c>
      <c r="B133" s="118" t="s">
        <v>695</v>
      </c>
      <c r="D133" s="118" t="s">
        <v>700</v>
      </c>
      <c r="E133" s="118" t="s">
        <v>623</v>
      </c>
      <c r="F133" s="118" t="s">
        <v>286</v>
      </c>
      <c r="G133" s="119" t="s">
        <v>564</v>
      </c>
      <c r="H133" s="118" t="s">
        <v>287</v>
      </c>
      <c r="J133" s="118" t="s">
        <v>214</v>
      </c>
      <c r="K133" s="118" t="s">
        <v>216</v>
      </c>
      <c r="L133" s="118" t="s">
        <v>79</v>
      </c>
      <c r="M133" s="118">
        <v>50</v>
      </c>
      <c r="N133" s="118">
        <v>5</v>
      </c>
      <c r="R133" s="118">
        <v>21</v>
      </c>
      <c r="T133" s="120">
        <v>5</v>
      </c>
      <c r="W133" s="118" t="s">
        <v>1141</v>
      </c>
      <c r="X133" s="118">
        <v>4.0389619999999997</v>
      </c>
      <c r="Y133" s="118">
        <v>1.298442259426271</v>
      </c>
      <c r="AD133" s="121">
        <f t="shared" si="12"/>
        <v>6.7881714285714283</v>
      </c>
      <c r="AE133" s="121">
        <f t="shared" si="13"/>
        <v>2.1822558981954137</v>
      </c>
      <c r="AF133" s="121" t="s">
        <v>1425</v>
      </c>
      <c r="AG133" s="121" t="s">
        <v>215</v>
      </c>
      <c r="AI133" s="118" t="s">
        <v>219</v>
      </c>
      <c r="AJ133" s="118" t="s">
        <v>219</v>
      </c>
      <c r="AK133" s="118">
        <v>0</v>
      </c>
      <c r="AL133" s="118">
        <v>27</v>
      </c>
      <c r="AN133" s="118">
        <v>1.3207549999999999</v>
      </c>
      <c r="AO133" s="118">
        <v>0.76253866717804319</v>
      </c>
      <c r="AP133" s="118" t="s">
        <v>570</v>
      </c>
      <c r="AR133" s="118">
        <f t="shared" si="14"/>
        <v>2.2012583333333332E-2</v>
      </c>
      <c r="AS133" s="118">
        <f t="shared" si="14"/>
        <v>1.270897778630072E-2</v>
      </c>
      <c r="AT133" s="143" t="s">
        <v>1069</v>
      </c>
      <c r="BK133" s="118" t="s">
        <v>1093</v>
      </c>
    </row>
    <row r="134" spans="1:63" s="118" customFormat="1">
      <c r="A134" s="118" t="s">
        <v>276</v>
      </c>
      <c r="B134" s="118" t="s">
        <v>695</v>
      </c>
      <c r="D134" s="118" t="s">
        <v>700</v>
      </c>
      <c r="E134" s="118" t="s">
        <v>623</v>
      </c>
      <c r="F134" s="118" t="s">
        <v>286</v>
      </c>
      <c r="G134" s="119" t="s">
        <v>564</v>
      </c>
      <c r="H134" s="118" t="s">
        <v>287</v>
      </c>
      <c r="J134" s="118" t="s">
        <v>214</v>
      </c>
      <c r="K134" s="118" t="s">
        <v>216</v>
      </c>
      <c r="L134" s="118" t="s">
        <v>79</v>
      </c>
      <c r="M134" s="118">
        <v>50</v>
      </c>
      <c r="N134" s="118">
        <v>5</v>
      </c>
      <c r="R134" s="118">
        <v>27</v>
      </c>
      <c r="T134" s="120">
        <v>5</v>
      </c>
      <c r="W134" s="118" t="s">
        <v>1141</v>
      </c>
      <c r="X134" s="118">
        <v>5.1168839999999998</v>
      </c>
      <c r="Y134" s="118">
        <v>1.104545587699304</v>
      </c>
      <c r="AD134" s="121">
        <f t="shared" si="12"/>
        <v>8.599805042016806</v>
      </c>
      <c r="AE134" s="121">
        <f t="shared" si="13"/>
        <v>1.8563791389904269</v>
      </c>
      <c r="AF134" s="121" t="s">
        <v>1425</v>
      </c>
      <c r="AG134" s="121" t="s">
        <v>215</v>
      </c>
      <c r="AI134" s="118" t="s">
        <v>219</v>
      </c>
      <c r="AJ134" s="118" t="s">
        <v>219</v>
      </c>
      <c r="AK134" s="118">
        <v>0</v>
      </c>
      <c r="AL134" s="118">
        <v>27</v>
      </c>
      <c r="AN134" s="118">
        <v>5.1320759999999996</v>
      </c>
      <c r="AO134" s="118">
        <v>1.5767995953975891</v>
      </c>
      <c r="AP134" s="118" t="s">
        <v>570</v>
      </c>
      <c r="AR134" s="118">
        <f t="shared" si="14"/>
        <v>8.5534599999999988E-2</v>
      </c>
      <c r="AS134" s="118">
        <f t="shared" si="14"/>
        <v>2.6279993256626485E-2</v>
      </c>
      <c r="AT134" s="143" t="s">
        <v>1069</v>
      </c>
      <c r="BK134" s="118" t="s">
        <v>1093</v>
      </c>
    </row>
    <row r="135" spans="1:63" s="121" customFormat="1">
      <c r="A135" s="121" t="s">
        <v>276</v>
      </c>
      <c r="B135" s="121" t="s">
        <v>696</v>
      </c>
      <c r="D135" s="121" t="s">
        <v>701</v>
      </c>
      <c r="E135" s="121" t="s">
        <v>623</v>
      </c>
      <c r="F135" s="121" t="s">
        <v>286</v>
      </c>
      <c r="G135" s="122" t="s">
        <v>564</v>
      </c>
      <c r="H135" s="121" t="s">
        <v>288</v>
      </c>
      <c r="J135" s="121" t="s">
        <v>214</v>
      </c>
      <c r="K135" s="121" t="s">
        <v>216</v>
      </c>
      <c r="L135" s="121" t="s">
        <v>290</v>
      </c>
      <c r="M135" s="121">
        <v>50</v>
      </c>
      <c r="N135" s="121">
        <v>5</v>
      </c>
      <c r="R135" s="121">
        <v>1</v>
      </c>
      <c r="T135" s="123">
        <v>10</v>
      </c>
      <c r="W135" s="118" t="s">
        <v>1141</v>
      </c>
      <c r="X135" s="121">
        <v>23.44</v>
      </c>
      <c r="Y135" s="121">
        <v>1.098245222116728</v>
      </c>
      <c r="AD135" s="121">
        <f t="shared" si="12"/>
        <v>39.394957983193279</v>
      </c>
      <c r="AE135" s="121">
        <f t="shared" si="13"/>
        <v>1.8457902892718117</v>
      </c>
      <c r="AF135" s="121" t="s">
        <v>1425</v>
      </c>
      <c r="AG135" s="121" t="s">
        <v>215</v>
      </c>
      <c r="AI135" s="121" t="s">
        <v>219</v>
      </c>
      <c r="AJ135" s="121" t="s">
        <v>219</v>
      </c>
      <c r="AK135" s="121">
        <v>0</v>
      </c>
      <c r="AL135" s="121">
        <v>27</v>
      </c>
      <c r="AN135" s="121">
        <v>9.2307699999999997</v>
      </c>
      <c r="AO135" s="121">
        <v>2.8914933027099798</v>
      </c>
      <c r="AP135" s="121" t="s">
        <v>570</v>
      </c>
      <c r="AR135" s="121">
        <f t="shared" si="14"/>
        <v>0.15384616666666667</v>
      </c>
      <c r="AS135" s="121">
        <f t="shared" si="14"/>
        <v>4.8191555045166333E-2</v>
      </c>
      <c r="AT135" s="144" t="s">
        <v>1069</v>
      </c>
      <c r="BK135" s="121" t="s">
        <v>1093</v>
      </c>
    </row>
    <row r="136" spans="1:63" s="156" customFormat="1">
      <c r="A136" s="156" t="s">
        <v>276</v>
      </c>
      <c r="B136" s="156" t="s">
        <v>696</v>
      </c>
      <c r="D136" s="156" t="s">
        <v>701</v>
      </c>
      <c r="E136" s="156" t="s">
        <v>623</v>
      </c>
      <c r="F136" s="156" t="s">
        <v>286</v>
      </c>
      <c r="G136" s="157" t="s">
        <v>564</v>
      </c>
      <c r="H136" s="156" t="s">
        <v>288</v>
      </c>
      <c r="J136" s="156" t="s">
        <v>214</v>
      </c>
      <c r="K136" s="156" t="s">
        <v>216</v>
      </c>
      <c r="L136" s="156" t="s">
        <v>291</v>
      </c>
      <c r="M136" s="156">
        <v>50</v>
      </c>
      <c r="N136" s="156">
        <v>5</v>
      </c>
      <c r="R136" s="156">
        <v>1.5</v>
      </c>
      <c r="T136" s="158"/>
      <c r="W136" s="118" t="s">
        <v>1141</v>
      </c>
      <c r="AD136" s="156">
        <f>AVERAGE(AD135,AD137)</f>
        <v>36.647369747899162</v>
      </c>
      <c r="AF136" s="121" t="s">
        <v>1183</v>
      </c>
      <c r="AG136" s="121" t="s">
        <v>215</v>
      </c>
      <c r="AI136" s="156" t="s">
        <v>219</v>
      </c>
      <c r="AJ136" s="156" t="s">
        <v>219</v>
      </c>
      <c r="AK136" s="156">
        <v>0</v>
      </c>
      <c r="AL136" s="156">
        <v>27</v>
      </c>
      <c r="AN136" s="156">
        <v>16.564101999999998</v>
      </c>
      <c r="AO136" s="156">
        <v>5.1157528892562816</v>
      </c>
      <c r="AP136" s="156" t="s">
        <v>570</v>
      </c>
      <c r="AR136" s="156">
        <f t="shared" si="14"/>
        <v>0.27606836666666662</v>
      </c>
      <c r="AS136" s="156">
        <f t="shared" si="14"/>
        <v>8.5262548154271353E-2</v>
      </c>
      <c r="AT136" s="159" t="s">
        <v>1069</v>
      </c>
      <c r="BK136" s="156" t="s">
        <v>1093</v>
      </c>
    </row>
    <row r="137" spans="1:63" s="121" customFormat="1">
      <c r="A137" s="121" t="s">
        <v>276</v>
      </c>
      <c r="B137" s="121" t="s">
        <v>696</v>
      </c>
      <c r="D137" s="121" t="s">
        <v>701</v>
      </c>
      <c r="E137" s="121" t="s">
        <v>623</v>
      </c>
      <c r="F137" s="121" t="s">
        <v>286</v>
      </c>
      <c r="G137" s="122" t="s">
        <v>564</v>
      </c>
      <c r="H137" s="121" t="s">
        <v>288</v>
      </c>
      <c r="J137" s="121" t="s">
        <v>214</v>
      </c>
      <c r="K137" s="121" t="s">
        <v>216</v>
      </c>
      <c r="L137" s="121" t="s">
        <v>291</v>
      </c>
      <c r="M137" s="121">
        <v>50</v>
      </c>
      <c r="N137" s="121">
        <v>5</v>
      </c>
      <c r="R137" s="121">
        <v>2</v>
      </c>
      <c r="T137" s="123">
        <v>9</v>
      </c>
      <c r="W137" s="118" t="s">
        <v>1141</v>
      </c>
      <c r="X137" s="121">
        <v>20.170369999999998</v>
      </c>
      <c r="Y137" s="121">
        <v>1.3950582353834231</v>
      </c>
      <c r="AD137" s="121">
        <f>(X137*100)/59.5</f>
        <v>33.899781512605038</v>
      </c>
      <c r="AE137" s="121">
        <f>(Y137*100)/59.5</f>
        <v>2.3446356897200387</v>
      </c>
      <c r="AF137" s="121" t="s">
        <v>1425</v>
      </c>
      <c r="AG137" s="121" t="s">
        <v>215</v>
      </c>
      <c r="AI137" s="121" t="s">
        <v>219</v>
      </c>
      <c r="AJ137" s="121" t="s">
        <v>219</v>
      </c>
      <c r="AK137" s="121">
        <v>0</v>
      </c>
      <c r="AL137" s="121">
        <v>27</v>
      </c>
      <c r="AN137" s="121">
        <v>18.153848</v>
      </c>
      <c r="AO137" s="121">
        <v>3.8949038774190572</v>
      </c>
      <c r="AP137" s="121" t="s">
        <v>570</v>
      </c>
      <c r="AR137" s="121">
        <f t="shared" si="14"/>
        <v>0.30256413333333332</v>
      </c>
      <c r="AS137" s="121">
        <f t="shared" si="14"/>
        <v>6.4915064623650959E-2</v>
      </c>
      <c r="AT137" s="144" t="s">
        <v>1069</v>
      </c>
      <c r="BK137" s="121" t="s">
        <v>1093</v>
      </c>
    </row>
    <row r="138" spans="1:63" s="156" customFormat="1">
      <c r="A138" s="156" t="s">
        <v>276</v>
      </c>
      <c r="B138" s="156" t="s">
        <v>696</v>
      </c>
      <c r="D138" s="156" t="s">
        <v>701</v>
      </c>
      <c r="E138" s="156" t="s">
        <v>623</v>
      </c>
      <c r="F138" s="156" t="s">
        <v>286</v>
      </c>
      <c r="G138" s="157" t="s">
        <v>564</v>
      </c>
      <c r="H138" s="156" t="s">
        <v>288</v>
      </c>
      <c r="J138" s="156" t="s">
        <v>214</v>
      </c>
      <c r="K138" s="156" t="s">
        <v>216</v>
      </c>
      <c r="L138" s="156" t="s">
        <v>291</v>
      </c>
      <c r="M138" s="156">
        <v>50</v>
      </c>
      <c r="N138" s="156">
        <v>5</v>
      </c>
      <c r="R138" s="156">
        <v>2.5</v>
      </c>
      <c r="T138" s="158"/>
      <c r="W138" s="118" t="s">
        <v>1141</v>
      </c>
      <c r="AD138" s="156">
        <f>AVERAGE(AD137,AD139)</f>
        <v>28.938684873949576</v>
      </c>
      <c r="AF138" s="121" t="s">
        <v>1183</v>
      </c>
      <c r="AG138" s="121" t="s">
        <v>215</v>
      </c>
      <c r="AI138" s="156" t="s">
        <v>219</v>
      </c>
      <c r="AJ138" s="156" t="s">
        <v>219</v>
      </c>
      <c r="AK138" s="156">
        <v>0</v>
      </c>
      <c r="AL138" s="156">
        <v>27</v>
      </c>
      <c r="AN138" s="156">
        <v>23.333331999999999</v>
      </c>
      <c r="AO138" s="156">
        <v>5.736946468266372</v>
      </c>
      <c r="AP138" s="156" t="s">
        <v>570</v>
      </c>
      <c r="AR138" s="156">
        <f t="shared" si="14"/>
        <v>0.38888886666666667</v>
      </c>
      <c r="AS138" s="156">
        <f t="shared" si="14"/>
        <v>9.5615774471106196E-2</v>
      </c>
      <c r="AT138" s="159" t="s">
        <v>1069</v>
      </c>
      <c r="BK138" s="156" t="s">
        <v>1093</v>
      </c>
    </row>
    <row r="139" spans="1:63" s="121" customFormat="1">
      <c r="A139" s="121" t="s">
        <v>276</v>
      </c>
      <c r="B139" s="121" t="s">
        <v>696</v>
      </c>
      <c r="D139" s="121" t="s">
        <v>701</v>
      </c>
      <c r="E139" s="121" t="s">
        <v>623</v>
      </c>
      <c r="F139" s="121" t="s">
        <v>286</v>
      </c>
      <c r="G139" s="122" t="s">
        <v>564</v>
      </c>
      <c r="H139" s="121" t="s">
        <v>288</v>
      </c>
      <c r="J139" s="121" t="s">
        <v>214</v>
      </c>
      <c r="K139" s="121" t="s">
        <v>216</v>
      </c>
      <c r="L139" s="121" t="s">
        <v>291</v>
      </c>
      <c r="M139" s="121">
        <v>50</v>
      </c>
      <c r="N139" s="121">
        <v>5</v>
      </c>
      <c r="R139" s="121">
        <v>3</v>
      </c>
      <c r="T139" s="123">
        <v>4</v>
      </c>
      <c r="W139" s="118" t="s">
        <v>1141</v>
      </c>
      <c r="X139" s="121">
        <v>14.266665</v>
      </c>
      <c r="Y139" s="121">
        <v>2.0434190846613749</v>
      </c>
      <c r="AD139" s="121">
        <f>(X139*100)/59.5</f>
        <v>23.977588235294117</v>
      </c>
      <c r="AE139" s="121">
        <f>(Y139*100)/59.5</f>
        <v>3.4343177893468484</v>
      </c>
      <c r="AF139" s="121" t="s">
        <v>1425</v>
      </c>
      <c r="AG139" s="121" t="s">
        <v>215</v>
      </c>
      <c r="AI139" s="121" t="s">
        <v>219</v>
      </c>
      <c r="AJ139" s="121" t="s">
        <v>219</v>
      </c>
      <c r="AK139" s="121">
        <v>0</v>
      </c>
      <c r="AL139" s="121">
        <v>27</v>
      </c>
      <c r="AN139" s="121">
        <v>34.051279999999998</v>
      </c>
      <c r="AO139" s="121">
        <v>10.990822144269741</v>
      </c>
      <c r="AP139" s="121" t="s">
        <v>570</v>
      </c>
      <c r="AR139" s="121">
        <f t="shared" si="14"/>
        <v>0.56752133333333332</v>
      </c>
      <c r="AS139" s="121">
        <f t="shared" si="14"/>
        <v>0.18318036907116234</v>
      </c>
      <c r="AT139" s="144" t="s">
        <v>1069</v>
      </c>
      <c r="BK139" s="121" t="s">
        <v>1093</v>
      </c>
    </row>
    <row r="140" spans="1:63" s="121" customFormat="1">
      <c r="A140" s="121" t="s">
        <v>276</v>
      </c>
      <c r="B140" s="121" t="s">
        <v>696</v>
      </c>
      <c r="D140" s="121" t="s">
        <v>701</v>
      </c>
      <c r="E140" s="121" t="s">
        <v>623</v>
      </c>
      <c r="F140" s="121" t="s">
        <v>286</v>
      </c>
      <c r="G140" s="122" t="s">
        <v>564</v>
      </c>
      <c r="H140" s="121" t="s">
        <v>288</v>
      </c>
      <c r="J140" s="121" t="s">
        <v>214</v>
      </c>
      <c r="K140" s="121" t="s">
        <v>216</v>
      </c>
      <c r="L140" s="121" t="s">
        <v>79</v>
      </c>
      <c r="M140" s="121">
        <v>50</v>
      </c>
      <c r="N140" s="121">
        <v>5</v>
      </c>
      <c r="R140" s="121">
        <v>4</v>
      </c>
      <c r="T140" s="123">
        <v>4</v>
      </c>
      <c r="W140" s="118" t="s">
        <v>1141</v>
      </c>
      <c r="X140" s="121">
        <v>15.516667500000001</v>
      </c>
      <c r="Y140" s="121">
        <v>0.89871451921040169</v>
      </c>
      <c r="AD140" s="121">
        <f t="shared" ref="AD140:AD165" si="15">(X140*100)/59.5</f>
        <v>26.078432773109245</v>
      </c>
      <c r="AE140" s="121">
        <f t="shared" ref="AE140:AE165" si="16">(Y140*100)/59.5</f>
        <v>1.5104445701015152</v>
      </c>
      <c r="AF140" s="121" t="s">
        <v>1425</v>
      </c>
      <c r="AG140" s="121" t="s">
        <v>215</v>
      </c>
      <c r="AI140" s="121" t="s">
        <v>219</v>
      </c>
      <c r="AJ140" s="121" t="s">
        <v>219</v>
      </c>
      <c r="AK140" s="121">
        <v>0</v>
      </c>
      <c r="AL140" s="121">
        <v>27</v>
      </c>
      <c r="AN140" s="121">
        <v>15.179489999999999</v>
      </c>
      <c r="AO140" s="121">
        <v>3.647340151958685</v>
      </c>
      <c r="AP140" s="121" t="s">
        <v>570</v>
      </c>
      <c r="AR140" s="121">
        <f t="shared" si="14"/>
        <v>0.25299149999999998</v>
      </c>
      <c r="AS140" s="121">
        <f t="shared" si="14"/>
        <v>6.0789002532644749E-2</v>
      </c>
      <c r="AT140" s="144" t="s">
        <v>1069</v>
      </c>
      <c r="BK140" s="121" t="s">
        <v>1093</v>
      </c>
    </row>
    <row r="141" spans="1:63" s="121" customFormat="1">
      <c r="A141" s="121" t="s">
        <v>276</v>
      </c>
      <c r="B141" s="121" t="s">
        <v>696</v>
      </c>
      <c r="D141" s="121" t="s">
        <v>701</v>
      </c>
      <c r="E141" s="121" t="s">
        <v>623</v>
      </c>
      <c r="F141" s="121" t="s">
        <v>286</v>
      </c>
      <c r="G141" s="122" t="s">
        <v>564</v>
      </c>
      <c r="H141" s="121" t="s">
        <v>288</v>
      </c>
      <c r="J141" s="121" t="s">
        <v>214</v>
      </c>
      <c r="K141" s="121" t="s">
        <v>216</v>
      </c>
      <c r="L141" s="121" t="s">
        <v>79</v>
      </c>
      <c r="M141" s="121">
        <v>50</v>
      </c>
      <c r="N141" s="121">
        <v>5</v>
      </c>
      <c r="R141" s="121">
        <v>5</v>
      </c>
      <c r="T141" s="123">
        <v>5</v>
      </c>
      <c r="W141" s="118" t="s">
        <v>1141</v>
      </c>
      <c r="X141" s="121">
        <v>13.119998000000001</v>
      </c>
      <c r="Y141" s="121">
        <v>0.60457434797053722</v>
      </c>
      <c r="AD141" s="121">
        <f t="shared" si="15"/>
        <v>22.050416806722691</v>
      </c>
      <c r="AE141" s="121">
        <f t="shared" si="16"/>
        <v>1.0160913411269532</v>
      </c>
      <c r="AF141" s="121" t="s">
        <v>1425</v>
      </c>
      <c r="AG141" s="121" t="s">
        <v>215</v>
      </c>
      <c r="AI141" s="121" t="s">
        <v>219</v>
      </c>
      <c r="AJ141" s="121" t="s">
        <v>219</v>
      </c>
      <c r="AK141" s="121">
        <v>0</v>
      </c>
      <c r="AL141" s="121">
        <v>27</v>
      </c>
      <c r="AN141" s="121">
        <v>17.743590000000001</v>
      </c>
      <c r="AO141" s="121">
        <v>5.8506503934434502</v>
      </c>
      <c r="AP141" s="121" t="s">
        <v>570</v>
      </c>
      <c r="AR141" s="121">
        <f t="shared" si="14"/>
        <v>0.2957265</v>
      </c>
      <c r="AS141" s="121">
        <f t="shared" si="14"/>
        <v>9.7510839890724163E-2</v>
      </c>
      <c r="AT141" s="144" t="s">
        <v>1069</v>
      </c>
      <c r="BK141" s="121" t="s">
        <v>1093</v>
      </c>
    </row>
    <row r="142" spans="1:63" s="121" customFormat="1">
      <c r="A142" s="121" t="s">
        <v>276</v>
      </c>
      <c r="B142" s="121" t="s">
        <v>696</v>
      </c>
      <c r="D142" s="121" t="s">
        <v>701</v>
      </c>
      <c r="E142" s="121" t="s">
        <v>623</v>
      </c>
      <c r="F142" s="121" t="s">
        <v>286</v>
      </c>
      <c r="G142" s="122" t="s">
        <v>564</v>
      </c>
      <c r="H142" s="121" t="s">
        <v>288</v>
      </c>
      <c r="J142" s="121" t="s">
        <v>214</v>
      </c>
      <c r="K142" s="121" t="s">
        <v>216</v>
      </c>
      <c r="L142" s="121" t="s">
        <v>79</v>
      </c>
      <c r="M142" s="121">
        <v>50</v>
      </c>
      <c r="N142" s="121">
        <v>5</v>
      </c>
      <c r="R142" s="121">
        <v>6</v>
      </c>
      <c r="T142" s="123">
        <v>5</v>
      </c>
      <c r="W142" s="118" t="s">
        <v>1141</v>
      </c>
      <c r="X142" s="121">
        <v>14.493334000000001</v>
      </c>
      <c r="Y142" s="121">
        <v>0.69172966138947634</v>
      </c>
      <c r="AD142" s="121">
        <f t="shared" si="15"/>
        <v>24.358544537815124</v>
      </c>
      <c r="AE142" s="121">
        <f t="shared" si="16"/>
        <v>1.1625708594781115</v>
      </c>
      <c r="AF142" s="121" t="s">
        <v>1425</v>
      </c>
      <c r="AG142" s="121" t="s">
        <v>215</v>
      </c>
      <c r="AI142" s="121" t="s">
        <v>219</v>
      </c>
      <c r="AJ142" s="121" t="s">
        <v>219</v>
      </c>
      <c r="AK142" s="121">
        <v>0</v>
      </c>
      <c r="AL142" s="121">
        <v>27</v>
      </c>
      <c r="AN142" s="121">
        <v>14.666664000000001</v>
      </c>
      <c r="AO142" s="121">
        <v>6.1305108463606839</v>
      </c>
      <c r="AP142" s="121" t="s">
        <v>570</v>
      </c>
      <c r="AR142" s="121">
        <f t="shared" si="14"/>
        <v>0.24444440000000001</v>
      </c>
      <c r="AS142" s="121">
        <f t="shared" si="14"/>
        <v>0.10217518077267806</v>
      </c>
      <c r="AT142" s="144" t="s">
        <v>1069</v>
      </c>
      <c r="BK142" s="121" t="s">
        <v>1093</v>
      </c>
    </row>
    <row r="143" spans="1:63" s="121" customFormat="1">
      <c r="A143" s="121" t="s">
        <v>276</v>
      </c>
      <c r="B143" s="121" t="s">
        <v>696</v>
      </c>
      <c r="D143" s="121" t="s">
        <v>701</v>
      </c>
      <c r="E143" s="121" t="s">
        <v>623</v>
      </c>
      <c r="F143" s="121" t="s">
        <v>286</v>
      </c>
      <c r="G143" s="122" t="s">
        <v>564</v>
      </c>
      <c r="H143" s="121" t="s">
        <v>288</v>
      </c>
      <c r="J143" s="121" t="s">
        <v>214</v>
      </c>
      <c r="K143" s="121" t="s">
        <v>216</v>
      </c>
      <c r="L143" s="121" t="s">
        <v>79</v>
      </c>
      <c r="M143" s="121">
        <v>50</v>
      </c>
      <c r="N143" s="121">
        <v>5</v>
      </c>
      <c r="R143" s="121">
        <v>9</v>
      </c>
      <c r="T143" s="123">
        <v>5</v>
      </c>
      <c r="W143" s="118" t="s">
        <v>1141</v>
      </c>
      <c r="X143" s="121">
        <v>11.866668000000001</v>
      </c>
      <c r="Y143" s="121">
        <v>0.62111063605769923</v>
      </c>
      <c r="AD143" s="121">
        <f t="shared" si="15"/>
        <v>19.943979831932772</v>
      </c>
      <c r="AE143" s="121">
        <f t="shared" si="16"/>
        <v>1.0438834219457129</v>
      </c>
      <c r="AF143" s="121" t="s">
        <v>1425</v>
      </c>
      <c r="AG143" s="121" t="s">
        <v>215</v>
      </c>
      <c r="AI143" s="121" t="s">
        <v>219</v>
      </c>
      <c r="AJ143" s="121" t="s">
        <v>219</v>
      </c>
      <c r="AK143" s="121">
        <v>0</v>
      </c>
      <c r="AL143" s="121">
        <v>27</v>
      </c>
      <c r="AN143" s="121">
        <v>11.589746</v>
      </c>
      <c r="AO143" s="121">
        <v>2.947490854597516</v>
      </c>
      <c r="AP143" s="121" t="s">
        <v>570</v>
      </c>
      <c r="AR143" s="121">
        <f t="shared" si="14"/>
        <v>0.19316243333333333</v>
      </c>
      <c r="AS143" s="121">
        <f t="shared" si="14"/>
        <v>4.9124847576625268E-2</v>
      </c>
      <c r="AT143" s="144" t="s">
        <v>1069</v>
      </c>
      <c r="BE143" s="121" t="s">
        <v>292</v>
      </c>
      <c r="BK143" s="121" t="s">
        <v>1093</v>
      </c>
    </row>
    <row r="144" spans="1:63" s="121" customFormat="1">
      <c r="A144" s="121" t="s">
        <v>276</v>
      </c>
      <c r="B144" s="121" t="s">
        <v>696</v>
      </c>
      <c r="D144" s="121" t="s">
        <v>701</v>
      </c>
      <c r="E144" s="121" t="s">
        <v>623</v>
      </c>
      <c r="F144" s="121" t="s">
        <v>286</v>
      </c>
      <c r="G144" s="122" t="s">
        <v>564</v>
      </c>
      <c r="H144" s="121" t="s">
        <v>288</v>
      </c>
      <c r="J144" s="121" t="s">
        <v>214</v>
      </c>
      <c r="K144" s="121" t="s">
        <v>216</v>
      </c>
      <c r="L144" s="121" t="s">
        <v>79</v>
      </c>
      <c r="M144" s="121">
        <v>50</v>
      </c>
      <c r="N144" s="121">
        <v>5</v>
      </c>
      <c r="R144" s="121">
        <v>12</v>
      </c>
      <c r="T144" s="123">
        <v>5</v>
      </c>
      <c r="W144" s="118" t="s">
        <v>1141</v>
      </c>
      <c r="X144" s="121">
        <v>12.133334</v>
      </c>
      <c r="Y144" s="121">
        <v>1.8686907002861659</v>
      </c>
      <c r="AD144" s="121">
        <f t="shared" si="15"/>
        <v>20.392157983193275</v>
      </c>
      <c r="AE144" s="121">
        <f t="shared" si="16"/>
        <v>3.1406566391364135</v>
      </c>
      <c r="AF144" s="121" t="s">
        <v>1425</v>
      </c>
      <c r="AG144" s="121" t="s">
        <v>215</v>
      </c>
      <c r="AI144" s="121" t="s">
        <v>219</v>
      </c>
      <c r="AJ144" s="121" t="s">
        <v>219</v>
      </c>
      <c r="AK144" s="121">
        <v>0</v>
      </c>
      <c r="AL144" s="121">
        <v>27</v>
      </c>
      <c r="AN144" s="121">
        <v>5.7692300000000003</v>
      </c>
      <c r="AO144" s="121">
        <v>0.97357331122691182</v>
      </c>
      <c r="AP144" s="121" t="s">
        <v>570</v>
      </c>
      <c r="AR144" s="121">
        <f t="shared" si="14"/>
        <v>9.6153833333333341E-2</v>
      </c>
      <c r="AS144" s="121">
        <f t="shared" si="14"/>
        <v>1.6226221853781864E-2</v>
      </c>
      <c r="AT144" s="144" t="s">
        <v>1069</v>
      </c>
      <c r="BK144" s="121" t="s">
        <v>1093</v>
      </c>
    </row>
    <row r="145" spans="1:63" s="121" customFormat="1">
      <c r="A145" s="121" t="s">
        <v>276</v>
      </c>
      <c r="B145" s="121" t="s">
        <v>696</v>
      </c>
      <c r="D145" s="121" t="s">
        <v>701</v>
      </c>
      <c r="E145" s="121" t="s">
        <v>623</v>
      </c>
      <c r="F145" s="121" t="s">
        <v>286</v>
      </c>
      <c r="G145" s="122" t="s">
        <v>564</v>
      </c>
      <c r="H145" s="121" t="s">
        <v>288</v>
      </c>
      <c r="J145" s="121" t="s">
        <v>214</v>
      </c>
      <c r="K145" s="121" t="s">
        <v>216</v>
      </c>
      <c r="L145" s="121" t="s">
        <v>79</v>
      </c>
      <c r="M145" s="121">
        <v>50</v>
      </c>
      <c r="N145" s="121">
        <v>5</v>
      </c>
      <c r="R145" s="121">
        <v>15</v>
      </c>
      <c r="T145" s="123">
        <v>5</v>
      </c>
      <c r="W145" s="118" t="s">
        <v>1141</v>
      </c>
      <c r="X145" s="121">
        <v>10.333334000000001</v>
      </c>
      <c r="Y145" s="121">
        <v>0.71429800814925981</v>
      </c>
      <c r="AD145" s="121">
        <f t="shared" si="15"/>
        <v>17.366947899159662</v>
      </c>
      <c r="AE145" s="121">
        <f t="shared" si="16"/>
        <v>1.2005008540323694</v>
      </c>
      <c r="AF145" s="121" t="s">
        <v>1425</v>
      </c>
      <c r="AG145" s="121" t="s">
        <v>215</v>
      </c>
      <c r="AI145" s="121" t="s">
        <v>219</v>
      </c>
      <c r="AJ145" s="121" t="s">
        <v>219</v>
      </c>
      <c r="AK145" s="121">
        <v>0</v>
      </c>
      <c r="AL145" s="121">
        <v>27</v>
      </c>
      <c r="AN145" s="121">
        <v>6.6666660000000002</v>
      </c>
      <c r="AO145" s="121">
        <v>1.387935516051088</v>
      </c>
      <c r="AP145" s="121" t="s">
        <v>570</v>
      </c>
      <c r="AR145" s="121">
        <f t="shared" si="14"/>
        <v>0.1111111</v>
      </c>
      <c r="AS145" s="121">
        <f t="shared" si="14"/>
        <v>2.3132258600851465E-2</v>
      </c>
      <c r="AT145" s="144" t="s">
        <v>1069</v>
      </c>
      <c r="BK145" s="121" t="s">
        <v>1093</v>
      </c>
    </row>
    <row r="146" spans="1:63" s="121" customFormat="1">
      <c r="A146" s="121" t="s">
        <v>276</v>
      </c>
      <c r="B146" s="121" t="s">
        <v>696</v>
      </c>
      <c r="D146" s="121" t="s">
        <v>701</v>
      </c>
      <c r="E146" s="121" t="s">
        <v>623</v>
      </c>
      <c r="F146" s="121" t="s">
        <v>286</v>
      </c>
      <c r="G146" s="122" t="s">
        <v>564</v>
      </c>
      <c r="H146" s="121" t="s">
        <v>288</v>
      </c>
      <c r="J146" s="121" t="s">
        <v>214</v>
      </c>
      <c r="K146" s="121" t="s">
        <v>216</v>
      </c>
      <c r="L146" s="121" t="s">
        <v>79</v>
      </c>
      <c r="M146" s="121">
        <v>50</v>
      </c>
      <c r="N146" s="121">
        <v>5</v>
      </c>
      <c r="R146" s="121">
        <v>23</v>
      </c>
      <c r="T146" s="123">
        <v>3</v>
      </c>
      <c r="W146" s="118" t="s">
        <v>1141</v>
      </c>
      <c r="X146" s="121">
        <v>10.46666666666667</v>
      </c>
      <c r="Y146" s="121">
        <v>0.472975060030771</v>
      </c>
      <c r="AD146" s="121">
        <f t="shared" si="15"/>
        <v>17.591036414565831</v>
      </c>
      <c r="AE146" s="121">
        <f t="shared" si="16"/>
        <v>0.79491606727860675</v>
      </c>
      <c r="AF146" s="121" t="s">
        <v>1425</v>
      </c>
      <c r="AG146" s="121" t="s">
        <v>215</v>
      </c>
      <c r="AI146" s="121" t="s">
        <v>219</v>
      </c>
      <c r="AJ146" s="121" t="s">
        <v>219</v>
      </c>
      <c r="AK146" s="121">
        <v>0</v>
      </c>
      <c r="AL146" s="121">
        <v>27</v>
      </c>
      <c r="AN146" s="121">
        <v>13.418803333333329</v>
      </c>
      <c r="AO146" s="121">
        <v>6.959912195601162</v>
      </c>
      <c r="AP146" s="121" t="s">
        <v>570</v>
      </c>
      <c r="AR146" s="121">
        <f t="shared" si="14"/>
        <v>0.22364672222222215</v>
      </c>
      <c r="AS146" s="121">
        <f t="shared" si="14"/>
        <v>0.1159985365933527</v>
      </c>
      <c r="AT146" s="144" t="s">
        <v>1069</v>
      </c>
      <c r="BK146" s="121" t="s">
        <v>1093</v>
      </c>
    </row>
    <row r="147" spans="1:63" s="124" customFormat="1">
      <c r="A147" s="124" t="s">
        <v>276</v>
      </c>
      <c r="B147" s="124" t="s">
        <v>697</v>
      </c>
      <c r="D147" s="124" t="s">
        <v>702</v>
      </c>
      <c r="E147" s="124" t="s">
        <v>623</v>
      </c>
      <c r="F147" s="124" t="s">
        <v>286</v>
      </c>
      <c r="G147" s="125" t="s">
        <v>564</v>
      </c>
      <c r="H147" s="124" t="s">
        <v>37</v>
      </c>
      <c r="J147" s="124" t="s">
        <v>214</v>
      </c>
      <c r="K147" s="124" t="s">
        <v>216</v>
      </c>
      <c r="L147" s="124" t="s">
        <v>290</v>
      </c>
      <c r="M147" s="124">
        <v>50</v>
      </c>
      <c r="N147" s="124">
        <v>5</v>
      </c>
      <c r="R147" s="124">
        <v>1</v>
      </c>
      <c r="T147" s="126">
        <v>4</v>
      </c>
      <c r="W147" s="118" t="s">
        <v>1141</v>
      </c>
      <c r="X147" s="124">
        <v>13.81579</v>
      </c>
      <c r="Y147" s="124">
        <v>1.806715456567525</v>
      </c>
      <c r="AD147" s="121">
        <f t="shared" si="15"/>
        <v>23.21981512605042</v>
      </c>
      <c r="AE147" s="121">
        <f t="shared" si="16"/>
        <v>3.0364965656597058</v>
      </c>
      <c r="AF147" s="121" t="s">
        <v>1425</v>
      </c>
      <c r="AG147" s="121" t="s">
        <v>215</v>
      </c>
      <c r="AI147" s="124" t="s">
        <v>219</v>
      </c>
      <c r="AJ147" s="124" t="s">
        <v>219</v>
      </c>
      <c r="AK147" s="124">
        <v>0</v>
      </c>
      <c r="AL147" s="124">
        <v>27</v>
      </c>
      <c r="AN147" s="124">
        <v>6.4186040000000002</v>
      </c>
      <c r="AO147" s="124">
        <v>3.5127827597427652</v>
      </c>
      <c r="AP147" s="124" t="s">
        <v>570</v>
      </c>
      <c r="AR147" s="124">
        <f t="shared" si="14"/>
        <v>0.10697673333333334</v>
      </c>
      <c r="AS147" s="124">
        <f t="shared" si="14"/>
        <v>5.8546379329046085E-2</v>
      </c>
      <c r="AT147" s="145" t="s">
        <v>1069</v>
      </c>
      <c r="BK147" s="124" t="s">
        <v>1093</v>
      </c>
    </row>
    <row r="148" spans="1:63" s="124" customFormat="1">
      <c r="A148" s="124" t="s">
        <v>276</v>
      </c>
      <c r="B148" s="124" t="s">
        <v>697</v>
      </c>
      <c r="D148" s="124" t="s">
        <v>702</v>
      </c>
      <c r="E148" s="124" t="s">
        <v>623</v>
      </c>
      <c r="F148" s="124" t="s">
        <v>286</v>
      </c>
      <c r="G148" s="125" t="s">
        <v>564</v>
      </c>
      <c r="H148" s="124" t="s">
        <v>37</v>
      </c>
      <c r="J148" s="124" t="s">
        <v>214</v>
      </c>
      <c r="K148" s="124" t="s">
        <v>216</v>
      </c>
      <c r="L148" s="124" t="s">
        <v>291</v>
      </c>
      <c r="M148" s="124">
        <v>50</v>
      </c>
      <c r="N148" s="124">
        <v>5</v>
      </c>
      <c r="R148" s="124">
        <v>1.5</v>
      </c>
      <c r="T148" s="126">
        <v>5</v>
      </c>
      <c r="W148" s="118" t="s">
        <v>1141</v>
      </c>
      <c r="X148" s="124">
        <v>14.68421</v>
      </c>
      <c r="Y148" s="124">
        <v>1.9692275894802</v>
      </c>
      <c r="AD148" s="121">
        <f t="shared" si="15"/>
        <v>24.679344537815126</v>
      </c>
      <c r="AE148" s="121">
        <f t="shared" si="16"/>
        <v>3.3096262008070587</v>
      </c>
      <c r="AF148" s="121" t="s">
        <v>1425</v>
      </c>
      <c r="AG148" s="121" t="s">
        <v>215</v>
      </c>
      <c r="AI148" s="124" t="s">
        <v>219</v>
      </c>
      <c r="AJ148" s="124" t="s">
        <v>219</v>
      </c>
      <c r="AK148" s="124">
        <v>0</v>
      </c>
      <c r="AL148" s="124">
        <v>27</v>
      </c>
      <c r="AN148" s="124">
        <v>28.837208</v>
      </c>
      <c r="AO148" s="124">
        <v>7.6313094574007412</v>
      </c>
      <c r="AP148" s="124" t="s">
        <v>570</v>
      </c>
      <c r="AR148" s="124">
        <f t="shared" si="14"/>
        <v>0.48062013333333337</v>
      </c>
      <c r="AS148" s="124">
        <f t="shared" si="14"/>
        <v>0.12718849095667903</v>
      </c>
      <c r="AT148" s="145" t="s">
        <v>1069</v>
      </c>
      <c r="BK148" s="124" t="s">
        <v>1093</v>
      </c>
    </row>
    <row r="149" spans="1:63" s="124" customFormat="1">
      <c r="A149" s="124" t="s">
        <v>276</v>
      </c>
      <c r="B149" s="124" t="s">
        <v>697</v>
      </c>
      <c r="D149" s="124" t="s">
        <v>702</v>
      </c>
      <c r="E149" s="124" t="s">
        <v>623</v>
      </c>
      <c r="F149" s="124" t="s">
        <v>286</v>
      </c>
      <c r="G149" s="125" t="s">
        <v>564</v>
      </c>
      <c r="H149" s="124" t="s">
        <v>37</v>
      </c>
      <c r="J149" s="124" t="s">
        <v>214</v>
      </c>
      <c r="K149" s="124" t="s">
        <v>216</v>
      </c>
      <c r="L149" s="124" t="s">
        <v>291</v>
      </c>
      <c r="M149" s="124">
        <v>50</v>
      </c>
      <c r="N149" s="124">
        <v>5</v>
      </c>
      <c r="R149" s="124">
        <v>2</v>
      </c>
      <c r="T149" s="126">
        <v>5</v>
      </c>
      <c r="W149" s="118" t="s">
        <v>1141</v>
      </c>
      <c r="X149" s="124">
        <v>16.473683999999999</v>
      </c>
      <c r="Y149" s="124">
        <v>1.765880203764117</v>
      </c>
      <c r="AD149" s="121">
        <f t="shared" si="15"/>
        <v>27.686863865546215</v>
      </c>
      <c r="AE149" s="121">
        <f t="shared" si="16"/>
        <v>2.9678658886791882</v>
      </c>
      <c r="AF149" s="121" t="s">
        <v>1425</v>
      </c>
      <c r="AG149" s="121" t="s">
        <v>215</v>
      </c>
      <c r="AI149" s="124" t="s">
        <v>219</v>
      </c>
      <c r="AJ149" s="124" t="s">
        <v>219</v>
      </c>
      <c r="AK149" s="124">
        <v>0</v>
      </c>
      <c r="AL149" s="124">
        <v>27</v>
      </c>
      <c r="AN149" s="124">
        <v>48.930231999999997</v>
      </c>
      <c r="AO149" s="124">
        <v>16.380680484184229</v>
      </c>
      <c r="AP149" s="124" t="s">
        <v>570</v>
      </c>
      <c r="AR149" s="124">
        <f t="shared" si="14"/>
        <v>0.81550386666666663</v>
      </c>
      <c r="AS149" s="124">
        <f t="shared" si="14"/>
        <v>0.27301134140307048</v>
      </c>
      <c r="AT149" s="145" t="s">
        <v>1069</v>
      </c>
      <c r="BK149" s="124" t="s">
        <v>1093</v>
      </c>
    </row>
    <row r="150" spans="1:63" s="124" customFormat="1">
      <c r="A150" s="124" t="s">
        <v>276</v>
      </c>
      <c r="B150" s="124" t="s">
        <v>697</v>
      </c>
      <c r="D150" s="124" t="s">
        <v>702</v>
      </c>
      <c r="E150" s="124" t="s">
        <v>623</v>
      </c>
      <c r="F150" s="124" t="s">
        <v>286</v>
      </c>
      <c r="G150" s="125" t="s">
        <v>564</v>
      </c>
      <c r="H150" s="124" t="s">
        <v>37</v>
      </c>
      <c r="J150" s="124" t="s">
        <v>214</v>
      </c>
      <c r="K150" s="124" t="s">
        <v>216</v>
      </c>
      <c r="L150" s="124" t="s">
        <v>291</v>
      </c>
      <c r="M150" s="124">
        <v>50</v>
      </c>
      <c r="N150" s="124">
        <v>5</v>
      </c>
      <c r="R150" s="124">
        <v>2.5</v>
      </c>
      <c r="T150" s="126">
        <v>5</v>
      </c>
      <c r="W150" s="118" t="s">
        <v>1141</v>
      </c>
      <c r="X150" s="124">
        <v>16.078945999999998</v>
      </c>
      <c r="Y150" s="124">
        <v>1.187968716652926</v>
      </c>
      <c r="AD150" s="121">
        <f t="shared" si="15"/>
        <v>27.023438655462183</v>
      </c>
      <c r="AE150" s="121">
        <f t="shared" si="16"/>
        <v>1.996586078408279</v>
      </c>
      <c r="AF150" s="121" t="s">
        <v>1425</v>
      </c>
      <c r="AG150" s="121" t="s">
        <v>215</v>
      </c>
      <c r="AI150" s="124" t="s">
        <v>219</v>
      </c>
      <c r="AJ150" s="124" t="s">
        <v>219</v>
      </c>
      <c r="AK150" s="124">
        <v>0</v>
      </c>
      <c r="AL150" s="124">
        <v>27</v>
      </c>
      <c r="AN150" s="124">
        <v>69.999997500000006</v>
      </c>
      <c r="AO150" s="124">
        <v>15.713886955161341</v>
      </c>
      <c r="AP150" s="124" t="s">
        <v>570</v>
      </c>
      <c r="AR150" s="124">
        <f t="shared" si="14"/>
        <v>1.1666666250000002</v>
      </c>
      <c r="AS150" s="124">
        <f t="shared" si="14"/>
        <v>0.26189811591935569</v>
      </c>
      <c r="AT150" s="145" t="s">
        <v>1069</v>
      </c>
      <c r="BK150" s="124" t="s">
        <v>1093</v>
      </c>
    </row>
    <row r="151" spans="1:63" s="124" customFormat="1">
      <c r="A151" s="124" t="s">
        <v>276</v>
      </c>
      <c r="B151" s="124" t="s">
        <v>697</v>
      </c>
      <c r="D151" s="124" t="s">
        <v>702</v>
      </c>
      <c r="E151" s="124" t="s">
        <v>623</v>
      </c>
      <c r="F151" s="124" t="s">
        <v>286</v>
      </c>
      <c r="G151" s="125" t="s">
        <v>564</v>
      </c>
      <c r="H151" s="124" t="s">
        <v>37</v>
      </c>
      <c r="J151" s="124" t="s">
        <v>214</v>
      </c>
      <c r="K151" s="124" t="s">
        <v>216</v>
      </c>
      <c r="L151" s="124" t="s">
        <v>79</v>
      </c>
      <c r="M151" s="124">
        <v>50</v>
      </c>
      <c r="N151" s="124">
        <v>5</v>
      </c>
      <c r="R151" s="124">
        <v>4</v>
      </c>
      <c r="T151" s="126">
        <v>4</v>
      </c>
      <c r="W151" s="118" t="s">
        <v>1141</v>
      </c>
      <c r="X151" s="124">
        <v>11.5625</v>
      </c>
      <c r="Y151" s="124">
        <v>1.050701333292831</v>
      </c>
      <c r="AD151" s="121">
        <f t="shared" si="15"/>
        <v>19.432773109243698</v>
      </c>
      <c r="AE151" s="121">
        <f t="shared" si="16"/>
        <v>1.7658845937694638</v>
      </c>
      <c r="AF151" s="121" t="s">
        <v>1425</v>
      </c>
      <c r="AG151" s="121" t="s">
        <v>215</v>
      </c>
      <c r="AI151" s="124" t="s">
        <v>219</v>
      </c>
      <c r="AJ151" s="124" t="s">
        <v>219</v>
      </c>
      <c r="AK151" s="124">
        <v>0</v>
      </c>
      <c r="AL151" s="124">
        <v>27</v>
      </c>
      <c r="AN151" s="124">
        <v>18.0232575</v>
      </c>
      <c r="AO151" s="124">
        <v>4.2981339380875028</v>
      </c>
      <c r="AP151" s="124" t="s">
        <v>570</v>
      </c>
      <c r="AR151" s="124">
        <f t="shared" si="14"/>
        <v>0.30038762499999999</v>
      </c>
      <c r="AS151" s="124">
        <f t="shared" si="14"/>
        <v>7.1635565634791717E-2</v>
      </c>
      <c r="AT151" s="145" t="s">
        <v>1069</v>
      </c>
      <c r="BK151" s="124" t="s">
        <v>1093</v>
      </c>
    </row>
    <row r="152" spans="1:63" s="124" customFormat="1">
      <c r="A152" s="124" t="s">
        <v>276</v>
      </c>
      <c r="B152" s="124" t="s">
        <v>697</v>
      </c>
      <c r="D152" s="124" t="s">
        <v>702</v>
      </c>
      <c r="E152" s="124" t="s">
        <v>623</v>
      </c>
      <c r="F152" s="124" t="s">
        <v>286</v>
      </c>
      <c r="G152" s="125" t="s">
        <v>564</v>
      </c>
      <c r="H152" s="124" t="s">
        <v>37</v>
      </c>
      <c r="J152" s="124" t="s">
        <v>214</v>
      </c>
      <c r="K152" s="124" t="s">
        <v>216</v>
      </c>
      <c r="L152" s="124" t="s">
        <v>79</v>
      </c>
      <c r="M152" s="124">
        <v>50</v>
      </c>
      <c r="N152" s="124">
        <v>5</v>
      </c>
      <c r="R152" s="124">
        <v>5</v>
      </c>
      <c r="T152" s="126">
        <v>4</v>
      </c>
      <c r="W152" s="118" t="s">
        <v>1141</v>
      </c>
      <c r="X152" s="124">
        <v>8.5690799999999996</v>
      </c>
      <c r="Y152" s="124">
        <v>0.73179992797439752</v>
      </c>
      <c r="AD152" s="121">
        <f t="shared" si="15"/>
        <v>14.401815126050419</v>
      </c>
      <c r="AE152" s="121">
        <f t="shared" si="16"/>
        <v>1.2299158453351218</v>
      </c>
      <c r="AF152" s="121" t="s">
        <v>1425</v>
      </c>
      <c r="AG152" s="121" t="s">
        <v>215</v>
      </c>
      <c r="AI152" s="124" t="s">
        <v>219</v>
      </c>
      <c r="AJ152" s="124" t="s">
        <v>219</v>
      </c>
      <c r="AK152" s="124">
        <v>0</v>
      </c>
      <c r="AL152" s="124">
        <v>27</v>
      </c>
      <c r="AN152" s="124">
        <v>3.7209300000000001</v>
      </c>
      <c r="AO152" s="124">
        <v>2.097324503722938</v>
      </c>
      <c r="AP152" s="124" t="s">
        <v>570</v>
      </c>
      <c r="AR152" s="124">
        <f t="shared" si="14"/>
        <v>6.2015500000000001E-2</v>
      </c>
      <c r="AS152" s="124">
        <f t="shared" si="14"/>
        <v>3.4955408395382297E-2</v>
      </c>
      <c r="AT152" s="145" t="s">
        <v>1069</v>
      </c>
      <c r="BK152" s="124" t="s">
        <v>1093</v>
      </c>
    </row>
    <row r="153" spans="1:63" s="124" customFormat="1">
      <c r="A153" s="124" t="s">
        <v>276</v>
      </c>
      <c r="B153" s="124" t="s">
        <v>697</v>
      </c>
      <c r="D153" s="124" t="s">
        <v>702</v>
      </c>
      <c r="E153" s="124" t="s">
        <v>623</v>
      </c>
      <c r="F153" s="124" t="s">
        <v>286</v>
      </c>
      <c r="G153" s="125" t="s">
        <v>564</v>
      </c>
      <c r="H153" s="124" t="s">
        <v>37</v>
      </c>
      <c r="J153" s="124" t="s">
        <v>214</v>
      </c>
      <c r="K153" s="124" t="s">
        <v>216</v>
      </c>
      <c r="L153" s="124" t="s">
        <v>79</v>
      </c>
      <c r="M153" s="124">
        <v>50</v>
      </c>
      <c r="N153" s="124">
        <v>5</v>
      </c>
      <c r="R153" s="124">
        <v>6</v>
      </c>
      <c r="T153" s="126">
        <v>5</v>
      </c>
      <c r="W153" s="118" t="s">
        <v>1141</v>
      </c>
      <c r="X153" s="124">
        <v>7.9736840000000004</v>
      </c>
      <c r="Y153" s="124">
        <v>2.4066180584434251</v>
      </c>
      <c r="AD153" s="121">
        <f t="shared" si="15"/>
        <v>13.401149579831934</v>
      </c>
      <c r="AE153" s="121">
        <f t="shared" si="16"/>
        <v>4.0447362326780256</v>
      </c>
      <c r="AF153" s="121" t="s">
        <v>1425</v>
      </c>
      <c r="AG153" s="121" t="s">
        <v>215</v>
      </c>
      <c r="AI153" s="124" t="s">
        <v>219</v>
      </c>
      <c r="AJ153" s="124" t="s">
        <v>219</v>
      </c>
      <c r="AK153" s="124">
        <v>0</v>
      </c>
      <c r="AL153" s="124">
        <v>27</v>
      </c>
      <c r="AN153" s="124">
        <v>3.4418600000000001</v>
      </c>
      <c r="AO153" s="124">
        <v>1.0462525880971569</v>
      </c>
      <c r="AP153" s="124" t="s">
        <v>570</v>
      </c>
      <c r="AR153" s="124">
        <f t="shared" si="14"/>
        <v>5.7364333333333337E-2</v>
      </c>
      <c r="AS153" s="124">
        <f t="shared" si="14"/>
        <v>1.7437543134952615E-2</v>
      </c>
      <c r="AT153" s="145" t="s">
        <v>1069</v>
      </c>
      <c r="BK153" s="124" t="s">
        <v>1093</v>
      </c>
    </row>
    <row r="154" spans="1:63" s="124" customFormat="1">
      <c r="A154" s="124" t="s">
        <v>276</v>
      </c>
      <c r="B154" s="124" t="s">
        <v>697</v>
      </c>
      <c r="D154" s="124" t="s">
        <v>702</v>
      </c>
      <c r="E154" s="124" t="s">
        <v>623</v>
      </c>
      <c r="F154" s="124" t="s">
        <v>286</v>
      </c>
      <c r="G154" s="125" t="s">
        <v>564</v>
      </c>
      <c r="H154" s="124" t="s">
        <v>37</v>
      </c>
      <c r="J154" s="124" t="s">
        <v>214</v>
      </c>
      <c r="K154" s="124" t="s">
        <v>216</v>
      </c>
      <c r="L154" s="124" t="s">
        <v>79</v>
      </c>
      <c r="M154" s="124">
        <v>50</v>
      </c>
      <c r="N154" s="124">
        <v>5</v>
      </c>
      <c r="R154" s="124">
        <v>9</v>
      </c>
      <c r="T154" s="126">
        <v>4</v>
      </c>
      <c r="W154" s="118" t="s">
        <v>1141</v>
      </c>
      <c r="X154" s="124">
        <v>5.2467125000000001</v>
      </c>
      <c r="Y154" s="124">
        <v>1.7662110900001691</v>
      </c>
      <c r="AD154" s="121">
        <f t="shared" si="15"/>
        <v>8.8180042016806723</v>
      </c>
      <c r="AE154" s="121">
        <f t="shared" si="16"/>
        <v>2.9684220000002841</v>
      </c>
      <c r="AF154" s="121" t="s">
        <v>1425</v>
      </c>
      <c r="AG154" s="121" t="s">
        <v>215</v>
      </c>
      <c r="AI154" s="124" t="s">
        <v>219</v>
      </c>
      <c r="AJ154" s="124" t="s">
        <v>219</v>
      </c>
      <c r="AK154" s="124">
        <v>0</v>
      </c>
      <c r="AL154" s="124">
        <v>27</v>
      </c>
      <c r="AN154" s="124">
        <v>2.7906974999999998</v>
      </c>
      <c r="AO154" s="124">
        <v>0.42458996222581219</v>
      </c>
      <c r="AP154" s="124" t="s">
        <v>570</v>
      </c>
      <c r="AR154" s="124">
        <f t="shared" si="14"/>
        <v>4.6511624999999994E-2</v>
      </c>
      <c r="AS154" s="124">
        <f t="shared" si="14"/>
        <v>7.076499370430203E-3</v>
      </c>
      <c r="AT154" s="145" t="s">
        <v>1069</v>
      </c>
      <c r="BK154" s="124" t="s">
        <v>1093</v>
      </c>
    </row>
    <row r="155" spans="1:63" s="124" customFormat="1">
      <c r="A155" s="124" t="s">
        <v>276</v>
      </c>
      <c r="B155" s="124" t="s">
        <v>697</v>
      </c>
      <c r="D155" s="124" t="s">
        <v>702</v>
      </c>
      <c r="E155" s="124" t="s">
        <v>623</v>
      </c>
      <c r="F155" s="124" t="s">
        <v>286</v>
      </c>
      <c r="G155" s="125" t="s">
        <v>564</v>
      </c>
      <c r="H155" s="124" t="s">
        <v>37</v>
      </c>
      <c r="J155" s="124" t="s">
        <v>214</v>
      </c>
      <c r="K155" s="124" t="s">
        <v>216</v>
      </c>
      <c r="L155" s="124" t="s">
        <v>79</v>
      </c>
      <c r="M155" s="124">
        <v>50</v>
      </c>
      <c r="N155" s="124">
        <v>5</v>
      </c>
      <c r="R155" s="124">
        <v>12</v>
      </c>
      <c r="T155" s="126">
        <v>4</v>
      </c>
      <c r="W155" s="118" t="s">
        <v>1141</v>
      </c>
      <c r="X155" s="124">
        <v>5.3453925</v>
      </c>
      <c r="Y155" s="124">
        <v>1.150963901738995</v>
      </c>
      <c r="AD155" s="121">
        <f t="shared" si="15"/>
        <v>8.9838529411764707</v>
      </c>
      <c r="AE155" s="121">
        <f t="shared" si="16"/>
        <v>1.934393112166378</v>
      </c>
      <c r="AF155" s="121" t="s">
        <v>1425</v>
      </c>
      <c r="AG155" s="121" t="s">
        <v>215</v>
      </c>
      <c r="AI155" s="124" t="s">
        <v>219</v>
      </c>
      <c r="AJ155" s="124" t="s">
        <v>219</v>
      </c>
      <c r="AK155" s="124">
        <v>0</v>
      </c>
      <c r="AL155" s="124">
        <v>27</v>
      </c>
      <c r="AN155" s="124">
        <v>1.24031</v>
      </c>
      <c r="AO155" s="124">
        <v>0.67579795681352384</v>
      </c>
      <c r="AP155" s="124" t="s">
        <v>570</v>
      </c>
      <c r="AR155" s="124">
        <f t="shared" si="14"/>
        <v>2.0671833333333334E-2</v>
      </c>
      <c r="AS155" s="124">
        <f t="shared" si="14"/>
        <v>1.1263299280225398E-2</v>
      </c>
      <c r="AT155" s="145" t="s">
        <v>1069</v>
      </c>
      <c r="BE155" s="124" t="s">
        <v>292</v>
      </c>
      <c r="BK155" s="124" t="s">
        <v>1093</v>
      </c>
    </row>
    <row r="156" spans="1:63" s="124" customFormat="1">
      <c r="A156" s="124" t="s">
        <v>276</v>
      </c>
      <c r="B156" s="124" t="s">
        <v>697</v>
      </c>
      <c r="D156" s="124" t="s">
        <v>702</v>
      </c>
      <c r="E156" s="124" t="s">
        <v>623</v>
      </c>
      <c r="F156" s="124" t="s">
        <v>286</v>
      </c>
      <c r="G156" s="125" t="s">
        <v>564</v>
      </c>
      <c r="H156" s="124" t="s">
        <v>37</v>
      </c>
      <c r="J156" s="124" t="s">
        <v>214</v>
      </c>
      <c r="K156" s="124" t="s">
        <v>216</v>
      </c>
      <c r="L156" s="124" t="s">
        <v>79</v>
      </c>
      <c r="M156" s="124">
        <v>50</v>
      </c>
      <c r="N156" s="124">
        <v>5</v>
      </c>
      <c r="R156" s="124">
        <v>15</v>
      </c>
      <c r="T156" s="126">
        <v>3</v>
      </c>
      <c r="W156" s="118" t="s">
        <v>1141</v>
      </c>
      <c r="X156" s="124">
        <v>4.7149133333333344</v>
      </c>
      <c r="Y156" s="124">
        <v>1.398874604010111</v>
      </c>
      <c r="AD156" s="121">
        <f t="shared" si="15"/>
        <v>7.9242240896358558</v>
      </c>
      <c r="AE156" s="121">
        <f t="shared" si="16"/>
        <v>2.3510497546388422</v>
      </c>
      <c r="AF156" s="121" t="s">
        <v>1425</v>
      </c>
      <c r="AG156" s="121" t="s">
        <v>215</v>
      </c>
      <c r="AI156" s="124" t="s">
        <v>219</v>
      </c>
      <c r="AJ156" s="124" t="s">
        <v>219</v>
      </c>
      <c r="AK156" s="124">
        <v>0</v>
      </c>
      <c r="AL156" s="124">
        <v>27</v>
      </c>
      <c r="AN156" s="124">
        <v>-0.46511666666666668</v>
      </c>
      <c r="AO156" s="124">
        <v>0.53707142766219762</v>
      </c>
      <c r="AP156" s="124" t="s">
        <v>570</v>
      </c>
      <c r="AR156" s="124">
        <f t="shared" si="14"/>
        <v>-7.751944444444445E-3</v>
      </c>
      <c r="AS156" s="124">
        <f t="shared" si="14"/>
        <v>8.9511904610366268E-3</v>
      </c>
      <c r="AT156" s="145" t="s">
        <v>1069</v>
      </c>
      <c r="BK156" s="124" t="s">
        <v>1093</v>
      </c>
    </row>
    <row r="157" spans="1:63" s="124" customFormat="1">
      <c r="A157" s="124" t="s">
        <v>276</v>
      </c>
      <c r="B157" s="124" t="s">
        <v>697</v>
      </c>
      <c r="D157" s="124" t="s">
        <v>702</v>
      </c>
      <c r="E157" s="124" t="s">
        <v>623</v>
      </c>
      <c r="F157" s="124" t="s">
        <v>286</v>
      </c>
      <c r="G157" s="125" t="s">
        <v>564</v>
      </c>
      <c r="H157" s="124" t="s">
        <v>37</v>
      </c>
      <c r="J157" s="124" t="s">
        <v>214</v>
      </c>
      <c r="K157" s="124" t="s">
        <v>216</v>
      </c>
      <c r="L157" s="124" t="s">
        <v>79</v>
      </c>
      <c r="M157" s="124">
        <v>50</v>
      </c>
      <c r="N157" s="124">
        <v>5</v>
      </c>
      <c r="R157" s="124">
        <v>18</v>
      </c>
      <c r="T157" s="126">
        <v>4</v>
      </c>
      <c r="W157" s="118" t="s">
        <v>1141</v>
      </c>
      <c r="X157" s="124">
        <v>2.4177624999999998</v>
      </c>
      <c r="Y157" s="124">
        <v>0.67273410658019273</v>
      </c>
      <c r="AD157" s="121">
        <f t="shared" si="15"/>
        <v>4.0634663865546212</v>
      </c>
      <c r="AE157" s="121">
        <f t="shared" si="16"/>
        <v>1.1306455572776348</v>
      </c>
      <c r="AF157" s="121" t="s">
        <v>1425</v>
      </c>
      <c r="AG157" s="121" t="s">
        <v>215</v>
      </c>
      <c r="AI157" s="124" t="s">
        <v>219</v>
      </c>
      <c r="AJ157" s="124" t="s">
        <v>219</v>
      </c>
      <c r="AK157" s="124">
        <v>0</v>
      </c>
      <c r="AL157" s="124">
        <v>27</v>
      </c>
      <c r="AN157" s="124">
        <v>0</v>
      </c>
      <c r="AO157" s="124">
        <v>0.26853715720547872</v>
      </c>
      <c r="AP157" s="124" t="s">
        <v>570</v>
      </c>
      <c r="AR157" s="124">
        <f t="shared" si="14"/>
        <v>0</v>
      </c>
      <c r="AS157" s="124">
        <f t="shared" si="14"/>
        <v>4.4756192867579786E-3</v>
      </c>
      <c r="AT157" s="145" t="s">
        <v>1069</v>
      </c>
      <c r="BK157" s="124" t="s">
        <v>1093</v>
      </c>
    </row>
    <row r="158" spans="1:63" s="124" customFormat="1">
      <c r="A158" s="124" t="s">
        <v>276</v>
      </c>
      <c r="B158" s="124" t="s">
        <v>697</v>
      </c>
      <c r="D158" s="124" t="s">
        <v>702</v>
      </c>
      <c r="E158" s="124" t="s">
        <v>623</v>
      </c>
      <c r="F158" s="124" t="s">
        <v>286</v>
      </c>
      <c r="G158" s="125" t="s">
        <v>564</v>
      </c>
      <c r="H158" s="124" t="s">
        <v>37</v>
      </c>
      <c r="J158" s="124" t="s">
        <v>214</v>
      </c>
      <c r="K158" s="124" t="s">
        <v>216</v>
      </c>
      <c r="L158" s="124" t="s">
        <v>79</v>
      </c>
      <c r="M158" s="124">
        <v>50</v>
      </c>
      <c r="N158" s="124">
        <v>5</v>
      </c>
      <c r="R158" s="124">
        <v>21</v>
      </c>
      <c r="T158" s="126">
        <v>4</v>
      </c>
      <c r="W158" s="118" t="s">
        <v>1141</v>
      </c>
      <c r="X158" s="124">
        <v>5.625</v>
      </c>
      <c r="Y158" s="124">
        <v>1.3301018370097331</v>
      </c>
      <c r="AD158" s="121">
        <f t="shared" si="15"/>
        <v>9.4537815126050422</v>
      </c>
      <c r="AE158" s="121">
        <f t="shared" si="16"/>
        <v>2.2354652722852655</v>
      </c>
      <c r="AF158" s="121" t="s">
        <v>1425</v>
      </c>
      <c r="AG158" s="121" t="s">
        <v>215</v>
      </c>
      <c r="AI158" s="124" t="s">
        <v>219</v>
      </c>
      <c r="AJ158" s="124" t="s">
        <v>219</v>
      </c>
      <c r="AK158" s="124">
        <v>0</v>
      </c>
      <c r="AL158" s="124">
        <v>27</v>
      </c>
      <c r="AN158" s="124">
        <v>1.08527</v>
      </c>
      <c r="AO158" s="124">
        <v>0.67579795681352384</v>
      </c>
      <c r="AP158" s="124" t="s">
        <v>570</v>
      </c>
      <c r="AR158" s="124">
        <f t="shared" si="14"/>
        <v>1.8087833333333334E-2</v>
      </c>
      <c r="AS158" s="124">
        <f t="shared" si="14"/>
        <v>1.1263299280225398E-2</v>
      </c>
      <c r="AT158" s="145" t="s">
        <v>1069</v>
      </c>
      <c r="BK158" s="124" t="s">
        <v>1093</v>
      </c>
    </row>
    <row r="159" spans="1:63" s="124" customFormat="1">
      <c r="A159" s="124" t="s">
        <v>276</v>
      </c>
      <c r="B159" s="124" t="s">
        <v>697</v>
      </c>
      <c r="D159" s="124" t="s">
        <v>702</v>
      </c>
      <c r="E159" s="124" t="s">
        <v>623</v>
      </c>
      <c r="F159" s="124" t="s">
        <v>286</v>
      </c>
      <c r="G159" s="125" t="s">
        <v>564</v>
      </c>
      <c r="H159" s="124" t="s">
        <v>37</v>
      </c>
      <c r="J159" s="124" t="s">
        <v>214</v>
      </c>
      <c r="K159" s="124" t="s">
        <v>216</v>
      </c>
      <c r="L159" s="124" t="s">
        <v>79</v>
      </c>
      <c r="M159" s="124">
        <v>50</v>
      </c>
      <c r="N159" s="124">
        <v>5</v>
      </c>
      <c r="R159" s="124">
        <v>24</v>
      </c>
      <c r="T159" s="126">
        <v>5</v>
      </c>
      <c r="W159" s="118" t="s">
        <v>1141</v>
      </c>
      <c r="X159" s="124">
        <v>6.4736840000000004</v>
      </c>
      <c r="Y159" s="124">
        <v>0.83803593221651296</v>
      </c>
      <c r="AD159" s="121">
        <f t="shared" si="15"/>
        <v>10.880141176470589</v>
      </c>
      <c r="AE159" s="121">
        <f t="shared" si="16"/>
        <v>1.4084637516243916</v>
      </c>
      <c r="AF159" s="121" t="s">
        <v>1425</v>
      </c>
      <c r="AG159" s="121" t="s">
        <v>215</v>
      </c>
      <c r="AI159" s="124" t="s">
        <v>219</v>
      </c>
      <c r="AJ159" s="124" t="s">
        <v>219</v>
      </c>
      <c r="AK159" s="124">
        <v>0</v>
      </c>
      <c r="AL159" s="124">
        <v>27</v>
      </c>
      <c r="AN159" s="124">
        <v>-0.15504000000000001</v>
      </c>
      <c r="AO159" s="124">
        <v>0.31008000000000002</v>
      </c>
      <c r="AP159" s="124" t="s">
        <v>570</v>
      </c>
      <c r="AR159" s="124">
        <f t="shared" si="14"/>
        <v>-2.5840000000000004E-3</v>
      </c>
      <c r="AS159" s="124">
        <f t="shared" si="14"/>
        <v>5.1680000000000007E-3</v>
      </c>
      <c r="AT159" s="145" t="s">
        <v>1069</v>
      </c>
      <c r="BK159" s="124" t="s">
        <v>1093</v>
      </c>
    </row>
    <row r="160" spans="1:63" s="124" customFormat="1">
      <c r="A160" s="124" t="s">
        <v>276</v>
      </c>
      <c r="B160" s="124" t="s">
        <v>697</v>
      </c>
      <c r="D160" s="124" t="s">
        <v>702</v>
      </c>
      <c r="E160" s="124" t="s">
        <v>623</v>
      </c>
      <c r="F160" s="124" t="s">
        <v>286</v>
      </c>
      <c r="G160" s="125" t="s">
        <v>564</v>
      </c>
      <c r="H160" s="124" t="s">
        <v>37</v>
      </c>
      <c r="J160" s="124" t="s">
        <v>214</v>
      </c>
      <c r="K160" s="124" t="s">
        <v>216</v>
      </c>
      <c r="L160" s="124" t="s">
        <v>79</v>
      </c>
      <c r="M160" s="124">
        <v>50</v>
      </c>
      <c r="N160" s="124">
        <v>5</v>
      </c>
      <c r="R160" s="124">
        <v>27</v>
      </c>
      <c r="T160" s="126">
        <v>5</v>
      </c>
      <c r="W160" s="118" t="s">
        <v>1141</v>
      </c>
      <c r="X160" s="124">
        <v>3.8157899999999998</v>
      </c>
      <c r="Y160" s="124">
        <v>0.96309024244875407</v>
      </c>
      <c r="AD160" s="121">
        <f t="shared" si="15"/>
        <v>6.4130924369747895</v>
      </c>
      <c r="AE160" s="121">
        <f t="shared" si="16"/>
        <v>1.6186390629390823</v>
      </c>
      <c r="AF160" s="121" t="s">
        <v>1425</v>
      </c>
      <c r="AG160" s="121" t="s">
        <v>215</v>
      </c>
      <c r="AI160" s="124" t="s">
        <v>219</v>
      </c>
      <c r="AJ160" s="124" t="s">
        <v>219</v>
      </c>
      <c r="AK160" s="124">
        <v>0</v>
      </c>
      <c r="AL160" s="124">
        <v>27</v>
      </c>
      <c r="AN160" s="124">
        <v>0.7751933333333334</v>
      </c>
      <c r="AO160" s="124">
        <v>0.41019413356496348</v>
      </c>
      <c r="AP160" s="124" t="s">
        <v>570</v>
      </c>
      <c r="AR160" s="124">
        <f t="shared" si="14"/>
        <v>1.291988888888889E-2</v>
      </c>
      <c r="AS160" s="124">
        <f t="shared" si="14"/>
        <v>6.8365688927493912E-3</v>
      </c>
      <c r="AT160" s="145" t="s">
        <v>1069</v>
      </c>
      <c r="BK160" s="124" t="s">
        <v>1093</v>
      </c>
    </row>
    <row r="161" spans="1:63" s="124" customFormat="1">
      <c r="A161" s="124" t="s">
        <v>276</v>
      </c>
      <c r="B161" s="124" t="s">
        <v>697</v>
      </c>
      <c r="D161" s="124" t="s">
        <v>702</v>
      </c>
      <c r="E161" s="124" t="s">
        <v>623</v>
      </c>
      <c r="F161" s="124" t="s">
        <v>286</v>
      </c>
      <c r="G161" s="125" t="s">
        <v>564</v>
      </c>
      <c r="H161" s="124" t="s">
        <v>37</v>
      </c>
      <c r="J161" s="124" t="s">
        <v>214</v>
      </c>
      <c r="K161" s="124" t="s">
        <v>216</v>
      </c>
      <c r="L161" s="124" t="s">
        <v>79</v>
      </c>
      <c r="M161" s="124">
        <v>50</v>
      </c>
      <c r="N161" s="124">
        <v>5</v>
      </c>
      <c r="R161" s="124">
        <v>30</v>
      </c>
      <c r="T161" s="126">
        <v>4</v>
      </c>
      <c r="W161" s="118" t="s">
        <v>1141</v>
      </c>
      <c r="X161" s="124">
        <v>4.7861849999999997</v>
      </c>
      <c r="Y161" s="124">
        <v>0.6928091173680766</v>
      </c>
      <c r="AD161" s="121">
        <f t="shared" si="15"/>
        <v>8.0440084033613442</v>
      </c>
      <c r="AE161" s="121">
        <f t="shared" si="16"/>
        <v>1.1643850712068515</v>
      </c>
      <c r="AF161" s="121" t="s">
        <v>1425</v>
      </c>
      <c r="AG161" s="121" t="s">
        <v>215</v>
      </c>
      <c r="AI161" s="124" t="s">
        <v>219</v>
      </c>
      <c r="AJ161" s="124" t="s">
        <v>219</v>
      </c>
      <c r="AK161" s="124">
        <v>0</v>
      </c>
      <c r="AL161" s="124">
        <v>27</v>
      </c>
      <c r="AN161" s="124">
        <v>0.15504000000000001</v>
      </c>
      <c r="AO161" s="124">
        <v>0.15504000000000001</v>
      </c>
      <c r="AP161" s="124" t="s">
        <v>570</v>
      </c>
      <c r="AR161" s="124">
        <f t="shared" si="14"/>
        <v>2.5840000000000004E-3</v>
      </c>
      <c r="AS161" s="124">
        <f t="shared" si="14"/>
        <v>2.5840000000000004E-3</v>
      </c>
      <c r="AT161" s="145" t="s">
        <v>1069</v>
      </c>
      <c r="BK161" s="124" t="s">
        <v>1093</v>
      </c>
    </row>
    <row r="162" spans="1:63" s="124" customFormat="1">
      <c r="A162" s="124" t="s">
        <v>276</v>
      </c>
      <c r="B162" s="124" t="s">
        <v>697</v>
      </c>
      <c r="D162" s="124" t="s">
        <v>702</v>
      </c>
      <c r="E162" s="124" t="s">
        <v>623</v>
      </c>
      <c r="F162" s="124" t="s">
        <v>286</v>
      </c>
      <c r="G162" s="125" t="s">
        <v>564</v>
      </c>
      <c r="H162" s="124" t="s">
        <v>37</v>
      </c>
      <c r="J162" s="124" t="s">
        <v>214</v>
      </c>
      <c r="K162" s="124" t="s">
        <v>216</v>
      </c>
      <c r="L162" s="124" t="s">
        <v>79</v>
      </c>
      <c r="M162" s="124">
        <v>50</v>
      </c>
      <c r="N162" s="124">
        <v>5</v>
      </c>
      <c r="R162" s="124">
        <v>37</v>
      </c>
      <c r="T162" s="126">
        <v>5</v>
      </c>
      <c r="W162" s="118" t="s">
        <v>1141</v>
      </c>
      <c r="X162" s="124">
        <v>3.105264</v>
      </c>
      <c r="Y162" s="124">
        <v>0.93490529650654985</v>
      </c>
      <c r="AD162" s="121">
        <f t="shared" si="15"/>
        <v>5.218931092436975</v>
      </c>
      <c r="AE162" s="121">
        <f t="shared" si="16"/>
        <v>1.5712694058933612</v>
      </c>
      <c r="AF162" s="121" t="s">
        <v>1425</v>
      </c>
      <c r="AG162" s="121" t="s">
        <v>215</v>
      </c>
      <c r="AI162" s="124" t="s">
        <v>219</v>
      </c>
      <c r="AJ162" s="124" t="s">
        <v>219</v>
      </c>
      <c r="AK162" s="124">
        <v>0</v>
      </c>
      <c r="AL162" s="124">
        <v>27</v>
      </c>
      <c r="AN162" s="124">
        <v>0.31007666666666672</v>
      </c>
      <c r="AO162" s="124">
        <v>0.55900143399736568</v>
      </c>
      <c r="AP162" s="124" t="s">
        <v>570</v>
      </c>
      <c r="AR162" s="124">
        <f t="shared" si="14"/>
        <v>5.1679444444444455E-3</v>
      </c>
      <c r="AS162" s="124">
        <f t="shared" si="14"/>
        <v>9.3166905666227616E-3</v>
      </c>
      <c r="AT162" s="145" t="s">
        <v>1069</v>
      </c>
      <c r="BK162" s="124" t="s">
        <v>1093</v>
      </c>
    </row>
    <row r="163" spans="1:63" s="124" customFormat="1">
      <c r="A163" s="124" t="s">
        <v>276</v>
      </c>
      <c r="B163" s="124" t="s">
        <v>697</v>
      </c>
      <c r="D163" s="124" t="s">
        <v>702</v>
      </c>
      <c r="E163" s="124" t="s">
        <v>623</v>
      </c>
      <c r="F163" s="124" t="s">
        <v>286</v>
      </c>
      <c r="G163" s="125" t="s">
        <v>564</v>
      </c>
      <c r="H163" s="124" t="s">
        <v>37</v>
      </c>
      <c r="J163" s="124" t="s">
        <v>214</v>
      </c>
      <c r="K163" s="124" t="s">
        <v>216</v>
      </c>
      <c r="L163" s="124" t="s">
        <v>79</v>
      </c>
      <c r="M163" s="124">
        <v>50</v>
      </c>
      <c r="N163" s="124">
        <v>5</v>
      </c>
      <c r="R163" s="124">
        <v>44</v>
      </c>
      <c r="T163" s="126">
        <v>4</v>
      </c>
      <c r="W163" s="118" t="s">
        <v>1141</v>
      </c>
      <c r="X163" s="124">
        <v>2.9605250000000001</v>
      </c>
      <c r="Y163" s="124">
        <v>0.6118760083069662</v>
      </c>
      <c r="AD163" s="121">
        <f t="shared" si="15"/>
        <v>4.9756722689075632</v>
      </c>
      <c r="AE163" s="121">
        <f t="shared" si="16"/>
        <v>1.0283630391713716</v>
      </c>
      <c r="AF163" s="121" t="s">
        <v>1425</v>
      </c>
      <c r="AG163" s="121" t="s">
        <v>215</v>
      </c>
      <c r="AI163" s="124" t="s">
        <v>219</v>
      </c>
      <c r="AJ163" s="124" t="s">
        <v>219</v>
      </c>
      <c r="AK163" s="124">
        <v>0</v>
      </c>
      <c r="AL163" s="124">
        <v>27</v>
      </c>
      <c r="AN163" s="124">
        <v>0.77519666666666665</v>
      </c>
      <c r="AO163" s="124">
        <v>0.55900143399736568</v>
      </c>
      <c r="AP163" s="124" t="s">
        <v>570</v>
      </c>
      <c r="AR163" s="124">
        <f t="shared" si="14"/>
        <v>1.2919944444444444E-2</v>
      </c>
      <c r="AS163" s="124">
        <f t="shared" si="14"/>
        <v>9.3166905666227616E-3</v>
      </c>
      <c r="AT163" s="145" t="s">
        <v>1069</v>
      </c>
      <c r="BK163" s="124" t="s">
        <v>1093</v>
      </c>
    </row>
    <row r="164" spans="1:63" s="124" customFormat="1">
      <c r="A164" s="124" t="s">
        <v>276</v>
      </c>
      <c r="B164" s="124" t="s">
        <v>697</v>
      </c>
      <c r="D164" s="124" t="s">
        <v>702</v>
      </c>
      <c r="E164" s="124" t="s">
        <v>623</v>
      </c>
      <c r="F164" s="124" t="s">
        <v>286</v>
      </c>
      <c r="G164" s="125" t="s">
        <v>564</v>
      </c>
      <c r="H164" s="124" t="s">
        <v>37</v>
      </c>
      <c r="J164" s="124" t="s">
        <v>214</v>
      </c>
      <c r="K164" s="124" t="s">
        <v>216</v>
      </c>
      <c r="L164" s="124" t="s">
        <v>79</v>
      </c>
      <c r="M164" s="124">
        <v>50</v>
      </c>
      <c r="N164" s="124">
        <v>5</v>
      </c>
      <c r="R164" s="124">
        <v>51</v>
      </c>
      <c r="T164" s="126">
        <v>5</v>
      </c>
      <c r="W164" s="118" t="s">
        <v>1141</v>
      </c>
      <c r="X164" s="124">
        <v>2.592104</v>
      </c>
      <c r="Y164" s="124">
        <v>0.62572596840470029</v>
      </c>
      <c r="AD164" s="121">
        <f t="shared" si="15"/>
        <v>4.3564773109243697</v>
      </c>
      <c r="AE164" s="121">
        <f t="shared" si="16"/>
        <v>1.0516402830331097</v>
      </c>
      <c r="AF164" s="121" t="s">
        <v>1425</v>
      </c>
      <c r="AG164" s="121" t="s">
        <v>215</v>
      </c>
      <c r="AI164" s="124" t="s">
        <v>219</v>
      </c>
      <c r="AJ164" s="124" t="s">
        <v>219</v>
      </c>
      <c r="AK164" s="124">
        <v>0</v>
      </c>
      <c r="AL164" s="124">
        <v>27</v>
      </c>
      <c r="AN164" s="124">
        <v>0.93023333333333336</v>
      </c>
      <c r="AO164" s="124">
        <v>0.53707142766219762</v>
      </c>
      <c r="AP164" s="124" t="s">
        <v>570</v>
      </c>
      <c r="AR164" s="124">
        <f t="shared" si="14"/>
        <v>1.550388888888889E-2</v>
      </c>
      <c r="AS164" s="124">
        <f t="shared" si="14"/>
        <v>8.9511904610366268E-3</v>
      </c>
      <c r="AT164" s="145" t="s">
        <v>1069</v>
      </c>
      <c r="BK164" s="124" t="s">
        <v>1093</v>
      </c>
    </row>
    <row r="165" spans="1:63" s="124" customFormat="1">
      <c r="A165" s="124" t="s">
        <v>276</v>
      </c>
      <c r="B165" s="124" t="s">
        <v>697</v>
      </c>
      <c r="D165" s="124" t="s">
        <v>702</v>
      </c>
      <c r="E165" s="124" t="s">
        <v>623</v>
      </c>
      <c r="F165" s="124" t="s">
        <v>286</v>
      </c>
      <c r="G165" s="125" t="s">
        <v>564</v>
      </c>
      <c r="H165" s="124" t="s">
        <v>37</v>
      </c>
      <c r="J165" s="124" t="s">
        <v>214</v>
      </c>
      <c r="K165" s="124" t="s">
        <v>216</v>
      </c>
      <c r="L165" s="124" t="s">
        <v>79</v>
      </c>
      <c r="M165" s="124">
        <v>50</v>
      </c>
      <c r="N165" s="124">
        <v>5</v>
      </c>
      <c r="R165" s="124">
        <v>58</v>
      </c>
      <c r="T165" s="126">
        <v>5</v>
      </c>
      <c r="W165" s="118" t="s">
        <v>1141</v>
      </c>
      <c r="X165" s="124">
        <v>3.0131579999999998</v>
      </c>
      <c r="Y165" s="124">
        <v>0.68319816603530181</v>
      </c>
      <c r="AD165" s="121">
        <f t="shared" si="15"/>
        <v>5.0641310924369742</v>
      </c>
      <c r="AE165" s="121">
        <f t="shared" si="16"/>
        <v>1.1482322118240367</v>
      </c>
      <c r="AF165" s="121" t="s">
        <v>1425</v>
      </c>
      <c r="AG165" s="121" t="s">
        <v>215</v>
      </c>
      <c r="AI165" s="124" t="s">
        <v>219</v>
      </c>
      <c r="AJ165" s="124" t="s">
        <v>219</v>
      </c>
      <c r="AK165" s="124">
        <v>0</v>
      </c>
      <c r="AL165" s="124">
        <v>27</v>
      </c>
      <c r="AN165" s="124">
        <v>1.860465</v>
      </c>
      <c r="AO165" s="124">
        <v>1.3953450000000001</v>
      </c>
      <c r="AP165" s="124" t="s">
        <v>570</v>
      </c>
      <c r="AR165" s="124">
        <f t="shared" si="14"/>
        <v>3.1007750000000001E-2</v>
      </c>
      <c r="AS165" s="124">
        <f t="shared" si="14"/>
        <v>2.3255750000000002E-2</v>
      </c>
      <c r="AT165" s="145" t="s">
        <v>1069</v>
      </c>
      <c r="BK165" s="124" t="s">
        <v>1093</v>
      </c>
    </row>
    <row r="166" spans="1:63" s="209" customFormat="1">
      <c r="A166" s="209" t="s">
        <v>276</v>
      </c>
      <c r="B166" s="209" t="s">
        <v>697</v>
      </c>
      <c r="D166" s="209" t="s">
        <v>702</v>
      </c>
      <c r="E166" s="209" t="s">
        <v>623</v>
      </c>
      <c r="F166" s="209" t="s">
        <v>286</v>
      </c>
      <c r="G166" s="193" t="s">
        <v>564</v>
      </c>
      <c r="H166" s="209" t="s">
        <v>37</v>
      </c>
      <c r="J166" s="209" t="s">
        <v>214</v>
      </c>
      <c r="K166" s="209" t="s">
        <v>216</v>
      </c>
      <c r="L166" s="209" t="s">
        <v>79</v>
      </c>
      <c r="M166" s="209">
        <v>50</v>
      </c>
      <c r="N166" s="209">
        <v>5</v>
      </c>
      <c r="R166" s="209">
        <v>64</v>
      </c>
      <c r="T166" s="210">
        <v>1</v>
      </c>
      <c r="W166" s="209" t="s">
        <v>1141</v>
      </c>
      <c r="X166" s="209">
        <v>2.0394700000000001</v>
      </c>
      <c r="AD166" s="209">
        <f>(X166*100)/59.5</f>
        <v>3.4276806722689077</v>
      </c>
      <c r="AF166" s="121" t="s">
        <v>1425</v>
      </c>
      <c r="AG166" s="121" t="s">
        <v>215</v>
      </c>
      <c r="AI166" s="209" t="s">
        <v>219</v>
      </c>
      <c r="AJ166" s="209" t="s">
        <v>219</v>
      </c>
      <c r="AK166" s="209">
        <v>0</v>
      </c>
      <c r="AL166" s="209">
        <v>27</v>
      </c>
      <c r="AN166" s="209">
        <v>0.46511999999999998</v>
      </c>
      <c r="AP166" s="209" t="s">
        <v>570</v>
      </c>
      <c r="AR166" s="209">
        <f t="shared" si="14"/>
        <v>7.7519999999999993E-3</v>
      </c>
      <c r="AS166" s="209">
        <v>9.9999999999999994E-12</v>
      </c>
      <c r="AT166" s="211" t="s">
        <v>1069</v>
      </c>
      <c r="BK166" s="209" t="s">
        <v>1093</v>
      </c>
    </row>
    <row r="167" spans="1:63" s="118" customFormat="1">
      <c r="A167" s="118" t="s">
        <v>276</v>
      </c>
      <c r="B167" s="118" t="s">
        <v>698</v>
      </c>
      <c r="D167" s="118" t="s">
        <v>703</v>
      </c>
      <c r="E167" s="118" t="s">
        <v>623</v>
      </c>
      <c r="F167" s="118" t="s">
        <v>286</v>
      </c>
      <c r="G167" s="127" t="s">
        <v>625</v>
      </c>
      <c r="H167" s="118" t="s">
        <v>289</v>
      </c>
      <c r="J167" s="118" t="s">
        <v>214</v>
      </c>
      <c r="K167" s="118" t="s">
        <v>216</v>
      </c>
      <c r="L167" s="118" t="s">
        <v>290</v>
      </c>
      <c r="M167" s="118">
        <v>50</v>
      </c>
      <c r="N167" s="118">
        <v>5</v>
      </c>
      <c r="R167" s="118">
        <v>1</v>
      </c>
      <c r="T167" s="120">
        <v>2</v>
      </c>
      <c r="W167" s="118" t="s">
        <v>1141</v>
      </c>
      <c r="X167" s="118">
        <v>4.8376599999999996</v>
      </c>
      <c r="Y167" s="118">
        <v>0.2922100000000003</v>
      </c>
      <c r="AD167" s="121">
        <f>(X167*100)/59.5</f>
        <v>8.1305210084033614</v>
      </c>
      <c r="AE167" s="124">
        <f>(Y167*100)/59.5</f>
        <v>0.49110924369747955</v>
      </c>
      <c r="AF167" s="121" t="s">
        <v>1425</v>
      </c>
      <c r="AG167" s="121" t="s">
        <v>215</v>
      </c>
      <c r="AI167" s="118" t="s">
        <v>219</v>
      </c>
      <c r="AJ167" s="118" t="s">
        <v>219</v>
      </c>
      <c r="AK167" s="118">
        <v>0</v>
      </c>
      <c r="AL167" s="118">
        <v>27</v>
      </c>
      <c r="AN167" s="118">
        <v>2.6842100000000002</v>
      </c>
      <c r="AO167" s="118">
        <v>1.106306143230706</v>
      </c>
      <c r="AP167" s="118" t="s">
        <v>570</v>
      </c>
      <c r="AR167" s="118">
        <f t="shared" si="14"/>
        <v>4.4736833333333337E-2</v>
      </c>
      <c r="AS167" s="118">
        <f t="shared" si="14"/>
        <v>1.8438435720511768E-2</v>
      </c>
      <c r="AT167" s="143" t="s">
        <v>1069</v>
      </c>
      <c r="BK167" s="118" t="s">
        <v>1093</v>
      </c>
    </row>
    <row r="168" spans="1:63" s="118" customFormat="1">
      <c r="A168" s="118" t="s">
        <v>276</v>
      </c>
      <c r="B168" s="118" t="s">
        <v>698</v>
      </c>
      <c r="D168" s="118" t="s">
        <v>703</v>
      </c>
      <c r="E168" s="118" t="s">
        <v>623</v>
      </c>
      <c r="F168" s="118" t="s">
        <v>286</v>
      </c>
      <c r="G168" s="127" t="s">
        <v>625</v>
      </c>
      <c r="H168" s="118" t="s">
        <v>289</v>
      </c>
      <c r="J168" s="118" t="s">
        <v>214</v>
      </c>
      <c r="K168" s="118" t="s">
        <v>216</v>
      </c>
      <c r="L168" s="118" t="s">
        <v>291</v>
      </c>
      <c r="M168" s="118">
        <v>50</v>
      </c>
      <c r="N168" s="118">
        <v>5</v>
      </c>
      <c r="R168" s="118">
        <v>1.5</v>
      </c>
      <c r="T168" s="120">
        <v>3</v>
      </c>
      <c r="W168" s="118" t="s">
        <v>1141</v>
      </c>
      <c r="X168" s="118">
        <v>4.3722933333333334</v>
      </c>
      <c r="Y168" s="118">
        <v>0.38294017741388509</v>
      </c>
      <c r="AD168" s="121">
        <f t="shared" ref="AD168:AD178" si="17">(X168*100)/59.5</f>
        <v>7.3483921568627446</v>
      </c>
      <c r="AE168" s="124">
        <f t="shared" ref="AE168:AE176" si="18">(Y168*100)/59.5</f>
        <v>0.64359693683005892</v>
      </c>
      <c r="AF168" s="121" t="s">
        <v>1425</v>
      </c>
      <c r="AG168" s="121" t="s">
        <v>215</v>
      </c>
      <c r="AI168" s="118" t="s">
        <v>219</v>
      </c>
      <c r="AJ168" s="118" t="s">
        <v>219</v>
      </c>
      <c r="AK168" s="118">
        <v>0</v>
      </c>
      <c r="AL168" s="118">
        <v>27</v>
      </c>
      <c r="AN168" s="118">
        <v>9.2842099999999999</v>
      </c>
      <c r="AO168" s="118">
        <v>1.8767116486530371</v>
      </c>
      <c r="AP168" s="118" t="s">
        <v>570</v>
      </c>
      <c r="AR168" s="118">
        <f t="shared" si="14"/>
        <v>0.15473683333333332</v>
      </c>
      <c r="AS168" s="118">
        <f t="shared" si="14"/>
        <v>3.1278527477550618E-2</v>
      </c>
      <c r="AT168" s="143" t="s">
        <v>1069</v>
      </c>
      <c r="BK168" s="118" t="s">
        <v>1093</v>
      </c>
    </row>
    <row r="169" spans="1:63" s="118" customFormat="1">
      <c r="A169" s="118" t="s">
        <v>276</v>
      </c>
      <c r="B169" s="118" t="s">
        <v>698</v>
      </c>
      <c r="D169" s="118" t="s">
        <v>703</v>
      </c>
      <c r="E169" s="118" t="s">
        <v>623</v>
      </c>
      <c r="F169" s="118" t="s">
        <v>286</v>
      </c>
      <c r="G169" s="127" t="s">
        <v>625</v>
      </c>
      <c r="H169" s="118" t="s">
        <v>289</v>
      </c>
      <c r="J169" s="118" t="s">
        <v>214</v>
      </c>
      <c r="K169" s="118" t="s">
        <v>216</v>
      </c>
      <c r="L169" s="118" t="s">
        <v>291</v>
      </c>
      <c r="M169" s="118">
        <v>50</v>
      </c>
      <c r="N169" s="118">
        <v>5</v>
      </c>
      <c r="R169" s="118">
        <v>2</v>
      </c>
      <c r="T169" s="120">
        <v>2</v>
      </c>
      <c r="W169" s="118" t="s">
        <v>1141</v>
      </c>
      <c r="X169" s="118">
        <v>2.4026000000000001</v>
      </c>
      <c r="Y169" s="118">
        <v>0.51947999999999994</v>
      </c>
      <c r="AD169" s="121">
        <f t="shared" si="17"/>
        <v>4.0379831932773111</v>
      </c>
      <c r="AE169" s="124">
        <f t="shared" si="18"/>
        <v>0.87307563025210078</v>
      </c>
      <c r="AF169" s="121" t="s">
        <v>1425</v>
      </c>
      <c r="AG169" s="121" t="s">
        <v>215</v>
      </c>
      <c r="AI169" s="118" t="s">
        <v>219</v>
      </c>
      <c r="AJ169" s="118" t="s">
        <v>219</v>
      </c>
      <c r="AK169" s="118">
        <v>0</v>
      </c>
      <c r="AL169" s="118">
        <v>27</v>
      </c>
      <c r="AN169" s="118">
        <v>6.0947380000000004</v>
      </c>
      <c r="AO169" s="118">
        <v>0.87397040842010199</v>
      </c>
      <c r="AP169" s="118" t="s">
        <v>570</v>
      </c>
      <c r="AR169" s="118">
        <f t="shared" si="14"/>
        <v>0.10157896666666667</v>
      </c>
      <c r="AS169" s="118">
        <f t="shared" si="14"/>
        <v>1.4566173473668367E-2</v>
      </c>
      <c r="AT169" s="143" t="s">
        <v>1069</v>
      </c>
      <c r="BK169" s="118" t="s">
        <v>1093</v>
      </c>
    </row>
    <row r="170" spans="1:63" s="118" customFormat="1">
      <c r="A170" s="118" t="s">
        <v>276</v>
      </c>
      <c r="B170" s="118" t="s">
        <v>698</v>
      </c>
      <c r="D170" s="118" t="s">
        <v>703</v>
      </c>
      <c r="E170" s="118" t="s">
        <v>623</v>
      </c>
      <c r="F170" s="118" t="s">
        <v>286</v>
      </c>
      <c r="G170" s="127" t="s">
        <v>625</v>
      </c>
      <c r="H170" s="118" t="s">
        <v>289</v>
      </c>
      <c r="J170" s="118" t="s">
        <v>214</v>
      </c>
      <c r="K170" s="118" t="s">
        <v>216</v>
      </c>
      <c r="L170" s="118" t="s">
        <v>291</v>
      </c>
      <c r="M170" s="118">
        <v>50</v>
      </c>
      <c r="N170" s="118">
        <v>5</v>
      </c>
      <c r="R170" s="118">
        <v>2.5</v>
      </c>
      <c r="T170" s="120">
        <v>2</v>
      </c>
      <c r="W170" s="118" t="s">
        <v>1141</v>
      </c>
      <c r="X170" s="118">
        <v>2.987015</v>
      </c>
      <c r="Y170" s="118">
        <v>0.19480500000000009</v>
      </c>
      <c r="AD170" s="121">
        <f t="shared" si="17"/>
        <v>5.0201932773109244</v>
      </c>
      <c r="AE170" s="124">
        <f t="shared" si="18"/>
        <v>0.32740336134453796</v>
      </c>
      <c r="AF170" s="121" t="s">
        <v>1425</v>
      </c>
      <c r="AG170" s="121" t="s">
        <v>215</v>
      </c>
      <c r="AI170" s="118" t="s">
        <v>219</v>
      </c>
      <c r="AJ170" s="118" t="s">
        <v>219</v>
      </c>
      <c r="AK170" s="118">
        <v>0</v>
      </c>
      <c r="AL170" s="118">
        <v>27</v>
      </c>
      <c r="AN170" s="118">
        <v>6.7263160000000006</v>
      </c>
      <c r="AO170" s="118">
        <v>0.90173715145046573</v>
      </c>
      <c r="AP170" s="118" t="s">
        <v>570</v>
      </c>
      <c r="AR170" s="118">
        <f t="shared" si="14"/>
        <v>0.11210526666666668</v>
      </c>
      <c r="AS170" s="118">
        <f t="shared" si="14"/>
        <v>1.5028952524174429E-2</v>
      </c>
      <c r="AT170" s="143" t="s">
        <v>1069</v>
      </c>
      <c r="BK170" s="118" t="s">
        <v>1093</v>
      </c>
    </row>
    <row r="171" spans="1:63" s="118" customFormat="1">
      <c r="A171" s="118" t="s">
        <v>276</v>
      </c>
      <c r="B171" s="118" t="s">
        <v>698</v>
      </c>
      <c r="D171" s="118" t="s">
        <v>703</v>
      </c>
      <c r="E171" s="118" t="s">
        <v>623</v>
      </c>
      <c r="F171" s="118" t="s">
        <v>286</v>
      </c>
      <c r="G171" s="127" t="s">
        <v>625</v>
      </c>
      <c r="H171" s="118" t="s">
        <v>289</v>
      </c>
      <c r="J171" s="118" t="s">
        <v>214</v>
      </c>
      <c r="K171" s="118" t="s">
        <v>216</v>
      </c>
      <c r="L171" s="118" t="s">
        <v>79</v>
      </c>
      <c r="M171" s="118">
        <v>50</v>
      </c>
      <c r="N171" s="118">
        <v>5</v>
      </c>
      <c r="R171" s="118">
        <v>4</v>
      </c>
      <c r="T171" s="120">
        <v>3</v>
      </c>
      <c r="W171" s="118" t="s">
        <v>1141</v>
      </c>
      <c r="X171" s="118">
        <v>2.2943733333333332</v>
      </c>
      <c r="Y171" s="118">
        <v>0.16905136047301661</v>
      </c>
      <c r="AD171" s="121">
        <f t="shared" si="17"/>
        <v>3.8560896358543415</v>
      </c>
      <c r="AE171" s="124">
        <f t="shared" si="18"/>
        <v>0.28411993356809512</v>
      </c>
      <c r="AF171" s="121" t="s">
        <v>1425</v>
      </c>
      <c r="AG171" s="121" t="s">
        <v>215</v>
      </c>
      <c r="AI171" s="118" t="s">
        <v>219</v>
      </c>
      <c r="AJ171" s="118" t="s">
        <v>219</v>
      </c>
      <c r="AK171" s="118">
        <v>0</v>
      </c>
      <c r="AL171" s="118">
        <v>27</v>
      </c>
      <c r="AN171" s="118">
        <v>5.0210520000000001</v>
      </c>
      <c r="AO171" s="118">
        <v>1.1641684243373029</v>
      </c>
      <c r="AP171" s="118" t="s">
        <v>570</v>
      </c>
      <c r="AR171" s="118">
        <f t="shared" si="14"/>
        <v>8.36842E-2</v>
      </c>
      <c r="AS171" s="118">
        <f t="shared" si="14"/>
        <v>1.9402807072288381E-2</v>
      </c>
      <c r="AT171" s="143" t="s">
        <v>1069</v>
      </c>
      <c r="BK171" s="118" t="s">
        <v>1093</v>
      </c>
    </row>
    <row r="172" spans="1:63" s="118" customFormat="1">
      <c r="A172" s="118" t="s">
        <v>276</v>
      </c>
      <c r="B172" s="118" t="s">
        <v>698</v>
      </c>
      <c r="D172" s="118" t="s">
        <v>703</v>
      </c>
      <c r="E172" s="118" t="s">
        <v>623</v>
      </c>
      <c r="F172" s="118" t="s">
        <v>286</v>
      </c>
      <c r="G172" s="127" t="s">
        <v>625</v>
      </c>
      <c r="H172" s="118" t="s">
        <v>289</v>
      </c>
      <c r="J172" s="118" t="s">
        <v>214</v>
      </c>
      <c r="K172" s="118" t="s">
        <v>216</v>
      </c>
      <c r="L172" s="118" t="s">
        <v>79</v>
      </c>
      <c r="M172" s="118">
        <v>50</v>
      </c>
      <c r="N172" s="118">
        <v>5</v>
      </c>
      <c r="R172" s="118">
        <v>5</v>
      </c>
      <c r="T172" s="120">
        <v>3</v>
      </c>
      <c r="W172" s="118" t="s">
        <v>1141</v>
      </c>
      <c r="X172" s="118">
        <v>1.75325</v>
      </c>
      <c r="Y172" s="118">
        <v>0.27034596335066668</v>
      </c>
      <c r="AD172" s="121">
        <f t="shared" si="17"/>
        <v>2.9466386554621846</v>
      </c>
      <c r="AE172" s="124">
        <f t="shared" si="18"/>
        <v>0.45436296361456591</v>
      </c>
      <c r="AF172" s="121" t="s">
        <v>1425</v>
      </c>
      <c r="AG172" s="121" t="s">
        <v>215</v>
      </c>
      <c r="AI172" s="118" t="s">
        <v>219</v>
      </c>
      <c r="AJ172" s="118" t="s">
        <v>219</v>
      </c>
      <c r="AK172" s="118">
        <v>0</v>
      </c>
      <c r="AL172" s="118">
        <v>27</v>
      </c>
      <c r="AN172" s="118">
        <v>2.5473680000000001</v>
      </c>
      <c r="AO172" s="118">
        <v>0.28323487312476192</v>
      </c>
      <c r="AP172" s="118" t="s">
        <v>570</v>
      </c>
      <c r="AR172" s="118">
        <f t="shared" si="14"/>
        <v>4.2456133333333333E-2</v>
      </c>
      <c r="AS172" s="118">
        <f t="shared" si="14"/>
        <v>4.7205812187460323E-3</v>
      </c>
      <c r="AT172" s="143" t="s">
        <v>1069</v>
      </c>
      <c r="BE172" s="118" t="s">
        <v>292</v>
      </c>
      <c r="BK172" s="118" t="s">
        <v>1093</v>
      </c>
    </row>
    <row r="173" spans="1:63" s="118" customFormat="1">
      <c r="A173" s="118" t="s">
        <v>276</v>
      </c>
      <c r="B173" s="118" t="s">
        <v>698</v>
      </c>
      <c r="D173" s="118" t="s">
        <v>703</v>
      </c>
      <c r="E173" s="118" t="s">
        <v>623</v>
      </c>
      <c r="F173" s="118" t="s">
        <v>286</v>
      </c>
      <c r="G173" s="127" t="s">
        <v>625</v>
      </c>
      <c r="H173" s="118" t="s">
        <v>289</v>
      </c>
      <c r="J173" s="118" t="s">
        <v>214</v>
      </c>
      <c r="K173" s="118" t="s">
        <v>216</v>
      </c>
      <c r="L173" s="118" t="s">
        <v>79</v>
      </c>
      <c r="M173" s="118">
        <v>50</v>
      </c>
      <c r="N173" s="118">
        <v>5</v>
      </c>
      <c r="R173" s="118">
        <v>6</v>
      </c>
      <c r="T173" s="120">
        <v>3</v>
      </c>
      <c r="W173" s="118" t="s">
        <v>1141</v>
      </c>
      <c r="X173" s="118">
        <v>1.7316033333333329</v>
      </c>
      <c r="Y173" s="118">
        <v>0.31885223125732992</v>
      </c>
      <c r="AD173" s="121">
        <f t="shared" si="17"/>
        <v>2.9102577030812316</v>
      </c>
      <c r="AE173" s="124">
        <f t="shared" si="18"/>
        <v>0.5358861029534957</v>
      </c>
      <c r="AF173" s="121" t="s">
        <v>1425</v>
      </c>
      <c r="AG173" s="121" t="s">
        <v>215</v>
      </c>
      <c r="AI173" s="118" t="s">
        <v>219</v>
      </c>
      <c r="AJ173" s="118" t="s">
        <v>219</v>
      </c>
      <c r="AK173" s="118">
        <v>0</v>
      </c>
      <c r="AL173" s="118">
        <v>27</v>
      </c>
      <c r="AN173" s="118">
        <v>2.3552624999999998</v>
      </c>
      <c r="AO173" s="118">
        <v>0.43896816050777909</v>
      </c>
      <c r="AP173" s="118" t="s">
        <v>570</v>
      </c>
      <c r="AR173" s="118">
        <f t="shared" si="14"/>
        <v>3.9254374999999994E-2</v>
      </c>
      <c r="AS173" s="118">
        <f t="shared" si="14"/>
        <v>7.3161360084629846E-3</v>
      </c>
      <c r="AT173" s="143" t="s">
        <v>1069</v>
      </c>
      <c r="BK173" s="118" t="s">
        <v>1093</v>
      </c>
    </row>
    <row r="174" spans="1:63" s="118" customFormat="1">
      <c r="A174" s="118" t="s">
        <v>276</v>
      </c>
      <c r="B174" s="118" t="s">
        <v>698</v>
      </c>
      <c r="D174" s="118" t="s">
        <v>703</v>
      </c>
      <c r="E174" s="118" t="s">
        <v>623</v>
      </c>
      <c r="F174" s="118" t="s">
        <v>286</v>
      </c>
      <c r="G174" s="127" t="s">
        <v>625</v>
      </c>
      <c r="H174" s="118" t="s">
        <v>289</v>
      </c>
      <c r="J174" s="118" t="s">
        <v>214</v>
      </c>
      <c r="K174" s="118" t="s">
        <v>216</v>
      </c>
      <c r="L174" s="118" t="s">
        <v>79</v>
      </c>
      <c r="M174" s="118">
        <v>50</v>
      </c>
      <c r="N174" s="118">
        <v>5</v>
      </c>
      <c r="R174" s="118">
        <v>13</v>
      </c>
      <c r="T174" s="120">
        <v>2</v>
      </c>
      <c r="W174" s="118" t="s">
        <v>1141</v>
      </c>
      <c r="X174" s="118">
        <v>1.3961049999999999</v>
      </c>
      <c r="Y174" s="118">
        <v>9.740499999999995E-2</v>
      </c>
      <c r="AD174" s="121">
        <f t="shared" si="17"/>
        <v>2.3463949579831933</v>
      </c>
      <c r="AE174" s="124">
        <f t="shared" si="18"/>
        <v>0.16370588235294109</v>
      </c>
      <c r="AF174" s="121" t="s">
        <v>1425</v>
      </c>
      <c r="AG174" s="121" t="s">
        <v>215</v>
      </c>
      <c r="AI174" s="118" t="s">
        <v>219</v>
      </c>
      <c r="AJ174" s="118" t="s">
        <v>219</v>
      </c>
      <c r="AK174" s="118">
        <v>0</v>
      </c>
      <c r="AL174" s="118">
        <v>27</v>
      </c>
      <c r="AN174" s="118">
        <v>2.1263139999999998</v>
      </c>
      <c r="AO174" s="118">
        <v>0.3916025771059225</v>
      </c>
      <c r="AP174" s="118" t="s">
        <v>570</v>
      </c>
      <c r="AR174" s="118">
        <f t="shared" si="14"/>
        <v>3.5438566666666664E-2</v>
      </c>
      <c r="AS174" s="118">
        <f t="shared" si="14"/>
        <v>6.526709618432042E-3</v>
      </c>
      <c r="AT174" s="143" t="s">
        <v>1069</v>
      </c>
      <c r="BK174" s="118" t="s">
        <v>1093</v>
      </c>
    </row>
    <row r="175" spans="1:63" s="118" customFormat="1">
      <c r="A175" s="118" t="s">
        <v>276</v>
      </c>
      <c r="B175" s="118" t="s">
        <v>698</v>
      </c>
      <c r="D175" s="118" t="s">
        <v>703</v>
      </c>
      <c r="E175" s="118" t="s">
        <v>623</v>
      </c>
      <c r="F175" s="118" t="s">
        <v>286</v>
      </c>
      <c r="G175" s="127" t="s">
        <v>625</v>
      </c>
      <c r="H175" s="118" t="s">
        <v>289</v>
      </c>
      <c r="J175" s="118" t="s">
        <v>214</v>
      </c>
      <c r="K175" s="118" t="s">
        <v>216</v>
      </c>
      <c r="L175" s="118" t="s">
        <v>79</v>
      </c>
      <c r="M175" s="118">
        <v>50</v>
      </c>
      <c r="N175" s="118">
        <v>5</v>
      </c>
      <c r="R175" s="118">
        <v>22</v>
      </c>
      <c r="T175" s="120">
        <v>3</v>
      </c>
      <c r="W175" s="118" t="s">
        <v>1141</v>
      </c>
      <c r="X175" s="118">
        <v>1.320346666666667</v>
      </c>
      <c r="Y175" s="118">
        <v>0.1690543480002149</v>
      </c>
      <c r="AD175" s="121">
        <f t="shared" si="17"/>
        <v>2.2190700280112052</v>
      </c>
      <c r="AE175" s="124">
        <f t="shared" si="18"/>
        <v>0.28412495462220988</v>
      </c>
      <c r="AF175" s="121" t="s">
        <v>1425</v>
      </c>
      <c r="AG175" s="121" t="s">
        <v>215</v>
      </c>
      <c r="AI175" s="118" t="s">
        <v>219</v>
      </c>
      <c r="AJ175" s="118" t="s">
        <v>219</v>
      </c>
      <c r="AK175" s="118">
        <v>0</v>
      </c>
      <c r="AL175" s="118">
        <v>27</v>
      </c>
      <c r="AN175" s="118">
        <v>1.51579</v>
      </c>
      <c r="AO175" s="118">
        <v>0.2302591879382884</v>
      </c>
      <c r="AP175" s="118" t="s">
        <v>570</v>
      </c>
      <c r="AR175" s="118">
        <f t="shared" si="14"/>
        <v>2.5263166666666666E-2</v>
      </c>
      <c r="AS175" s="118">
        <f t="shared" si="14"/>
        <v>3.8376531323048068E-3</v>
      </c>
      <c r="AT175" s="143" t="s">
        <v>1069</v>
      </c>
      <c r="BK175" s="118" t="s">
        <v>1093</v>
      </c>
    </row>
    <row r="176" spans="1:63" s="118" customFormat="1">
      <c r="A176" s="118" t="s">
        <v>276</v>
      </c>
      <c r="B176" s="118" t="s">
        <v>698</v>
      </c>
      <c r="D176" s="118" t="s">
        <v>703</v>
      </c>
      <c r="E176" s="118" t="s">
        <v>623</v>
      </c>
      <c r="F176" s="118" t="s">
        <v>286</v>
      </c>
      <c r="G176" s="127" t="s">
        <v>625</v>
      </c>
      <c r="H176" s="118" t="s">
        <v>289</v>
      </c>
      <c r="J176" s="118" t="s">
        <v>214</v>
      </c>
      <c r="K176" s="118" t="s">
        <v>216</v>
      </c>
      <c r="L176" s="118" t="s">
        <v>79</v>
      </c>
      <c r="M176" s="118">
        <v>50</v>
      </c>
      <c r="N176" s="118">
        <v>5</v>
      </c>
      <c r="R176" s="118">
        <v>29</v>
      </c>
      <c r="T176" s="120">
        <v>2</v>
      </c>
      <c r="W176" s="118" t="s">
        <v>1141</v>
      </c>
      <c r="X176" s="118">
        <v>1.298705</v>
      </c>
      <c r="Y176" s="118">
        <v>6.4934999999999965E-2</v>
      </c>
      <c r="AD176" s="121">
        <f t="shared" si="17"/>
        <v>2.1826974789915967</v>
      </c>
      <c r="AE176" s="124">
        <f t="shared" si="18"/>
        <v>0.10913445378151254</v>
      </c>
      <c r="AF176" s="121" t="s">
        <v>1425</v>
      </c>
      <c r="AG176" s="121" t="s">
        <v>215</v>
      </c>
      <c r="AI176" s="118" t="s">
        <v>219</v>
      </c>
      <c r="AJ176" s="118" t="s">
        <v>219</v>
      </c>
      <c r="AK176" s="118">
        <v>0</v>
      </c>
      <c r="AL176" s="118">
        <v>27</v>
      </c>
      <c r="AN176" s="118">
        <v>1.5473699999999999</v>
      </c>
      <c r="AO176" s="118">
        <v>0.57909121418823128</v>
      </c>
      <c r="AP176" s="118" t="s">
        <v>570</v>
      </c>
      <c r="AR176" s="118">
        <f t="shared" si="14"/>
        <v>2.57895E-2</v>
      </c>
      <c r="AS176" s="118">
        <f t="shared" si="14"/>
        <v>9.6515202364705222E-3</v>
      </c>
      <c r="AT176" s="143" t="s">
        <v>1069</v>
      </c>
      <c r="BK176" s="118" t="s">
        <v>1093</v>
      </c>
    </row>
    <row r="177" spans="1:63" s="118" customFormat="1">
      <c r="A177" s="118" t="s">
        <v>276</v>
      </c>
      <c r="B177" s="118" t="s">
        <v>698</v>
      </c>
      <c r="D177" s="118" t="s">
        <v>703</v>
      </c>
      <c r="E177" s="118" t="s">
        <v>623</v>
      </c>
      <c r="F177" s="118" t="s">
        <v>286</v>
      </c>
      <c r="G177" s="127" t="s">
        <v>625</v>
      </c>
      <c r="H177" s="118" t="s">
        <v>289</v>
      </c>
      <c r="J177" s="118" t="s">
        <v>214</v>
      </c>
      <c r="K177" s="118" t="s">
        <v>216</v>
      </c>
      <c r="L177" s="118" t="s">
        <v>79</v>
      </c>
      <c r="M177" s="118">
        <v>50</v>
      </c>
      <c r="N177" s="118">
        <v>5</v>
      </c>
      <c r="R177" s="118">
        <v>36</v>
      </c>
      <c r="T177" s="120">
        <v>1</v>
      </c>
      <c r="W177" s="118" t="s">
        <v>1141</v>
      </c>
      <c r="X177" s="118">
        <v>0.25974000000000003</v>
      </c>
      <c r="AD177" s="121">
        <f t="shared" si="17"/>
        <v>0.4365378151260505</v>
      </c>
      <c r="AE177" s="124"/>
      <c r="AF177" s="121" t="s">
        <v>1425</v>
      </c>
      <c r="AG177" s="121" t="s">
        <v>215</v>
      </c>
      <c r="AI177" s="118" t="s">
        <v>219</v>
      </c>
      <c r="AJ177" s="118" t="s">
        <v>219</v>
      </c>
      <c r="AK177" s="118">
        <v>0</v>
      </c>
      <c r="AL177" s="118">
        <v>27</v>
      </c>
      <c r="AT177" s="143" t="s">
        <v>1069</v>
      </c>
      <c r="BK177" s="118" t="s">
        <v>1093</v>
      </c>
    </row>
    <row r="178" spans="1:63" s="118" customFormat="1">
      <c r="A178" s="118" t="s">
        <v>276</v>
      </c>
      <c r="B178" s="118" t="s">
        <v>698</v>
      </c>
      <c r="D178" s="118" t="s">
        <v>703</v>
      </c>
      <c r="E178" s="118" t="s">
        <v>623</v>
      </c>
      <c r="F178" s="118" t="s">
        <v>286</v>
      </c>
      <c r="G178" s="127" t="s">
        <v>625</v>
      </c>
      <c r="H178" s="118" t="s">
        <v>289</v>
      </c>
      <c r="J178" s="118" t="s">
        <v>214</v>
      </c>
      <c r="K178" s="118" t="s">
        <v>216</v>
      </c>
      <c r="L178" s="118" t="s">
        <v>79</v>
      </c>
      <c r="M178" s="118">
        <v>50</v>
      </c>
      <c r="N178" s="118">
        <v>5</v>
      </c>
      <c r="R178" s="118">
        <v>37</v>
      </c>
      <c r="T178" s="120">
        <v>1</v>
      </c>
      <c r="W178" s="118" t="s">
        <v>1141</v>
      </c>
      <c r="X178" s="118">
        <v>0.38961000000000001</v>
      </c>
      <c r="AD178" s="121">
        <f t="shared" si="17"/>
        <v>0.65480672268907558</v>
      </c>
      <c r="AE178" s="124"/>
      <c r="AF178" s="121" t="s">
        <v>1425</v>
      </c>
      <c r="AG178" s="121" t="s">
        <v>215</v>
      </c>
      <c r="AI178" s="118" t="s">
        <v>219</v>
      </c>
      <c r="AJ178" s="118" t="s">
        <v>219</v>
      </c>
      <c r="AK178" s="118">
        <v>0</v>
      </c>
      <c r="AL178" s="118">
        <v>27</v>
      </c>
      <c r="AN178" s="118">
        <v>0.66315800000000003</v>
      </c>
      <c r="AO178" s="118">
        <v>0.22613219849017521</v>
      </c>
      <c r="AP178" s="118" t="s">
        <v>570</v>
      </c>
      <c r="AR178" s="118">
        <f t="shared" si="14"/>
        <v>1.1052633333333334E-2</v>
      </c>
      <c r="AS178" s="118">
        <f t="shared" si="14"/>
        <v>3.7688699748362536E-3</v>
      </c>
      <c r="AT178" s="143" t="s">
        <v>1069</v>
      </c>
      <c r="BK178" s="118" t="s">
        <v>1093</v>
      </c>
    </row>
    <row r="179" spans="1:63" s="129" customFormat="1">
      <c r="A179" s="128" t="s">
        <v>307</v>
      </c>
      <c r="B179" s="128" t="s">
        <v>705</v>
      </c>
      <c r="C179" s="128"/>
      <c r="D179" s="128"/>
      <c r="E179" s="129" t="s">
        <v>623</v>
      </c>
      <c r="F179" s="129" t="s">
        <v>310</v>
      </c>
      <c r="G179" s="128" t="s">
        <v>564</v>
      </c>
      <c r="H179" s="130" t="s">
        <v>309</v>
      </c>
      <c r="J179" s="129" t="s">
        <v>214</v>
      </c>
      <c r="K179" s="129" t="s">
        <v>216</v>
      </c>
      <c r="L179" s="129" t="s">
        <v>79</v>
      </c>
      <c r="M179" s="129">
        <v>20</v>
      </c>
      <c r="N179" s="129">
        <v>5</v>
      </c>
      <c r="P179" s="131">
        <v>39965</v>
      </c>
      <c r="R179" s="129">
        <v>6</v>
      </c>
      <c r="AD179" s="121">
        <v>43</v>
      </c>
      <c r="AF179" s="129" t="s">
        <v>1145</v>
      </c>
      <c r="AG179" s="129" t="s">
        <v>216</v>
      </c>
      <c r="AH179" s="129">
        <v>364</v>
      </c>
      <c r="AI179" s="129" t="s">
        <v>219</v>
      </c>
      <c r="AJ179" s="129" t="s">
        <v>219</v>
      </c>
      <c r="AK179" s="129">
        <v>0</v>
      </c>
      <c r="AL179" s="129">
        <v>27</v>
      </c>
      <c r="AN179" s="129">
        <v>3.8699999999999997E-4</v>
      </c>
      <c r="AO179" s="129">
        <v>5.9000000000000004E-5</v>
      </c>
      <c r="AP179" s="129" t="s">
        <v>570</v>
      </c>
      <c r="AR179" s="129">
        <f>0.000387/60</f>
        <v>6.4499999999999992E-6</v>
      </c>
      <c r="AS179" s="129">
        <f>0.000059/60</f>
        <v>9.8333333333333338E-7</v>
      </c>
      <c r="AT179" s="146"/>
      <c r="BG179" s="129">
        <v>12</v>
      </c>
    </row>
    <row r="180" spans="1:63" s="48" customFormat="1">
      <c r="A180" s="57" t="s">
        <v>307</v>
      </c>
      <c r="B180" s="57" t="s">
        <v>705</v>
      </c>
      <c r="C180" s="57"/>
      <c r="D180" s="57"/>
      <c r="E180" s="48" t="s">
        <v>623</v>
      </c>
      <c r="F180" s="48" t="s">
        <v>310</v>
      </c>
      <c r="G180" s="57" t="s">
        <v>564</v>
      </c>
      <c r="H180" s="61" t="s">
        <v>309</v>
      </c>
      <c r="J180" s="48" t="s">
        <v>214</v>
      </c>
      <c r="K180" s="48" t="s">
        <v>216</v>
      </c>
      <c r="L180" s="48" t="s">
        <v>79</v>
      </c>
      <c r="M180" s="48">
        <v>20</v>
      </c>
      <c r="N180" s="48">
        <v>5</v>
      </c>
      <c r="P180" s="59">
        <v>39965</v>
      </c>
      <c r="R180" s="48">
        <v>9</v>
      </c>
      <c r="AD180" s="121">
        <v>43</v>
      </c>
      <c r="AF180" s="129" t="s">
        <v>1145</v>
      </c>
      <c r="AG180" s="129" t="s">
        <v>216</v>
      </c>
      <c r="AH180" s="48">
        <v>2556</v>
      </c>
      <c r="AI180" s="48" t="s">
        <v>240</v>
      </c>
      <c r="AJ180" s="48" t="s">
        <v>219</v>
      </c>
      <c r="AK180" s="48">
        <v>0</v>
      </c>
      <c r="AL180" s="48">
        <v>27</v>
      </c>
      <c r="AN180" s="48">
        <v>2.41E-4</v>
      </c>
      <c r="AO180" s="48">
        <v>4.1999999999999998E-5</v>
      </c>
      <c r="AP180" s="48" t="s">
        <v>570</v>
      </c>
      <c r="AR180" s="48">
        <f>0.000241/60</f>
        <v>4.0166666666666666E-6</v>
      </c>
      <c r="AS180" s="48">
        <f>0.000042/60</f>
        <v>6.9999999999999997E-7</v>
      </c>
      <c r="AT180" s="133"/>
      <c r="BE180" s="48" t="s">
        <v>311</v>
      </c>
      <c r="BG180" s="48">
        <v>12</v>
      </c>
      <c r="BH180" s="48">
        <v>68.399999999999906</v>
      </c>
      <c r="BI180" s="48">
        <v>3.1999999999999886</v>
      </c>
    </row>
    <row r="181" spans="1:63" s="48" customFormat="1">
      <c r="A181" s="57" t="s">
        <v>307</v>
      </c>
      <c r="B181" s="57" t="s">
        <v>705</v>
      </c>
      <c r="C181" s="57"/>
      <c r="D181" s="57"/>
      <c r="E181" s="48" t="s">
        <v>623</v>
      </c>
      <c r="F181" s="48" t="s">
        <v>310</v>
      </c>
      <c r="G181" s="57" t="s">
        <v>564</v>
      </c>
      <c r="H181" s="61" t="s">
        <v>309</v>
      </c>
      <c r="J181" s="48" t="s">
        <v>214</v>
      </c>
      <c r="K181" s="48" t="s">
        <v>216</v>
      </c>
      <c r="L181" s="48" t="s">
        <v>79</v>
      </c>
      <c r="M181" s="48">
        <v>20</v>
      </c>
      <c r="N181" s="48">
        <v>5</v>
      </c>
      <c r="P181" s="59">
        <v>39965</v>
      </c>
      <c r="R181" s="48">
        <v>9</v>
      </c>
      <c r="AD181" s="121">
        <v>43</v>
      </c>
      <c r="AF181" s="129" t="s">
        <v>1145</v>
      </c>
      <c r="AG181" s="129" t="s">
        <v>216</v>
      </c>
      <c r="AH181" s="48">
        <v>1428</v>
      </c>
      <c r="AI181" s="48" t="s">
        <v>218</v>
      </c>
      <c r="AJ181" s="48" t="s">
        <v>219</v>
      </c>
      <c r="AK181" s="48">
        <v>0</v>
      </c>
      <c r="AL181" s="48">
        <v>27</v>
      </c>
      <c r="AN181" s="48">
        <v>2.8600000000000001E-4</v>
      </c>
      <c r="AO181" s="48">
        <v>3.8999999999999999E-5</v>
      </c>
      <c r="AP181" s="48" t="s">
        <v>570</v>
      </c>
      <c r="AR181" s="48">
        <f>0.000286/60</f>
        <v>4.7666666666666671E-6</v>
      </c>
      <c r="AS181" s="48">
        <f>0.000039/60</f>
        <v>6.5000000000000002E-7</v>
      </c>
      <c r="AT181" s="133"/>
      <c r="BG181" s="48">
        <v>12</v>
      </c>
      <c r="BH181" s="48">
        <v>78.799999999999898</v>
      </c>
      <c r="BI181" s="48">
        <v>2.8000000000000966</v>
      </c>
    </row>
    <row r="182" spans="1:63" s="48" customFormat="1">
      <c r="A182" s="57" t="s">
        <v>307</v>
      </c>
      <c r="B182" s="57" t="s">
        <v>705</v>
      </c>
      <c r="C182" s="57"/>
      <c r="D182" s="57"/>
      <c r="E182" s="48" t="s">
        <v>623</v>
      </c>
      <c r="F182" s="48" t="s">
        <v>310</v>
      </c>
      <c r="G182" s="57" t="s">
        <v>564</v>
      </c>
      <c r="H182" s="61" t="s">
        <v>309</v>
      </c>
      <c r="J182" s="48" t="s">
        <v>214</v>
      </c>
      <c r="K182" s="48" t="s">
        <v>216</v>
      </c>
      <c r="L182" s="48" t="s">
        <v>79</v>
      </c>
      <c r="M182" s="48">
        <v>20</v>
      </c>
      <c r="N182" s="48">
        <v>5</v>
      </c>
      <c r="P182" s="59">
        <v>39965</v>
      </c>
      <c r="R182" s="48">
        <v>9</v>
      </c>
      <c r="AD182" s="121">
        <v>43</v>
      </c>
      <c r="AF182" s="129" t="s">
        <v>1145</v>
      </c>
      <c r="AG182" s="129" t="s">
        <v>216</v>
      </c>
      <c r="AH182" s="48">
        <v>364</v>
      </c>
      <c r="AI182" s="48" t="s">
        <v>219</v>
      </c>
      <c r="AJ182" s="48" t="s">
        <v>219</v>
      </c>
      <c r="AK182" s="48">
        <v>0</v>
      </c>
      <c r="AL182" s="48">
        <v>27</v>
      </c>
      <c r="AN182" s="48">
        <v>3.2899999999999997E-4</v>
      </c>
      <c r="AO182" s="48">
        <v>4.5000000000000003E-5</v>
      </c>
      <c r="AP182" s="48" t="s">
        <v>570</v>
      </c>
      <c r="AR182" s="48">
        <f>0.000329/60</f>
        <v>5.4833333333333331E-6</v>
      </c>
      <c r="AS182" s="48">
        <f>0.000045/60</f>
        <v>7.5000000000000002E-7</v>
      </c>
      <c r="AT182" s="133"/>
      <c r="BG182" s="48">
        <v>12</v>
      </c>
      <c r="BH182" s="48">
        <v>71.199999999999903</v>
      </c>
      <c r="BI182" s="48">
        <v>6</v>
      </c>
    </row>
    <row r="183" spans="1:63" s="48" customFormat="1">
      <c r="A183" s="57" t="s">
        <v>307</v>
      </c>
      <c r="B183" s="57" t="s">
        <v>705</v>
      </c>
      <c r="C183" s="57"/>
      <c r="D183" s="57"/>
      <c r="E183" s="48" t="s">
        <v>623</v>
      </c>
      <c r="F183" s="48" t="s">
        <v>310</v>
      </c>
      <c r="G183" s="57" t="s">
        <v>564</v>
      </c>
      <c r="H183" s="61" t="s">
        <v>309</v>
      </c>
      <c r="J183" s="48" t="s">
        <v>214</v>
      </c>
      <c r="K183" s="48" t="s">
        <v>216</v>
      </c>
      <c r="L183" s="48" t="s">
        <v>79</v>
      </c>
      <c r="M183" s="48">
        <v>20</v>
      </c>
      <c r="N183" s="48">
        <v>5</v>
      </c>
      <c r="P183" s="59">
        <v>39965</v>
      </c>
      <c r="R183" s="48">
        <v>13</v>
      </c>
      <c r="AD183" s="121">
        <v>43</v>
      </c>
      <c r="AF183" s="129" t="s">
        <v>1145</v>
      </c>
      <c r="AG183" s="129" t="s">
        <v>216</v>
      </c>
      <c r="AH183" s="48">
        <v>2556</v>
      </c>
      <c r="AI183" s="48" t="s">
        <v>240</v>
      </c>
      <c r="AJ183" s="48" t="s">
        <v>219</v>
      </c>
      <c r="AK183" s="48">
        <v>0</v>
      </c>
      <c r="AL183" s="48">
        <v>27</v>
      </c>
      <c r="AN183" s="48">
        <v>1.2200000000000001E-4</v>
      </c>
      <c r="AO183" s="48">
        <v>9.0000000000000002E-6</v>
      </c>
      <c r="AP183" s="48" t="s">
        <v>570</v>
      </c>
      <c r="AR183" s="48">
        <f>0.000122/60</f>
        <v>2.0333333333333335E-6</v>
      </c>
      <c r="AS183" s="48">
        <f>0.000009/60</f>
        <v>1.4999999999999999E-7</v>
      </c>
      <c r="AT183" s="133"/>
      <c r="BG183" s="48">
        <v>12</v>
      </c>
      <c r="BH183" s="48">
        <v>53.599999999999902</v>
      </c>
      <c r="BI183" s="48">
        <v>2.3999999999999986</v>
      </c>
    </row>
    <row r="184" spans="1:63" s="48" customFormat="1">
      <c r="A184" s="57" t="s">
        <v>307</v>
      </c>
      <c r="B184" s="57" t="s">
        <v>705</v>
      </c>
      <c r="C184" s="57"/>
      <c r="D184" s="57"/>
      <c r="E184" s="48" t="s">
        <v>623</v>
      </c>
      <c r="F184" s="48" t="s">
        <v>310</v>
      </c>
      <c r="G184" s="57" t="s">
        <v>564</v>
      </c>
      <c r="H184" s="61" t="s">
        <v>309</v>
      </c>
      <c r="J184" s="48" t="s">
        <v>214</v>
      </c>
      <c r="K184" s="48" t="s">
        <v>216</v>
      </c>
      <c r="L184" s="48" t="s">
        <v>79</v>
      </c>
      <c r="M184" s="48">
        <v>20</v>
      </c>
      <c r="N184" s="48">
        <v>5</v>
      </c>
      <c r="P184" s="59">
        <v>39965</v>
      </c>
      <c r="R184" s="48">
        <v>13</v>
      </c>
      <c r="AD184" s="121">
        <v>43</v>
      </c>
      <c r="AF184" s="129" t="s">
        <v>1145</v>
      </c>
      <c r="AG184" s="129" t="s">
        <v>216</v>
      </c>
      <c r="AH184" s="48">
        <v>1428</v>
      </c>
      <c r="AI184" s="48" t="s">
        <v>218</v>
      </c>
      <c r="AJ184" s="48" t="s">
        <v>219</v>
      </c>
      <c r="AK184" s="48">
        <v>0</v>
      </c>
      <c r="AL184" s="48">
        <v>27</v>
      </c>
      <c r="AN184" s="48">
        <v>2.02E-4</v>
      </c>
      <c r="AO184" s="48">
        <v>6.6000000000000005E-5</v>
      </c>
      <c r="AP184" s="48" t="s">
        <v>570</v>
      </c>
      <c r="AR184" s="48">
        <f>0.000202/60</f>
        <v>3.3666666666666669E-6</v>
      </c>
      <c r="AS184" s="48">
        <f>0.000066/60</f>
        <v>1.1000000000000001E-6</v>
      </c>
      <c r="AT184" s="133"/>
      <c r="BG184" s="48">
        <v>12</v>
      </c>
      <c r="BH184" s="48">
        <v>50.799999999999898</v>
      </c>
      <c r="BI184" s="48">
        <v>4.8000000000000043</v>
      </c>
    </row>
    <row r="185" spans="1:63" s="48" customFormat="1">
      <c r="A185" s="57" t="s">
        <v>307</v>
      </c>
      <c r="B185" s="57" t="s">
        <v>705</v>
      </c>
      <c r="C185" s="57"/>
      <c r="D185" s="57"/>
      <c r="E185" s="48" t="s">
        <v>623</v>
      </c>
      <c r="F185" s="48" t="s">
        <v>310</v>
      </c>
      <c r="G185" s="57" t="s">
        <v>564</v>
      </c>
      <c r="H185" s="61" t="s">
        <v>309</v>
      </c>
      <c r="J185" s="48" t="s">
        <v>214</v>
      </c>
      <c r="K185" s="48" t="s">
        <v>216</v>
      </c>
      <c r="L185" s="48" t="s">
        <v>79</v>
      </c>
      <c r="M185" s="48">
        <v>20</v>
      </c>
      <c r="N185" s="48">
        <v>5</v>
      </c>
      <c r="P185" s="59">
        <v>39965</v>
      </c>
      <c r="R185" s="48">
        <v>13</v>
      </c>
      <c r="AD185" s="121">
        <v>43</v>
      </c>
      <c r="AF185" s="129" t="s">
        <v>1145</v>
      </c>
      <c r="AG185" s="129" t="s">
        <v>216</v>
      </c>
      <c r="AH185" s="48">
        <v>364</v>
      </c>
      <c r="AI185" s="48" t="s">
        <v>219</v>
      </c>
      <c r="AJ185" s="48" t="s">
        <v>219</v>
      </c>
      <c r="AK185" s="48">
        <v>0</v>
      </c>
      <c r="AL185" s="48">
        <v>27</v>
      </c>
      <c r="AN185" s="48">
        <v>1.83E-4</v>
      </c>
      <c r="AO185" s="48">
        <v>5.1999999999999997E-5</v>
      </c>
      <c r="AP185" s="48" t="s">
        <v>570</v>
      </c>
      <c r="AR185" s="48">
        <f>0.000183/60</f>
        <v>3.05E-6</v>
      </c>
      <c r="AS185" s="48">
        <f>0.000052/60</f>
        <v>8.6666666666666659E-7</v>
      </c>
      <c r="AT185" s="133"/>
      <c r="BG185" s="48">
        <v>12</v>
      </c>
      <c r="BH185" s="48">
        <v>47.199999999999903</v>
      </c>
      <c r="BI185" s="48">
        <v>3.5999999999999943</v>
      </c>
    </row>
    <row r="186" spans="1:63" s="50" customFormat="1">
      <c r="A186" s="54" t="s">
        <v>321</v>
      </c>
      <c r="B186" s="54" t="s">
        <v>1071</v>
      </c>
      <c r="C186" s="54"/>
      <c r="D186" s="54" t="s">
        <v>1071</v>
      </c>
      <c r="E186" s="48" t="s">
        <v>623</v>
      </c>
      <c r="F186" s="54" t="s">
        <v>322</v>
      </c>
      <c r="G186" s="52" t="s">
        <v>565</v>
      </c>
      <c r="H186" s="64" t="s">
        <v>75</v>
      </c>
      <c r="J186" s="50" t="s">
        <v>213</v>
      </c>
      <c r="K186" s="50" t="s">
        <v>215</v>
      </c>
      <c r="L186" s="50" t="s">
        <v>79</v>
      </c>
      <c r="M186" s="50" t="s">
        <v>323</v>
      </c>
      <c r="N186" s="50">
        <v>7</v>
      </c>
      <c r="R186" s="50">
        <v>2.8</v>
      </c>
      <c r="S186" s="50" t="s">
        <v>323</v>
      </c>
      <c r="T186" s="50">
        <v>7</v>
      </c>
      <c r="W186" s="50" t="s">
        <v>1285</v>
      </c>
      <c r="AD186" s="121">
        <v>115</v>
      </c>
      <c r="AE186" s="50">
        <f>9/SQRT(7)</f>
        <v>3.4016802570830449</v>
      </c>
      <c r="AG186" s="50" t="s">
        <v>215</v>
      </c>
      <c r="AI186" s="50" t="s">
        <v>219</v>
      </c>
      <c r="AJ186" s="50" t="s">
        <v>219</v>
      </c>
      <c r="AK186" s="50">
        <v>0</v>
      </c>
      <c r="AL186" s="50">
        <v>28</v>
      </c>
      <c r="AN186" s="48">
        <v>6.1</v>
      </c>
      <c r="AO186" s="48">
        <v>0.34016802570830446</v>
      </c>
      <c r="AP186" s="48" t="s">
        <v>570</v>
      </c>
      <c r="AR186" s="50">
        <f>6.1/60</f>
        <v>0.10166666666666666</v>
      </c>
      <c r="AS186" s="50">
        <f>0.015/SQRT(7)</f>
        <v>5.6694670951384077E-3</v>
      </c>
      <c r="AT186" s="137"/>
      <c r="AY186" s="50">
        <f>6.8/60</f>
        <v>0.11333333333333333</v>
      </c>
      <c r="AZ186" s="50">
        <f>0.015/SQRT(7)</f>
        <v>5.6694670951384077E-3</v>
      </c>
      <c r="BA186" s="50">
        <v>11000</v>
      </c>
      <c r="BB186" s="50">
        <f>1300/SQRT(7)</f>
        <v>491.35381491199536</v>
      </c>
    </row>
    <row r="187" spans="1:63" s="50" customFormat="1">
      <c r="A187" s="54" t="s">
        <v>321</v>
      </c>
      <c r="B187" s="54" t="s">
        <v>1071</v>
      </c>
      <c r="C187" s="54"/>
      <c r="D187" s="54" t="s">
        <v>1071</v>
      </c>
      <c r="E187" s="48" t="s">
        <v>623</v>
      </c>
      <c r="F187" s="54" t="s">
        <v>322</v>
      </c>
      <c r="G187" s="52" t="s">
        <v>565</v>
      </c>
      <c r="H187" s="64" t="s">
        <v>75</v>
      </c>
      <c r="J187" s="50" t="s">
        <v>213</v>
      </c>
      <c r="K187" s="50" t="s">
        <v>215</v>
      </c>
      <c r="L187" s="50" t="s">
        <v>79</v>
      </c>
      <c r="M187" s="50" t="s">
        <v>323</v>
      </c>
      <c r="N187" s="50">
        <v>7</v>
      </c>
      <c r="R187" s="50">
        <v>22</v>
      </c>
      <c r="S187" s="50" t="s">
        <v>323</v>
      </c>
      <c r="T187" s="50">
        <v>7</v>
      </c>
      <c r="W187" s="50" t="s">
        <v>1285</v>
      </c>
      <c r="AD187" s="121">
        <v>86</v>
      </c>
      <c r="AE187" s="50">
        <f>7/SQRT(7)</f>
        <v>2.6457513110645903</v>
      </c>
      <c r="AG187" s="50" t="s">
        <v>215</v>
      </c>
      <c r="AI187" s="50" t="s">
        <v>219</v>
      </c>
      <c r="AJ187" s="50" t="s">
        <v>219</v>
      </c>
      <c r="AK187" s="50">
        <v>0</v>
      </c>
      <c r="AL187" s="50">
        <v>28</v>
      </c>
      <c r="AN187" s="48">
        <v>6.6</v>
      </c>
      <c r="AO187" s="48">
        <v>0.22677868380553634</v>
      </c>
      <c r="AP187" s="48" t="s">
        <v>570</v>
      </c>
      <c r="AR187" s="50">
        <f>6.6/60</f>
        <v>0.11</v>
      </c>
      <c r="AS187" s="50">
        <f>0.01/SQRT(7)</f>
        <v>3.7796447300922722E-3</v>
      </c>
      <c r="AT187" s="137"/>
      <c r="AY187" s="50">
        <f>4.8/60</f>
        <v>0.08</v>
      </c>
      <c r="AZ187" s="50">
        <f>0.0183/SQRT(7)</f>
        <v>6.916749856068858E-3</v>
      </c>
      <c r="BA187" s="50">
        <v>13000</v>
      </c>
      <c r="BB187" s="50">
        <f>1500/SQRT(7)</f>
        <v>566.9467095138408</v>
      </c>
    </row>
    <row r="188" spans="1:63" s="48" customFormat="1">
      <c r="A188" s="48" t="s">
        <v>273</v>
      </c>
      <c r="B188" s="48" t="s">
        <v>671</v>
      </c>
      <c r="E188" s="48" t="s">
        <v>623</v>
      </c>
      <c r="F188" s="48" t="s">
        <v>336</v>
      </c>
      <c r="G188" s="52" t="s">
        <v>565</v>
      </c>
      <c r="H188" s="61" t="s">
        <v>75</v>
      </c>
      <c r="J188" s="48" t="s">
        <v>213</v>
      </c>
      <c r="K188" s="48" t="s">
        <v>215</v>
      </c>
      <c r="L188" s="48" t="s">
        <v>79</v>
      </c>
      <c r="M188" s="48">
        <v>6</v>
      </c>
      <c r="N188" s="48">
        <v>2</v>
      </c>
      <c r="P188" s="48" t="s">
        <v>338</v>
      </c>
      <c r="R188" s="48">
        <v>2</v>
      </c>
      <c r="AD188" s="121">
        <v>125</v>
      </c>
      <c r="AF188" s="63" t="s">
        <v>1287</v>
      </c>
      <c r="AG188" s="48" t="s">
        <v>216</v>
      </c>
      <c r="AH188" s="48">
        <v>400</v>
      </c>
      <c r="AI188" s="48" t="s">
        <v>219</v>
      </c>
      <c r="AJ188" s="48" t="s">
        <v>219</v>
      </c>
      <c r="AK188" s="48">
        <v>0</v>
      </c>
      <c r="AL188" s="48">
        <v>25</v>
      </c>
      <c r="AM188" s="48">
        <f>60*24</f>
        <v>1440</v>
      </c>
      <c r="AN188" s="48" t="s">
        <v>529</v>
      </c>
      <c r="AR188" s="48">
        <v>8.7499999999999994E-2</v>
      </c>
      <c r="AS188" s="48">
        <v>2.2916666666666002E-2</v>
      </c>
      <c r="AT188" s="133"/>
      <c r="BC188" s="48">
        <v>0.61304935064934996</v>
      </c>
      <c r="BD188" s="48">
        <v>1.4545454545455083E-2</v>
      </c>
      <c r="BH188" s="48">
        <v>0.19500000000000001</v>
      </c>
      <c r="BI188" s="48">
        <v>0.14999999999999997</v>
      </c>
    </row>
    <row r="189" spans="1:63" s="48" customFormat="1">
      <c r="A189" s="48" t="s">
        <v>273</v>
      </c>
      <c r="B189" s="48" t="s">
        <v>671</v>
      </c>
      <c r="E189" s="48" t="s">
        <v>623</v>
      </c>
      <c r="F189" s="48" t="s">
        <v>336</v>
      </c>
      <c r="G189" s="52" t="s">
        <v>565</v>
      </c>
      <c r="H189" s="61" t="s">
        <v>75</v>
      </c>
      <c r="J189" s="48" t="s">
        <v>213</v>
      </c>
      <c r="K189" s="48" t="s">
        <v>215</v>
      </c>
      <c r="L189" s="48" t="s">
        <v>79</v>
      </c>
      <c r="M189" s="48">
        <v>6</v>
      </c>
      <c r="N189" s="48">
        <v>2</v>
      </c>
      <c r="P189" s="48" t="s">
        <v>338</v>
      </c>
      <c r="R189" s="48">
        <v>2</v>
      </c>
      <c r="AD189" s="121">
        <v>125</v>
      </c>
      <c r="AF189" s="63" t="s">
        <v>1287</v>
      </c>
      <c r="AG189" s="48" t="s">
        <v>216</v>
      </c>
      <c r="AH189" s="48">
        <v>400</v>
      </c>
      <c r="AI189" s="48" t="s">
        <v>219</v>
      </c>
      <c r="AJ189" s="48" t="s">
        <v>218</v>
      </c>
      <c r="AK189" s="48">
        <v>4</v>
      </c>
      <c r="AL189" s="48">
        <v>29</v>
      </c>
      <c r="AM189" s="48">
        <f t="shared" ref="AM189:AM219" si="19">60*24</f>
        <v>1440</v>
      </c>
      <c r="AN189" s="48" t="s">
        <v>529</v>
      </c>
      <c r="AR189" s="48">
        <v>0.12291666666666599</v>
      </c>
      <c r="AS189" s="48">
        <v>1.4583333333333018E-2</v>
      </c>
      <c r="AT189" s="133"/>
      <c r="BC189" s="48">
        <v>0.59700779220779199</v>
      </c>
      <c r="BD189" s="48">
        <v>2.7636363636364014E-2</v>
      </c>
      <c r="BH189" s="48">
        <v>0.330125</v>
      </c>
      <c r="BI189" s="48">
        <v>0.15987499999999999</v>
      </c>
    </row>
    <row r="190" spans="1:63" s="48" customFormat="1">
      <c r="A190" s="48" t="s">
        <v>273</v>
      </c>
      <c r="B190" s="48" t="s">
        <v>671</v>
      </c>
      <c r="E190" s="48" t="s">
        <v>623</v>
      </c>
      <c r="F190" s="48" t="s">
        <v>336</v>
      </c>
      <c r="G190" s="52" t="s">
        <v>565</v>
      </c>
      <c r="H190" s="61" t="s">
        <v>75</v>
      </c>
      <c r="J190" s="48" t="s">
        <v>213</v>
      </c>
      <c r="K190" s="48" t="s">
        <v>215</v>
      </c>
      <c r="L190" s="48" t="s">
        <v>79</v>
      </c>
      <c r="M190" s="48">
        <v>6</v>
      </c>
      <c r="N190" s="48">
        <v>2</v>
      </c>
      <c r="P190" s="48" t="s">
        <v>338</v>
      </c>
      <c r="R190" s="48">
        <v>2</v>
      </c>
      <c r="AD190" s="121">
        <v>125</v>
      </c>
      <c r="AF190" s="63" t="s">
        <v>1287</v>
      </c>
      <c r="AG190" s="48" t="s">
        <v>216</v>
      </c>
      <c r="AH190" s="48">
        <v>750</v>
      </c>
      <c r="AI190" s="48" t="s">
        <v>218</v>
      </c>
      <c r="AJ190" s="48" t="s">
        <v>219</v>
      </c>
      <c r="AK190" s="48">
        <v>0</v>
      </c>
      <c r="AL190" s="48">
        <v>25</v>
      </c>
      <c r="AM190" s="48">
        <f t="shared" si="19"/>
        <v>1440</v>
      </c>
      <c r="AN190" s="48" t="s">
        <v>529</v>
      </c>
      <c r="AR190" s="48">
        <v>0.102083333333333</v>
      </c>
      <c r="AS190" s="48">
        <v>8.3333333333329984E-3</v>
      </c>
      <c r="AT190" s="133"/>
      <c r="BC190" s="48">
        <v>0.58532987012987003</v>
      </c>
      <c r="BD190" s="48">
        <v>8.7272727272719175E-3</v>
      </c>
      <c r="BH190" s="48">
        <v>6.0374999999999998E-2</v>
      </c>
      <c r="BI190" s="48">
        <v>6.4999999999999988E-2</v>
      </c>
    </row>
    <row r="191" spans="1:63" s="48" customFormat="1">
      <c r="A191" s="48" t="s">
        <v>273</v>
      </c>
      <c r="B191" s="48" t="s">
        <v>671</v>
      </c>
      <c r="E191" s="48" t="s">
        <v>623</v>
      </c>
      <c r="F191" s="48" t="s">
        <v>336</v>
      </c>
      <c r="G191" s="52" t="s">
        <v>565</v>
      </c>
      <c r="H191" s="61" t="s">
        <v>75</v>
      </c>
      <c r="J191" s="48" t="s">
        <v>213</v>
      </c>
      <c r="K191" s="48" t="s">
        <v>215</v>
      </c>
      <c r="L191" s="48" t="s">
        <v>79</v>
      </c>
      <c r="M191" s="48">
        <v>6</v>
      </c>
      <c r="N191" s="48">
        <v>2</v>
      </c>
      <c r="P191" s="48" t="s">
        <v>338</v>
      </c>
      <c r="R191" s="48">
        <v>2</v>
      </c>
      <c r="AD191" s="121">
        <v>125</v>
      </c>
      <c r="AF191" s="63" t="s">
        <v>1287</v>
      </c>
      <c r="AG191" s="48" t="s">
        <v>216</v>
      </c>
      <c r="AH191" s="48">
        <v>750</v>
      </c>
      <c r="AI191" s="48" t="s">
        <v>218</v>
      </c>
      <c r="AJ191" s="48" t="s">
        <v>218</v>
      </c>
      <c r="AK191" s="48">
        <v>4</v>
      </c>
      <c r="AL191" s="48">
        <v>29</v>
      </c>
      <c r="AM191" s="48">
        <f t="shared" si="19"/>
        <v>1440</v>
      </c>
      <c r="AN191" s="48" t="s">
        <v>529</v>
      </c>
      <c r="AR191" s="48">
        <v>9.7916666666666596E-2</v>
      </c>
      <c r="AS191" s="48">
        <v>1.4583333333332407E-2</v>
      </c>
      <c r="AT191" s="133"/>
      <c r="BC191" s="48">
        <v>0.62011428571428495</v>
      </c>
      <c r="BD191" s="48">
        <v>1.6000000000000014E-2</v>
      </c>
      <c r="BH191" s="48">
        <v>0.15062500000000001</v>
      </c>
      <c r="BI191" s="48">
        <v>1.4874999999999999E-2</v>
      </c>
    </row>
    <row r="192" spans="1:63" s="48" customFormat="1">
      <c r="A192" s="48" t="s">
        <v>273</v>
      </c>
      <c r="B192" s="48" t="s">
        <v>671</v>
      </c>
      <c r="E192" s="48" t="s">
        <v>623</v>
      </c>
      <c r="F192" s="48" t="s">
        <v>336</v>
      </c>
      <c r="G192" s="52" t="s">
        <v>565</v>
      </c>
      <c r="H192" s="61" t="s">
        <v>75</v>
      </c>
      <c r="J192" s="48" t="s">
        <v>213</v>
      </c>
      <c r="K192" s="48" t="s">
        <v>215</v>
      </c>
      <c r="L192" s="48" t="s">
        <v>79</v>
      </c>
      <c r="M192" s="48">
        <v>6</v>
      </c>
      <c r="N192" s="48">
        <v>2</v>
      </c>
      <c r="P192" s="48" t="s">
        <v>339</v>
      </c>
      <c r="R192" s="48">
        <v>2</v>
      </c>
      <c r="AD192" s="121">
        <v>125</v>
      </c>
      <c r="AF192" s="63" t="s">
        <v>1287</v>
      </c>
      <c r="AG192" s="48" t="s">
        <v>216</v>
      </c>
      <c r="AH192" s="48">
        <v>400</v>
      </c>
      <c r="AI192" s="48" t="s">
        <v>219</v>
      </c>
      <c r="AJ192" s="48" t="s">
        <v>219</v>
      </c>
      <c r="AK192" s="48">
        <v>0</v>
      </c>
      <c r="AL192" s="48">
        <v>25</v>
      </c>
      <c r="AM192" s="48">
        <f t="shared" si="19"/>
        <v>1440</v>
      </c>
      <c r="AN192" s="48" t="s">
        <v>529</v>
      </c>
      <c r="AR192" s="48">
        <v>0.12708333333333299</v>
      </c>
      <c r="AS192" s="48">
        <v>6.2500000000000056E-3</v>
      </c>
      <c r="AT192" s="133"/>
      <c r="BC192" s="48">
        <v>0.63320754716981098</v>
      </c>
      <c r="BD192" s="48">
        <v>4.0754716981131978E-2</v>
      </c>
      <c r="BH192" s="48">
        <v>0.14054054054053999</v>
      </c>
      <c r="BI192" s="48">
        <v>7.0270270270269997E-2</v>
      </c>
    </row>
    <row r="193" spans="1:61" s="48" customFormat="1">
      <c r="A193" s="48" t="s">
        <v>273</v>
      </c>
      <c r="B193" s="48" t="s">
        <v>671</v>
      </c>
      <c r="E193" s="48" t="s">
        <v>623</v>
      </c>
      <c r="F193" s="48" t="s">
        <v>336</v>
      </c>
      <c r="G193" s="52" t="s">
        <v>565</v>
      </c>
      <c r="H193" s="61" t="s">
        <v>75</v>
      </c>
      <c r="J193" s="48" t="s">
        <v>213</v>
      </c>
      <c r="K193" s="48" t="s">
        <v>215</v>
      </c>
      <c r="L193" s="48" t="s">
        <v>79</v>
      </c>
      <c r="M193" s="48">
        <v>6</v>
      </c>
      <c r="N193" s="48">
        <v>2</v>
      </c>
      <c r="P193" s="48" t="s">
        <v>339</v>
      </c>
      <c r="R193" s="48">
        <v>2</v>
      </c>
      <c r="AD193" s="121">
        <v>125</v>
      </c>
      <c r="AF193" s="63" t="s">
        <v>1287</v>
      </c>
      <c r="AG193" s="48" t="s">
        <v>216</v>
      </c>
      <c r="AH193" s="48">
        <v>400</v>
      </c>
      <c r="AI193" s="48" t="s">
        <v>219</v>
      </c>
      <c r="AJ193" s="48" t="s">
        <v>218</v>
      </c>
      <c r="AK193" s="48">
        <v>4</v>
      </c>
      <c r="AL193" s="48">
        <v>29</v>
      </c>
      <c r="AM193" s="48">
        <f t="shared" si="19"/>
        <v>1440</v>
      </c>
      <c r="AN193" s="48" t="s">
        <v>529</v>
      </c>
      <c r="AR193" s="48">
        <v>0.25624999999999898</v>
      </c>
      <c r="AS193" s="48">
        <v>6.2500000000000333E-3</v>
      </c>
      <c r="AT193" s="133"/>
      <c r="BC193" s="48">
        <v>0.67999999999999905</v>
      </c>
      <c r="BD193" s="48">
        <v>2.8679245283018906E-2</v>
      </c>
      <c r="BH193" s="48">
        <v>0.23214793741109499</v>
      </c>
      <c r="BI193" s="48">
        <v>0.17297297297297301</v>
      </c>
    </row>
    <row r="194" spans="1:61" s="48" customFormat="1">
      <c r="A194" s="48" t="s">
        <v>273</v>
      </c>
      <c r="B194" s="48" t="s">
        <v>671</v>
      </c>
      <c r="E194" s="48" t="s">
        <v>623</v>
      </c>
      <c r="F194" s="48" t="s">
        <v>336</v>
      </c>
      <c r="G194" s="52" t="s">
        <v>565</v>
      </c>
      <c r="H194" s="61" t="s">
        <v>75</v>
      </c>
      <c r="J194" s="48" t="s">
        <v>213</v>
      </c>
      <c r="K194" s="48" t="s">
        <v>215</v>
      </c>
      <c r="L194" s="48" t="s">
        <v>79</v>
      </c>
      <c r="M194" s="48">
        <v>6</v>
      </c>
      <c r="N194" s="48">
        <v>2</v>
      </c>
      <c r="P194" s="48" t="s">
        <v>339</v>
      </c>
      <c r="R194" s="48">
        <v>2</v>
      </c>
      <c r="AD194" s="121">
        <v>125</v>
      </c>
      <c r="AF194" s="63" t="s">
        <v>1287</v>
      </c>
      <c r="AG194" s="48" t="s">
        <v>216</v>
      </c>
      <c r="AH194" s="48">
        <v>750</v>
      </c>
      <c r="AI194" s="48" t="s">
        <v>218</v>
      </c>
      <c r="AJ194" s="48" t="s">
        <v>219</v>
      </c>
      <c r="AK194" s="48">
        <v>0</v>
      </c>
      <c r="AL194" s="48">
        <v>25</v>
      </c>
      <c r="AM194" s="48">
        <f t="shared" si="19"/>
        <v>1440</v>
      </c>
      <c r="AN194" s="48" t="s">
        <v>529</v>
      </c>
      <c r="AR194" s="48">
        <v>0.181249999999999</v>
      </c>
      <c r="AS194" s="48">
        <v>1.4583333333334003E-2</v>
      </c>
      <c r="AT194" s="133"/>
      <c r="BC194" s="48">
        <v>0.63924528301886796</v>
      </c>
      <c r="BD194" s="48">
        <v>4.5283018867919855E-3</v>
      </c>
      <c r="BH194" s="48">
        <v>3.3001422475106602E-2</v>
      </c>
      <c r="BI194" s="48">
        <v>2.1621621621621595E-2</v>
      </c>
    </row>
    <row r="195" spans="1:61" s="48" customFormat="1">
      <c r="A195" s="48" t="s">
        <v>273</v>
      </c>
      <c r="B195" s="48" t="s">
        <v>671</v>
      </c>
      <c r="E195" s="48" t="s">
        <v>623</v>
      </c>
      <c r="F195" s="48" t="s">
        <v>336</v>
      </c>
      <c r="G195" s="52" t="s">
        <v>565</v>
      </c>
      <c r="H195" s="61" t="s">
        <v>75</v>
      </c>
      <c r="J195" s="48" t="s">
        <v>213</v>
      </c>
      <c r="K195" s="48" t="s">
        <v>215</v>
      </c>
      <c r="L195" s="48" t="s">
        <v>79</v>
      </c>
      <c r="M195" s="48">
        <v>6</v>
      </c>
      <c r="N195" s="48">
        <v>2</v>
      </c>
      <c r="P195" s="48" t="s">
        <v>339</v>
      </c>
      <c r="R195" s="48">
        <v>2</v>
      </c>
      <c r="AD195" s="121">
        <v>125</v>
      </c>
      <c r="AF195" s="63" t="s">
        <v>1287</v>
      </c>
      <c r="AG195" s="48" t="s">
        <v>216</v>
      </c>
      <c r="AH195" s="48">
        <v>750</v>
      </c>
      <c r="AI195" s="48" t="s">
        <v>218</v>
      </c>
      <c r="AJ195" s="48" t="s">
        <v>218</v>
      </c>
      <c r="AK195" s="48">
        <v>4</v>
      </c>
      <c r="AL195" s="48">
        <v>29</v>
      </c>
      <c r="AM195" s="48">
        <f t="shared" si="19"/>
        <v>1440</v>
      </c>
      <c r="AN195" s="48" t="s">
        <v>529</v>
      </c>
      <c r="AR195" s="48">
        <v>0.235416666666666</v>
      </c>
      <c r="AS195" s="48">
        <v>2.9166666666667007E-2</v>
      </c>
      <c r="AT195" s="133"/>
      <c r="BC195" s="48">
        <v>0.65433962264150902</v>
      </c>
      <c r="BD195" s="48">
        <v>4.5283018867919855E-3</v>
      </c>
      <c r="BH195" s="48">
        <v>3.8406827880511897E-2</v>
      </c>
      <c r="BI195" s="48">
        <v>2.1621621621621602E-2</v>
      </c>
    </row>
    <row r="196" spans="1:61" s="48" customFormat="1">
      <c r="A196" s="48" t="s">
        <v>273</v>
      </c>
      <c r="B196" s="48" t="s">
        <v>671</v>
      </c>
      <c r="E196" s="48" t="s">
        <v>623</v>
      </c>
      <c r="F196" s="48" t="s">
        <v>336</v>
      </c>
      <c r="G196" s="52" t="s">
        <v>565</v>
      </c>
      <c r="H196" s="61" t="s">
        <v>75</v>
      </c>
      <c r="J196" s="48" t="s">
        <v>213</v>
      </c>
      <c r="K196" s="48" t="s">
        <v>215</v>
      </c>
      <c r="L196" s="48" t="s">
        <v>79</v>
      </c>
      <c r="M196" s="48">
        <v>6</v>
      </c>
      <c r="N196" s="48">
        <v>2</v>
      </c>
      <c r="P196" s="48" t="s">
        <v>340</v>
      </c>
      <c r="R196" s="48">
        <v>2</v>
      </c>
      <c r="AD196" s="121">
        <v>125</v>
      </c>
      <c r="AF196" s="63" t="s">
        <v>1287</v>
      </c>
      <c r="AG196" s="48" t="s">
        <v>216</v>
      </c>
      <c r="AH196" s="48">
        <v>400</v>
      </c>
      <c r="AI196" s="48" t="s">
        <v>219</v>
      </c>
      <c r="AJ196" s="48" t="s">
        <v>219</v>
      </c>
      <c r="AK196" s="48">
        <v>0</v>
      </c>
      <c r="AL196" s="48">
        <v>25</v>
      </c>
      <c r="AM196" s="48">
        <f t="shared" si="19"/>
        <v>1440</v>
      </c>
      <c r="AN196" s="48" t="s">
        <v>529</v>
      </c>
      <c r="AR196" s="48">
        <v>0.14374999999999899</v>
      </c>
      <c r="AS196" s="48">
        <v>2.0833333333334009E-2</v>
      </c>
      <c r="AT196" s="133"/>
      <c r="BC196" s="48">
        <v>0.59999999999999898</v>
      </c>
      <c r="BD196" s="48">
        <v>2.5185185185185976E-2</v>
      </c>
      <c r="BH196" s="48">
        <v>1.60739687055475E-2</v>
      </c>
      <c r="BI196" s="48">
        <v>1.6216216216216297E-2</v>
      </c>
    </row>
    <row r="197" spans="1:61" s="48" customFormat="1">
      <c r="A197" s="48" t="s">
        <v>273</v>
      </c>
      <c r="B197" s="48" t="s">
        <v>671</v>
      </c>
      <c r="E197" s="48" t="s">
        <v>623</v>
      </c>
      <c r="F197" s="48" t="s">
        <v>336</v>
      </c>
      <c r="G197" s="52" t="s">
        <v>565</v>
      </c>
      <c r="H197" s="61" t="s">
        <v>75</v>
      </c>
      <c r="J197" s="48" t="s">
        <v>213</v>
      </c>
      <c r="K197" s="48" t="s">
        <v>215</v>
      </c>
      <c r="L197" s="48" t="s">
        <v>79</v>
      </c>
      <c r="M197" s="48">
        <v>6</v>
      </c>
      <c r="N197" s="48">
        <v>2</v>
      </c>
      <c r="P197" s="48" t="s">
        <v>340</v>
      </c>
      <c r="R197" s="48">
        <v>2</v>
      </c>
      <c r="AD197" s="121">
        <v>125</v>
      </c>
      <c r="AF197" s="63" t="s">
        <v>1287</v>
      </c>
      <c r="AG197" s="48" t="s">
        <v>216</v>
      </c>
      <c r="AH197" s="48">
        <v>400</v>
      </c>
      <c r="AI197" s="48" t="s">
        <v>219</v>
      </c>
      <c r="AJ197" s="48" t="s">
        <v>218</v>
      </c>
      <c r="AK197" s="48">
        <v>4</v>
      </c>
      <c r="AL197" s="48">
        <v>29</v>
      </c>
      <c r="AM197" s="48">
        <f t="shared" si="19"/>
        <v>1440</v>
      </c>
      <c r="AN197" s="48" t="s">
        <v>529</v>
      </c>
      <c r="AR197" s="48">
        <v>0.156249999999999</v>
      </c>
      <c r="AS197" s="48">
        <v>2.4999999999999994E-2</v>
      </c>
      <c r="AT197" s="133"/>
      <c r="BC197" s="48">
        <v>0.67851851851851797</v>
      </c>
      <c r="BD197" s="48">
        <v>2.9629629629630561E-3</v>
      </c>
      <c r="BH197" s="48">
        <v>3.7553342816500503E-2</v>
      </c>
      <c r="BI197" s="48">
        <v>3.2432432432432594E-2</v>
      </c>
    </row>
    <row r="198" spans="1:61" s="48" customFormat="1">
      <c r="A198" s="48" t="s">
        <v>273</v>
      </c>
      <c r="B198" s="48" t="s">
        <v>671</v>
      </c>
      <c r="E198" s="48" t="s">
        <v>623</v>
      </c>
      <c r="F198" s="48" t="s">
        <v>336</v>
      </c>
      <c r="G198" s="52" t="s">
        <v>565</v>
      </c>
      <c r="H198" s="61" t="s">
        <v>75</v>
      </c>
      <c r="J198" s="48" t="s">
        <v>213</v>
      </c>
      <c r="K198" s="48" t="s">
        <v>215</v>
      </c>
      <c r="L198" s="48" t="s">
        <v>79</v>
      </c>
      <c r="M198" s="48">
        <v>6</v>
      </c>
      <c r="N198" s="48">
        <v>2</v>
      </c>
      <c r="P198" s="48" t="s">
        <v>340</v>
      </c>
      <c r="R198" s="48">
        <v>2</v>
      </c>
      <c r="AD198" s="121">
        <v>125</v>
      </c>
      <c r="AF198" s="63" t="s">
        <v>1287</v>
      </c>
      <c r="AG198" s="48" t="s">
        <v>216</v>
      </c>
      <c r="AH198" s="48">
        <v>750</v>
      </c>
      <c r="AI198" s="48" t="s">
        <v>218</v>
      </c>
      <c r="AJ198" s="48" t="s">
        <v>219</v>
      </c>
      <c r="AK198" s="48">
        <v>0</v>
      </c>
      <c r="AL198" s="48">
        <v>25</v>
      </c>
      <c r="AM198" s="48">
        <f t="shared" si="19"/>
        <v>1440</v>
      </c>
      <c r="AN198" s="48" t="s">
        <v>529</v>
      </c>
      <c r="AR198" s="48">
        <v>0.14583333333333301</v>
      </c>
      <c r="AS198" s="48">
        <v>1.2499999999999983E-2</v>
      </c>
      <c r="AT198" s="133"/>
      <c r="BC198" s="48">
        <v>0.65037037037037004</v>
      </c>
      <c r="BD198" s="48">
        <v>2.5185185185184977E-2</v>
      </c>
      <c r="BH198" s="48">
        <v>7.5817923186344102E-2</v>
      </c>
      <c r="BI198" s="48">
        <v>4.8648648648647902E-2</v>
      </c>
    </row>
    <row r="199" spans="1:61" s="48" customFormat="1">
      <c r="A199" s="48" t="s">
        <v>273</v>
      </c>
      <c r="B199" s="48" t="s">
        <v>671</v>
      </c>
      <c r="E199" s="48" t="s">
        <v>623</v>
      </c>
      <c r="F199" s="48" t="s">
        <v>336</v>
      </c>
      <c r="G199" s="52" t="s">
        <v>565</v>
      </c>
      <c r="H199" s="61" t="s">
        <v>75</v>
      </c>
      <c r="J199" s="48" t="s">
        <v>213</v>
      </c>
      <c r="K199" s="48" t="s">
        <v>215</v>
      </c>
      <c r="L199" s="48" t="s">
        <v>79</v>
      </c>
      <c r="M199" s="48">
        <v>6</v>
      </c>
      <c r="N199" s="48">
        <v>2</v>
      </c>
      <c r="P199" s="48" t="s">
        <v>340</v>
      </c>
      <c r="R199" s="48">
        <v>2</v>
      </c>
      <c r="AD199" s="121">
        <v>125</v>
      </c>
      <c r="AF199" s="63" t="s">
        <v>1287</v>
      </c>
      <c r="AG199" s="48" t="s">
        <v>216</v>
      </c>
      <c r="AH199" s="48">
        <v>750</v>
      </c>
      <c r="AI199" s="48" t="s">
        <v>218</v>
      </c>
      <c r="AJ199" s="48" t="s">
        <v>218</v>
      </c>
      <c r="AK199" s="48">
        <v>4</v>
      </c>
      <c r="AL199" s="48">
        <v>29</v>
      </c>
      <c r="AM199" s="48">
        <f t="shared" si="19"/>
        <v>1440</v>
      </c>
      <c r="AN199" s="48" t="s">
        <v>529</v>
      </c>
      <c r="AR199" s="48">
        <v>0.16666666666666599</v>
      </c>
      <c r="AS199" s="48">
        <v>1.2500000000000011E-2</v>
      </c>
      <c r="AT199" s="133"/>
      <c r="BC199" s="48">
        <v>0.62074074074074004</v>
      </c>
      <c r="BD199" s="48">
        <v>1.1851851851852002E-2</v>
      </c>
      <c r="BH199" s="48">
        <v>0.30284495021337099</v>
      </c>
      <c r="BI199" s="48">
        <v>2.1621621621621012E-2</v>
      </c>
    </row>
    <row r="200" spans="1:61" s="48" customFormat="1">
      <c r="A200" s="48" t="s">
        <v>273</v>
      </c>
      <c r="B200" s="48" t="s">
        <v>671</v>
      </c>
      <c r="E200" s="48" t="s">
        <v>623</v>
      </c>
      <c r="F200" s="48" t="s">
        <v>336</v>
      </c>
      <c r="G200" s="52" t="s">
        <v>565</v>
      </c>
      <c r="H200" s="61" t="s">
        <v>75</v>
      </c>
      <c r="J200" s="48" t="s">
        <v>213</v>
      </c>
      <c r="K200" s="48" t="s">
        <v>215</v>
      </c>
      <c r="L200" s="48" t="s">
        <v>79</v>
      </c>
      <c r="M200" s="48">
        <v>6</v>
      </c>
      <c r="N200" s="48">
        <v>2</v>
      </c>
      <c r="P200" s="48" t="s">
        <v>341</v>
      </c>
      <c r="R200" s="48">
        <v>2</v>
      </c>
      <c r="AD200" s="121">
        <v>125</v>
      </c>
      <c r="AF200" s="63" t="s">
        <v>1287</v>
      </c>
      <c r="AG200" s="48" t="s">
        <v>216</v>
      </c>
      <c r="AH200" s="48">
        <v>400</v>
      </c>
      <c r="AI200" s="48" t="s">
        <v>219</v>
      </c>
      <c r="AJ200" s="48" t="s">
        <v>219</v>
      </c>
      <c r="AK200" s="48">
        <v>0</v>
      </c>
      <c r="AL200" s="48">
        <v>25</v>
      </c>
      <c r="AM200" s="48">
        <f t="shared" si="19"/>
        <v>1440</v>
      </c>
      <c r="AN200" s="48" t="s">
        <v>529</v>
      </c>
      <c r="AR200" s="48">
        <v>0.12291666666666599</v>
      </c>
      <c r="AS200" s="48">
        <v>8.3333333333330123E-3</v>
      </c>
      <c r="AT200" s="133"/>
      <c r="BC200" s="48">
        <v>0.65037037037037004</v>
      </c>
      <c r="BD200" s="48">
        <v>2.962962962962945E-3</v>
      </c>
      <c r="BH200" s="48">
        <v>0.173115220483641</v>
      </c>
      <c r="BI200" s="48">
        <v>2.1621621621622011E-2</v>
      </c>
    </row>
    <row r="201" spans="1:61" s="48" customFormat="1">
      <c r="A201" s="48" t="s">
        <v>273</v>
      </c>
      <c r="B201" s="48" t="s">
        <v>671</v>
      </c>
      <c r="E201" s="48" t="s">
        <v>623</v>
      </c>
      <c r="F201" s="48" t="s">
        <v>336</v>
      </c>
      <c r="G201" s="52" t="s">
        <v>565</v>
      </c>
      <c r="H201" s="61" t="s">
        <v>75</v>
      </c>
      <c r="J201" s="48" t="s">
        <v>213</v>
      </c>
      <c r="K201" s="48" t="s">
        <v>215</v>
      </c>
      <c r="L201" s="48" t="s">
        <v>79</v>
      </c>
      <c r="M201" s="48">
        <v>6</v>
      </c>
      <c r="N201" s="48">
        <v>2</v>
      </c>
      <c r="P201" s="48" t="s">
        <v>341</v>
      </c>
      <c r="R201" s="48">
        <v>2</v>
      </c>
      <c r="AD201" s="121">
        <v>125</v>
      </c>
      <c r="AF201" s="63" t="s">
        <v>1287</v>
      </c>
      <c r="AG201" s="48" t="s">
        <v>216</v>
      </c>
      <c r="AH201" s="48">
        <v>400</v>
      </c>
      <c r="AI201" s="48" t="s">
        <v>219</v>
      </c>
      <c r="AJ201" s="48" t="s">
        <v>218</v>
      </c>
      <c r="AK201" s="48">
        <v>4</v>
      </c>
      <c r="AL201" s="48">
        <v>29</v>
      </c>
      <c r="AM201" s="48">
        <f t="shared" si="19"/>
        <v>1440</v>
      </c>
      <c r="AN201" s="48" t="s">
        <v>529</v>
      </c>
      <c r="AR201" s="48">
        <v>0.120833333333333</v>
      </c>
      <c r="AS201" s="48">
        <v>1.6666666666666011E-2</v>
      </c>
      <c r="AT201" s="133"/>
      <c r="BC201" s="48">
        <v>0.67259259259259196</v>
      </c>
      <c r="BD201" s="48">
        <v>5.9259259259260011E-3</v>
      </c>
      <c r="BH201" s="48">
        <v>0.19473684210526301</v>
      </c>
      <c r="BI201" s="48">
        <v>1.6216216216215995E-2</v>
      </c>
    </row>
    <row r="202" spans="1:61" s="48" customFormat="1">
      <c r="A202" s="48" t="s">
        <v>273</v>
      </c>
      <c r="B202" s="48" t="s">
        <v>671</v>
      </c>
      <c r="E202" s="48" t="s">
        <v>623</v>
      </c>
      <c r="F202" s="48" t="s">
        <v>336</v>
      </c>
      <c r="G202" s="52" t="s">
        <v>565</v>
      </c>
      <c r="H202" s="61" t="s">
        <v>75</v>
      </c>
      <c r="J202" s="48" t="s">
        <v>213</v>
      </c>
      <c r="K202" s="48" t="s">
        <v>215</v>
      </c>
      <c r="L202" s="48" t="s">
        <v>79</v>
      </c>
      <c r="M202" s="48">
        <v>6</v>
      </c>
      <c r="N202" s="48">
        <v>2</v>
      </c>
      <c r="P202" s="48" t="s">
        <v>341</v>
      </c>
      <c r="R202" s="48">
        <v>2</v>
      </c>
      <c r="AD202" s="121">
        <v>125</v>
      </c>
      <c r="AF202" s="63" t="s">
        <v>1287</v>
      </c>
      <c r="AG202" s="48" t="s">
        <v>216</v>
      </c>
      <c r="AH202" s="48">
        <v>750</v>
      </c>
      <c r="AI202" s="48" t="s">
        <v>218</v>
      </c>
      <c r="AJ202" s="48" t="s">
        <v>219</v>
      </c>
      <c r="AK202" s="48">
        <v>0</v>
      </c>
      <c r="AL202" s="48">
        <v>25</v>
      </c>
      <c r="AM202" s="48">
        <f t="shared" si="19"/>
        <v>1440</v>
      </c>
      <c r="AN202" s="48" t="s">
        <v>529</v>
      </c>
      <c r="AR202" s="48">
        <v>0.139583333333333</v>
      </c>
      <c r="AS202" s="48">
        <v>6.2500000000000056E-3</v>
      </c>
      <c r="AT202" s="133"/>
      <c r="BC202" s="48">
        <v>0.67555555555555502</v>
      </c>
      <c r="BD202" s="48">
        <v>2.962962962962945E-3</v>
      </c>
      <c r="BH202" s="48">
        <v>0.16187766714082499</v>
      </c>
      <c r="BI202" s="48">
        <v>9.189189189189198E-2</v>
      </c>
    </row>
    <row r="203" spans="1:61" s="48" customFormat="1">
      <c r="A203" s="48" t="s">
        <v>273</v>
      </c>
      <c r="B203" s="48" t="s">
        <v>671</v>
      </c>
      <c r="E203" s="48" t="s">
        <v>623</v>
      </c>
      <c r="F203" s="48" t="s">
        <v>336</v>
      </c>
      <c r="G203" s="52" t="s">
        <v>565</v>
      </c>
      <c r="H203" s="61" t="s">
        <v>75</v>
      </c>
      <c r="J203" s="48" t="s">
        <v>213</v>
      </c>
      <c r="K203" s="48" t="s">
        <v>215</v>
      </c>
      <c r="L203" s="48" t="s">
        <v>79</v>
      </c>
      <c r="M203" s="48">
        <v>6</v>
      </c>
      <c r="N203" s="48">
        <v>2</v>
      </c>
      <c r="P203" s="48" t="s">
        <v>341</v>
      </c>
      <c r="R203" s="48">
        <v>2</v>
      </c>
      <c r="AD203" s="121">
        <v>125</v>
      </c>
      <c r="AF203" s="63" t="s">
        <v>1287</v>
      </c>
      <c r="AG203" s="48" t="s">
        <v>216</v>
      </c>
      <c r="AH203" s="48">
        <v>750</v>
      </c>
      <c r="AI203" s="48" t="s">
        <v>218</v>
      </c>
      <c r="AJ203" s="48" t="s">
        <v>218</v>
      </c>
      <c r="AK203" s="48">
        <v>4</v>
      </c>
      <c r="AL203" s="48">
        <v>29</v>
      </c>
      <c r="AM203" s="48">
        <f t="shared" si="19"/>
        <v>1440</v>
      </c>
      <c r="AN203" s="48" t="s">
        <v>529</v>
      </c>
      <c r="AR203" s="48">
        <v>0.12916666666666601</v>
      </c>
      <c r="AS203" s="48">
        <v>6.2499999999999778E-3</v>
      </c>
      <c r="AT203" s="133"/>
      <c r="BC203" s="48">
        <v>0.67259259259259196</v>
      </c>
      <c r="BD203" s="48">
        <v>2.9629629629630561E-3</v>
      </c>
      <c r="BH203" s="48">
        <v>0.167425320056899</v>
      </c>
      <c r="BI203" s="48">
        <v>8.1081081081081002E-2</v>
      </c>
    </row>
    <row r="204" spans="1:61" s="48" customFormat="1">
      <c r="A204" s="48" t="s">
        <v>273</v>
      </c>
      <c r="B204" s="48" t="s">
        <v>671</v>
      </c>
      <c r="E204" s="48" t="s">
        <v>623</v>
      </c>
      <c r="F204" s="48" t="s">
        <v>336</v>
      </c>
      <c r="G204" s="52" t="s">
        <v>565</v>
      </c>
      <c r="H204" s="61" t="s">
        <v>75</v>
      </c>
      <c r="J204" s="48" t="s">
        <v>213</v>
      </c>
      <c r="K204" s="48" t="s">
        <v>215</v>
      </c>
      <c r="L204" s="48" t="s">
        <v>79</v>
      </c>
      <c r="M204" s="48">
        <v>6</v>
      </c>
      <c r="N204" s="48">
        <v>2</v>
      </c>
      <c r="P204" s="48" t="s">
        <v>342</v>
      </c>
      <c r="R204" s="48">
        <v>2</v>
      </c>
      <c r="AD204" s="121">
        <v>125</v>
      </c>
      <c r="AF204" s="63" t="s">
        <v>1287</v>
      </c>
      <c r="AG204" s="48" t="s">
        <v>216</v>
      </c>
      <c r="AH204" s="48">
        <v>400</v>
      </c>
      <c r="AI204" s="48" t="s">
        <v>219</v>
      </c>
      <c r="AJ204" s="48" t="s">
        <v>219</v>
      </c>
      <c r="AK204" s="48">
        <v>0</v>
      </c>
      <c r="AL204" s="48">
        <v>25</v>
      </c>
      <c r="AM204" s="48">
        <f t="shared" si="19"/>
        <v>1440</v>
      </c>
      <c r="AN204" s="48" t="s">
        <v>529</v>
      </c>
      <c r="AR204" s="48">
        <v>0.14285714285714199</v>
      </c>
      <c r="AS204" s="48">
        <v>6.1224489795920212E-3</v>
      </c>
      <c r="AT204" s="133"/>
      <c r="BC204" s="48">
        <v>0.65777777777777702</v>
      </c>
      <c r="BD204" s="48">
        <v>1.1851851851852002E-2</v>
      </c>
      <c r="BH204" s="48">
        <v>0.124324324324324</v>
      </c>
      <c r="BI204" s="48">
        <v>2.1621621621621012E-2</v>
      </c>
    </row>
    <row r="205" spans="1:61" s="48" customFormat="1">
      <c r="A205" s="48" t="s">
        <v>273</v>
      </c>
      <c r="B205" s="48" t="s">
        <v>671</v>
      </c>
      <c r="E205" s="48" t="s">
        <v>623</v>
      </c>
      <c r="F205" s="48" t="s">
        <v>336</v>
      </c>
      <c r="G205" s="52" t="s">
        <v>565</v>
      </c>
      <c r="H205" s="61" t="s">
        <v>75</v>
      </c>
      <c r="J205" s="48" t="s">
        <v>213</v>
      </c>
      <c r="K205" s="48" t="s">
        <v>215</v>
      </c>
      <c r="L205" s="48" t="s">
        <v>79</v>
      </c>
      <c r="M205" s="48">
        <v>6</v>
      </c>
      <c r="N205" s="48">
        <v>4</v>
      </c>
      <c r="P205" s="48" t="s">
        <v>342</v>
      </c>
      <c r="R205" s="48">
        <v>2</v>
      </c>
      <c r="AD205" s="121">
        <v>125</v>
      </c>
      <c r="AF205" s="63" t="s">
        <v>1287</v>
      </c>
      <c r="AG205" s="48" t="s">
        <v>216</v>
      </c>
      <c r="AH205" s="48">
        <v>400</v>
      </c>
      <c r="AI205" s="48" t="s">
        <v>219</v>
      </c>
      <c r="AJ205" s="48" t="s">
        <v>218</v>
      </c>
      <c r="AK205" s="48">
        <v>4</v>
      </c>
      <c r="AL205" s="48">
        <v>29</v>
      </c>
      <c r="AM205" s="48">
        <f t="shared" si="19"/>
        <v>1440</v>
      </c>
      <c r="AN205" s="48" t="s">
        <v>529</v>
      </c>
      <c r="AR205" s="48">
        <v>0.15102040816326501</v>
      </c>
      <c r="AS205" s="48">
        <v>1.4285714285713985E-2</v>
      </c>
      <c r="AT205" s="133"/>
      <c r="BC205" s="48">
        <v>0.65629629629629604</v>
      </c>
      <c r="BD205" s="48">
        <v>5.9259259259260011E-3</v>
      </c>
      <c r="BH205" s="48">
        <v>2.1621621621621401E-2</v>
      </c>
      <c r="BI205" s="48">
        <v>1.6216216216216196E-2</v>
      </c>
    </row>
    <row r="206" spans="1:61" s="48" customFormat="1">
      <c r="A206" s="48" t="s">
        <v>273</v>
      </c>
      <c r="B206" s="48" t="s">
        <v>671</v>
      </c>
      <c r="E206" s="48" t="s">
        <v>623</v>
      </c>
      <c r="F206" s="48" t="s">
        <v>336</v>
      </c>
      <c r="G206" s="52" t="s">
        <v>565</v>
      </c>
      <c r="H206" s="61" t="s">
        <v>75</v>
      </c>
      <c r="J206" s="48" t="s">
        <v>213</v>
      </c>
      <c r="K206" s="48" t="s">
        <v>215</v>
      </c>
      <c r="L206" s="48" t="s">
        <v>79</v>
      </c>
      <c r="M206" s="48">
        <v>6</v>
      </c>
      <c r="N206" s="48">
        <v>4</v>
      </c>
      <c r="P206" s="48" t="s">
        <v>342</v>
      </c>
      <c r="R206" s="48">
        <v>2</v>
      </c>
      <c r="AD206" s="121">
        <v>125</v>
      </c>
      <c r="AF206" s="63" t="s">
        <v>1287</v>
      </c>
      <c r="AG206" s="48" t="s">
        <v>216</v>
      </c>
      <c r="AH206" s="48">
        <v>750</v>
      </c>
      <c r="AI206" s="48" t="s">
        <v>218</v>
      </c>
      <c r="AJ206" s="48" t="s">
        <v>219</v>
      </c>
      <c r="AK206" s="48">
        <v>0</v>
      </c>
      <c r="AL206" s="48">
        <v>25</v>
      </c>
      <c r="AM206" s="48">
        <f t="shared" si="19"/>
        <v>1440</v>
      </c>
      <c r="AN206" s="48" t="s">
        <v>529</v>
      </c>
      <c r="AR206" s="48">
        <v>0.104081632653061</v>
      </c>
      <c r="AS206" s="48">
        <v>8.1632653061219917E-3</v>
      </c>
      <c r="AT206" s="133"/>
      <c r="BC206" s="48">
        <v>0.65629629629629604</v>
      </c>
      <c r="BD206" s="48">
        <v>7.407407407406974E-3</v>
      </c>
      <c r="BH206" s="48">
        <v>1.08108108108107E-2</v>
      </c>
      <c r="BI206" s="48">
        <v>2.1621621621621401E-2</v>
      </c>
    </row>
    <row r="207" spans="1:61" s="48" customFormat="1">
      <c r="A207" s="48" t="s">
        <v>273</v>
      </c>
      <c r="B207" s="48" t="s">
        <v>671</v>
      </c>
      <c r="E207" s="48" t="s">
        <v>623</v>
      </c>
      <c r="F207" s="48" t="s">
        <v>336</v>
      </c>
      <c r="G207" s="52" t="s">
        <v>565</v>
      </c>
      <c r="H207" s="61" t="s">
        <v>75</v>
      </c>
      <c r="J207" s="48" t="s">
        <v>213</v>
      </c>
      <c r="K207" s="48" t="s">
        <v>215</v>
      </c>
      <c r="L207" s="48" t="s">
        <v>79</v>
      </c>
      <c r="M207" s="48">
        <v>6</v>
      </c>
      <c r="N207" s="48">
        <v>4</v>
      </c>
      <c r="P207" s="48" t="s">
        <v>342</v>
      </c>
      <c r="R207" s="48">
        <v>2</v>
      </c>
      <c r="AD207" s="121">
        <v>125</v>
      </c>
      <c r="AF207" s="63" t="s">
        <v>1287</v>
      </c>
      <c r="AG207" s="48" t="s">
        <v>216</v>
      </c>
      <c r="AH207" s="48">
        <v>750</v>
      </c>
      <c r="AI207" s="48" t="s">
        <v>218</v>
      </c>
      <c r="AJ207" s="48" t="s">
        <v>218</v>
      </c>
      <c r="AK207" s="48">
        <v>4</v>
      </c>
      <c r="AL207" s="48">
        <v>29</v>
      </c>
      <c r="AM207" s="48">
        <f t="shared" si="19"/>
        <v>1440</v>
      </c>
      <c r="AN207" s="48" t="s">
        <v>529</v>
      </c>
      <c r="AR207" s="48">
        <v>0.130612244897959</v>
      </c>
      <c r="AS207" s="48">
        <v>6.1224489795919934E-3</v>
      </c>
      <c r="AT207" s="133"/>
      <c r="BC207" s="48">
        <v>0.65925925925925899</v>
      </c>
      <c r="BD207" s="48">
        <v>5.9259259259260011E-3</v>
      </c>
      <c r="BH207" s="48">
        <v>1.08108108108107E-2</v>
      </c>
      <c r="BI207" s="48">
        <v>2.1621621621621401E-2</v>
      </c>
    </row>
    <row r="208" spans="1:61" s="48" customFormat="1">
      <c r="A208" s="48" t="s">
        <v>273</v>
      </c>
      <c r="B208" s="48" t="s">
        <v>671</v>
      </c>
      <c r="E208" s="48" t="s">
        <v>623</v>
      </c>
      <c r="F208" s="48" t="s">
        <v>336</v>
      </c>
      <c r="G208" s="52" t="s">
        <v>565</v>
      </c>
      <c r="H208" s="61" t="s">
        <v>75</v>
      </c>
      <c r="J208" s="48" t="s">
        <v>213</v>
      </c>
      <c r="K208" s="48" t="s">
        <v>215</v>
      </c>
      <c r="L208" s="48" t="s">
        <v>79</v>
      </c>
      <c r="M208" s="48">
        <v>6</v>
      </c>
      <c r="N208" s="48">
        <v>4</v>
      </c>
      <c r="P208" s="48" t="s">
        <v>343</v>
      </c>
      <c r="R208" s="48">
        <v>2</v>
      </c>
      <c r="AD208" s="121">
        <v>125</v>
      </c>
      <c r="AF208" s="63" t="s">
        <v>1287</v>
      </c>
      <c r="AG208" s="48" t="s">
        <v>216</v>
      </c>
      <c r="AH208" s="48">
        <v>400</v>
      </c>
      <c r="AI208" s="48" t="s">
        <v>219</v>
      </c>
      <c r="AJ208" s="48" t="s">
        <v>219</v>
      </c>
      <c r="AK208" s="48">
        <v>0</v>
      </c>
      <c r="AL208" s="48">
        <v>25</v>
      </c>
      <c r="AM208" s="48">
        <f t="shared" si="19"/>
        <v>1440</v>
      </c>
      <c r="AN208" s="48" t="s">
        <v>529</v>
      </c>
      <c r="AR208" s="48">
        <v>0.11020408163265299</v>
      </c>
      <c r="AS208" s="48">
        <v>8.1632653061220056E-3</v>
      </c>
      <c r="AT208" s="133"/>
      <c r="BC208" s="48">
        <v>0.65037037037037004</v>
      </c>
      <c r="BD208" s="48">
        <v>2.962962962962945E-3</v>
      </c>
      <c r="BH208" s="48">
        <v>6.8421052631578702E-2</v>
      </c>
      <c r="BI208" s="48">
        <v>2.1052631578947392E-2</v>
      </c>
    </row>
    <row r="209" spans="1:62" s="48" customFormat="1">
      <c r="A209" s="48" t="s">
        <v>273</v>
      </c>
      <c r="B209" s="48" t="s">
        <v>671</v>
      </c>
      <c r="E209" s="48" t="s">
        <v>623</v>
      </c>
      <c r="F209" s="48" t="s">
        <v>336</v>
      </c>
      <c r="G209" s="52" t="s">
        <v>565</v>
      </c>
      <c r="H209" s="61" t="s">
        <v>75</v>
      </c>
      <c r="J209" s="48" t="s">
        <v>213</v>
      </c>
      <c r="K209" s="48" t="s">
        <v>215</v>
      </c>
      <c r="L209" s="48" t="s">
        <v>79</v>
      </c>
      <c r="M209" s="48">
        <v>6</v>
      </c>
      <c r="N209" s="48">
        <v>4</v>
      </c>
      <c r="P209" s="48" t="s">
        <v>343</v>
      </c>
      <c r="R209" s="48">
        <v>2</v>
      </c>
      <c r="AD209" s="121">
        <v>125</v>
      </c>
      <c r="AF209" s="63" t="s">
        <v>1287</v>
      </c>
      <c r="AG209" s="48" t="s">
        <v>216</v>
      </c>
      <c r="AH209" s="48">
        <v>400</v>
      </c>
      <c r="AI209" s="48" t="s">
        <v>219</v>
      </c>
      <c r="AJ209" s="48" t="s">
        <v>218</v>
      </c>
      <c r="AK209" s="48">
        <v>4</v>
      </c>
      <c r="AL209" s="48">
        <v>29</v>
      </c>
      <c r="AM209" s="48">
        <f t="shared" si="19"/>
        <v>1440</v>
      </c>
      <c r="AN209" s="48" t="s">
        <v>529</v>
      </c>
      <c r="AR209" s="48">
        <v>0.130612244897959</v>
      </c>
      <c r="AS209" s="48">
        <v>6.1224489795919934E-3</v>
      </c>
      <c r="AT209" s="133"/>
      <c r="BC209" s="48">
        <v>0.64740740740740699</v>
      </c>
      <c r="BD209" s="48">
        <v>5.9259259259260011E-3</v>
      </c>
      <c r="BH209" s="48">
        <v>9.9999999999999603E-2</v>
      </c>
      <c r="BI209" s="48">
        <v>6.3157894736842399E-2</v>
      </c>
    </row>
    <row r="210" spans="1:62" s="48" customFormat="1">
      <c r="A210" s="48" t="s">
        <v>273</v>
      </c>
      <c r="B210" s="48" t="s">
        <v>671</v>
      </c>
      <c r="E210" s="48" t="s">
        <v>623</v>
      </c>
      <c r="F210" s="48" t="s">
        <v>336</v>
      </c>
      <c r="G210" s="52" t="s">
        <v>565</v>
      </c>
      <c r="H210" s="61" t="s">
        <v>75</v>
      </c>
      <c r="J210" s="48" t="s">
        <v>213</v>
      </c>
      <c r="K210" s="48" t="s">
        <v>215</v>
      </c>
      <c r="L210" s="48" t="s">
        <v>79</v>
      </c>
      <c r="M210" s="48">
        <v>6</v>
      </c>
      <c r="N210" s="48">
        <v>4</v>
      </c>
      <c r="P210" s="48" t="s">
        <v>343</v>
      </c>
      <c r="R210" s="48">
        <v>2</v>
      </c>
      <c r="AD210" s="121">
        <v>125</v>
      </c>
      <c r="AF210" s="63" t="s">
        <v>1287</v>
      </c>
      <c r="AG210" s="48" t="s">
        <v>216</v>
      </c>
      <c r="AH210" s="48">
        <v>750</v>
      </c>
      <c r="AI210" s="48" t="s">
        <v>218</v>
      </c>
      <c r="AJ210" s="48" t="s">
        <v>219</v>
      </c>
      <c r="AK210" s="48">
        <v>0</v>
      </c>
      <c r="AL210" s="48">
        <v>25</v>
      </c>
      <c r="AM210" s="48">
        <f t="shared" si="19"/>
        <v>1440</v>
      </c>
      <c r="AN210" s="48" t="s">
        <v>529</v>
      </c>
      <c r="AR210" s="48">
        <v>0.11020408163265299</v>
      </c>
      <c r="AS210" s="48">
        <v>6.1224489795910081E-3</v>
      </c>
      <c r="AT210" s="133"/>
      <c r="BC210" s="48">
        <v>0.66962962962962902</v>
      </c>
      <c r="BD210" s="48">
        <v>1.4814814814814947E-2</v>
      </c>
      <c r="BH210" s="48">
        <v>2.1052631578947201E-2</v>
      </c>
      <c r="BI210" s="48">
        <v>2.1052631578947201E-2</v>
      </c>
    </row>
    <row r="211" spans="1:62" s="48" customFormat="1">
      <c r="A211" s="48" t="s">
        <v>273</v>
      </c>
      <c r="B211" s="48" t="s">
        <v>671</v>
      </c>
      <c r="E211" s="48" t="s">
        <v>623</v>
      </c>
      <c r="F211" s="48" t="s">
        <v>336</v>
      </c>
      <c r="G211" s="52" t="s">
        <v>565</v>
      </c>
      <c r="H211" s="61" t="s">
        <v>75</v>
      </c>
      <c r="J211" s="48" t="s">
        <v>213</v>
      </c>
      <c r="K211" s="48" t="s">
        <v>215</v>
      </c>
      <c r="L211" s="48" t="s">
        <v>79</v>
      </c>
      <c r="M211" s="48">
        <v>6</v>
      </c>
      <c r="N211" s="48">
        <v>4</v>
      </c>
      <c r="P211" s="48" t="s">
        <v>343</v>
      </c>
      <c r="R211" s="48">
        <v>2</v>
      </c>
      <c r="AD211" s="121">
        <v>125</v>
      </c>
      <c r="AF211" s="63" t="s">
        <v>1287</v>
      </c>
      <c r="AG211" s="48" t="s">
        <v>216</v>
      </c>
      <c r="AH211" s="48">
        <v>750</v>
      </c>
      <c r="AI211" s="48" t="s">
        <v>218</v>
      </c>
      <c r="AJ211" s="48" t="s">
        <v>218</v>
      </c>
      <c r="AK211" s="48">
        <v>4</v>
      </c>
      <c r="AL211" s="48">
        <v>29</v>
      </c>
      <c r="AM211" s="48">
        <f t="shared" si="19"/>
        <v>1440</v>
      </c>
      <c r="AN211" s="48" t="s">
        <v>529</v>
      </c>
      <c r="AR211" s="48">
        <v>0.120408163265306</v>
      </c>
      <c r="AS211" s="48">
        <v>6.1224489795910081E-3</v>
      </c>
      <c r="AT211" s="133"/>
      <c r="BC211" s="48">
        <v>0.64888888888888796</v>
      </c>
      <c r="BD211" s="48">
        <v>5.9259259259260011E-3</v>
      </c>
      <c r="BH211" s="48">
        <v>5.2631578947366304E-3</v>
      </c>
      <c r="BI211" s="48">
        <v>2.105263157894717E-2</v>
      </c>
    </row>
    <row r="212" spans="1:62" s="48" customFormat="1">
      <c r="A212" s="48" t="s">
        <v>273</v>
      </c>
      <c r="B212" s="48" t="s">
        <v>671</v>
      </c>
      <c r="E212" s="48" t="s">
        <v>623</v>
      </c>
      <c r="F212" s="48" t="s">
        <v>336</v>
      </c>
      <c r="G212" s="52" t="s">
        <v>565</v>
      </c>
      <c r="H212" s="61" t="s">
        <v>75</v>
      </c>
      <c r="J212" s="48" t="s">
        <v>213</v>
      </c>
      <c r="K212" s="48" t="s">
        <v>215</v>
      </c>
      <c r="L212" s="48" t="s">
        <v>79</v>
      </c>
      <c r="M212" s="48">
        <v>6</v>
      </c>
      <c r="N212" s="48">
        <v>4</v>
      </c>
      <c r="P212" s="48" t="s">
        <v>344</v>
      </c>
      <c r="R212" s="48">
        <v>2</v>
      </c>
      <c r="AD212" s="121">
        <v>125</v>
      </c>
      <c r="AF212" s="63" t="s">
        <v>1287</v>
      </c>
      <c r="AG212" s="48" t="s">
        <v>216</v>
      </c>
      <c r="AH212" s="48">
        <v>400</v>
      </c>
      <c r="AI212" s="48" t="s">
        <v>219</v>
      </c>
      <c r="AJ212" s="48" t="s">
        <v>219</v>
      </c>
      <c r="AK212" s="48">
        <v>0</v>
      </c>
      <c r="AL212" s="48">
        <v>25</v>
      </c>
      <c r="AM212" s="48">
        <f t="shared" si="19"/>
        <v>1440</v>
      </c>
      <c r="AN212" s="48" t="s">
        <v>529</v>
      </c>
      <c r="AR212" s="48">
        <v>0.11020408163265299</v>
      </c>
      <c r="AS212" s="48">
        <v>1.8367346938775009E-2</v>
      </c>
      <c r="AT212" s="133"/>
      <c r="BC212" s="48">
        <v>0.65481481481481396</v>
      </c>
      <c r="BD212" s="48">
        <v>8.8888888888890571E-3</v>
      </c>
      <c r="BH212" s="48">
        <v>1.0526315789473399E-2</v>
      </c>
      <c r="BI212" s="48">
        <v>2.1052631578947302E-2</v>
      </c>
    </row>
    <row r="213" spans="1:62" s="48" customFormat="1">
      <c r="A213" s="48" t="s">
        <v>273</v>
      </c>
      <c r="B213" s="48" t="s">
        <v>671</v>
      </c>
      <c r="E213" s="48" t="s">
        <v>623</v>
      </c>
      <c r="F213" s="48" t="s">
        <v>336</v>
      </c>
      <c r="G213" s="52" t="s">
        <v>565</v>
      </c>
      <c r="H213" s="61" t="s">
        <v>75</v>
      </c>
      <c r="J213" s="48" t="s">
        <v>213</v>
      </c>
      <c r="K213" s="48" t="s">
        <v>215</v>
      </c>
      <c r="L213" s="48" t="s">
        <v>79</v>
      </c>
      <c r="M213" s="48">
        <v>6</v>
      </c>
      <c r="N213" s="48">
        <v>4</v>
      </c>
      <c r="P213" s="48" t="s">
        <v>344</v>
      </c>
      <c r="R213" s="48">
        <v>2</v>
      </c>
      <c r="AD213" s="121">
        <v>125</v>
      </c>
      <c r="AF213" s="63" t="s">
        <v>1287</v>
      </c>
      <c r="AG213" s="48" t="s">
        <v>216</v>
      </c>
      <c r="AH213" s="48">
        <v>400</v>
      </c>
      <c r="AI213" s="48" t="s">
        <v>219</v>
      </c>
      <c r="AJ213" s="48" t="s">
        <v>218</v>
      </c>
      <c r="AK213" s="48">
        <v>4</v>
      </c>
      <c r="AL213" s="48">
        <v>29</v>
      </c>
      <c r="AM213" s="48">
        <f t="shared" si="19"/>
        <v>1440</v>
      </c>
      <c r="AN213" s="48" t="s">
        <v>529</v>
      </c>
      <c r="AR213" s="48">
        <v>0.155102040816326</v>
      </c>
      <c r="AS213" s="48">
        <v>1.0204081632652989E-2</v>
      </c>
      <c r="AT213" s="133"/>
      <c r="BC213" s="48">
        <v>0.67111111111111099</v>
      </c>
      <c r="BD213" s="48">
        <v>3.2592592592592062E-2</v>
      </c>
      <c r="BH213" s="48">
        <v>4.1828254847645401E-2</v>
      </c>
      <c r="BI213" s="48">
        <v>3.1578947368420894E-2</v>
      </c>
    </row>
    <row r="214" spans="1:62" s="48" customFormat="1">
      <c r="A214" s="48" t="s">
        <v>273</v>
      </c>
      <c r="B214" s="48" t="s">
        <v>671</v>
      </c>
      <c r="E214" s="48" t="s">
        <v>623</v>
      </c>
      <c r="F214" s="48" t="s">
        <v>336</v>
      </c>
      <c r="G214" s="52" t="s">
        <v>565</v>
      </c>
      <c r="H214" s="61" t="s">
        <v>75</v>
      </c>
      <c r="J214" s="48" t="s">
        <v>213</v>
      </c>
      <c r="K214" s="48" t="s">
        <v>215</v>
      </c>
      <c r="L214" s="48" t="s">
        <v>79</v>
      </c>
      <c r="M214" s="48">
        <v>6</v>
      </c>
      <c r="N214" s="48">
        <v>4</v>
      </c>
      <c r="P214" s="48" t="s">
        <v>344</v>
      </c>
      <c r="R214" s="48">
        <v>2</v>
      </c>
      <c r="AD214" s="121">
        <v>125</v>
      </c>
      <c r="AF214" s="63" t="s">
        <v>1287</v>
      </c>
      <c r="AG214" s="48" t="s">
        <v>216</v>
      </c>
      <c r="AH214" s="48">
        <v>750</v>
      </c>
      <c r="AI214" s="48" t="s">
        <v>218</v>
      </c>
      <c r="AJ214" s="48" t="s">
        <v>219</v>
      </c>
      <c r="AK214" s="48">
        <v>0</v>
      </c>
      <c r="AL214" s="48">
        <v>25</v>
      </c>
      <c r="AM214" s="48">
        <f t="shared" si="19"/>
        <v>1440</v>
      </c>
      <c r="AN214" s="48" t="s">
        <v>529</v>
      </c>
      <c r="AR214" s="48">
        <v>0.11224489795918299</v>
      </c>
      <c r="AS214" s="48">
        <v>8.1632653061230048E-3</v>
      </c>
      <c r="AT214" s="133"/>
      <c r="BC214" s="48">
        <v>0.65037037037037004</v>
      </c>
      <c r="BD214" s="48">
        <v>1.1851851851852002E-2</v>
      </c>
      <c r="BH214" s="48">
        <v>7.9085872576177302E-2</v>
      </c>
      <c r="BI214" s="48">
        <v>4.7368421052630699E-2</v>
      </c>
    </row>
    <row r="215" spans="1:62" s="48" customFormat="1">
      <c r="A215" s="48" t="s">
        <v>273</v>
      </c>
      <c r="B215" s="48" t="s">
        <v>671</v>
      </c>
      <c r="E215" s="48" t="s">
        <v>623</v>
      </c>
      <c r="F215" s="48" t="s">
        <v>336</v>
      </c>
      <c r="G215" s="52" t="s">
        <v>565</v>
      </c>
      <c r="H215" s="61" t="s">
        <v>75</v>
      </c>
      <c r="J215" s="48" t="s">
        <v>213</v>
      </c>
      <c r="K215" s="48" t="s">
        <v>215</v>
      </c>
      <c r="L215" s="48" t="s">
        <v>79</v>
      </c>
      <c r="M215" s="48">
        <v>6</v>
      </c>
      <c r="N215" s="48">
        <v>4</v>
      </c>
      <c r="P215" s="48" t="s">
        <v>344</v>
      </c>
      <c r="R215" s="48">
        <v>2</v>
      </c>
      <c r="AD215" s="121">
        <v>125</v>
      </c>
      <c r="AF215" s="63" t="s">
        <v>1287</v>
      </c>
      <c r="AG215" s="48" t="s">
        <v>216</v>
      </c>
      <c r="AH215" s="48">
        <v>750</v>
      </c>
      <c r="AI215" s="48" t="s">
        <v>218</v>
      </c>
      <c r="AJ215" s="48" t="s">
        <v>218</v>
      </c>
      <c r="AK215" s="48">
        <v>4</v>
      </c>
      <c r="AL215" s="48">
        <v>29</v>
      </c>
      <c r="AM215" s="48">
        <f t="shared" si="19"/>
        <v>1440</v>
      </c>
      <c r="AN215" s="48" t="s">
        <v>529</v>
      </c>
      <c r="AR215" s="48">
        <v>0.14081632653061199</v>
      </c>
      <c r="AS215" s="48">
        <v>1.2244897959183015E-2</v>
      </c>
      <c r="AT215" s="133"/>
      <c r="BC215" s="48">
        <v>0.64296296296296196</v>
      </c>
      <c r="BD215" s="48">
        <v>5.9259259259260011E-3</v>
      </c>
      <c r="BH215" s="48">
        <v>0.300138504155124</v>
      </c>
      <c r="BI215" s="48">
        <v>6.8421052631578994E-2</v>
      </c>
    </row>
    <row r="216" spans="1:62" s="48" customFormat="1">
      <c r="A216" s="48" t="s">
        <v>273</v>
      </c>
      <c r="B216" s="48" t="s">
        <v>671</v>
      </c>
      <c r="E216" s="48" t="s">
        <v>623</v>
      </c>
      <c r="F216" s="48" t="s">
        <v>336</v>
      </c>
      <c r="G216" s="52" t="s">
        <v>565</v>
      </c>
      <c r="H216" s="61" t="s">
        <v>75</v>
      </c>
      <c r="J216" s="48" t="s">
        <v>213</v>
      </c>
      <c r="K216" s="48" t="s">
        <v>215</v>
      </c>
      <c r="L216" s="48" t="s">
        <v>79</v>
      </c>
      <c r="M216" s="48">
        <v>6</v>
      </c>
      <c r="N216" s="48">
        <v>4</v>
      </c>
      <c r="P216" s="48" t="s">
        <v>345</v>
      </c>
      <c r="R216" s="48">
        <v>2</v>
      </c>
      <c r="AD216" s="121">
        <v>125</v>
      </c>
      <c r="AF216" s="63" t="s">
        <v>1287</v>
      </c>
      <c r="AG216" s="48" t="s">
        <v>216</v>
      </c>
      <c r="AH216" s="48">
        <v>400</v>
      </c>
      <c r="AI216" s="48" t="s">
        <v>219</v>
      </c>
      <c r="AJ216" s="48" t="s">
        <v>219</v>
      </c>
      <c r="AK216" s="48">
        <v>0</v>
      </c>
      <c r="AL216" s="48">
        <v>25</v>
      </c>
      <c r="AM216" s="48">
        <f t="shared" si="19"/>
        <v>1440</v>
      </c>
      <c r="AN216" s="48" t="s">
        <v>529</v>
      </c>
      <c r="AR216" s="48">
        <v>0.13673469387755099</v>
      </c>
      <c r="AS216" s="48">
        <v>1.4285714285714013E-2</v>
      </c>
      <c r="AT216" s="133"/>
      <c r="BC216" s="48">
        <v>0.65037037037037004</v>
      </c>
      <c r="BD216" s="48">
        <v>2.962962962962945E-3</v>
      </c>
      <c r="BH216" s="48">
        <v>0.11578947368421</v>
      </c>
      <c r="BI216" s="48">
        <v>2.6315789473684015E-2</v>
      </c>
    </row>
    <row r="217" spans="1:62" s="48" customFormat="1">
      <c r="A217" s="48" t="s">
        <v>273</v>
      </c>
      <c r="B217" s="48" t="s">
        <v>671</v>
      </c>
      <c r="E217" s="48" t="s">
        <v>623</v>
      </c>
      <c r="F217" s="48" t="s">
        <v>336</v>
      </c>
      <c r="G217" s="52" t="s">
        <v>565</v>
      </c>
      <c r="H217" s="61" t="s">
        <v>75</v>
      </c>
      <c r="J217" s="48" t="s">
        <v>213</v>
      </c>
      <c r="K217" s="48" t="s">
        <v>215</v>
      </c>
      <c r="L217" s="48" t="s">
        <v>79</v>
      </c>
      <c r="M217" s="48">
        <v>6</v>
      </c>
      <c r="N217" s="48">
        <v>4</v>
      </c>
      <c r="P217" s="48" t="s">
        <v>345</v>
      </c>
      <c r="R217" s="48">
        <v>2</v>
      </c>
      <c r="AD217" s="121">
        <v>125</v>
      </c>
      <c r="AF217" s="63" t="s">
        <v>1287</v>
      </c>
      <c r="AG217" s="48" t="s">
        <v>216</v>
      </c>
      <c r="AH217" s="48">
        <v>400</v>
      </c>
      <c r="AI217" s="48" t="s">
        <v>219</v>
      </c>
      <c r="AJ217" s="48" t="s">
        <v>218</v>
      </c>
      <c r="AK217" s="48">
        <v>4</v>
      </c>
      <c r="AL217" s="48">
        <v>29</v>
      </c>
      <c r="AM217" s="48">
        <f t="shared" si="19"/>
        <v>1440</v>
      </c>
      <c r="AN217" s="48" t="s">
        <v>529</v>
      </c>
      <c r="AR217" s="48">
        <v>0.11020408163265299</v>
      </c>
      <c r="AS217" s="48">
        <v>6.1224489795910081E-3</v>
      </c>
      <c r="AT217" s="133"/>
      <c r="BC217" s="48">
        <v>0.64740740740740699</v>
      </c>
      <c r="BD217" s="48">
        <v>7.407407407406974E-3</v>
      </c>
      <c r="BH217" s="48">
        <v>8.42105263157895E-2</v>
      </c>
      <c r="BI217" s="48">
        <v>2.1052631578946504E-2</v>
      </c>
    </row>
    <row r="218" spans="1:62" s="48" customFormat="1">
      <c r="A218" s="48" t="s">
        <v>273</v>
      </c>
      <c r="B218" s="48" t="s">
        <v>671</v>
      </c>
      <c r="E218" s="48" t="s">
        <v>623</v>
      </c>
      <c r="F218" s="48" t="s">
        <v>336</v>
      </c>
      <c r="G218" s="52" t="s">
        <v>565</v>
      </c>
      <c r="H218" s="61" t="s">
        <v>75</v>
      </c>
      <c r="J218" s="48" t="s">
        <v>213</v>
      </c>
      <c r="K218" s="48" t="s">
        <v>215</v>
      </c>
      <c r="L218" s="48" t="s">
        <v>79</v>
      </c>
      <c r="M218" s="48">
        <v>6</v>
      </c>
      <c r="N218" s="48">
        <v>4</v>
      </c>
      <c r="P218" s="48" t="s">
        <v>345</v>
      </c>
      <c r="R218" s="48">
        <v>2</v>
      </c>
      <c r="AD218" s="121">
        <v>125</v>
      </c>
      <c r="AF218" s="63" t="s">
        <v>1287</v>
      </c>
      <c r="AG218" s="48" t="s">
        <v>216</v>
      </c>
      <c r="AH218" s="48">
        <v>750</v>
      </c>
      <c r="AI218" s="48" t="s">
        <v>218</v>
      </c>
      <c r="AJ218" s="48" t="s">
        <v>219</v>
      </c>
      <c r="AK218" s="48">
        <v>0</v>
      </c>
      <c r="AL218" s="48">
        <v>25</v>
      </c>
      <c r="AM218" s="48">
        <f t="shared" si="19"/>
        <v>1440</v>
      </c>
      <c r="AN218" s="48" t="s">
        <v>529</v>
      </c>
      <c r="AR218" s="48">
        <v>0.108163265306122</v>
      </c>
      <c r="AS218" s="48">
        <v>4.0816326530609959E-3</v>
      </c>
      <c r="AT218" s="133"/>
      <c r="BC218" s="48">
        <v>0.65777777777777702</v>
      </c>
      <c r="BD218" s="48">
        <v>4.4444444444450282E-3</v>
      </c>
      <c r="BH218" s="48">
        <v>5.2631578947368099E-2</v>
      </c>
      <c r="BI218" s="48">
        <v>3.1578947368421401E-2</v>
      </c>
    </row>
    <row r="219" spans="1:62" s="48" customFormat="1">
      <c r="A219" s="48" t="s">
        <v>273</v>
      </c>
      <c r="B219" s="48" t="s">
        <v>671</v>
      </c>
      <c r="E219" s="48" t="s">
        <v>623</v>
      </c>
      <c r="F219" s="48" t="s">
        <v>336</v>
      </c>
      <c r="G219" s="52" t="s">
        <v>565</v>
      </c>
      <c r="H219" s="61" t="s">
        <v>75</v>
      </c>
      <c r="J219" s="48" t="s">
        <v>213</v>
      </c>
      <c r="K219" s="48" t="s">
        <v>215</v>
      </c>
      <c r="L219" s="48" t="s">
        <v>79</v>
      </c>
      <c r="M219" s="48">
        <v>6</v>
      </c>
      <c r="N219" s="48">
        <v>4</v>
      </c>
      <c r="P219" s="48" t="s">
        <v>345</v>
      </c>
      <c r="R219" s="48">
        <v>2</v>
      </c>
      <c r="AD219" s="121">
        <v>125</v>
      </c>
      <c r="AF219" s="63" t="s">
        <v>1287</v>
      </c>
      <c r="AG219" s="48" t="s">
        <v>216</v>
      </c>
      <c r="AH219" s="48">
        <v>750</v>
      </c>
      <c r="AI219" s="48" t="s">
        <v>218</v>
      </c>
      <c r="AJ219" s="48" t="s">
        <v>218</v>
      </c>
      <c r="AK219" s="48">
        <v>4</v>
      </c>
      <c r="AL219" s="48">
        <v>29</v>
      </c>
      <c r="AM219" s="48">
        <f t="shared" si="19"/>
        <v>1440</v>
      </c>
      <c r="AN219" s="48" t="s">
        <v>529</v>
      </c>
      <c r="AR219" s="48">
        <v>0.13877551020408099</v>
      </c>
      <c r="AS219" s="48">
        <v>6.1224489795919934E-3</v>
      </c>
      <c r="AT219" s="133"/>
      <c r="BC219" s="48">
        <v>0.63555555555555499</v>
      </c>
      <c r="BD219" s="48">
        <v>4.444444444444029E-3</v>
      </c>
      <c r="BH219" s="48">
        <v>1.5789473684210301E-2</v>
      </c>
      <c r="BI219" s="48">
        <v>2.1052631578947201E-2</v>
      </c>
    </row>
    <row r="220" spans="1:62" s="60" customFormat="1">
      <c r="A220" s="60" t="s">
        <v>352</v>
      </c>
      <c r="B220" s="60" t="s">
        <v>1072</v>
      </c>
      <c r="D220" s="60" t="s">
        <v>1073</v>
      </c>
      <c r="E220" s="48" t="s">
        <v>623</v>
      </c>
      <c r="F220" s="60" t="s">
        <v>336</v>
      </c>
      <c r="G220" s="52" t="s">
        <v>565</v>
      </c>
      <c r="H220" s="66" t="s">
        <v>75</v>
      </c>
      <c r="J220" s="60" t="s">
        <v>213</v>
      </c>
      <c r="K220" s="60" t="s">
        <v>215</v>
      </c>
      <c r="L220" s="60" t="s">
        <v>79</v>
      </c>
      <c r="M220" s="60">
        <v>6</v>
      </c>
      <c r="N220" s="60">
        <v>4</v>
      </c>
      <c r="P220" s="60">
        <v>9</v>
      </c>
      <c r="R220" s="60">
        <v>1</v>
      </c>
      <c r="T220" s="60">
        <v>4</v>
      </c>
      <c r="W220" s="60" t="s">
        <v>1139</v>
      </c>
      <c r="Z220" s="60">
        <v>71.791981178315794</v>
      </c>
      <c r="AA220" s="60">
        <v>1.8625624938730994</v>
      </c>
      <c r="AD220" s="60">
        <f>(Z220*100)/17</f>
        <v>422.30577163715174</v>
      </c>
      <c r="AE220" s="60">
        <f>(AA220*100)/17</f>
        <v>10.956249963959408</v>
      </c>
      <c r="AF220" s="60" t="s">
        <v>1142</v>
      </c>
      <c r="AG220" s="60" t="s">
        <v>215</v>
      </c>
      <c r="AI220" s="60" t="s">
        <v>219</v>
      </c>
      <c r="AJ220" s="60" t="s">
        <v>219</v>
      </c>
      <c r="AK220" s="60">
        <v>0</v>
      </c>
      <c r="AL220" s="60">
        <v>24</v>
      </c>
      <c r="AM220" s="60">
        <v>0</v>
      </c>
      <c r="AN220">
        <v>1.6951219512195099</v>
      </c>
      <c r="AO220">
        <v>0.25</v>
      </c>
      <c r="AP220" s="60" t="s">
        <v>571</v>
      </c>
      <c r="AQ220" s="60" t="s">
        <v>572</v>
      </c>
      <c r="AR220" s="60">
        <f>((1.69512195121951*Z220)/1000)</f>
        <v>0.12169616321690099</v>
      </c>
      <c r="AS220" s="60">
        <f>((0.25*AA220)/1000)</f>
        <v>4.6564062346827486E-4</v>
      </c>
      <c r="AT220" s="85">
        <v>1.6951219512195099</v>
      </c>
      <c r="AU220">
        <v>0.25</v>
      </c>
      <c r="AV220" s="60" t="s">
        <v>571</v>
      </c>
      <c r="BA220" s="60">
        <v>162202.38095237999</v>
      </c>
      <c r="BB220" s="60">
        <v>13690.476190477028</v>
      </c>
      <c r="BH220" s="60">
        <v>0.99301666075859596</v>
      </c>
      <c r="BJ220" s="60">
        <v>0</v>
      </c>
    </row>
    <row r="221" spans="1:62" s="60" customFormat="1">
      <c r="A221" s="60" t="s">
        <v>352</v>
      </c>
      <c r="B221" s="60" t="s">
        <v>1072</v>
      </c>
      <c r="D221" s="60" t="s">
        <v>1073</v>
      </c>
      <c r="E221" s="48" t="s">
        <v>623</v>
      </c>
      <c r="F221" s="60" t="s">
        <v>336</v>
      </c>
      <c r="G221" s="52" t="s">
        <v>565</v>
      </c>
      <c r="H221" s="66" t="s">
        <v>75</v>
      </c>
      <c r="J221" s="60" t="s">
        <v>213</v>
      </c>
      <c r="K221" s="60" t="s">
        <v>215</v>
      </c>
      <c r="L221" s="60" t="s">
        <v>79</v>
      </c>
      <c r="M221" s="60">
        <v>6</v>
      </c>
      <c r="N221" s="60">
        <v>4</v>
      </c>
      <c r="P221" s="60">
        <v>9</v>
      </c>
      <c r="R221" s="60">
        <v>2</v>
      </c>
      <c r="T221" s="60">
        <v>4</v>
      </c>
      <c r="W221" s="60" t="s">
        <v>1139</v>
      </c>
      <c r="Z221" s="60">
        <v>68.263895696500299</v>
      </c>
      <c r="AA221" s="60">
        <v>2.1566513086952028</v>
      </c>
      <c r="AD221" s="60">
        <f t="shared" ref="AD221:AE235" si="20">(Z221*100)/17</f>
        <v>401.55232762647233</v>
      </c>
      <c r="AE221" s="60">
        <f t="shared" si="20"/>
        <v>12.686184168795311</v>
      </c>
      <c r="AF221" s="60" t="s">
        <v>1142</v>
      </c>
      <c r="AG221" s="60" t="s">
        <v>215</v>
      </c>
      <c r="AI221" s="60" t="s">
        <v>219</v>
      </c>
      <c r="AJ221" s="60" t="s">
        <v>219</v>
      </c>
      <c r="AK221" s="60">
        <v>0</v>
      </c>
      <c r="AL221" s="60">
        <v>24</v>
      </c>
      <c r="AM221" s="60">
        <f>24*60</f>
        <v>1440</v>
      </c>
      <c r="AN221">
        <v>1.8170731707317</v>
      </c>
      <c r="AO221">
        <v>7.3170731707320025E-2</v>
      </c>
      <c r="AP221" s="60" t="s">
        <v>571</v>
      </c>
      <c r="AQ221" s="60" t="s">
        <v>572</v>
      </c>
      <c r="AR221" s="60">
        <f>((1.8170731707317*Z221)/1000)</f>
        <v>0.12404049339973786</v>
      </c>
      <c r="AS221" s="60">
        <f>((0.07317073170732*AA221)/1000)</f>
        <v>1.5780375429477725E-4</v>
      </c>
      <c r="AT221" s="85">
        <v>1.8170731707317</v>
      </c>
      <c r="AU221">
        <v>7.3170731707320025E-2</v>
      </c>
      <c r="AV221" s="60" t="s">
        <v>571</v>
      </c>
      <c r="BA221" s="60">
        <v>139583.33333333299</v>
      </c>
      <c r="BB221" s="60">
        <v>8035.7142857139988</v>
      </c>
      <c r="BH221" s="60">
        <v>0.96776556776556699</v>
      </c>
      <c r="BJ221" s="60">
        <v>0</v>
      </c>
    </row>
    <row r="222" spans="1:62" s="60" customFormat="1">
      <c r="A222" s="60" t="s">
        <v>352</v>
      </c>
      <c r="B222" s="60" t="s">
        <v>1072</v>
      </c>
      <c r="D222" s="60" t="s">
        <v>1073</v>
      </c>
      <c r="E222" s="48" t="s">
        <v>623</v>
      </c>
      <c r="F222" s="60" t="s">
        <v>336</v>
      </c>
      <c r="G222" s="52" t="s">
        <v>565</v>
      </c>
      <c r="H222" s="66" t="s">
        <v>75</v>
      </c>
      <c r="J222" s="60" t="s">
        <v>213</v>
      </c>
      <c r="K222" s="60" t="s">
        <v>215</v>
      </c>
      <c r="L222" s="60" t="s">
        <v>79</v>
      </c>
      <c r="M222" s="60">
        <v>6</v>
      </c>
      <c r="N222" s="60">
        <v>4</v>
      </c>
      <c r="P222" s="60">
        <v>9</v>
      </c>
      <c r="R222" s="60">
        <v>4</v>
      </c>
      <c r="T222" s="60">
        <v>4</v>
      </c>
      <c r="W222" s="60" t="s">
        <v>1139</v>
      </c>
      <c r="Z222" s="60">
        <v>65.224977943338899</v>
      </c>
      <c r="AA222" s="60">
        <v>2.5497500245073041</v>
      </c>
      <c r="AD222" s="60">
        <f t="shared" si="20"/>
        <v>383.67634084317001</v>
      </c>
      <c r="AE222" s="60">
        <f t="shared" si="20"/>
        <v>14.998529555925318</v>
      </c>
      <c r="AF222" s="60" t="s">
        <v>1142</v>
      </c>
      <c r="AG222" s="60" t="s">
        <v>215</v>
      </c>
      <c r="AI222" s="60" t="s">
        <v>219</v>
      </c>
      <c r="AJ222" s="60" t="s">
        <v>219</v>
      </c>
      <c r="AK222" s="60">
        <v>0</v>
      </c>
      <c r="AL222" s="60">
        <v>24</v>
      </c>
      <c r="AM222" s="60">
        <f>48*60</f>
        <v>2880</v>
      </c>
      <c r="AN222">
        <v>1.6463414634146301</v>
      </c>
      <c r="AO222">
        <v>6.7073170731710041E-2</v>
      </c>
      <c r="AP222" s="60" t="s">
        <v>571</v>
      </c>
      <c r="AQ222" s="60" t="s">
        <v>572</v>
      </c>
      <c r="AR222" s="60">
        <f>((1.64634146341463*Z222)/1000)</f>
        <v>0.10738258563842354</v>
      </c>
      <c r="AS222" s="60">
        <f>((0.06707317073171*AA222)/1000)</f>
        <v>1.7101981871696018E-4</v>
      </c>
      <c r="AT222" s="85">
        <v>1.6463414634146301</v>
      </c>
      <c r="AU222">
        <v>6.7073170731710041E-2</v>
      </c>
      <c r="AV222" s="60" t="s">
        <v>571</v>
      </c>
      <c r="BA222" s="60">
        <v>162202.38095237999</v>
      </c>
      <c r="BB222" s="60">
        <v>15178.571428572002</v>
      </c>
      <c r="BH222" s="60">
        <v>0.91612903225806397</v>
      </c>
      <c r="BJ222" s="60">
        <v>0</v>
      </c>
    </row>
    <row r="223" spans="1:62" s="60" customFormat="1">
      <c r="A223" s="60" t="s">
        <v>352</v>
      </c>
      <c r="B223" s="60" t="s">
        <v>1072</v>
      </c>
      <c r="D223" s="60" t="s">
        <v>1073</v>
      </c>
      <c r="E223" s="48" t="s">
        <v>623</v>
      </c>
      <c r="F223" s="60" t="s">
        <v>336</v>
      </c>
      <c r="G223" s="52" t="s">
        <v>565</v>
      </c>
      <c r="H223" s="66" t="s">
        <v>75</v>
      </c>
      <c r="J223" s="60" t="s">
        <v>213</v>
      </c>
      <c r="K223" s="60" t="s">
        <v>215</v>
      </c>
      <c r="L223" s="60" t="s">
        <v>79</v>
      </c>
      <c r="M223" s="60">
        <v>6</v>
      </c>
      <c r="N223" s="60">
        <v>4</v>
      </c>
      <c r="P223" s="60">
        <v>9</v>
      </c>
      <c r="R223" s="60">
        <v>5</v>
      </c>
      <c r="T223" s="60">
        <v>4</v>
      </c>
      <c r="W223" s="60" t="s">
        <v>1139</v>
      </c>
      <c r="Z223" s="60">
        <v>56.1092049799039</v>
      </c>
      <c r="AA223" s="60">
        <v>5.9798059013821998</v>
      </c>
      <c r="AD223" s="60">
        <f t="shared" si="20"/>
        <v>330.05414694061119</v>
      </c>
      <c r="AE223" s="60">
        <f t="shared" si="20"/>
        <v>35.175328831660003</v>
      </c>
      <c r="AF223" s="60" t="s">
        <v>1142</v>
      </c>
      <c r="AG223" s="60" t="s">
        <v>215</v>
      </c>
      <c r="AI223" s="60" t="s">
        <v>219</v>
      </c>
      <c r="AJ223" s="60" t="s">
        <v>219</v>
      </c>
      <c r="AK223" s="60">
        <v>0</v>
      </c>
      <c r="AL223" s="60">
        <v>24</v>
      </c>
      <c r="AM223" s="60">
        <f>72*60</f>
        <v>4320</v>
      </c>
      <c r="AN223">
        <v>1.8902439024390201</v>
      </c>
      <c r="AO223">
        <v>9.7560975609759959E-2</v>
      </c>
      <c r="AP223" s="60" t="s">
        <v>571</v>
      </c>
      <c r="AQ223" s="60" t="s">
        <v>572</v>
      </c>
      <c r="AR223" s="60">
        <f>((1.89024390243902*Z223)/1000)</f>
        <v>0.10606008258396445</v>
      </c>
      <c r="AS223" s="60">
        <f>((0.09756097560976*AA223)/1000)</f>
        <v>5.8339569769584772E-4</v>
      </c>
      <c r="AT223" s="85">
        <v>1.8902439024390201</v>
      </c>
      <c r="AU223">
        <v>9.7560975609759959E-2</v>
      </c>
      <c r="AV223" s="60" t="s">
        <v>571</v>
      </c>
      <c r="BA223" s="60">
        <v>203273.809523809</v>
      </c>
      <c r="BB223" s="60">
        <v>30059.523809523991</v>
      </c>
      <c r="BH223" s="60">
        <v>0.76780101618811203</v>
      </c>
      <c r="BJ223" s="60">
        <v>0</v>
      </c>
    </row>
    <row r="224" spans="1:62" s="60" customFormat="1">
      <c r="A224" s="60" t="s">
        <v>352</v>
      </c>
      <c r="B224" s="60" t="s">
        <v>1072</v>
      </c>
      <c r="D224" s="60" t="s">
        <v>1073</v>
      </c>
      <c r="E224" s="48" t="s">
        <v>623</v>
      </c>
      <c r="F224" s="60" t="s">
        <v>336</v>
      </c>
      <c r="G224" s="52" t="s">
        <v>565</v>
      </c>
      <c r="H224" s="66" t="s">
        <v>75</v>
      </c>
      <c r="J224" s="60" t="s">
        <v>213</v>
      </c>
      <c r="K224" s="60" t="s">
        <v>215</v>
      </c>
      <c r="L224" s="60" t="s">
        <v>79</v>
      </c>
      <c r="M224" s="60">
        <v>6</v>
      </c>
      <c r="N224" s="60">
        <v>4</v>
      </c>
      <c r="P224" s="60">
        <v>9</v>
      </c>
      <c r="R224" s="60">
        <v>1</v>
      </c>
      <c r="T224" s="60">
        <v>4</v>
      </c>
      <c r="W224" s="60" t="s">
        <v>1139</v>
      </c>
      <c r="Z224" s="60">
        <v>69.818645230859701</v>
      </c>
      <c r="AA224" s="60">
        <v>6.0778355063228986</v>
      </c>
      <c r="AD224" s="60">
        <f t="shared" si="20"/>
        <v>410.69791312270411</v>
      </c>
      <c r="AE224" s="60">
        <f t="shared" si="20"/>
        <v>35.751973566605287</v>
      </c>
      <c r="AF224" s="60" t="s">
        <v>1142</v>
      </c>
      <c r="AG224" s="60" t="s">
        <v>215</v>
      </c>
      <c r="AI224" s="60" t="s">
        <v>218</v>
      </c>
      <c r="AJ224" s="60" t="s">
        <v>219</v>
      </c>
      <c r="AK224" s="60">
        <v>0</v>
      </c>
      <c r="AL224" s="60">
        <v>24</v>
      </c>
      <c r="AM224" s="60">
        <v>0</v>
      </c>
      <c r="AN224">
        <v>1.84756097560975</v>
      </c>
      <c r="AO224">
        <v>6.7073170731710041E-2</v>
      </c>
      <c r="AP224" s="60" t="s">
        <v>571</v>
      </c>
      <c r="AQ224" s="60" t="s">
        <v>572</v>
      </c>
      <c r="AR224" s="60">
        <f>((1.84756097560975*Z224)/1000)</f>
        <v>0.12899420429847816</v>
      </c>
      <c r="AS224" s="60">
        <f>((0.06707317073171*AA224)/1000)</f>
        <v>4.0765969859484484E-4</v>
      </c>
      <c r="AT224" s="85">
        <v>1.84756097560975</v>
      </c>
      <c r="AU224">
        <v>6.7073170731710041E-2</v>
      </c>
      <c r="AV224" s="60" t="s">
        <v>571</v>
      </c>
      <c r="BA224" s="60">
        <v>132738.095238095</v>
      </c>
      <c r="BB224" s="60">
        <v>10416.666666665988</v>
      </c>
      <c r="BH224" s="60">
        <v>0.99300484461774696</v>
      </c>
      <c r="BJ224" s="60">
        <v>24</v>
      </c>
    </row>
    <row r="225" spans="1:62" s="60" customFormat="1">
      <c r="A225" s="60" t="s">
        <v>352</v>
      </c>
      <c r="B225" s="60" t="s">
        <v>1072</v>
      </c>
      <c r="D225" s="60" t="s">
        <v>1073</v>
      </c>
      <c r="E225" s="48" t="s">
        <v>623</v>
      </c>
      <c r="F225" s="60" t="s">
        <v>336</v>
      </c>
      <c r="G225" s="52" t="s">
        <v>565</v>
      </c>
      <c r="H225" s="66" t="s">
        <v>75</v>
      </c>
      <c r="J225" s="60" t="s">
        <v>213</v>
      </c>
      <c r="K225" s="60" t="s">
        <v>215</v>
      </c>
      <c r="L225" s="60" t="s">
        <v>79</v>
      </c>
      <c r="M225" s="60">
        <v>6</v>
      </c>
      <c r="N225" s="60">
        <v>4</v>
      </c>
      <c r="P225" s="60">
        <v>9</v>
      </c>
      <c r="R225" s="60">
        <v>2</v>
      </c>
      <c r="T225" s="60">
        <v>4</v>
      </c>
      <c r="W225" s="60" t="s">
        <v>1139</v>
      </c>
      <c r="Z225" s="60">
        <v>74.230957749240204</v>
      </c>
      <c r="AA225" s="60">
        <v>4.2142927164003936</v>
      </c>
      <c r="AD225" s="60">
        <f t="shared" si="20"/>
        <v>436.65269264258944</v>
      </c>
      <c r="AE225" s="60">
        <f t="shared" si="20"/>
        <v>24.789957155296435</v>
      </c>
      <c r="AF225" s="60" t="s">
        <v>1142</v>
      </c>
      <c r="AG225" s="60" t="s">
        <v>215</v>
      </c>
      <c r="AI225" s="60" t="s">
        <v>218</v>
      </c>
      <c r="AJ225" s="60" t="s">
        <v>219</v>
      </c>
      <c r="AK225" s="60">
        <v>0</v>
      </c>
      <c r="AL225" s="60">
        <v>24</v>
      </c>
      <c r="AM225" s="60">
        <f>24*60</f>
        <v>1440</v>
      </c>
      <c r="AN225">
        <v>1.5304878048780399</v>
      </c>
      <c r="AO225">
        <v>0.16463414634147</v>
      </c>
      <c r="AP225" s="60" t="s">
        <v>571</v>
      </c>
      <c r="AQ225" s="60" t="s">
        <v>572</v>
      </c>
      <c r="AR225" s="60">
        <f>((1.53048780487804*Z225)/1000)</f>
        <v>0.11360957557962917</v>
      </c>
      <c r="AS225" s="60">
        <f>((0.16463414634147*AA225)/1000)</f>
        <v>6.9381648379765351E-4</v>
      </c>
      <c r="AT225" s="85">
        <v>1.5304878048780399</v>
      </c>
      <c r="AU225">
        <v>0.16463414634147</v>
      </c>
      <c r="AV225" s="60" t="s">
        <v>571</v>
      </c>
      <c r="BA225" s="60">
        <v>128869.04761904701</v>
      </c>
      <c r="BB225" s="60">
        <v>4464.2857142859866</v>
      </c>
      <c r="BH225" s="60">
        <v>0.88199220134703904</v>
      </c>
      <c r="BJ225" s="60">
        <v>24</v>
      </c>
    </row>
    <row r="226" spans="1:62" s="60" customFormat="1">
      <c r="A226" s="60" t="s">
        <v>352</v>
      </c>
      <c r="B226" s="60" t="s">
        <v>1072</v>
      </c>
      <c r="D226" s="60" t="s">
        <v>1073</v>
      </c>
      <c r="E226" s="48" t="s">
        <v>623</v>
      </c>
      <c r="F226" s="60" t="s">
        <v>336</v>
      </c>
      <c r="G226" s="52" t="s">
        <v>565</v>
      </c>
      <c r="H226" s="66" t="s">
        <v>75</v>
      </c>
      <c r="J226" s="60" t="s">
        <v>213</v>
      </c>
      <c r="K226" s="60" t="s">
        <v>215</v>
      </c>
      <c r="L226" s="60" t="s">
        <v>79</v>
      </c>
      <c r="M226" s="60">
        <v>6</v>
      </c>
      <c r="N226" s="60">
        <v>4</v>
      </c>
      <c r="P226" s="60">
        <v>9</v>
      </c>
      <c r="R226" s="60">
        <v>4</v>
      </c>
      <c r="T226" s="60">
        <v>4</v>
      </c>
      <c r="W226" s="60" t="s">
        <v>1139</v>
      </c>
      <c r="Z226" s="60">
        <v>60.016665032839903</v>
      </c>
      <c r="AA226" s="60">
        <v>3.823154592686997</v>
      </c>
      <c r="AD226" s="60">
        <f t="shared" si="20"/>
        <v>353.03920607552885</v>
      </c>
      <c r="AE226" s="60">
        <f t="shared" si="20"/>
        <v>22.489144662864685</v>
      </c>
      <c r="AF226" s="60" t="s">
        <v>1142</v>
      </c>
      <c r="AG226" s="60" t="s">
        <v>215</v>
      </c>
      <c r="AI226" s="60" t="s">
        <v>218</v>
      </c>
      <c r="AJ226" s="60" t="s">
        <v>219</v>
      </c>
      <c r="AK226" s="60">
        <v>0</v>
      </c>
      <c r="AL226" s="60">
        <v>24</v>
      </c>
      <c r="AM226" s="60">
        <f>48*60</f>
        <v>2880</v>
      </c>
      <c r="AN226">
        <v>1.9512195121951199</v>
      </c>
      <c r="AO226">
        <v>0.12195121951219012</v>
      </c>
      <c r="AP226" s="60" t="s">
        <v>571</v>
      </c>
      <c r="AQ226" s="60" t="s">
        <v>572</v>
      </c>
      <c r="AR226" s="60">
        <f>((1.95121951219512*Z226)/1000)</f>
        <v>0.11710568786895578</v>
      </c>
      <c r="AS226" s="60">
        <f>((0.12195121951219*AA226)/1000)</f>
        <v>4.6623836496180931E-4</v>
      </c>
      <c r="AT226" s="85">
        <v>1.9512195121951199</v>
      </c>
      <c r="AU226">
        <v>0.12195121951219012</v>
      </c>
      <c r="AV226" s="60" t="s">
        <v>571</v>
      </c>
      <c r="BA226" s="60">
        <v>181547.61904761899</v>
      </c>
      <c r="BB226" s="60">
        <v>13392.857142857014</v>
      </c>
      <c r="BH226" s="60">
        <v>0.64904880066170301</v>
      </c>
      <c r="BJ226" s="60">
        <v>24</v>
      </c>
    </row>
    <row r="227" spans="1:62" s="60" customFormat="1">
      <c r="A227" s="60" t="s">
        <v>352</v>
      </c>
      <c r="B227" s="60" t="s">
        <v>1072</v>
      </c>
      <c r="D227" s="60" t="s">
        <v>1073</v>
      </c>
      <c r="E227" s="48" t="s">
        <v>623</v>
      </c>
      <c r="F227" s="60" t="s">
        <v>336</v>
      </c>
      <c r="G227" s="52" t="s">
        <v>565</v>
      </c>
      <c r="H227" s="66" t="s">
        <v>75</v>
      </c>
      <c r="J227" s="60" t="s">
        <v>213</v>
      </c>
      <c r="K227" s="60" t="s">
        <v>215</v>
      </c>
      <c r="L227" s="60" t="s">
        <v>79</v>
      </c>
      <c r="M227" s="60">
        <v>6</v>
      </c>
      <c r="N227" s="60">
        <v>4</v>
      </c>
      <c r="P227" s="60">
        <v>9</v>
      </c>
      <c r="R227" s="60">
        <v>5</v>
      </c>
      <c r="T227" s="60">
        <v>4</v>
      </c>
      <c r="W227" s="60" t="s">
        <v>1139</v>
      </c>
      <c r="Z227" s="60">
        <v>55.704342711498803</v>
      </c>
      <c r="AA227" s="60">
        <v>2.7448289383393956</v>
      </c>
      <c r="AD227" s="60">
        <f t="shared" si="20"/>
        <v>327.67260418528707</v>
      </c>
      <c r="AE227" s="60">
        <f t="shared" si="20"/>
        <v>16.146052578467032</v>
      </c>
      <c r="AF227" s="60" t="s">
        <v>1142</v>
      </c>
      <c r="AG227" s="60" t="s">
        <v>215</v>
      </c>
      <c r="AI227" s="60" t="s">
        <v>218</v>
      </c>
      <c r="AJ227" s="60" t="s">
        <v>219</v>
      </c>
      <c r="AK227" s="60">
        <v>0</v>
      </c>
      <c r="AL227" s="60">
        <v>24</v>
      </c>
      <c r="AM227" s="60">
        <f>72*60</f>
        <v>4320</v>
      </c>
      <c r="AN227">
        <v>1.9451219512195099</v>
      </c>
      <c r="AO227">
        <v>6.0975609756090288E-2</v>
      </c>
      <c r="AP227" s="60" t="s">
        <v>571</v>
      </c>
      <c r="AQ227" s="60" t="s">
        <v>572</v>
      </c>
      <c r="AR227" s="60">
        <f>((1.94512195121951*Z227)/1000)</f>
        <v>0.10835173978639084</v>
      </c>
      <c r="AS227" s="60">
        <f>((0.0609756097560903*AA227)/1000)</f>
        <v>1.6736761819140665E-4</v>
      </c>
      <c r="AT227" s="85">
        <v>1.9451219512195099</v>
      </c>
      <c r="AU227">
        <v>6.0975609756090288E-2</v>
      </c>
      <c r="AV227" s="60" t="s">
        <v>571</v>
      </c>
      <c r="BA227" s="60">
        <v>186607.142857142</v>
      </c>
      <c r="BB227" s="60">
        <v>18154.76190476201</v>
      </c>
      <c r="BH227" s="60">
        <v>0.54025759187049505</v>
      </c>
      <c r="BJ227" s="60">
        <v>24</v>
      </c>
    </row>
    <row r="228" spans="1:62" s="60" customFormat="1">
      <c r="A228" s="60" t="s">
        <v>352</v>
      </c>
      <c r="B228" s="60" t="s">
        <v>1072</v>
      </c>
      <c r="D228" s="60" t="s">
        <v>1073</v>
      </c>
      <c r="E228" s="48" t="s">
        <v>623</v>
      </c>
      <c r="F228" s="60" t="s">
        <v>336</v>
      </c>
      <c r="G228" s="52" t="s">
        <v>565</v>
      </c>
      <c r="H228" s="66" t="s">
        <v>75</v>
      </c>
      <c r="J228" s="60" t="s">
        <v>213</v>
      </c>
      <c r="K228" s="60" t="s">
        <v>215</v>
      </c>
      <c r="L228" s="60" t="s">
        <v>79</v>
      </c>
      <c r="M228" s="60">
        <v>6</v>
      </c>
      <c r="N228" s="60">
        <v>4</v>
      </c>
      <c r="P228" s="60">
        <v>9</v>
      </c>
      <c r="R228" s="60">
        <v>1</v>
      </c>
      <c r="T228" s="60">
        <v>4</v>
      </c>
      <c r="W228" s="60" t="s">
        <v>1139</v>
      </c>
      <c r="Z228" s="60">
        <v>75.297519850995002</v>
      </c>
      <c r="AA228" s="60">
        <v>4.8024703460445011</v>
      </c>
      <c r="AD228" s="60">
        <f t="shared" si="20"/>
        <v>442.92658735879417</v>
      </c>
      <c r="AE228" s="60">
        <f t="shared" si="20"/>
        <v>28.249825564967654</v>
      </c>
      <c r="AF228" s="60" t="s">
        <v>1142</v>
      </c>
      <c r="AG228" s="60" t="s">
        <v>215</v>
      </c>
      <c r="AI228" s="60" t="s">
        <v>219</v>
      </c>
      <c r="AJ228" s="60" t="s">
        <v>218</v>
      </c>
      <c r="AK228" s="60">
        <v>6.49</v>
      </c>
      <c r="AL228" s="60">
        <v>30.49</v>
      </c>
      <c r="AM228" s="60">
        <v>0</v>
      </c>
      <c r="AN228">
        <v>2.6890243902439002</v>
      </c>
      <c r="AO228">
        <v>0.12804878048779988</v>
      </c>
      <c r="AP228" s="60" t="s">
        <v>571</v>
      </c>
      <c r="AQ228" s="60" t="s">
        <v>572</v>
      </c>
      <c r="AR228" s="60">
        <f>((2.6890243902439*Z228)/1000)</f>
        <v>0.20247686740419979</v>
      </c>
      <c r="AS228" s="60">
        <f>((0.1280487804878*AA228)/1000)</f>
        <v>6.1495047113982113E-4</v>
      </c>
      <c r="AT228" s="85">
        <v>2.6890243902439002</v>
      </c>
      <c r="AU228">
        <v>0.12804878048779988</v>
      </c>
      <c r="AV228" s="60" t="s">
        <v>571</v>
      </c>
      <c r="BA228" s="60">
        <v>132738.095238095</v>
      </c>
      <c r="BB228" s="60">
        <v>5357.142857142986</v>
      </c>
      <c r="BH228" s="60">
        <v>0.99410374571664795</v>
      </c>
      <c r="BJ228" s="60">
        <v>48</v>
      </c>
    </row>
    <row r="229" spans="1:62" s="60" customFormat="1">
      <c r="A229" s="60" t="s">
        <v>352</v>
      </c>
      <c r="B229" s="60" t="s">
        <v>1072</v>
      </c>
      <c r="D229" s="60" t="s">
        <v>1073</v>
      </c>
      <c r="E229" s="48" t="s">
        <v>623</v>
      </c>
      <c r="F229" s="60" t="s">
        <v>336</v>
      </c>
      <c r="G229" s="52" t="s">
        <v>565</v>
      </c>
      <c r="H229" s="66" t="s">
        <v>75</v>
      </c>
      <c r="J229" s="60" t="s">
        <v>213</v>
      </c>
      <c r="K229" s="60" t="s">
        <v>215</v>
      </c>
      <c r="L229" s="60" t="s">
        <v>79</v>
      </c>
      <c r="M229" s="60">
        <v>6</v>
      </c>
      <c r="N229" s="60">
        <v>4</v>
      </c>
      <c r="P229" s="60">
        <v>9</v>
      </c>
      <c r="R229" s="60">
        <v>2</v>
      </c>
      <c r="T229" s="60">
        <v>4</v>
      </c>
      <c r="W229" s="60" t="s">
        <v>1139</v>
      </c>
      <c r="Z229" s="60">
        <v>69.905891579256902</v>
      </c>
      <c r="AA229" s="60">
        <v>2.4517204195666977</v>
      </c>
      <c r="AD229" s="60">
        <f t="shared" si="20"/>
        <v>411.21112693680533</v>
      </c>
      <c r="AE229" s="60">
        <f t="shared" si="20"/>
        <v>14.421884820980575</v>
      </c>
      <c r="AF229" s="60" t="s">
        <v>1142</v>
      </c>
      <c r="AG229" s="60" t="s">
        <v>215</v>
      </c>
      <c r="AI229" s="60" t="s">
        <v>219</v>
      </c>
      <c r="AJ229" s="60" t="s">
        <v>218</v>
      </c>
      <c r="AK229" s="60">
        <v>6.49</v>
      </c>
      <c r="AL229" s="60">
        <v>30.49</v>
      </c>
      <c r="AM229" s="60">
        <f>24*60</f>
        <v>1440</v>
      </c>
      <c r="AN229">
        <v>2.2195121951219501</v>
      </c>
      <c r="AO229">
        <v>0.1219512195121899</v>
      </c>
      <c r="AP229" s="60" t="s">
        <v>571</v>
      </c>
      <c r="AQ229" s="60" t="s">
        <v>572</v>
      </c>
      <c r="AR229" s="60">
        <f>((2.21951219512195*Z229)/1000)</f>
        <v>0.15515697887103355</v>
      </c>
      <c r="AS229" s="60">
        <f>((0.12195121951219*AA229)/1000)</f>
        <v>2.9899029506909693E-4</v>
      </c>
      <c r="AT229" s="85">
        <v>2.2195121951219501</v>
      </c>
      <c r="AU229">
        <v>0.1219512195121899</v>
      </c>
      <c r="AV229" s="60" t="s">
        <v>571</v>
      </c>
      <c r="BA229" s="60">
        <v>124404.76190476101</v>
      </c>
      <c r="BB229" s="60">
        <v>11904.761904761996</v>
      </c>
      <c r="BH229" s="60">
        <v>0.90720784591752301</v>
      </c>
      <c r="BJ229" s="60">
        <v>48</v>
      </c>
    </row>
    <row r="230" spans="1:62" s="60" customFormat="1">
      <c r="A230" s="60" t="s">
        <v>352</v>
      </c>
      <c r="B230" s="60" t="s">
        <v>1072</v>
      </c>
      <c r="D230" s="60" t="s">
        <v>1073</v>
      </c>
      <c r="E230" s="48" t="s">
        <v>623</v>
      </c>
      <c r="F230" s="60" t="s">
        <v>336</v>
      </c>
      <c r="G230" s="52" t="s">
        <v>565</v>
      </c>
      <c r="H230" s="66" t="s">
        <v>75</v>
      </c>
      <c r="J230" s="60" t="s">
        <v>213</v>
      </c>
      <c r="K230" s="60" t="s">
        <v>215</v>
      </c>
      <c r="L230" s="60" t="s">
        <v>79</v>
      </c>
      <c r="M230" s="60">
        <v>6</v>
      </c>
      <c r="N230" s="60">
        <v>4</v>
      </c>
      <c r="P230" s="60">
        <v>9</v>
      </c>
      <c r="R230" s="60">
        <v>4</v>
      </c>
      <c r="T230" s="60">
        <v>4</v>
      </c>
      <c r="W230" s="60" t="s">
        <v>1139</v>
      </c>
      <c r="Z230" s="60">
        <v>65.104401529261807</v>
      </c>
      <c r="AA230" s="60">
        <v>5.6866973826094949</v>
      </c>
      <c r="AD230" s="60">
        <f t="shared" si="20"/>
        <v>382.96706781918709</v>
      </c>
      <c r="AE230" s="60">
        <f t="shared" si="20"/>
        <v>33.451161074173505</v>
      </c>
      <c r="AF230" s="60" t="s">
        <v>1142</v>
      </c>
      <c r="AG230" s="60" t="s">
        <v>215</v>
      </c>
      <c r="AI230" s="60" t="s">
        <v>219</v>
      </c>
      <c r="AJ230" s="60" t="s">
        <v>218</v>
      </c>
      <c r="AK230" s="60">
        <v>6.49</v>
      </c>
      <c r="AL230" s="60">
        <v>30.49</v>
      </c>
      <c r="AM230" s="60">
        <f>48*60</f>
        <v>2880</v>
      </c>
      <c r="AN230">
        <v>2.35365853658536</v>
      </c>
      <c r="AO230">
        <v>0.18902439024390016</v>
      </c>
      <c r="AP230" s="60" t="s">
        <v>571</v>
      </c>
      <c r="AQ230" s="60" t="s">
        <v>572</v>
      </c>
      <c r="AR230" s="60">
        <f>((2.35365853658536*Z230)/1000)</f>
        <v>0.15323353042862803</v>
      </c>
      <c r="AS230" s="60">
        <f>((0.1890243902439*AA230)/1000)</f>
        <v>1.0749245052493418E-3</v>
      </c>
      <c r="AT230" s="85">
        <v>2.35365853658536</v>
      </c>
      <c r="AU230">
        <v>0.18902439024390016</v>
      </c>
      <c r="AV230" s="60" t="s">
        <v>571</v>
      </c>
      <c r="BA230" s="60">
        <v>165773.809523809</v>
      </c>
      <c r="BB230" s="60">
        <v>6250</v>
      </c>
      <c r="BH230" s="60">
        <v>0.63360510457284602</v>
      </c>
      <c r="BJ230" s="60">
        <v>48</v>
      </c>
    </row>
    <row r="231" spans="1:62" s="60" customFormat="1">
      <c r="A231" s="60" t="s">
        <v>352</v>
      </c>
      <c r="B231" s="60" t="s">
        <v>1072</v>
      </c>
      <c r="D231" s="60" t="s">
        <v>1073</v>
      </c>
      <c r="E231" s="48" t="s">
        <v>623</v>
      </c>
      <c r="F231" s="60" t="s">
        <v>336</v>
      </c>
      <c r="G231" s="52" t="s">
        <v>565</v>
      </c>
      <c r="H231" s="66" t="s">
        <v>75</v>
      </c>
      <c r="J231" s="60" t="s">
        <v>213</v>
      </c>
      <c r="K231" s="60" t="s">
        <v>215</v>
      </c>
      <c r="L231" s="60" t="s">
        <v>79</v>
      </c>
      <c r="M231" s="60">
        <v>6</v>
      </c>
      <c r="N231" s="60">
        <v>4</v>
      </c>
      <c r="P231" s="60">
        <v>9</v>
      </c>
      <c r="R231" s="60">
        <v>5</v>
      </c>
      <c r="T231" s="60">
        <v>4</v>
      </c>
      <c r="W231" s="60" t="s">
        <v>1139</v>
      </c>
      <c r="Z231" s="60">
        <v>45.596510146064098</v>
      </c>
      <c r="AA231" s="60">
        <v>4.0201940986177007</v>
      </c>
      <c r="AD231" s="60">
        <f t="shared" si="20"/>
        <v>268.21476556508293</v>
      </c>
      <c r="AE231" s="60">
        <f t="shared" si="20"/>
        <v>23.648200580104124</v>
      </c>
      <c r="AF231" s="60" t="s">
        <v>1142</v>
      </c>
      <c r="AG231" s="60" t="s">
        <v>215</v>
      </c>
      <c r="AI231" s="60" t="s">
        <v>219</v>
      </c>
      <c r="AJ231" s="60" t="s">
        <v>218</v>
      </c>
      <c r="AK231" s="60">
        <v>6.49</v>
      </c>
      <c r="AL231" s="60">
        <v>30.49</v>
      </c>
      <c r="AM231" s="60">
        <f>72*60</f>
        <v>4320</v>
      </c>
      <c r="AN231">
        <v>3.57317073170731</v>
      </c>
      <c r="AO231">
        <v>0.25</v>
      </c>
      <c r="AP231" s="60" t="s">
        <v>571</v>
      </c>
      <c r="AQ231" s="60" t="s">
        <v>572</v>
      </c>
      <c r="AR231" s="60">
        <f>((3.57317073170731*Z231)/1000)</f>
        <v>0.16292411552191163</v>
      </c>
      <c r="AS231" s="60">
        <f>((0.25*AA231)/1000)</f>
        <v>1.0050485246544251E-3</v>
      </c>
      <c r="AT231" s="85">
        <v>3.57317073170731</v>
      </c>
      <c r="AU231">
        <v>0.25</v>
      </c>
      <c r="AV231" s="60" t="s">
        <v>571</v>
      </c>
      <c r="BA231" s="60">
        <v>189880.95238095199</v>
      </c>
      <c r="BB231" s="60">
        <v>17559.52380952402</v>
      </c>
      <c r="BH231" s="60">
        <v>0.581980385206191</v>
      </c>
      <c r="BJ231" s="60">
        <v>48</v>
      </c>
    </row>
    <row r="232" spans="1:62" s="60" customFormat="1">
      <c r="A232" s="60" t="s">
        <v>352</v>
      </c>
      <c r="B232" s="60" t="s">
        <v>1072</v>
      </c>
      <c r="D232" s="60" t="s">
        <v>1073</v>
      </c>
      <c r="E232" s="48" t="s">
        <v>623</v>
      </c>
      <c r="F232" s="60" t="s">
        <v>336</v>
      </c>
      <c r="G232" s="52" t="s">
        <v>565</v>
      </c>
      <c r="H232" s="66" t="s">
        <v>75</v>
      </c>
      <c r="J232" s="60" t="s">
        <v>213</v>
      </c>
      <c r="K232" s="60" t="s">
        <v>215</v>
      </c>
      <c r="L232" s="60" t="s">
        <v>79</v>
      </c>
      <c r="M232" s="60">
        <v>6</v>
      </c>
      <c r="N232" s="60">
        <v>4</v>
      </c>
      <c r="P232" s="60">
        <v>9</v>
      </c>
      <c r="R232" s="60">
        <v>1</v>
      </c>
      <c r="T232" s="60">
        <v>4</v>
      </c>
      <c r="W232" s="60" t="s">
        <v>1139</v>
      </c>
      <c r="Z232" s="60">
        <v>69.502989902950603</v>
      </c>
      <c r="AA232" s="60">
        <v>2.9408881482207931</v>
      </c>
      <c r="AD232" s="60">
        <f t="shared" si="20"/>
        <v>408.84111707618001</v>
      </c>
      <c r="AE232" s="60">
        <f t="shared" si="20"/>
        <v>17.299342048357605</v>
      </c>
      <c r="AF232" s="60" t="s">
        <v>1142</v>
      </c>
      <c r="AG232" s="60" t="s">
        <v>215</v>
      </c>
      <c r="AI232" s="60" t="s">
        <v>218</v>
      </c>
      <c r="AJ232" s="60" t="s">
        <v>218</v>
      </c>
      <c r="AK232" s="60">
        <v>6.49</v>
      </c>
      <c r="AL232" s="60">
        <v>30.49</v>
      </c>
      <c r="AM232" s="60">
        <v>0</v>
      </c>
      <c r="AN232">
        <v>2.7256097560975601</v>
      </c>
      <c r="AO232">
        <v>0.16463414634145979</v>
      </c>
      <c r="AP232" s="60" t="s">
        <v>571</v>
      </c>
      <c r="AQ232" s="60" t="s">
        <v>572</v>
      </c>
      <c r="AR232" s="60">
        <f>((2.72560975609756*Z232)/1000)</f>
        <v>0.18943802735743237</v>
      </c>
      <c r="AS232" s="60">
        <f>((0.16463414634146*AA232)/1000)</f>
        <v>4.8417060976804738E-4</v>
      </c>
      <c r="AT232" s="85">
        <v>2.7256097560975601</v>
      </c>
      <c r="AU232">
        <v>0.16463414634145979</v>
      </c>
      <c r="AV232" s="60" t="s">
        <v>571</v>
      </c>
      <c r="BA232" s="60">
        <v>167559.523809523</v>
      </c>
      <c r="BB232" s="60">
        <v>14583.333333334012</v>
      </c>
      <c r="BH232" s="60">
        <v>0.99410374571664795</v>
      </c>
      <c r="BJ232" s="60">
        <v>72</v>
      </c>
    </row>
    <row r="233" spans="1:62" s="60" customFormat="1">
      <c r="A233" s="60" t="s">
        <v>352</v>
      </c>
      <c r="B233" s="60" t="s">
        <v>1072</v>
      </c>
      <c r="D233" s="60" t="s">
        <v>1073</v>
      </c>
      <c r="E233" s="48" t="s">
        <v>623</v>
      </c>
      <c r="F233" s="60" t="s">
        <v>336</v>
      </c>
      <c r="G233" s="52" t="s">
        <v>565</v>
      </c>
      <c r="H233" s="66" t="s">
        <v>75</v>
      </c>
      <c r="J233" s="60" t="s">
        <v>213</v>
      </c>
      <c r="K233" s="60" t="s">
        <v>215</v>
      </c>
      <c r="L233" s="60" t="s">
        <v>79</v>
      </c>
      <c r="M233" s="60">
        <v>6</v>
      </c>
      <c r="N233" s="60">
        <v>4</v>
      </c>
      <c r="P233" s="60">
        <v>9</v>
      </c>
      <c r="R233" s="60">
        <v>2</v>
      </c>
      <c r="T233" s="60">
        <v>4</v>
      </c>
      <c r="W233" s="60" t="s">
        <v>1139</v>
      </c>
      <c r="Z233" s="60">
        <v>69.993137927654104</v>
      </c>
      <c r="AA233" s="60">
        <v>3.9221644936771014</v>
      </c>
      <c r="AD233" s="60">
        <f t="shared" si="20"/>
        <v>411.72434075090649</v>
      </c>
      <c r="AE233" s="60">
        <f t="shared" si="20"/>
        <v>23.07155584515942</v>
      </c>
      <c r="AF233" s="60" t="s">
        <v>1142</v>
      </c>
      <c r="AG233" s="60" t="s">
        <v>215</v>
      </c>
      <c r="AI233" s="60" t="s">
        <v>218</v>
      </c>
      <c r="AJ233" s="60" t="s">
        <v>218</v>
      </c>
      <c r="AK233" s="60">
        <v>6.49</v>
      </c>
      <c r="AL233" s="60">
        <v>30.49</v>
      </c>
      <c r="AM233" s="60">
        <f>24*60</f>
        <v>1440</v>
      </c>
      <c r="AN233">
        <v>2.1280487804877999</v>
      </c>
      <c r="AO233">
        <v>0.1219512195121899</v>
      </c>
      <c r="AP233" s="60" t="s">
        <v>571</v>
      </c>
      <c r="AQ233" s="60" t="s">
        <v>572</v>
      </c>
      <c r="AR233" s="60">
        <f>((2.1280487804878*Z233)/1000)</f>
        <v>0.14894881180945868</v>
      </c>
      <c r="AS233" s="60">
        <f>((0.12195121951219*AA233)/1000)</f>
        <v>4.7831274313133376E-4</v>
      </c>
      <c r="AT233" s="85">
        <v>2.1280487804877999</v>
      </c>
      <c r="AU233">
        <v>0.1219512195121899</v>
      </c>
      <c r="AV233" s="60" t="s">
        <v>571</v>
      </c>
      <c r="BA233" s="60">
        <v>127083.33333333299</v>
      </c>
      <c r="BB233" s="60">
        <v>4464.2857142860012</v>
      </c>
      <c r="BH233" s="60">
        <v>0.91923667730119296</v>
      </c>
      <c r="BJ233" s="60">
        <v>72</v>
      </c>
    </row>
    <row r="234" spans="1:62" s="60" customFormat="1">
      <c r="A234" s="60" t="s">
        <v>352</v>
      </c>
      <c r="B234" s="60" t="s">
        <v>1072</v>
      </c>
      <c r="D234" s="60" t="s">
        <v>1073</v>
      </c>
      <c r="E234" s="48" t="s">
        <v>623</v>
      </c>
      <c r="F234" s="60" t="s">
        <v>336</v>
      </c>
      <c r="G234" s="52" t="s">
        <v>565</v>
      </c>
      <c r="H234" s="66" t="s">
        <v>75</v>
      </c>
      <c r="J234" s="60" t="s">
        <v>213</v>
      </c>
      <c r="K234" s="60" t="s">
        <v>215</v>
      </c>
      <c r="L234" s="60" t="s">
        <v>79</v>
      </c>
      <c r="M234" s="60">
        <v>6</v>
      </c>
      <c r="N234" s="60">
        <v>4</v>
      </c>
      <c r="P234" s="60">
        <v>9</v>
      </c>
      <c r="R234" s="60">
        <v>4</v>
      </c>
      <c r="T234" s="60">
        <v>4</v>
      </c>
      <c r="W234" s="60" t="s">
        <v>1139</v>
      </c>
      <c r="Z234" s="60">
        <v>64.994608371728205</v>
      </c>
      <c r="AA234" s="60">
        <v>2.3517302225271948</v>
      </c>
      <c r="AD234" s="60">
        <f t="shared" si="20"/>
        <v>382.32122571604827</v>
      </c>
      <c r="AE234" s="60">
        <f t="shared" si="20"/>
        <v>13.83370719133644</v>
      </c>
      <c r="AF234" s="60" t="s">
        <v>1142</v>
      </c>
      <c r="AG234" s="60" t="s">
        <v>215</v>
      </c>
      <c r="AI234" s="60" t="s">
        <v>218</v>
      </c>
      <c r="AJ234" s="60" t="s">
        <v>218</v>
      </c>
      <c r="AK234" s="60">
        <v>6.49</v>
      </c>
      <c r="AL234" s="60">
        <v>30.49</v>
      </c>
      <c r="AM234" s="60">
        <f>48*60</f>
        <v>2880</v>
      </c>
      <c r="AN234">
        <v>2.3109756097560901</v>
      </c>
      <c r="AO234">
        <v>0.11585365853659013</v>
      </c>
      <c r="AP234" s="60" t="s">
        <v>571</v>
      </c>
      <c r="AQ234" s="60" t="s">
        <v>572</v>
      </c>
      <c r="AR234" s="60">
        <f>((2.31097560975609*Z234)/1000)</f>
        <v>0.15020095471271286</v>
      </c>
      <c r="AS234" s="60">
        <f>((0.11585365853659*AA234)/1000)</f>
        <v>2.7245655017084445E-4</v>
      </c>
      <c r="AT234" s="85">
        <v>2.3109756097560901</v>
      </c>
      <c r="AU234">
        <v>0.11585365853659013</v>
      </c>
      <c r="AV234" s="60" t="s">
        <v>571</v>
      </c>
      <c r="BA234" s="60">
        <v>201190.47619047601</v>
      </c>
      <c r="BB234" s="60">
        <v>11011.904761903977</v>
      </c>
      <c r="BH234" s="60">
        <v>0.66980976013233995</v>
      </c>
      <c r="BJ234" s="60">
        <v>72</v>
      </c>
    </row>
    <row r="235" spans="1:62" s="60" customFormat="1">
      <c r="A235" s="60" t="s">
        <v>352</v>
      </c>
      <c r="B235" s="60" t="s">
        <v>1072</v>
      </c>
      <c r="D235" s="60" t="s">
        <v>1073</v>
      </c>
      <c r="E235" s="48" t="s">
        <v>623</v>
      </c>
      <c r="F235" s="60" t="s">
        <v>336</v>
      </c>
      <c r="G235" s="52" t="s">
        <v>565</v>
      </c>
      <c r="H235" s="66" t="s">
        <v>75</v>
      </c>
      <c r="J235" s="60" t="s">
        <v>213</v>
      </c>
      <c r="K235" s="60" t="s">
        <v>215</v>
      </c>
      <c r="L235" s="60" t="s">
        <v>79</v>
      </c>
      <c r="M235" s="60">
        <v>6</v>
      </c>
      <c r="N235" s="60">
        <v>4</v>
      </c>
      <c r="P235" s="60">
        <v>9</v>
      </c>
      <c r="R235" s="60">
        <v>5</v>
      </c>
      <c r="T235" s="60">
        <v>4</v>
      </c>
      <c r="W235" s="60" t="s">
        <v>1139</v>
      </c>
      <c r="Z235" s="60">
        <v>50.094108420742998</v>
      </c>
      <c r="AA235" s="60">
        <v>6.8620723458485031</v>
      </c>
      <c r="AD235" s="60">
        <f t="shared" si="20"/>
        <v>294.67122600437057</v>
      </c>
      <c r="AE235" s="60">
        <f t="shared" si="20"/>
        <v>40.365131446167666</v>
      </c>
      <c r="AF235" s="60" t="s">
        <v>1142</v>
      </c>
      <c r="AG235" s="60" t="s">
        <v>215</v>
      </c>
      <c r="AI235" s="60" t="s">
        <v>218</v>
      </c>
      <c r="AJ235" s="60" t="s">
        <v>218</v>
      </c>
      <c r="AK235" s="60">
        <v>6.49</v>
      </c>
      <c r="AL235" s="60">
        <v>30.49</v>
      </c>
      <c r="AM235" s="60">
        <f>72*60</f>
        <v>4320</v>
      </c>
      <c r="AN235">
        <v>2.9817073170731598</v>
      </c>
      <c r="AO235">
        <v>0.23780487804879025</v>
      </c>
      <c r="AP235" s="60" t="s">
        <v>571</v>
      </c>
      <c r="AQ235" s="60" t="s">
        <v>572</v>
      </c>
      <c r="AR235" s="60">
        <f>((2.98170731707316*Z235)/1000)</f>
        <v>0.14936596962038559</v>
      </c>
      <c r="AS235" s="60">
        <f>((0.23780487804879*AA235)/1000)</f>
        <v>1.6318342773664776E-3</v>
      </c>
      <c r="AT235" s="85">
        <v>2.9817073170731598</v>
      </c>
      <c r="AU235">
        <v>0.23780487804879025</v>
      </c>
      <c r="AV235" s="60" t="s">
        <v>571</v>
      </c>
      <c r="BA235" s="60">
        <v>176785.714285714</v>
      </c>
      <c r="BB235" s="60">
        <v>43452.380952381005</v>
      </c>
      <c r="BH235" s="60">
        <v>0.54784355429516696</v>
      </c>
      <c r="BJ235" s="60">
        <v>72</v>
      </c>
    </row>
    <row r="236" spans="1:62" s="50" customFormat="1">
      <c r="A236" s="50" t="s">
        <v>274</v>
      </c>
      <c r="B236" s="50" t="s">
        <v>525</v>
      </c>
      <c r="E236" s="50" t="s">
        <v>624</v>
      </c>
      <c r="F236" s="50" t="s">
        <v>261</v>
      </c>
      <c r="G236" s="192" t="s">
        <v>566</v>
      </c>
      <c r="H236" s="64" t="s">
        <v>228</v>
      </c>
      <c r="J236" s="50" t="s">
        <v>213</v>
      </c>
      <c r="K236" s="50" t="s">
        <v>215</v>
      </c>
      <c r="L236" s="50" t="s">
        <v>79</v>
      </c>
      <c r="M236" s="50">
        <v>3</v>
      </c>
      <c r="N236" s="50">
        <v>3</v>
      </c>
      <c r="P236" s="50">
        <v>1</v>
      </c>
      <c r="R236" s="50">
        <v>2</v>
      </c>
      <c r="AD236" s="121">
        <v>20.88</v>
      </c>
      <c r="AF236" s="50" t="s">
        <v>1144</v>
      </c>
      <c r="AG236" s="50" t="s">
        <v>216</v>
      </c>
      <c r="AI236" s="50" t="s">
        <v>219</v>
      </c>
      <c r="AJ236" s="50" t="s">
        <v>219</v>
      </c>
      <c r="AK236" s="50">
        <v>0</v>
      </c>
      <c r="AL236" s="50">
        <v>25.6</v>
      </c>
      <c r="AM236" s="50">
        <f>20*60</f>
        <v>1200</v>
      </c>
      <c r="AN236" s="50" t="s">
        <v>529</v>
      </c>
      <c r="AR236" s="50">
        <v>0.116398559423769</v>
      </c>
      <c r="AS236" s="50">
        <v>9.0936374549819843E-3</v>
      </c>
      <c r="AT236" s="137"/>
      <c r="BA236" s="50">
        <v>41086.956521739099</v>
      </c>
      <c r="BB236" s="50">
        <v>8043.4782608696041</v>
      </c>
      <c r="BE236" s="50">
        <v>45</v>
      </c>
      <c r="BF236" s="50">
        <v>5.16</v>
      </c>
      <c r="BG236" s="50">
        <v>48</v>
      </c>
      <c r="BH236" s="50">
        <v>55.36</v>
      </c>
      <c r="BI236" s="50">
        <v>4.1100000000000003</v>
      </c>
      <c r="BJ236" s="50">
        <v>48</v>
      </c>
    </row>
    <row r="237" spans="1:62" s="48" customFormat="1">
      <c r="A237" s="48" t="s">
        <v>426</v>
      </c>
      <c r="B237" s="48" t="s">
        <v>697</v>
      </c>
      <c r="E237" s="48" t="s">
        <v>624</v>
      </c>
      <c r="F237" s="188" t="s">
        <v>261</v>
      </c>
      <c r="G237" s="193" t="s">
        <v>566</v>
      </c>
      <c r="H237" s="190" t="s">
        <v>228</v>
      </c>
      <c r="J237" s="48" t="s">
        <v>213</v>
      </c>
      <c r="K237" s="48" t="s">
        <v>215</v>
      </c>
      <c r="L237" s="48" t="s">
        <v>79</v>
      </c>
      <c r="M237" s="48">
        <v>3</v>
      </c>
      <c r="N237" s="61" t="s">
        <v>374</v>
      </c>
      <c r="O237" s="61"/>
      <c r="P237" s="48">
        <v>1</v>
      </c>
      <c r="R237" s="48">
        <v>8</v>
      </c>
      <c r="AD237" s="121">
        <v>20.88</v>
      </c>
      <c r="AF237" s="50" t="s">
        <v>1144</v>
      </c>
      <c r="AG237" s="50" t="s">
        <v>216</v>
      </c>
      <c r="AI237" s="48" t="s">
        <v>219</v>
      </c>
      <c r="AJ237" s="48" t="s">
        <v>219</v>
      </c>
      <c r="AK237" s="48">
        <v>0</v>
      </c>
      <c r="AL237" s="48">
        <v>28</v>
      </c>
      <c r="AM237" s="48">
        <f>72*60</f>
        <v>4320</v>
      </c>
      <c r="AN237" s="48" t="s">
        <v>529</v>
      </c>
      <c r="AR237" s="48">
        <v>5.0204081632652997E-2</v>
      </c>
      <c r="AS237" s="48">
        <v>1.1020408163265299E-2</v>
      </c>
      <c r="AT237" s="133"/>
    </row>
    <row r="238" spans="1:62" s="48" customFormat="1">
      <c r="A238" s="48" t="s">
        <v>426</v>
      </c>
      <c r="B238" s="48" t="s">
        <v>697</v>
      </c>
      <c r="E238" s="48" t="s">
        <v>624</v>
      </c>
      <c r="F238" s="188" t="s">
        <v>261</v>
      </c>
      <c r="G238" s="193" t="s">
        <v>566</v>
      </c>
      <c r="H238" s="190" t="s">
        <v>228</v>
      </c>
      <c r="J238" s="48" t="s">
        <v>213</v>
      </c>
      <c r="K238" s="48" t="s">
        <v>215</v>
      </c>
      <c r="L238" s="48" t="s">
        <v>79</v>
      </c>
      <c r="M238" s="48">
        <v>3</v>
      </c>
      <c r="N238" s="61" t="s">
        <v>374</v>
      </c>
      <c r="O238" s="61"/>
      <c r="P238" s="48">
        <v>1</v>
      </c>
      <c r="R238" s="48">
        <v>8</v>
      </c>
      <c r="AD238" s="121">
        <v>20.88</v>
      </c>
      <c r="AF238" s="50" t="s">
        <v>1144</v>
      </c>
      <c r="AG238" s="50" t="s">
        <v>216</v>
      </c>
      <c r="AI238" s="48" t="s">
        <v>219</v>
      </c>
      <c r="AJ238" s="48" t="s">
        <v>218</v>
      </c>
      <c r="AK238" s="48">
        <v>3.5</v>
      </c>
      <c r="AL238" s="48">
        <v>31.5</v>
      </c>
      <c r="AM238" s="48">
        <f t="shared" ref="AM238:AM240" si="21">72*60</f>
        <v>4320</v>
      </c>
      <c r="AN238" s="48" t="s">
        <v>529</v>
      </c>
      <c r="AR238" s="48">
        <v>0.06</v>
      </c>
      <c r="AS238" s="48">
        <v>9.387755102040804E-3</v>
      </c>
      <c r="AT238" s="133"/>
    </row>
    <row r="239" spans="1:62" s="63" customFormat="1">
      <c r="A239" s="63" t="s">
        <v>426</v>
      </c>
      <c r="B239" s="63" t="s">
        <v>698</v>
      </c>
      <c r="E239" s="63" t="s">
        <v>624</v>
      </c>
      <c r="F239" s="189" t="s">
        <v>261</v>
      </c>
      <c r="G239" s="194" t="s">
        <v>567</v>
      </c>
      <c r="H239" s="191" t="s">
        <v>32</v>
      </c>
      <c r="J239" s="63" t="s">
        <v>214</v>
      </c>
      <c r="K239" s="63" t="s">
        <v>216</v>
      </c>
      <c r="L239" s="63" t="s">
        <v>79</v>
      </c>
      <c r="M239" s="63">
        <v>8</v>
      </c>
      <c r="N239" s="67" t="s">
        <v>374</v>
      </c>
      <c r="O239" s="67"/>
      <c r="P239" s="63">
        <v>7</v>
      </c>
      <c r="R239" s="63">
        <v>15</v>
      </c>
      <c r="AD239" s="121">
        <v>34</v>
      </c>
      <c r="AF239" s="63" t="s">
        <v>1180</v>
      </c>
      <c r="AG239" s="50" t="s">
        <v>216</v>
      </c>
      <c r="AI239" s="63" t="s">
        <v>219</v>
      </c>
      <c r="AJ239" s="63" t="s">
        <v>219</v>
      </c>
      <c r="AK239" s="63">
        <v>0</v>
      </c>
      <c r="AL239" s="63">
        <v>28</v>
      </c>
      <c r="AM239" s="63">
        <f t="shared" si="21"/>
        <v>4320</v>
      </c>
      <c r="AN239" s="63" t="s">
        <v>529</v>
      </c>
      <c r="AR239" s="63">
        <v>8.9599999999999992E-3</v>
      </c>
      <c r="AS239" s="63">
        <v>7.2000000000000015E-4</v>
      </c>
      <c r="AT239" s="134"/>
    </row>
    <row r="240" spans="1:62" s="63" customFormat="1">
      <c r="A240" s="63" t="s">
        <v>426</v>
      </c>
      <c r="B240" s="63" t="s">
        <v>698</v>
      </c>
      <c r="E240" s="63" t="s">
        <v>624</v>
      </c>
      <c r="F240" s="189" t="s">
        <v>261</v>
      </c>
      <c r="G240" s="194" t="s">
        <v>567</v>
      </c>
      <c r="H240" s="191" t="s">
        <v>32</v>
      </c>
      <c r="J240" s="63" t="s">
        <v>214</v>
      </c>
      <c r="K240" s="63" t="s">
        <v>216</v>
      </c>
      <c r="L240" s="63" t="s">
        <v>79</v>
      </c>
      <c r="M240" s="63">
        <v>8</v>
      </c>
      <c r="N240" s="67" t="s">
        <v>374</v>
      </c>
      <c r="O240" s="67"/>
      <c r="P240" s="63">
        <v>7</v>
      </c>
      <c r="R240" s="63">
        <v>15</v>
      </c>
      <c r="AD240" s="121">
        <v>34</v>
      </c>
      <c r="AF240" s="63" t="s">
        <v>1180</v>
      </c>
      <c r="AG240" s="50" t="s">
        <v>216</v>
      </c>
      <c r="AI240" s="63" t="s">
        <v>219</v>
      </c>
      <c r="AJ240" s="63" t="s">
        <v>218</v>
      </c>
      <c r="AK240" s="63">
        <v>3.5</v>
      </c>
      <c r="AL240" s="63">
        <v>31.5</v>
      </c>
      <c r="AM240" s="63">
        <f t="shared" si="21"/>
        <v>4320</v>
      </c>
      <c r="AN240" s="63" t="s">
        <v>529</v>
      </c>
      <c r="AR240" s="63">
        <v>1.2359999999999999E-2</v>
      </c>
      <c r="AS240" s="63">
        <v>1.040000000000001E-3</v>
      </c>
      <c r="AT240" s="134"/>
    </row>
    <row r="241" spans="1:63" s="48" customFormat="1">
      <c r="A241" s="48" t="s">
        <v>426</v>
      </c>
      <c r="E241" s="48" t="s">
        <v>624</v>
      </c>
      <c r="F241" s="188" t="s">
        <v>261</v>
      </c>
      <c r="G241" s="193" t="s">
        <v>566</v>
      </c>
      <c r="H241" s="190" t="s">
        <v>228</v>
      </c>
      <c r="J241" s="48" t="s">
        <v>213</v>
      </c>
      <c r="K241" s="48" t="s">
        <v>215</v>
      </c>
      <c r="L241" s="48" t="s">
        <v>79</v>
      </c>
      <c r="P241" s="48">
        <v>1</v>
      </c>
      <c r="R241" s="48">
        <v>3</v>
      </c>
      <c r="AD241" s="121">
        <v>20.88</v>
      </c>
      <c r="AF241" s="50" t="s">
        <v>1144</v>
      </c>
      <c r="AG241" s="50" t="s">
        <v>216</v>
      </c>
      <c r="AI241" s="48" t="s">
        <v>219</v>
      </c>
      <c r="AJ241" s="48" t="s">
        <v>219</v>
      </c>
      <c r="AK241" s="48">
        <v>0</v>
      </c>
      <c r="AL241" s="48">
        <v>28</v>
      </c>
      <c r="AM241" s="48">
        <f>2*24*60</f>
        <v>2880</v>
      </c>
      <c r="AT241" s="133"/>
      <c r="BE241" s="48">
        <v>7.7647058823529402</v>
      </c>
      <c r="BF241" s="48">
        <v>1.7647058823529402</v>
      </c>
      <c r="BG241" s="48">
        <f>24*2</f>
        <v>48</v>
      </c>
      <c r="BH241" s="48">
        <v>96.170212765957444</v>
      </c>
      <c r="BI241" s="48">
        <v>3.1914893617021196</v>
      </c>
      <c r="BJ241" s="48">
        <f>24*2</f>
        <v>48</v>
      </c>
    </row>
    <row r="242" spans="1:63" s="48" customFormat="1">
      <c r="A242" s="48" t="s">
        <v>426</v>
      </c>
      <c r="E242" s="48" t="s">
        <v>624</v>
      </c>
      <c r="F242" s="48" t="s">
        <v>261</v>
      </c>
      <c r="G242" s="128" t="s">
        <v>566</v>
      </c>
      <c r="H242" s="61" t="s">
        <v>228</v>
      </c>
      <c r="J242" s="48" t="s">
        <v>213</v>
      </c>
      <c r="K242" s="48" t="s">
        <v>215</v>
      </c>
      <c r="L242" s="48" t="s">
        <v>79</v>
      </c>
      <c r="P242" s="48">
        <v>1</v>
      </c>
      <c r="R242" s="48">
        <v>5</v>
      </c>
      <c r="AD242" s="121">
        <v>20.88</v>
      </c>
      <c r="AF242" s="50" t="s">
        <v>1144</v>
      </c>
      <c r="AG242" s="50" t="s">
        <v>216</v>
      </c>
      <c r="AI242" s="48" t="s">
        <v>219</v>
      </c>
      <c r="AJ242" s="48" t="s">
        <v>219</v>
      </c>
      <c r="AK242" s="48">
        <v>0</v>
      </c>
      <c r="AL242" s="48">
        <v>28</v>
      </c>
      <c r="AM242" s="48">
        <f>4*24*60</f>
        <v>5760</v>
      </c>
      <c r="AT242" s="133"/>
      <c r="BE242" s="48">
        <v>19.764705882352899</v>
      </c>
      <c r="BF242" s="48">
        <v>0.94117647058819998</v>
      </c>
      <c r="BG242" s="48">
        <f>24*2</f>
        <v>48</v>
      </c>
      <c r="BH242" s="48">
        <v>75.744680851063904</v>
      </c>
      <c r="BI242" s="48">
        <v>1.2765957446807974</v>
      </c>
      <c r="BJ242" s="48">
        <f>24*2</f>
        <v>48</v>
      </c>
    </row>
    <row r="243" spans="1:63" s="48" customFormat="1">
      <c r="A243" s="48" t="s">
        <v>426</v>
      </c>
      <c r="E243" s="48" t="s">
        <v>624</v>
      </c>
      <c r="F243" s="48" t="s">
        <v>261</v>
      </c>
      <c r="G243" s="57" t="s">
        <v>566</v>
      </c>
      <c r="H243" s="61" t="s">
        <v>228</v>
      </c>
      <c r="J243" s="48" t="s">
        <v>213</v>
      </c>
      <c r="K243" s="48" t="s">
        <v>215</v>
      </c>
      <c r="L243" s="48" t="s">
        <v>79</v>
      </c>
      <c r="P243" s="48">
        <v>1</v>
      </c>
      <c r="R243" s="48">
        <v>6</v>
      </c>
      <c r="AD243" s="121">
        <v>20.88</v>
      </c>
      <c r="AF243" s="50" t="s">
        <v>1144</v>
      </c>
      <c r="AG243" s="50" t="s">
        <v>216</v>
      </c>
      <c r="AI243" s="48" t="s">
        <v>219</v>
      </c>
      <c r="AJ243" s="48" t="s">
        <v>219</v>
      </c>
      <c r="AK243" s="48">
        <v>0</v>
      </c>
      <c r="AL243" s="48">
        <v>28</v>
      </c>
      <c r="AM243" s="48">
        <f>5*24*60</f>
        <v>7200</v>
      </c>
      <c r="AT243" s="133"/>
      <c r="BE243" s="48">
        <v>32.470588235294102</v>
      </c>
      <c r="BF243" s="48">
        <v>2.8235294117646959</v>
      </c>
      <c r="BG243" s="48">
        <f>24*2</f>
        <v>48</v>
      </c>
      <c r="BH243" s="48">
        <v>52.340425531915002</v>
      </c>
      <c r="BI243" s="48">
        <v>2.7659574468084998</v>
      </c>
      <c r="BJ243" s="48">
        <f>24*2</f>
        <v>48</v>
      </c>
    </row>
    <row r="244" spans="1:63" s="48" customFormat="1">
      <c r="A244" s="48" t="s">
        <v>426</v>
      </c>
      <c r="E244" s="48" t="s">
        <v>624</v>
      </c>
      <c r="F244" s="48" t="s">
        <v>261</v>
      </c>
      <c r="G244" s="57" t="s">
        <v>566</v>
      </c>
      <c r="H244" s="61" t="s">
        <v>228</v>
      </c>
      <c r="J244" s="48" t="s">
        <v>213</v>
      </c>
      <c r="K244" s="48" t="s">
        <v>215</v>
      </c>
      <c r="L244" s="48" t="s">
        <v>79</v>
      </c>
      <c r="P244" s="48">
        <v>1</v>
      </c>
      <c r="R244" s="48">
        <v>3</v>
      </c>
      <c r="AD244" s="121">
        <v>20.88</v>
      </c>
      <c r="AF244" s="50" t="s">
        <v>1144</v>
      </c>
      <c r="AG244" s="50" t="s">
        <v>216</v>
      </c>
      <c r="AI244" s="48" t="s">
        <v>219</v>
      </c>
      <c r="AJ244" s="48" t="s">
        <v>218</v>
      </c>
      <c r="AK244" s="48">
        <v>3.5</v>
      </c>
      <c r="AL244" s="48">
        <v>31.5</v>
      </c>
      <c r="AM244" s="48">
        <f>2*24*60</f>
        <v>2880</v>
      </c>
      <c r="AT244" s="133"/>
      <c r="BE244" s="48">
        <v>16.235294117647001</v>
      </c>
      <c r="BF244" s="48">
        <v>4.7058823529412006</v>
      </c>
      <c r="BG244" s="48">
        <f>24*2</f>
        <v>48</v>
      </c>
      <c r="BH244" s="48">
        <v>57.446808510638398</v>
      </c>
      <c r="BI244" s="48">
        <v>4.6808510638297989</v>
      </c>
      <c r="BJ244" s="48">
        <f>24*2</f>
        <v>48</v>
      </c>
    </row>
    <row r="245" spans="1:63" s="48" customFormat="1">
      <c r="A245" s="48" t="s">
        <v>426</v>
      </c>
      <c r="E245" s="48" t="s">
        <v>624</v>
      </c>
      <c r="F245" s="48" t="s">
        <v>261</v>
      </c>
      <c r="G245" s="57" t="s">
        <v>566</v>
      </c>
      <c r="H245" s="61" t="s">
        <v>228</v>
      </c>
      <c r="J245" s="48" t="s">
        <v>213</v>
      </c>
      <c r="K245" s="48" t="s">
        <v>215</v>
      </c>
      <c r="L245" s="48" t="s">
        <v>79</v>
      </c>
      <c r="P245" s="48">
        <v>1</v>
      </c>
      <c r="R245" s="48">
        <v>5</v>
      </c>
      <c r="AD245" s="121">
        <v>20.88</v>
      </c>
      <c r="AF245" s="50" t="s">
        <v>1144</v>
      </c>
      <c r="AG245" s="50" t="s">
        <v>216</v>
      </c>
      <c r="AI245" s="48" t="s">
        <v>219</v>
      </c>
      <c r="AJ245" s="48" t="s">
        <v>218</v>
      </c>
      <c r="AK245" s="48">
        <v>3.5</v>
      </c>
      <c r="AL245" s="48">
        <v>31.5</v>
      </c>
      <c r="AM245" s="48">
        <f>4*24*60</f>
        <v>5760</v>
      </c>
      <c r="AR245" s="52">
        <f>(0.000271*1000000000)/(32000*60)</f>
        <v>0.14114583333333333</v>
      </c>
      <c r="AT245" s="133"/>
      <c r="BE245" s="48">
        <v>28</v>
      </c>
      <c r="BF245" s="48">
        <v>1.5294117647058001</v>
      </c>
      <c r="BG245" s="48">
        <v>24</v>
      </c>
      <c r="BH245" s="48">
        <v>32.127659574468197</v>
      </c>
      <c r="BI245" s="48">
        <v>1.48936170212761</v>
      </c>
      <c r="BJ245" s="48">
        <v>24</v>
      </c>
    </row>
    <row r="246" spans="1:63" s="48" customFormat="1">
      <c r="A246" s="48" t="s">
        <v>426</v>
      </c>
      <c r="E246" s="48" t="s">
        <v>624</v>
      </c>
      <c r="F246" s="48" t="s">
        <v>261</v>
      </c>
      <c r="G246" s="57" t="s">
        <v>566</v>
      </c>
      <c r="H246" s="61" t="s">
        <v>228</v>
      </c>
      <c r="J246" s="48" t="s">
        <v>213</v>
      </c>
      <c r="K246" s="48" t="s">
        <v>215</v>
      </c>
      <c r="L246" s="48" t="s">
        <v>79</v>
      </c>
      <c r="P246" s="48">
        <v>1</v>
      </c>
      <c r="R246" s="48">
        <v>6</v>
      </c>
      <c r="AD246" s="121">
        <v>20.88</v>
      </c>
      <c r="AF246" s="50" t="s">
        <v>1144</v>
      </c>
      <c r="AG246" s="50" t="s">
        <v>216</v>
      </c>
      <c r="AI246" s="48" t="s">
        <v>219</v>
      </c>
      <c r="AJ246" s="48" t="s">
        <v>218</v>
      </c>
      <c r="AK246" s="48">
        <v>3.5</v>
      </c>
      <c r="AL246" s="48">
        <v>31.5</v>
      </c>
      <c r="AM246" s="48">
        <f>5*24*60</f>
        <v>7200</v>
      </c>
      <c r="AT246" s="133"/>
      <c r="BE246" s="48">
        <v>29.529411764705799</v>
      </c>
      <c r="BF246" s="48">
        <v>3.2941176470587976</v>
      </c>
      <c r="BG246" s="48">
        <v>24</v>
      </c>
      <c r="BH246" s="48">
        <v>16.595744680851197</v>
      </c>
      <c r="BI246" s="48">
        <v>3.1914893617020965</v>
      </c>
      <c r="BJ246" s="48">
        <v>24</v>
      </c>
    </row>
    <row r="247" spans="1:63" s="52" customFormat="1">
      <c r="A247" s="52" t="s">
        <v>149</v>
      </c>
      <c r="B247" s="52" t="s">
        <v>705</v>
      </c>
      <c r="E247" s="52" t="s">
        <v>623</v>
      </c>
      <c r="F247" s="52" t="s">
        <v>378</v>
      </c>
      <c r="G247" s="52" t="s">
        <v>565</v>
      </c>
      <c r="H247" s="65" t="s">
        <v>75</v>
      </c>
      <c r="I247" s="52" t="s">
        <v>379</v>
      </c>
      <c r="J247" s="52" t="s">
        <v>213</v>
      </c>
      <c r="K247" s="52" t="s">
        <v>215</v>
      </c>
      <c r="L247" s="52" t="s">
        <v>79</v>
      </c>
      <c r="M247" s="52" t="s">
        <v>381</v>
      </c>
      <c r="N247" s="52">
        <v>4</v>
      </c>
      <c r="W247" s="52" t="s">
        <v>1285</v>
      </c>
      <c r="AD247" s="121">
        <v>125</v>
      </c>
      <c r="AE247" s="48"/>
      <c r="AF247" s="63" t="s">
        <v>1287</v>
      </c>
      <c r="AG247" s="50" t="s">
        <v>216</v>
      </c>
      <c r="AI247" s="52" t="s">
        <v>219</v>
      </c>
      <c r="AJ247" s="52" t="s">
        <v>219</v>
      </c>
      <c r="AK247" s="52">
        <v>0</v>
      </c>
      <c r="AL247" s="52">
        <v>28</v>
      </c>
      <c r="AM247" s="52" t="s">
        <v>382</v>
      </c>
      <c r="AN247" s="52">
        <v>2.0024999999999999E-4</v>
      </c>
      <c r="AO247" s="52">
        <v>4.0586000000000001E-5</v>
      </c>
      <c r="AP247" s="52" t="s">
        <v>576</v>
      </c>
      <c r="AR247" s="52">
        <f>(0.00020025*1000000000)/(32000*60)</f>
        <v>0.104296875</v>
      </c>
      <c r="AS247" s="52">
        <f>(0.000040586*1000000000)/(32000*60)</f>
        <v>2.1138541666666667E-2</v>
      </c>
      <c r="AT247" s="136"/>
      <c r="AY247" s="52">
        <f>(0.000167*1000000000)/(32000*60)</f>
        <v>8.6979166666666663E-2</v>
      </c>
      <c r="AZ247" s="52">
        <f>((0.000033/(SQRT(4)))*1000000000)/(32000*60)</f>
        <v>8.5937500000000007E-3</v>
      </c>
      <c r="BK247" s="52" t="s">
        <v>1087</v>
      </c>
    </row>
    <row r="248" spans="1:63" s="52" customFormat="1">
      <c r="A248" s="52" t="s">
        <v>149</v>
      </c>
      <c r="B248" s="52" t="s">
        <v>705</v>
      </c>
      <c r="E248" s="52" t="s">
        <v>623</v>
      </c>
      <c r="F248" s="52" t="s">
        <v>378</v>
      </c>
      <c r="G248" s="52" t="s">
        <v>565</v>
      </c>
      <c r="H248" s="65" t="s">
        <v>75</v>
      </c>
      <c r="I248" s="52" t="s">
        <v>380</v>
      </c>
      <c r="J248" s="52" t="s">
        <v>213</v>
      </c>
      <c r="K248" s="52" t="s">
        <v>215</v>
      </c>
      <c r="L248" s="52" t="s">
        <v>79</v>
      </c>
      <c r="M248" s="52" t="s">
        <v>381</v>
      </c>
      <c r="N248" s="52">
        <v>4</v>
      </c>
      <c r="W248" s="52" t="s">
        <v>1285</v>
      </c>
      <c r="AD248" s="121">
        <v>125</v>
      </c>
      <c r="AE248" s="48"/>
      <c r="AF248" s="63" t="s">
        <v>1287</v>
      </c>
      <c r="AG248" s="50" t="s">
        <v>216</v>
      </c>
      <c r="AI248" s="52" t="s">
        <v>219</v>
      </c>
      <c r="AJ248" s="52" t="s">
        <v>219</v>
      </c>
      <c r="AK248" s="52">
        <v>0</v>
      </c>
      <c r="AL248" s="52">
        <v>28</v>
      </c>
      <c r="AM248" s="52" t="s">
        <v>382</v>
      </c>
      <c r="AN248" s="52">
        <v>3.4275000000000001E-4</v>
      </c>
      <c r="AO248" s="52">
        <v>4.9823600000000002E-5</v>
      </c>
      <c r="AP248" s="52" t="s">
        <v>576</v>
      </c>
      <c r="AR248" s="52">
        <f>(0.00034275*1000000000)/(32000*60)</f>
        <v>0.17851562500000001</v>
      </c>
      <c r="AS248" s="52">
        <f>(0.0000498236*1000000000)/(32000*60)</f>
        <v>2.5949791666666666E-2</v>
      </c>
      <c r="AT248" s="136"/>
      <c r="AY248" s="52">
        <f>(0.000182*1000000000)/(32000*60)</f>
        <v>9.4791666666666663E-2</v>
      </c>
      <c r="AZ248" s="52">
        <f>(0.000081/(SQRT(4))*1000000000)/(32000*60)</f>
        <v>2.1093750000000001E-2</v>
      </c>
      <c r="BK248" s="52" t="s">
        <v>1087</v>
      </c>
    </row>
    <row r="249" spans="1:63" s="48" customFormat="1" ht="17">
      <c r="A249" s="48" t="s">
        <v>425</v>
      </c>
      <c r="B249" s="48" t="s">
        <v>1076</v>
      </c>
      <c r="D249" s="48" t="s">
        <v>672</v>
      </c>
      <c r="E249" s="52" t="s">
        <v>623</v>
      </c>
      <c r="F249" s="48" t="s">
        <v>392</v>
      </c>
      <c r="G249" s="52" t="s">
        <v>565</v>
      </c>
      <c r="H249" s="61" t="s">
        <v>205</v>
      </c>
      <c r="J249" s="48" t="s">
        <v>213</v>
      </c>
      <c r="K249" s="48" t="s">
        <v>215</v>
      </c>
      <c r="L249" s="48" t="s">
        <v>79</v>
      </c>
      <c r="M249" s="48" t="s">
        <v>395</v>
      </c>
      <c r="N249" s="48">
        <v>3</v>
      </c>
      <c r="P249" s="59">
        <v>38504</v>
      </c>
      <c r="R249" s="48">
        <v>2</v>
      </c>
      <c r="U249" s="48" t="s">
        <v>1078</v>
      </c>
      <c r="W249" s="48" t="s">
        <v>1283</v>
      </c>
      <c r="AD249" s="121">
        <v>125</v>
      </c>
      <c r="AF249" s="63" t="s">
        <v>1287</v>
      </c>
      <c r="AG249" s="50" t="s">
        <v>216</v>
      </c>
      <c r="AI249" s="48" t="s">
        <v>219</v>
      </c>
      <c r="AJ249" s="48" t="s">
        <v>219</v>
      </c>
      <c r="AK249" s="48">
        <v>-4</v>
      </c>
      <c r="AL249" s="48">
        <v>24</v>
      </c>
      <c r="AM249" s="48" t="s">
        <v>397</v>
      </c>
      <c r="AN249" s="48">
        <v>0.37</v>
      </c>
      <c r="AO249" s="48">
        <v>7.4399999999999994E-2</v>
      </c>
      <c r="AP249" s="84" t="s">
        <v>573</v>
      </c>
      <c r="AR249" s="48">
        <f>(0.37*1000000000)/(22400000*60)</f>
        <v>0.27529761904761907</v>
      </c>
      <c r="AS249" s="48">
        <f>0.0744/SQRT(3)</f>
        <v>4.2954860027708153E-2</v>
      </c>
      <c r="AT249" s="133"/>
      <c r="AW249" s="48">
        <f>(0.78*1000000000)/(22400000*60)</f>
        <v>0.5803571428571429</v>
      </c>
      <c r="AX249" s="48">
        <f>0.2232/SQRT(3)</f>
        <v>0.12886458008312449</v>
      </c>
      <c r="BA249" s="48">
        <v>22300</v>
      </c>
      <c r="BB249" s="48">
        <f>11600/SQRT(5)</f>
        <v>5187.6777077995121</v>
      </c>
    </row>
    <row r="250" spans="1:63" s="48" customFormat="1" ht="17">
      <c r="A250" s="48" t="s">
        <v>425</v>
      </c>
      <c r="B250" s="48" t="s">
        <v>1076</v>
      </c>
      <c r="E250" s="52" t="s">
        <v>623</v>
      </c>
      <c r="F250" s="48" t="s">
        <v>392</v>
      </c>
      <c r="G250" s="52" t="s">
        <v>565</v>
      </c>
      <c r="H250" s="61" t="s">
        <v>205</v>
      </c>
      <c r="J250" s="48" t="s">
        <v>213</v>
      </c>
      <c r="K250" s="48" t="s">
        <v>215</v>
      </c>
      <c r="L250" s="48" t="s">
        <v>1181</v>
      </c>
      <c r="M250" s="48" t="s">
        <v>395</v>
      </c>
      <c r="N250" s="48">
        <v>3</v>
      </c>
      <c r="P250" s="59">
        <v>38504</v>
      </c>
      <c r="R250" s="48">
        <v>8</v>
      </c>
      <c r="W250" s="48" t="s">
        <v>1283</v>
      </c>
      <c r="AD250" s="121">
        <v>125</v>
      </c>
      <c r="AF250" s="63" t="s">
        <v>1287</v>
      </c>
      <c r="AG250" s="50" t="s">
        <v>216</v>
      </c>
      <c r="AI250" s="48" t="s">
        <v>219</v>
      </c>
      <c r="AJ250" s="48" t="s">
        <v>219</v>
      </c>
      <c r="AK250" s="48">
        <v>-4</v>
      </c>
      <c r="AL250" s="48">
        <v>24</v>
      </c>
      <c r="AM250" s="48" t="s">
        <v>397</v>
      </c>
      <c r="AN250" s="48">
        <v>1.1000000000000001</v>
      </c>
      <c r="AO250" s="48">
        <v>0.22320000000000001</v>
      </c>
      <c r="AP250" s="84" t="s">
        <v>573</v>
      </c>
      <c r="AR250" s="48">
        <f>(1.1*1000000000)/(22400000*60)</f>
        <v>0.81845238095238093</v>
      </c>
      <c r="AS250" s="48">
        <f>0.2232/SQRT(3)</f>
        <v>0.12886458008312449</v>
      </c>
      <c r="AT250" s="133"/>
      <c r="AW250" s="48">
        <f>(0.56*1000000000)/(22400000*60)</f>
        <v>0.41666666666666669</v>
      </c>
      <c r="AX250" s="48">
        <f>0.2976/SQRT(3)</f>
        <v>0.17181944011083261</v>
      </c>
      <c r="BA250" s="48">
        <v>12400</v>
      </c>
      <c r="BB250" s="48">
        <f>3900/SQRT(5)</f>
        <v>1744.1330224498358</v>
      </c>
    </row>
    <row r="251" spans="1:63" s="48" customFormat="1" ht="17">
      <c r="A251" s="48" t="s">
        <v>425</v>
      </c>
      <c r="B251" s="48" t="s">
        <v>1076</v>
      </c>
      <c r="E251" s="52" t="s">
        <v>623</v>
      </c>
      <c r="F251" s="48" t="s">
        <v>392</v>
      </c>
      <c r="G251" s="52" t="s">
        <v>565</v>
      </c>
      <c r="H251" s="61" t="s">
        <v>205</v>
      </c>
      <c r="J251" s="48" t="s">
        <v>213</v>
      </c>
      <c r="K251" s="48" t="s">
        <v>215</v>
      </c>
      <c r="L251" s="48" t="s">
        <v>237</v>
      </c>
      <c r="M251" s="48" t="s">
        <v>395</v>
      </c>
      <c r="N251" s="48">
        <v>3</v>
      </c>
      <c r="P251" s="59">
        <v>38504</v>
      </c>
      <c r="R251" s="48">
        <v>8</v>
      </c>
      <c r="W251" s="48" t="s">
        <v>1283</v>
      </c>
      <c r="AD251" s="121">
        <v>125</v>
      </c>
      <c r="AF251" s="63" t="s">
        <v>1287</v>
      </c>
      <c r="AG251" s="50" t="s">
        <v>216</v>
      </c>
      <c r="AI251" s="48" t="s">
        <v>219</v>
      </c>
      <c r="AJ251" s="48" t="s">
        <v>219</v>
      </c>
      <c r="AK251" s="48">
        <v>-4</v>
      </c>
      <c r="AL251" s="48">
        <v>24</v>
      </c>
      <c r="AM251" s="48" t="s">
        <v>397</v>
      </c>
      <c r="AN251" s="48">
        <v>0.78</v>
      </c>
      <c r="AO251" s="48">
        <v>7.4399999999999994E-2</v>
      </c>
      <c r="AP251" s="84" t="s">
        <v>573</v>
      </c>
      <c r="AR251" s="48">
        <f>(0.78*1000000000)/(22400000*60)</f>
        <v>0.5803571428571429</v>
      </c>
      <c r="AS251" s="48">
        <f>0.0744/SQRT(3)</f>
        <v>4.2954860027708153E-2</v>
      </c>
      <c r="AT251" s="133"/>
      <c r="AW251" s="48">
        <f>(1.1*1000000000)/(22400000*60)</f>
        <v>0.81845238095238093</v>
      </c>
      <c r="AX251" s="48">
        <f>0.0744/SQRT(3)</f>
        <v>4.2954860027708153E-2</v>
      </c>
      <c r="BA251" s="48">
        <v>14900</v>
      </c>
      <c r="BB251" s="48">
        <f>5700/SQRT(5)</f>
        <v>2549.1174943497599</v>
      </c>
    </row>
    <row r="252" spans="1:63" s="50" customFormat="1">
      <c r="A252" s="50" t="s">
        <v>448</v>
      </c>
      <c r="B252" s="50" t="s">
        <v>671</v>
      </c>
      <c r="E252" s="50" t="s">
        <v>624</v>
      </c>
      <c r="F252" s="79" t="s">
        <v>449</v>
      </c>
      <c r="G252" s="62" t="s">
        <v>566</v>
      </c>
      <c r="H252" s="64" t="s">
        <v>228</v>
      </c>
      <c r="J252" s="50" t="s">
        <v>213</v>
      </c>
      <c r="K252" s="50" t="s">
        <v>215</v>
      </c>
      <c r="L252" s="50" t="s">
        <v>79</v>
      </c>
      <c r="M252" s="50">
        <v>20</v>
      </c>
      <c r="N252" s="64" t="s">
        <v>450</v>
      </c>
      <c r="O252" s="64"/>
      <c r="P252" s="78">
        <v>40299</v>
      </c>
      <c r="R252" s="50">
        <v>2</v>
      </c>
      <c r="AD252" s="50">
        <v>20.88</v>
      </c>
      <c r="AF252" s="50" t="s">
        <v>1144</v>
      </c>
      <c r="AG252" s="50" t="s">
        <v>216</v>
      </c>
      <c r="AH252" s="50">
        <v>368</v>
      </c>
      <c r="AI252" s="50" t="s">
        <v>219</v>
      </c>
      <c r="AJ252" s="50" t="s">
        <v>219</v>
      </c>
      <c r="AK252" s="50">
        <v>0</v>
      </c>
      <c r="AL252" s="50">
        <v>26</v>
      </c>
      <c r="AM252" s="50">
        <f>24*60</f>
        <v>1440</v>
      </c>
      <c r="AN252" s="79">
        <v>2.06</v>
      </c>
      <c r="AO252" s="79">
        <v>0.09</v>
      </c>
      <c r="AP252" s="79" t="s">
        <v>570</v>
      </c>
      <c r="AR252" s="50">
        <f>2.06/60</f>
        <v>3.4333333333333334E-2</v>
      </c>
      <c r="AS252" s="50">
        <f>0.09/60</f>
        <v>1.5E-3</v>
      </c>
      <c r="AT252" s="137"/>
    </row>
    <row r="253" spans="1:63" s="50" customFormat="1">
      <c r="A253" s="50" t="s">
        <v>448</v>
      </c>
      <c r="B253" s="50" t="s">
        <v>671</v>
      </c>
      <c r="E253" s="50" t="s">
        <v>624</v>
      </c>
      <c r="F253" s="79" t="s">
        <v>449</v>
      </c>
      <c r="G253" s="62" t="s">
        <v>566</v>
      </c>
      <c r="H253" s="64" t="s">
        <v>228</v>
      </c>
      <c r="J253" s="50" t="s">
        <v>213</v>
      </c>
      <c r="K253" s="50" t="s">
        <v>215</v>
      </c>
      <c r="L253" s="50" t="s">
        <v>79</v>
      </c>
      <c r="M253" s="50">
        <v>20</v>
      </c>
      <c r="N253" s="64" t="s">
        <v>450</v>
      </c>
      <c r="O253" s="64"/>
      <c r="P253" s="78">
        <v>40299</v>
      </c>
      <c r="R253" s="50">
        <v>2</v>
      </c>
      <c r="AD253" s="50">
        <v>20.88</v>
      </c>
      <c r="AF253" s="50" t="s">
        <v>1144</v>
      </c>
      <c r="AG253" s="50" t="s">
        <v>216</v>
      </c>
      <c r="AH253" s="50">
        <v>491</v>
      </c>
      <c r="AI253" s="50" t="s">
        <v>451</v>
      </c>
      <c r="AJ253" s="50" t="s">
        <v>219</v>
      </c>
      <c r="AK253" s="50">
        <v>0</v>
      </c>
      <c r="AL253" s="50">
        <v>26</v>
      </c>
      <c r="AM253" s="50">
        <f t="shared" ref="AM253:AM254" si="22">24*60</f>
        <v>1440</v>
      </c>
      <c r="AN253" s="79">
        <v>1.7</v>
      </c>
      <c r="AO253" s="79">
        <v>0.1</v>
      </c>
      <c r="AP253" s="79" t="s">
        <v>570</v>
      </c>
      <c r="AR253" s="50">
        <f>1.7/60</f>
        <v>2.8333333333333332E-2</v>
      </c>
      <c r="AS253" s="50">
        <f>0.1/60</f>
        <v>1.6666666666666668E-3</v>
      </c>
      <c r="AT253" s="137"/>
    </row>
    <row r="254" spans="1:63" s="50" customFormat="1">
      <c r="A254" s="50" t="s">
        <v>448</v>
      </c>
      <c r="B254" s="50" t="s">
        <v>671</v>
      </c>
      <c r="E254" s="50" t="s">
        <v>624</v>
      </c>
      <c r="F254" s="79" t="s">
        <v>449</v>
      </c>
      <c r="G254" s="62" t="s">
        <v>566</v>
      </c>
      <c r="H254" s="64" t="s">
        <v>228</v>
      </c>
      <c r="J254" s="50" t="s">
        <v>213</v>
      </c>
      <c r="K254" s="50" t="s">
        <v>215</v>
      </c>
      <c r="L254" s="50" t="s">
        <v>79</v>
      </c>
      <c r="M254" s="50">
        <v>20</v>
      </c>
      <c r="N254" s="64" t="s">
        <v>450</v>
      </c>
      <c r="O254" s="64"/>
      <c r="P254" s="78">
        <v>40299</v>
      </c>
      <c r="R254" s="50">
        <v>2</v>
      </c>
      <c r="AD254" s="50">
        <v>20.88</v>
      </c>
      <c r="AF254" s="50" t="s">
        <v>1144</v>
      </c>
      <c r="AG254" s="50" t="s">
        <v>216</v>
      </c>
      <c r="AH254" s="50">
        <v>779</v>
      </c>
      <c r="AI254" s="50" t="s">
        <v>218</v>
      </c>
      <c r="AJ254" s="50" t="s">
        <v>219</v>
      </c>
      <c r="AK254" s="50">
        <v>0</v>
      </c>
      <c r="AL254" s="50">
        <v>26</v>
      </c>
      <c r="AM254" s="50">
        <f t="shared" si="22"/>
        <v>1440</v>
      </c>
      <c r="AN254" s="79">
        <v>0.87</v>
      </c>
      <c r="AO254" s="79">
        <v>7.0000000000000007E-2</v>
      </c>
      <c r="AP254" s="79" t="s">
        <v>570</v>
      </c>
      <c r="AR254" s="50">
        <f>0.87/60</f>
        <v>1.4500000000000001E-2</v>
      </c>
      <c r="AS254" s="50">
        <f>0.07/60</f>
        <v>1.1666666666666668E-3</v>
      </c>
      <c r="AT254" s="137"/>
    </row>
    <row r="255" spans="1:63" s="50" customFormat="1">
      <c r="A255" s="50" t="s">
        <v>448</v>
      </c>
      <c r="B255" s="50" t="s">
        <v>671</v>
      </c>
      <c r="E255" s="50" t="s">
        <v>624</v>
      </c>
      <c r="F255" s="79" t="s">
        <v>449</v>
      </c>
      <c r="G255" s="62" t="s">
        <v>566</v>
      </c>
      <c r="H255" s="64" t="s">
        <v>228</v>
      </c>
      <c r="J255" s="50" t="s">
        <v>213</v>
      </c>
      <c r="K255" s="50" t="s">
        <v>215</v>
      </c>
      <c r="L255" s="50" t="s">
        <v>79</v>
      </c>
      <c r="M255" s="50">
        <v>20</v>
      </c>
      <c r="N255" s="64" t="s">
        <v>450</v>
      </c>
      <c r="O255" s="64"/>
      <c r="P255" s="78">
        <v>40299</v>
      </c>
      <c r="R255" s="50">
        <v>3</v>
      </c>
      <c r="AD255" s="50">
        <v>20.88</v>
      </c>
      <c r="AF255" s="50" t="s">
        <v>1144</v>
      </c>
      <c r="AG255" s="50" t="s">
        <v>216</v>
      </c>
      <c r="AH255" s="50">
        <v>443</v>
      </c>
      <c r="AI255" s="50" t="s">
        <v>219</v>
      </c>
      <c r="AJ255" s="50" t="s">
        <v>219</v>
      </c>
      <c r="AK255" s="50">
        <v>0</v>
      </c>
      <c r="AL255" s="50">
        <v>26</v>
      </c>
      <c r="AM255" s="50">
        <f>48*60</f>
        <v>2880</v>
      </c>
      <c r="AN255" s="79">
        <v>2</v>
      </c>
      <c r="AO255" s="79">
        <v>0.1</v>
      </c>
      <c r="AP255" s="79" t="s">
        <v>570</v>
      </c>
      <c r="AR255" s="50">
        <f>2/60</f>
        <v>3.3333333333333333E-2</v>
      </c>
      <c r="AS255" s="50">
        <f>0.1/60</f>
        <v>1.6666666666666668E-3</v>
      </c>
      <c r="AT255" s="137"/>
    </row>
    <row r="256" spans="1:63" s="50" customFormat="1">
      <c r="A256" s="50" t="s">
        <v>448</v>
      </c>
      <c r="B256" s="50" t="s">
        <v>671</v>
      </c>
      <c r="E256" s="50" t="s">
        <v>624</v>
      </c>
      <c r="F256" s="79" t="s">
        <v>449</v>
      </c>
      <c r="G256" s="62" t="s">
        <v>566</v>
      </c>
      <c r="H256" s="64" t="s">
        <v>228</v>
      </c>
      <c r="J256" s="50" t="s">
        <v>213</v>
      </c>
      <c r="K256" s="50" t="s">
        <v>215</v>
      </c>
      <c r="L256" s="50" t="s">
        <v>79</v>
      </c>
      <c r="M256" s="50">
        <v>20</v>
      </c>
      <c r="N256" s="64" t="s">
        <v>450</v>
      </c>
      <c r="O256" s="64"/>
      <c r="P256" s="78">
        <v>40299</v>
      </c>
      <c r="R256" s="50">
        <v>3</v>
      </c>
      <c r="AD256" s="50">
        <v>20.88</v>
      </c>
      <c r="AF256" s="50" t="s">
        <v>1144</v>
      </c>
      <c r="AG256" s="50" t="s">
        <v>216</v>
      </c>
      <c r="AH256" s="50">
        <v>533</v>
      </c>
      <c r="AI256" s="50" t="s">
        <v>451</v>
      </c>
      <c r="AJ256" s="50" t="s">
        <v>219</v>
      </c>
      <c r="AK256" s="50">
        <v>0</v>
      </c>
      <c r="AL256" s="50">
        <v>26</v>
      </c>
      <c r="AM256" s="50">
        <f t="shared" ref="AM256:AM257" si="23">48*60</f>
        <v>2880</v>
      </c>
      <c r="AN256" s="79">
        <v>1.3</v>
      </c>
      <c r="AO256" s="79">
        <v>0.1</v>
      </c>
      <c r="AP256" s="79" t="s">
        <v>570</v>
      </c>
      <c r="AR256" s="50">
        <f>1.3/60</f>
        <v>2.1666666666666667E-2</v>
      </c>
      <c r="AS256" s="50">
        <f t="shared" ref="AS256:AS257" si="24">0.1/60</f>
        <v>1.6666666666666668E-3</v>
      </c>
      <c r="AT256" s="137"/>
    </row>
    <row r="257" spans="1:52" s="50" customFormat="1">
      <c r="A257" s="50" t="s">
        <v>448</v>
      </c>
      <c r="B257" s="50" t="s">
        <v>671</v>
      </c>
      <c r="E257" s="50" t="s">
        <v>624</v>
      </c>
      <c r="F257" s="79" t="s">
        <v>449</v>
      </c>
      <c r="G257" s="62" t="s">
        <v>566</v>
      </c>
      <c r="H257" s="64" t="s">
        <v>228</v>
      </c>
      <c r="J257" s="50" t="s">
        <v>213</v>
      </c>
      <c r="K257" s="50" t="s">
        <v>215</v>
      </c>
      <c r="L257" s="50" t="s">
        <v>79</v>
      </c>
      <c r="M257" s="50">
        <v>20</v>
      </c>
      <c r="N257" s="64" t="s">
        <v>450</v>
      </c>
      <c r="O257" s="64"/>
      <c r="P257" s="78">
        <v>40299</v>
      </c>
      <c r="R257" s="50">
        <v>3</v>
      </c>
      <c r="AD257" s="50">
        <v>20.88</v>
      </c>
      <c r="AF257" s="50" t="s">
        <v>1144</v>
      </c>
      <c r="AG257" s="50" t="s">
        <v>216</v>
      </c>
      <c r="AH257" s="50">
        <v>633</v>
      </c>
      <c r="AI257" s="50" t="s">
        <v>218</v>
      </c>
      <c r="AJ257" s="50" t="s">
        <v>219</v>
      </c>
      <c r="AK257" s="50">
        <v>0</v>
      </c>
      <c r="AL257" s="50">
        <v>26</v>
      </c>
      <c r="AM257" s="50">
        <f t="shared" si="23"/>
        <v>2880</v>
      </c>
      <c r="AN257" s="79">
        <v>1.4</v>
      </c>
      <c r="AO257" s="79">
        <v>0.1</v>
      </c>
      <c r="AP257" s="79" t="s">
        <v>570</v>
      </c>
      <c r="AR257" s="50">
        <f>1.4/60</f>
        <v>2.3333333333333331E-2</v>
      </c>
      <c r="AS257" s="50">
        <f t="shared" si="24"/>
        <v>1.6666666666666668E-3</v>
      </c>
      <c r="AT257" s="137"/>
    </row>
    <row r="258" spans="1:52" s="60" customFormat="1">
      <c r="A258" s="60" t="s">
        <v>455</v>
      </c>
      <c r="B258" s="60" t="s">
        <v>1083</v>
      </c>
      <c r="C258" s="60" t="s">
        <v>1086</v>
      </c>
      <c r="D258" s="60" t="s">
        <v>680</v>
      </c>
      <c r="E258" s="60" t="s">
        <v>623</v>
      </c>
      <c r="F258" s="60" t="s">
        <v>456</v>
      </c>
      <c r="G258" s="52" t="s">
        <v>565</v>
      </c>
      <c r="H258" s="66" t="s">
        <v>75</v>
      </c>
      <c r="J258" s="60" t="s">
        <v>213</v>
      </c>
      <c r="K258" s="60" t="s">
        <v>215</v>
      </c>
      <c r="L258" s="60" t="s">
        <v>79</v>
      </c>
      <c r="M258" s="60">
        <v>6</v>
      </c>
      <c r="N258" s="60">
        <v>5</v>
      </c>
      <c r="P258" s="80" t="s">
        <v>458</v>
      </c>
      <c r="R258" s="60">
        <v>5</v>
      </c>
      <c r="S258" s="81" t="s">
        <v>1080</v>
      </c>
      <c r="T258" s="81"/>
      <c r="U258" s="81">
        <v>1.4357142857142799</v>
      </c>
      <c r="V258" s="81">
        <v>0.15714285714286014</v>
      </c>
      <c r="W258" s="81" t="s">
        <v>1284</v>
      </c>
      <c r="AD258" s="121">
        <v>125</v>
      </c>
      <c r="AE258" s="48"/>
      <c r="AF258" s="63" t="s">
        <v>1287</v>
      </c>
      <c r="AG258" s="50" t="s">
        <v>216</v>
      </c>
      <c r="AH258" s="60">
        <v>417</v>
      </c>
      <c r="AI258" s="60" t="s">
        <v>219</v>
      </c>
      <c r="AJ258" s="60" t="s">
        <v>219</v>
      </c>
      <c r="AK258" s="60">
        <v>0</v>
      </c>
      <c r="AL258" s="60">
        <v>26.5</v>
      </c>
      <c r="AM258" s="60">
        <f>24*5*60</f>
        <v>7200</v>
      </c>
      <c r="AN258" s="81" t="s">
        <v>529</v>
      </c>
      <c r="AO258" s="81"/>
      <c r="AP258" s="81"/>
      <c r="AR258" s="81">
        <v>7.5997777914943498E-2</v>
      </c>
      <c r="AS258" s="81">
        <v>8.3328189617924986E-3</v>
      </c>
      <c r="AT258" s="85">
        <v>5.3220000000000003E-2</v>
      </c>
      <c r="AU258">
        <v>4.1899999999999993E-3</v>
      </c>
      <c r="AV258" s="81" t="s">
        <v>1082</v>
      </c>
    </row>
    <row r="259" spans="1:52" s="60" customFormat="1">
      <c r="A259" s="60" t="s">
        <v>455</v>
      </c>
      <c r="B259" s="60" t="s">
        <v>1083</v>
      </c>
      <c r="C259" s="60" t="s">
        <v>1086</v>
      </c>
      <c r="D259" s="60" t="s">
        <v>680</v>
      </c>
      <c r="E259" s="60" t="s">
        <v>623</v>
      </c>
      <c r="F259" s="60" t="s">
        <v>456</v>
      </c>
      <c r="G259" s="52" t="s">
        <v>565</v>
      </c>
      <c r="H259" s="66" t="s">
        <v>75</v>
      </c>
      <c r="J259" s="60" t="s">
        <v>213</v>
      </c>
      <c r="K259" s="60" t="s">
        <v>215</v>
      </c>
      <c r="L259" s="60" t="s">
        <v>79</v>
      </c>
      <c r="M259" s="60">
        <v>6</v>
      </c>
      <c r="N259" s="60">
        <v>5</v>
      </c>
      <c r="P259" s="80" t="s">
        <v>458</v>
      </c>
      <c r="R259" s="60">
        <v>5</v>
      </c>
      <c r="S259" s="81" t="s">
        <v>1081</v>
      </c>
      <c r="T259" s="81"/>
      <c r="U259" s="81">
        <v>1.1214285714285701</v>
      </c>
      <c r="V259" s="81">
        <v>4.76190476190399E-2</v>
      </c>
      <c r="W259" s="81" t="s">
        <v>1284</v>
      </c>
      <c r="AD259" s="121">
        <v>125</v>
      </c>
      <c r="AE259" s="48"/>
      <c r="AF259" s="63" t="s">
        <v>1287</v>
      </c>
      <c r="AG259" s="50" t="s">
        <v>216</v>
      </c>
      <c r="AH259" s="60">
        <v>805</v>
      </c>
      <c r="AI259" s="60" t="s">
        <v>218</v>
      </c>
      <c r="AJ259" s="60" t="s">
        <v>218</v>
      </c>
      <c r="AK259" s="60">
        <f>AL259-AL258</f>
        <v>2.3999999999999986</v>
      </c>
      <c r="AL259" s="60">
        <v>28.9</v>
      </c>
      <c r="AM259" s="60">
        <f>24*5*60</f>
        <v>7200</v>
      </c>
      <c r="AN259" s="81" t="s">
        <v>529</v>
      </c>
      <c r="AO259" s="81"/>
      <c r="AP259" s="81"/>
      <c r="AR259" s="81">
        <v>6.3665205851490603E-2</v>
      </c>
      <c r="AS259" s="81">
        <v>7.9995062033207942E-3</v>
      </c>
      <c r="AT259" s="85">
        <v>5.7759999999999999E-2</v>
      </c>
      <c r="AU259">
        <v>7.090000000000006E-3</v>
      </c>
      <c r="AV259" s="81" t="s">
        <v>1082</v>
      </c>
    </row>
    <row r="260" spans="1:52" s="50" customFormat="1">
      <c r="A260" s="50" t="s">
        <v>275</v>
      </c>
      <c r="B260" s="50" t="s">
        <v>1086</v>
      </c>
      <c r="D260" s="50" t="s">
        <v>1083</v>
      </c>
      <c r="E260" s="50" t="s">
        <v>623</v>
      </c>
      <c r="F260" s="79" t="s">
        <v>336</v>
      </c>
      <c r="G260" s="50" t="s">
        <v>565</v>
      </c>
      <c r="H260" s="64" t="s">
        <v>75</v>
      </c>
      <c r="J260" s="50" t="s">
        <v>213</v>
      </c>
      <c r="K260" s="50" t="s">
        <v>215</v>
      </c>
      <c r="L260" s="50" t="s">
        <v>79</v>
      </c>
      <c r="M260" s="50">
        <v>6</v>
      </c>
      <c r="N260" s="50">
        <v>3</v>
      </c>
      <c r="P260" s="50">
        <v>9</v>
      </c>
      <c r="R260" s="50">
        <v>9</v>
      </c>
      <c r="S260" s="91">
        <v>10</v>
      </c>
      <c r="T260" s="91">
        <v>3</v>
      </c>
      <c r="U260" s="91">
        <v>0.58023999999999998</v>
      </c>
      <c r="V260" s="91">
        <v>2.4519999999999986E-2</v>
      </c>
      <c r="W260" s="91" t="s">
        <v>1284</v>
      </c>
      <c r="AD260" s="121">
        <v>125</v>
      </c>
      <c r="AE260" s="48"/>
      <c r="AF260" s="63" t="s">
        <v>1287</v>
      </c>
      <c r="AG260" s="50" t="s">
        <v>216</v>
      </c>
      <c r="AH260" s="50">
        <v>420</v>
      </c>
      <c r="AI260" s="50" t="s">
        <v>219</v>
      </c>
      <c r="AJ260" s="50" t="s">
        <v>219</v>
      </c>
      <c r="AK260" s="50">
        <v>0</v>
      </c>
      <c r="AL260" s="50">
        <v>25.28</v>
      </c>
      <c r="AM260" s="50">
        <f>24*9*60</f>
        <v>12960</v>
      </c>
      <c r="AN260" s="91" t="s">
        <v>529</v>
      </c>
      <c r="AO260" s="91"/>
      <c r="AP260" s="91"/>
      <c r="AQ260" s="91"/>
      <c r="AR260" s="91">
        <v>0.10289</v>
      </c>
      <c r="AS260" s="91">
        <v>1.5130000000000005E-2</v>
      </c>
      <c r="AT260" s="137"/>
      <c r="AU260" s="91"/>
      <c r="AV260" s="91"/>
    </row>
    <row r="261" spans="1:52" s="50" customFormat="1">
      <c r="A261" s="50" t="s">
        <v>275</v>
      </c>
      <c r="B261" s="50" t="s">
        <v>1086</v>
      </c>
      <c r="D261" s="50" t="s">
        <v>1083</v>
      </c>
      <c r="E261" s="50" t="s">
        <v>623</v>
      </c>
      <c r="F261" s="79" t="s">
        <v>336</v>
      </c>
      <c r="G261" s="50" t="s">
        <v>565</v>
      </c>
      <c r="H261" s="64" t="s">
        <v>75</v>
      </c>
      <c r="J261" s="50" t="s">
        <v>213</v>
      </c>
      <c r="K261" s="50" t="s">
        <v>215</v>
      </c>
      <c r="L261" s="50" t="s">
        <v>79</v>
      </c>
      <c r="M261" s="50">
        <v>6</v>
      </c>
      <c r="N261" s="50">
        <v>4</v>
      </c>
      <c r="P261" s="50">
        <v>9</v>
      </c>
      <c r="R261" s="50">
        <v>9</v>
      </c>
      <c r="S261" s="91">
        <v>10</v>
      </c>
      <c r="T261" s="91">
        <v>4</v>
      </c>
      <c r="U261" s="91">
        <v>0.68481000000000003</v>
      </c>
      <c r="V261" s="91">
        <v>2.0000000000000018E-2</v>
      </c>
      <c r="W261" s="91" t="s">
        <v>1284</v>
      </c>
      <c r="AD261" s="121">
        <v>125</v>
      </c>
      <c r="AE261" s="48"/>
      <c r="AF261" s="63" t="s">
        <v>1287</v>
      </c>
      <c r="AG261" s="50" t="s">
        <v>216</v>
      </c>
      <c r="AH261" s="50">
        <v>607</v>
      </c>
      <c r="AI261" s="50" t="s">
        <v>218</v>
      </c>
      <c r="AJ261" s="50" t="s">
        <v>219</v>
      </c>
      <c r="AK261" s="50">
        <v>0</v>
      </c>
      <c r="AL261" s="50">
        <v>25.47</v>
      </c>
      <c r="AM261" s="50">
        <f t="shared" ref="AM261:AM263" si="25">24*9*60</f>
        <v>12960</v>
      </c>
      <c r="AN261" s="91" t="s">
        <v>529</v>
      </c>
      <c r="AO261" s="91"/>
      <c r="AP261" s="91"/>
      <c r="AQ261" s="91"/>
      <c r="AR261" s="91">
        <v>9.3479999999999994E-2</v>
      </c>
      <c r="AS261" s="91">
        <v>8.8700000000000029E-3</v>
      </c>
      <c r="AT261" s="137"/>
      <c r="AU261" s="91"/>
      <c r="AV261" s="91"/>
    </row>
    <row r="262" spans="1:52" s="50" customFormat="1">
      <c r="A262" s="50" t="s">
        <v>275</v>
      </c>
      <c r="B262" s="50" t="s">
        <v>1086</v>
      </c>
      <c r="D262" s="50" t="s">
        <v>1083</v>
      </c>
      <c r="E262" s="50" t="s">
        <v>623</v>
      </c>
      <c r="F262" s="79" t="s">
        <v>336</v>
      </c>
      <c r="G262" s="50" t="s">
        <v>565</v>
      </c>
      <c r="H262" s="64" t="s">
        <v>75</v>
      </c>
      <c r="J262" s="50" t="s">
        <v>213</v>
      </c>
      <c r="K262" s="50" t="s">
        <v>215</v>
      </c>
      <c r="L262" s="50" t="s">
        <v>79</v>
      </c>
      <c r="M262" s="50">
        <v>6</v>
      </c>
      <c r="N262" s="50">
        <v>3</v>
      </c>
      <c r="P262" s="50">
        <v>9</v>
      </c>
      <c r="R262" s="50">
        <v>9</v>
      </c>
      <c r="S262" s="91">
        <v>10</v>
      </c>
      <c r="T262" s="91">
        <v>3</v>
      </c>
      <c r="U262" s="91">
        <v>0.61441999999999997</v>
      </c>
      <c r="V262" s="91">
        <v>4.1290000000000049E-2</v>
      </c>
      <c r="W262" s="91" t="s">
        <v>1284</v>
      </c>
      <c r="AD262" s="121">
        <v>125</v>
      </c>
      <c r="AE262" s="48"/>
      <c r="AF262" s="63" t="s">
        <v>1287</v>
      </c>
      <c r="AG262" s="50" t="s">
        <v>216</v>
      </c>
      <c r="AH262" s="50">
        <v>413</v>
      </c>
      <c r="AI262" s="50" t="s">
        <v>219</v>
      </c>
      <c r="AJ262" s="50" t="s">
        <v>218</v>
      </c>
      <c r="AK262" s="50">
        <v>4</v>
      </c>
      <c r="AL262" s="50">
        <v>29.01</v>
      </c>
      <c r="AM262" s="50">
        <f t="shared" si="25"/>
        <v>12960</v>
      </c>
      <c r="AN262" s="91" t="s">
        <v>529</v>
      </c>
      <c r="AO262" s="91"/>
      <c r="AP262" s="91"/>
      <c r="AQ262" s="91"/>
      <c r="AR262" s="91">
        <v>7.5590000000000004E-2</v>
      </c>
      <c r="AS262" s="91">
        <v>1.2699999999999989E-2</v>
      </c>
      <c r="AT262" s="137"/>
      <c r="AU262" s="91"/>
      <c r="AV262" s="91"/>
    </row>
    <row r="263" spans="1:52" s="50" customFormat="1" ht="17" customHeight="1">
      <c r="A263" s="50" t="s">
        <v>275</v>
      </c>
      <c r="B263" s="50" t="s">
        <v>1086</v>
      </c>
      <c r="D263" s="50" t="s">
        <v>1083</v>
      </c>
      <c r="E263" s="50" t="s">
        <v>623</v>
      </c>
      <c r="F263" s="79" t="s">
        <v>336</v>
      </c>
      <c r="G263" s="50" t="s">
        <v>565</v>
      </c>
      <c r="H263" s="64" t="s">
        <v>75</v>
      </c>
      <c r="J263" s="50" t="s">
        <v>213</v>
      </c>
      <c r="K263" s="50" t="s">
        <v>215</v>
      </c>
      <c r="L263" s="50" t="s">
        <v>79</v>
      </c>
      <c r="M263" s="50">
        <v>6</v>
      </c>
      <c r="N263" s="50">
        <v>4</v>
      </c>
      <c r="P263" s="50">
        <v>9</v>
      </c>
      <c r="R263" s="50">
        <v>9</v>
      </c>
      <c r="S263" s="91">
        <v>9</v>
      </c>
      <c r="T263" s="91">
        <v>5</v>
      </c>
      <c r="U263" s="91">
        <v>0.63512999999999997</v>
      </c>
      <c r="V263" s="91">
        <v>2.5160000000000071E-2</v>
      </c>
      <c r="W263" s="91" t="s">
        <v>1284</v>
      </c>
      <c r="AD263" s="121">
        <v>125</v>
      </c>
      <c r="AE263" s="48"/>
      <c r="AF263" s="63" t="s">
        <v>1287</v>
      </c>
      <c r="AG263" s="50" t="s">
        <v>216</v>
      </c>
      <c r="AH263" s="50">
        <v>656</v>
      </c>
      <c r="AI263" s="50" t="s">
        <v>218</v>
      </c>
      <c r="AJ263" s="50" t="s">
        <v>218</v>
      </c>
      <c r="AK263" s="50">
        <v>4</v>
      </c>
      <c r="AL263" s="50">
        <v>29.14</v>
      </c>
      <c r="AM263" s="50">
        <f t="shared" si="25"/>
        <v>12960</v>
      </c>
      <c r="AN263" s="91" t="s">
        <v>529</v>
      </c>
      <c r="AO263" s="91"/>
      <c r="AP263" s="91"/>
      <c r="AQ263" s="91"/>
      <c r="AR263" s="91">
        <v>5.9220000000000002E-2</v>
      </c>
      <c r="AS263" s="91">
        <v>1.0960000000000004E-2</v>
      </c>
      <c r="AT263" s="137"/>
      <c r="AU263" s="91"/>
      <c r="AV263" s="91"/>
    </row>
    <row r="264" spans="1:52" s="110" customFormat="1">
      <c r="A264" s="110" t="s">
        <v>524</v>
      </c>
      <c r="B264" s="110" t="s">
        <v>679</v>
      </c>
      <c r="E264" s="110" t="s">
        <v>623</v>
      </c>
      <c r="F264" s="200" t="s">
        <v>526</v>
      </c>
      <c r="G264" s="110" t="s">
        <v>565</v>
      </c>
      <c r="H264" s="112" t="s">
        <v>75</v>
      </c>
      <c r="J264" s="110" t="s">
        <v>213</v>
      </c>
      <c r="K264" s="110" t="s">
        <v>215</v>
      </c>
      <c r="L264" s="110" t="s">
        <v>79</v>
      </c>
      <c r="M264" s="110">
        <v>30</v>
      </c>
      <c r="N264" s="110">
        <v>4</v>
      </c>
      <c r="P264" s="200" t="s">
        <v>528</v>
      </c>
      <c r="R264" s="110">
        <v>1</v>
      </c>
      <c r="AD264" s="121">
        <v>125</v>
      </c>
      <c r="AF264" s="63" t="s">
        <v>1287</v>
      </c>
      <c r="AG264" s="50" t="s">
        <v>216</v>
      </c>
      <c r="AH264" s="110">
        <v>548</v>
      </c>
      <c r="AI264" s="110" t="s">
        <v>219</v>
      </c>
      <c r="AJ264" s="110" t="s">
        <v>219</v>
      </c>
      <c r="AK264" s="110">
        <v>0</v>
      </c>
      <c r="AL264" s="110">
        <v>29.1</v>
      </c>
      <c r="AM264" s="110">
        <v>0</v>
      </c>
      <c r="AN264" s="110" t="s">
        <v>529</v>
      </c>
      <c r="AR264">
        <v>0.20122000000000001</v>
      </c>
      <c r="AS264">
        <v>1.097999999999999E-2</v>
      </c>
      <c r="AT264" s="141"/>
      <c r="AU264" s="201"/>
      <c r="AV264" s="201"/>
      <c r="AW264" s="201">
        <v>0.28364</v>
      </c>
      <c r="AX264" s="201">
        <v>1.6359999999999986E-2</v>
      </c>
      <c r="AY264" s="201">
        <v>8.4029999999999994E-2</v>
      </c>
      <c r="AZ264" s="201">
        <v>7.5899999999999995E-3</v>
      </c>
    </row>
    <row r="265" spans="1:52" s="110" customFormat="1">
      <c r="A265" s="110" t="s">
        <v>524</v>
      </c>
      <c r="B265" s="110" t="s">
        <v>679</v>
      </c>
      <c r="E265" s="110" t="s">
        <v>623</v>
      </c>
      <c r="F265" s="200" t="s">
        <v>526</v>
      </c>
      <c r="G265" s="110" t="s">
        <v>565</v>
      </c>
      <c r="H265" s="112" t="s">
        <v>75</v>
      </c>
      <c r="J265" s="110" t="s">
        <v>213</v>
      </c>
      <c r="K265" s="110" t="s">
        <v>215</v>
      </c>
      <c r="L265" s="110" t="s">
        <v>79</v>
      </c>
      <c r="M265" s="110">
        <v>30</v>
      </c>
      <c r="N265" s="110">
        <v>4</v>
      </c>
      <c r="P265" s="200" t="s">
        <v>528</v>
      </c>
      <c r="R265" s="110">
        <v>2</v>
      </c>
      <c r="AD265" s="121">
        <v>125</v>
      </c>
      <c r="AF265" s="63" t="s">
        <v>1287</v>
      </c>
      <c r="AG265" s="50" t="s">
        <v>216</v>
      </c>
      <c r="AH265" s="110">
        <v>548</v>
      </c>
      <c r="AI265" s="110" t="s">
        <v>219</v>
      </c>
      <c r="AJ265" s="110" t="s">
        <v>219</v>
      </c>
      <c r="AK265" s="110">
        <v>0</v>
      </c>
      <c r="AL265" s="110">
        <v>29.1</v>
      </c>
      <c r="AM265" s="110">
        <f>1*24*60</f>
        <v>1440</v>
      </c>
      <c r="AN265" s="110" t="s">
        <v>529</v>
      </c>
      <c r="AR265">
        <v>0.21951000000000001</v>
      </c>
      <c r="AS265">
        <v>8.539999999999992E-3</v>
      </c>
      <c r="AT265" s="141"/>
      <c r="AU265" s="201"/>
      <c r="AV265" s="201"/>
      <c r="AW265" s="201">
        <v>0.33635999999999999</v>
      </c>
      <c r="AX265" s="201">
        <v>1.0910000000000031E-2</v>
      </c>
      <c r="AY265" s="201">
        <v>0.11445</v>
      </c>
      <c r="AZ265" s="201">
        <v>1.5219999999999997E-2</v>
      </c>
    </row>
    <row r="266" spans="1:52" s="110" customFormat="1">
      <c r="A266" s="110" t="s">
        <v>524</v>
      </c>
      <c r="B266" s="110" t="s">
        <v>679</v>
      </c>
      <c r="E266" s="110" t="s">
        <v>623</v>
      </c>
      <c r="F266" s="200" t="s">
        <v>526</v>
      </c>
      <c r="G266" s="110" t="s">
        <v>565</v>
      </c>
      <c r="H266" s="112" t="s">
        <v>75</v>
      </c>
      <c r="J266" s="110" t="s">
        <v>213</v>
      </c>
      <c r="K266" s="110" t="s">
        <v>215</v>
      </c>
      <c r="L266" s="110" t="s">
        <v>79</v>
      </c>
      <c r="M266" s="110">
        <v>30</v>
      </c>
      <c r="N266" s="110">
        <v>4</v>
      </c>
      <c r="P266" s="200" t="s">
        <v>528</v>
      </c>
      <c r="R266" s="110">
        <v>3</v>
      </c>
      <c r="AD266" s="121">
        <v>125</v>
      </c>
      <c r="AF266" s="63" t="s">
        <v>1287</v>
      </c>
      <c r="AG266" s="50" t="s">
        <v>216</v>
      </c>
      <c r="AH266" s="110">
        <v>548</v>
      </c>
      <c r="AI266" s="110" t="s">
        <v>219</v>
      </c>
      <c r="AJ266" s="110" t="s">
        <v>219</v>
      </c>
      <c r="AK266" s="110">
        <v>0</v>
      </c>
      <c r="AL266" s="110">
        <v>29.1</v>
      </c>
      <c r="AM266" s="110">
        <f>2*24*60</f>
        <v>2880</v>
      </c>
      <c r="AN266" s="110" t="s">
        <v>529</v>
      </c>
      <c r="AR266">
        <v>0.22561</v>
      </c>
      <c r="AS266">
        <v>1.2190000000000006E-2</v>
      </c>
      <c r="AT266" s="141"/>
      <c r="AU266" s="201"/>
      <c r="AV266" s="201"/>
      <c r="AW266" s="201">
        <v>0.33455000000000001</v>
      </c>
      <c r="AX266" s="201">
        <v>1.0899999999999965E-2</v>
      </c>
      <c r="AY266" s="201">
        <v>0.10682999999999999</v>
      </c>
      <c r="AZ266" s="201">
        <v>7.5899999999999995E-3</v>
      </c>
    </row>
    <row r="267" spans="1:52" s="110" customFormat="1">
      <c r="A267" s="110" t="s">
        <v>524</v>
      </c>
      <c r="B267" s="110" t="s">
        <v>679</v>
      </c>
      <c r="E267" s="110" t="s">
        <v>623</v>
      </c>
      <c r="F267" s="200" t="s">
        <v>526</v>
      </c>
      <c r="G267" s="110" t="s">
        <v>565</v>
      </c>
      <c r="H267" s="112" t="s">
        <v>75</v>
      </c>
      <c r="J267" s="110" t="s">
        <v>213</v>
      </c>
      <c r="K267" s="110" t="s">
        <v>215</v>
      </c>
      <c r="L267" s="110" t="s">
        <v>79</v>
      </c>
      <c r="M267" s="110">
        <v>30</v>
      </c>
      <c r="N267" s="110">
        <v>4</v>
      </c>
      <c r="P267" s="200" t="s">
        <v>528</v>
      </c>
      <c r="R267" s="110">
        <v>4</v>
      </c>
      <c r="AD267" s="121">
        <v>125</v>
      </c>
      <c r="AF267" s="63" t="s">
        <v>1287</v>
      </c>
      <c r="AG267" s="50" t="s">
        <v>216</v>
      </c>
      <c r="AH267" s="110">
        <v>548</v>
      </c>
      <c r="AI267" s="110" t="s">
        <v>219</v>
      </c>
      <c r="AJ267" s="110" t="s">
        <v>219</v>
      </c>
      <c r="AK267" s="110">
        <v>0</v>
      </c>
      <c r="AL267" s="110">
        <v>29.1</v>
      </c>
      <c r="AM267" s="110">
        <f>3*24*60</f>
        <v>4320</v>
      </c>
      <c r="AN267" s="110" t="s">
        <v>529</v>
      </c>
      <c r="AR267">
        <v>0.20854</v>
      </c>
      <c r="AS267">
        <v>1.7080000000000012E-2</v>
      </c>
      <c r="AT267" s="141"/>
      <c r="AU267" s="201"/>
      <c r="AV267" s="201"/>
      <c r="AW267" s="201">
        <v>0.32363999999999998</v>
      </c>
      <c r="AX267" s="201">
        <v>2.1809999999999996E-2</v>
      </c>
      <c r="AY267" s="201">
        <v>0.11551</v>
      </c>
      <c r="AZ267" s="201">
        <v>9.790000000000007E-3</v>
      </c>
    </row>
    <row r="268" spans="1:52" s="110" customFormat="1">
      <c r="A268" s="110" t="s">
        <v>524</v>
      </c>
      <c r="B268" s="110" t="s">
        <v>679</v>
      </c>
      <c r="E268" s="110" t="s">
        <v>623</v>
      </c>
      <c r="F268" s="200" t="s">
        <v>526</v>
      </c>
      <c r="G268" s="110" t="s">
        <v>565</v>
      </c>
      <c r="H268" s="112" t="s">
        <v>75</v>
      </c>
      <c r="J268" s="110" t="s">
        <v>213</v>
      </c>
      <c r="K268" s="110" t="s">
        <v>215</v>
      </c>
      <c r="L268" s="110" t="s">
        <v>79</v>
      </c>
      <c r="M268" s="110">
        <v>30</v>
      </c>
      <c r="N268" s="110">
        <v>4</v>
      </c>
      <c r="P268" s="200" t="s">
        <v>528</v>
      </c>
      <c r="R268" s="110">
        <v>5</v>
      </c>
      <c r="AD268" s="121">
        <v>125</v>
      </c>
      <c r="AF268" s="63" t="s">
        <v>1287</v>
      </c>
      <c r="AG268" s="50" t="s">
        <v>216</v>
      </c>
      <c r="AH268" s="110">
        <v>548</v>
      </c>
      <c r="AI268" s="110" t="s">
        <v>219</v>
      </c>
      <c r="AJ268" s="110" t="s">
        <v>219</v>
      </c>
      <c r="AK268" s="110">
        <v>0</v>
      </c>
      <c r="AL268" s="110">
        <v>29.1</v>
      </c>
      <c r="AM268" s="110">
        <f>4*24*60</f>
        <v>5760</v>
      </c>
      <c r="AN268" s="110" t="s">
        <v>529</v>
      </c>
      <c r="AR268">
        <v>0.21098</v>
      </c>
      <c r="AS268">
        <v>2.3169999999999996E-2</v>
      </c>
      <c r="AT268" s="141"/>
      <c r="AU268" s="201"/>
      <c r="AV268" s="201"/>
      <c r="AW268" s="201">
        <v>0.35272999999999999</v>
      </c>
      <c r="AX268" s="201">
        <v>9.089999999999987E-3</v>
      </c>
      <c r="AY268" s="201">
        <v>0.14374999999999999</v>
      </c>
      <c r="AZ268" s="201">
        <v>8.6799999999999933E-3</v>
      </c>
    </row>
    <row r="269" spans="1:52" s="110" customFormat="1">
      <c r="A269" s="110" t="s">
        <v>524</v>
      </c>
      <c r="B269" s="110" t="s">
        <v>679</v>
      </c>
      <c r="E269" s="110" t="s">
        <v>623</v>
      </c>
      <c r="F269" s="200" t="s">
        <v>526</v>
      </c>
      <c r="G269" s="110" t="s">
        <v>565</v>
      </c>
      <c r="H269" s="112" t="s">
        <v>75</v>
      </c>
      <c r="J269" s="110" t="s">
        <v>213</v>
      </c>
      <c r="K269" s="110" t="s">
        <v>215</v>
      </c>
      <c r="L269" s="110" t="s">
        <v>79</v>
      </c>
      <c r="M269" s="110">
        <v>30</v>
      </c>
      <c r="N269" s="110">
        <v>4</v>
      </c>
      <c r="P269" s="200" t="s">
        <v>528</v>
      </c>
      <c r="R269" s="110">
        <v>6</v>
      </c>
      <c r="AD269" s="121">
        <v>125</v>
      </c>
      <c r="AF269" s="63" t="s">
        <v>1287</v>
      </c>
      <c r="AG269" s="50" t="s">
        <v>216</v>
      </c>
      <c r="AH269" s="110">
        <v>548</v>
      </c>
      <c r="AI269" s="110" t="s">
        <v>219</v>
      </c>
      <c r="AJ269" s="110" t="s">
        <v>219</v>
      </c>
      <c r="AK269" s="110">
        <v>0</v>
      </c>
      <c r="AL269" s="110">
        <v>29.1</v>
      </c>
      <c r="AM269" s="110">
        <f>5*24*60</f>
        <v>7200</v>
      </c>
      <c r="AN269" s="110" t="s">
        <v>529</v>
      </c>
      <c r="AR269">
        <v>0.18901999999999999</v>
      </c>
      <c r="AS269">
        <v>8.529999999999982E-3</v>
      </c>
      <c r="AT269" s="141"/>
      <c r="AU269" s="201"/>
      <c r="AV269" s="201"/>
      <c r="AW269" s="201">
        <v>0.31091000000000002</v>
      </c>
      <c r="AX269" s="201">
        <v>2.7269999999999961E-2</v>
      </c>
      <c r="AY269" s="201">
        <v>0.12745000000000001</v>
      </c>
      <c r="AZ269" s="201">
        <v>2.0650000000000002E-2</v>
      </c>
    </row>
    <row r="270" spans="1:52" s="48" customFormat="1">
      <c r="A270" s="48" t="s">
        <v>524</v>
      </c>
      <c r="B270" s="48" t="s">
        <v>679</v>
      </c>
      <c r="E270" s="60" t="s">
        <v>623</v>
      </c>
      <c r="F270" s="82" t="s">
        <v>526</v>
      </c>
      <c r="G270" s="52" t="s">
        <v>565</v>
      </c>
      <c r="H270" s="61" t="s">
        <v>75</v>
      </c>
      <c r="J270" s="48" t="s">
        <v>213</v>
      </c>
      <c r="K270" s="48" t="s">
        <v>215</v>
      </c>
      <c r="L270" s="48" t="s">
        <v>79</v>
      </c>
      <c r="M270" s="48">
        <v>30</v>
      </c>
      <c r="N270" s="48">
        <v>4</v>
      </c>
      <c r="P270" s="82" t="s">
        <v>528</v>
      </c>
      <c r="R270" s="48">
        <v>1</v>
      </c>
      <c r="AD270" s="121">
        <v>125</v>
      </c>
      <c r="AE270" s="50"/>
      <c r="AF270" s="63" t="s">
        <v>1287</v>
      </c>
      <c r="AG270" s="50" t="s">
        <v>216</v>
      </c>
      <c r="AH270" s="48">
        <v>1090</v>
      </c>
      <c r="AI270" s="48" t="s">
        <v>218</v>
      </c>
      <c r="AJ270" s="48" t="s">
        <v>219</v>
      </c>
      <c r="AK270" s="48">
        <v>0</v>
      </c>
      <c r="AL270" s="48">
        <v>29.03</v>
      </c>
      <c r="AM270" s="48">
        <v>0</v>
      </c>
      <c r="AN270" s="48" t="s">
        <v>529</v>
      </c>
      <c r="AR270" s="83">
        <v>0.20149</v>
      </c>
      <c r="AS270" s="83">
        <v>1.0449999999999987E-2</v>
      </c>
      <c r="AT270" s="133"/>
      <c r="AU270" s="83"/>
      <c r="AV270" s="83"/>
      <c r="AW270" s="83">
        <v>0.28364</v>
      </c>
      <c r="AX270" s="83">
        <v>1.6359999999999986E-2</v>
      </c>
      <c r="AY270" s="83">
        <v>8.294E-2</v>
      </c>
      <c r="AZ270" s="83">
        <v>8.6799999999999933E-3</v>
      </c>
    </row>
    <row r="271" spans="1:52" s="48" customFormat="1">
      <c r="A271" s="48" t="s">
        <v>524</v>
      </c>
      <c r="B271" s="48" t="s">
        <v>679</v>
      </c>
      <c r="E271" s="60" t="s">
        <v>623</v>
      </c>
      <c r="F271" s="82" t="s">
        <v>526</v>
      </c>
      <c r="G271" s="52" t="s">
        <v>565</v>
      </c>
      <c r="H271" s="61" t="s">
        <v>75</v>
      </c>
      <c r="J271" s="48" t="s">
        <v>213</v>
      </c>
      <c r="K271" s="48" t="s">
        <v>215</v>
      </c>
      <c r="L271" s="48" t="s">
        <v>79</v>
      </c>
      <c r="M271" s="48">
        <v>30</v>
      </c>
      <c r="N271" s="48">
        <v>4</v>
      </c>
      <c r="P271" s="82" t="s">
        <v>528</v>
      </c>
      <c r="R271" s="48">
        <v>2</v>
      </c>
      <c r="AD271" s="121">
        <v>125</v>
      </c>
      <c r="AE271" s="50"/>
      <c r="AF271" s="63" t="s">
        <v>1287</v>
      </c>
      <c r="AG271" s="50" t="s">
        <v>216</v>
      </c>
      <c r="AH271" s="48">
        <v>1090</v>
      </c>
      <c r="AI271" s="48" t="s">
        <v>218</v>
      </c>
      <c r="AJ271" s="48" t="s">
        <v>219</v>
      </c>
      <c r="AK271" s="48">
        <v>0</v>
      </c>
      <c r="AL271" s="48">
        <v>29.03</v>
      </c>
      <c r="AM271" s="48">
        <f>1*24*60</f>
        <v>1440</v>
      </c>
      <c r="AN271" s="48" t="s">
        <v>529</v>
      </c>
      <c r="AR271" s="83">
        <v>0.21193999999999999</v>
      </c>
      <c r="AS271" s="83">
        <v>1.0450000000000015E-2</v>
      </c>
      <c r="AT271" s="133"/>
      <c r="AU271" s="83"/>
      <c r="AV271" s="83"/>
      <c r="AW271" s="83">
        <v>0.36181999999999997</v>
      </c>
      <c r="AX271" s="83">
        <v>1.4539999999999997E-2</v>
      </c>
      <c r="AY271" s="83">
        <v>0.15140999999999999</v>
      </c>
      <c r="AZ271" s="83">
        <v>1.4149999999999996E-2</v>
      </c>
    </row>
    <row r="272" spans="1:52" s="48" customFormat="1">
      <c r="A272" s="48" t="s">
        <v>524</v>
      </c>
      <c r="B272" s="48" t="s">
        <v>679</v>
      </c>
      <c r="E272" s="60" t="s">
        <v>623</v>
      </c>
      <c r="F272" s="82" t="s">
        <v>526</v>
      </c>
      <c r="G272" s="52" t="s">
        <v>565</v>
      </c>
      <c r="H272" s="61" t="s">
        <v>75</v>
      </c>
      <c r="J272" s="48" t="s">
        <v>213</v>
      </c>
      <c r="K272" s="48" t="s">
        <v>215</v>
      </c>
      <c r="L272" s="48" t="s">
        <v>79</v>
      </c>
      <c r="M272" s="48">
        <v>30</v>
      </c>
      <c r="N272" s="48">
        <v>4</v>
      </c>
      <c r="P272" s="82" t="s">
        <v>528</v>
      </c>
      <c r="R272" s="48">
        <v>3</v>
      </c>
      <c r="AD272" s="121">
        <v>125</v>
      </c>
      <c r="AE272" s="50"/>
      <c r="AF272" s="63" t="s">
        <v>1287</v>
      </c>
      <c r="AG272" s="50" t="s">
        <v>216</v>
      </c>
      <c r="AH272" s="48">
        <v>1090</v>
      </c>
      <c r="AI272" s="48" t="s">
        <v>218</v>
      </c>
      <c r="AJ272" s="48" t="s">
        <v>219</v>
      </c>
      <c r="AK272" s="48">
        <v>0</v>
      </c>
      <c r="AL272" s="48">
        <v>29.03</v>
      </c>
      <c r="AM272" s="48">
        <f>2*24*60</f>
        <v>2880</v>
      </c>
      <c r="AN272" s="48" t="s">
        <v>529</v>
      </c>
      <c r="AR272" s="83">
        <v>0.22686999999999999</v>
      </c>
      <c r="AS272" s="83">
        <v>1.1940000000000006E-2</v>
      </c>
      <c r="AT272" s="133"/>
      <c r="AU272" s="83"/>
      <c r="AV272" s="83"/>
      <c r="AW272" s="83">
        <v>0.36908999999999997</v>
      </c>
      <c r="AX272" s="83">
        <v>1.2730000000000019E-2</v>
      </c>
      <c r="AY272" s="83">
        <v>0.14596999999999999</v>
      </c>
      <c r="AZ272" s="83">
        <v>7.6100000000000056E-3</v>
      </c>
    </row>
    <row r="273" spans="1:63" s="48" customFormat="1">
      <c r="A273" s="48" t="s">
        <v>524</v>
      </c>
      <c r="B273" s="48" t="s">
        <v>679</v>
      </c>
      <c r="E273" s="60" t="s">
        <v>623</v>
      </c>
      <c r="F273" s="82" t="s">
        <v>526</v>
      </c>
      <c r="G273" s="52" t="s">
        <v>565</v>
      </c>
      <c r="H273" s="61" t="s">
        <v>75</v>
      </c>
      <c r="J273" s="48" t="s">
        <v>213</v>
      </c>
      <c r="K273" s="48" t="s">
        <v>215</v>
      </c>
      <c r="L273" s="48" t="s">
        <v>79</v>
      </c>
      <c r="M273" s="48">
        <v>30</v>
      </c>
      <c r="N273" s="48">
        <v>4</v>
      </c>
      <c r="P273" s="82" t="s">
        <v>528</v>
      </c>
      <c r="R273" s="48">
        <v>4</v>
      </c>
      <c r="AD273" s="121">
        <v>125</v>
      </c>
      <c r="AE273" s="50"/>
      <c r="AF273" s="63" t="s">
        <v>1287</v>
      </c>
      <c r="AG273" s="50" t="s">
        <v>216</v>
      </c>
      <c r="AH273" s="48">
        <v>1090</v>
      </c>
      <c r="AI273" s="48" t="s">
        <v>218</v>
      </c>
      <c r="AJ273" s="48" t="s">
        <v>219</v>
      </c>
      <c r="AK273" s="48">
        <v>0</v>
      </c>
      <c r="AL273" s="48">
        <v>29.03</v>
      </c>
      <c r="AM273" s="48">
        <f>3*24*60</f>
        <v>4320</v>
      </c>
      <c r="AN273" s="48" t="s">
        <v>529</v>
      </c>
      <c r="AR273" s="83">
        <v>0.22686999999999999</v>
      </c>
      <c r="AS273" s="83">
        <v>1.9400000000000001E-2</v>
      </c>
      <c r="AT273" s="133"/>
      <c r="AU273" s="83"/>
      <c r="AV273" s="83"/>
      <c r="AW273" s="83">
        <v>0.40364</v>
      </c>
      <c r="AX273" s="83">
        <v>1.4539999999999997E-2</v>
      </c>
      <c r="AY273" s="83">
        <v>0.18071999999999999</v>
      </c>
      <c r="AZ273" s="83">
        <v>9.7900000000000209E-3</v>
      </c>
    </row>
    <row r="274" spans="1:63" s="48" customFormat="1">
      <c r="A274" s="48" t="s">
        <v>524</v>
      </c>
      <c r="B274" s="48" t="s">
        <v>679</v>
      </c>
      <c r="E274" s="60" t="s">
        <v>623</v>
      </c>
      <c r="F274" s="82" t="s">
        <v>526</v>
      </c>
      <c r="G274" s="52" t="s">
        <v>565</v>
      </c>
      <c r="H274" s="61" t="s">
        <v>75</v>
      </c>
      <c r="J274" s="48" t="s">
        <v>213</v>
      </c>
      <c r="K274" s="48" t="s">
        <v>215</v>
      </c>
      <c r="L274" s="48" t="s">
        <v>79</v>
      </c>
      <c r="M274" s="48">
        <v>30</v>
      </c>
      <c r="N274" s="48">
        <v>4</v>
      </c>
      <c r="P274" s="82" t="s">
        <v>528</v>
      </c>
      <c r="R274" s="48">
        <v>5</v>
      </c>
      <c r="AD274" s="121">
        <v>125</v>
      </c>
      <c r="AE274" s="50"/>
      <c r="AF274" s="63" t="s">
        <v>1287</v>
      </c>
      <c r="AG274" s="50" t="s">
        <v>216</v>
      </c>
      <c r="AH274" s="48">
        <v>1090</v>
      </c>
      <c r="AI274" s="48" t="s">
        <v>218</v>
      </c>
      <c r="AJ274" s="48" t="s">
        <v>219</v>
      </c>
      <c r="AK274" s="48">
        <v>0</v>
      </c>
      <c r="AL274" s="48">
        <v>29.03</v>
      </c>
      <c r="AM274" s="48">
        <f>4*24*60</f>
        <v>5760</v>
      </c>
      <c r="AN274" s="48" t="s">
        <v>529</v>
      </c>
      <c r="AR274" s="83">
        <v>0.19850999999999999</v>
      </c>
      <c r="AS274" s="83">
        <v>8.9500000000000135E-3</v>
      </c>
      <c r="AT274" s="133"/>
      <c r="AU274" s="83"/>
      <c r="AV274" s="83"/>
      <c r="AW274" s="83">
        <v>0.36908999999999997</v>
      </c>
      <c r="AX274" s="83">
        <v>9.0900000000000425E-3</v>
      </c>
      <c r="AY274" s="83">
        <v>0.18942000000000001</v>
      </c>
      <c r="AZ274" s="83">
        <v>8.6799999999999933E-3</v>
      </c>
    </row>
    <row r="275" spans="1:63" s="48" customFormat="1">
      <c r="A275" s="48" t="s">
        <v>524</v>
      </c>
      <c r="B275" s="48" t="s">
        <v>679</v>
      </c>
      <c r="E275" s="60" t="s">
        <v>623</v>
      </c>
      <c r="F275" s="82" t="s">
        <v>526</v>
      </c>
      <c r="G275" s="52" t="s">
        <v>565</v>
      </c>
      <c r="H275" s="61" t="s">
        <v>75</v>
      </c>
      <c r="J275" s="48" t="s">
        <v>213</v>
      </c>
      <c r="K275" s="48" t="s">
        <v>215</v>
      </c>
      <c r="L275" s="48" t="s">
        <v>79</v>
      </c>
      <c r="M275" s="48">
        <v>30</v>
      </c>
      <c r="N275" s="48">
        <v>4</v>
      </c>
      <c r="P275" s="82" t="s">
        <v>528</v>
      </c>
      <c r="R275" s="48">
        <v>6</v>
      </c>
      <c r="AD275" s="121">
        <v>125</v>
      </c>
      <c r="AE275" s="50"/>
      <c r="AF275" s="63" t="s">
        <v>1287</v>
      </c>
      <c r="AG275" s="50" t="s">
        <v>216</v>
      </c>
      <c r="AH275" s="48">
        <v>1090</v>
      </c>
      <c r="AI275" s="48" t="s">
        <v>218</v>
      </c>
      <c r="AJ275" s="48" t="s">
        <v>219</v>
      </c>
      <c r="AK275" s="48">
        <v>0</v>
      </c>
      <c r="AL275" s="48">
        <v>29.03</v>
      </c>
      <c r="AM275" s="48">
        <f>5*24*60</f>
        <v>7200</v>
      </c>
      <c r="AN275" s="48" t="s">
        <v>529</v>
      </c>
      <c r="AR275" s="83">
        <v>0.22536999999999999</v>
      </c>
      <c r="AS275" s="83">
        <v>1.1940000000000006E-2</v>
      </c>
      <c r="AT275" s="133"/>
      <c r="AU275" s="83"/>
      <c r="AV275" s="83"/>
      <c r="AW275" s="83">
        <v>0.38363999999999998</v>
      </c>
      <c r="AX275" s="83">
        <v>1.2720000000000009E-2</v>
      </c>
      <c r="AY275" s="83">
        <v>0.20355000000000001</v>
      </c>
      <c r="AZ275" s="83">
        <v>1.1959999999999998E-2</v>
      </c>
    </row>
    <row r="276" spans="1:63" s="110" customFormat="1">
      <c r="A276" s="110" t="s">
        <v>524</v>
      </c>
      <c r="B276" s="110" t="s">
        <v>679</v>
      </c>
      <c r="E276" s="110" t="s">
        <v>623</v>
      </c>
      <c r="F276" s="200" t="s">
        <v>526</v>
      </c>
      <c r="G276" s="110" t="s">
        <v>565</v>
      </c>
      <c r="H276" s="112" t="s">
        <v>75</v>
      </c>
      <c r="J276" s="110" t="s">
        <v>213</v>
      </c>
      <c r="K276" s="110" t="s">
        <v>215</v>
      </c>
      <c r="L276" s="110" t="s">
        <v>79</v>
      </c>
      <c r="M276" s="110">
        <v>30</v>
      </c>
      <c r="N276" s="110">
        <v>4</v>
      </c>
      <c r="P276" s="200" t="s">
        <v>528</v>
      </c>
      <c r="R276" s="110">
        <v>1</v>
      </c>
      <c r="AD276" s="121">
        <v>125</v>
      </c>
      <c r="AF276" s="63" t="s">
        <v>1287</v>
      </c>
      <c r="AG276" s="50" t="s">
        <v>216</v>
      </c>
      <c r="AH276" s="110">
        <v>523</v>
      </c>
      <c r="AI276" s="110" t="s">
        <v>219</v>
      </c>
      <c r="AJ276" s="110" t="s">
        <v>218</v>
      </c>
      <c r="AK276" s="110">
        <f>30.8-29</f>
        <v>1.8000000000000007</v>
      </c>
      <c r="AL276" s="110">
        <v>30.74</v>
      </c>
      <c r="AM276" s="110">
        <v>0</v>
      </c>
      <c r="AN276" s="110" t="s">
        <v>529</v>
      </c>
      <c r="AR276" s="201">
        <v>0.2</v>
      </c>
      <c r="AS276" s="201">
        <v>1.1939999999999978E-2</v>
      </c>
      <c r="AT276" s="141"/>
      <c r="AU276" s="201"/>
      <c r="AV276" s="201"/>
      <c r="AW276" s="201">
        <v>0.28364</v>
      </c>
      <c r="AX276" s="201">
        <v>1.6359999999999986E-2</v>
      </c>
      <c r="AY276" s="201">
        <v>8.4040000000000004E-2</v>
      </c>
      <c r="AZ276" s="201">
        <v>7.5999999999999956E-3</v>
      </c>
    </row>
    <row r="277" spans="1:63" s="110" customFormat="1">
      <c r="A277" s="110" t="s">
        <v>524</v>
      </c>
      <c r="B277" s="110" t="s">
        <v>679</v>
      </c>
      <c r="E277" s="110" t="s">
        <v>623</v>
      </c>
      <c r="F277" s="200" t="s">
        <v>526</v>
      </c>
      <c r="G277" s="110" t="s">
        <v>565</v>
      </c>
      <c r="H277" s="112" t="s">
        <v>75</v>
      </c>
      <c r="J277" s="110" t="s">
        <v>213</v>
      </c>
      <c r="K277" s="110" t="s">
        <v>215</v>
      </c>
      <c r="L277" s="110" t="s">
        <v>79</v>
      </c>
      <c r="M277" s="110">
        <v>30</v>
      </c>
      <c r="N277" s="110">
        <v>4</v>
      </c>
      <c r="P277" s="200" t="s">
        <v>528</v>
      </c>
      <c r="R277" s="110">
        <v>2</v>
      </c>
      <c r="AD277" s="121">
        <v>125</v>
      </c>
      <c r="AF277" s="63" t="s">
        <v>1287</v>
      </c>
      <c r="AG277" s="50" t="s">
        <v>216</v>
      </c>
      <c r="AH277" s="110">
        <v>523</v>
      </c>
      <c r="AI277" s="110" t="s">
        <v>219</v>
      </c>
      <c r="AJ277" s="110" t="s">
        <v>218</v>
      </c>
      <c r="AK277" s="110">
        <f t="shared" ref="AK277:AK287" si="26">30.8-29</f>
        <v>1.8000000000000007</v>
      </c>
      <c r="AL277" s="110">
        <v>30.74</v>
      </c>
      <c r="AM277" s="110">
        <f>1*24*60</f>
        <v>1440</v>
      </c>
      <c r="AN277" s="110" t="s">
        <v>529</v>
      </c>
      <c r="AR277" s="201">
        <v>0.20896000000000001</v>
      </c>
      <c r="AS277" s="201">
        <v>1.1940000000000006E-2</v>
      </c>
      <c r="AT277" s="141"/>
      <c r="AU277" s="201"/>
      <c r="AV277" s="201"/>
      <c r="AW277" s="201">
        <v>0.33090999999999998</v>
      </c>
      <c r="AX277" s="201">
        <v>2.7269999999999961E-2</v>
      </c>
      <c r="AY277" s="201">
        <v>0.12204</v>
      </c>
      <c r="AZ277" s="201">
        <v>7.6099999999999918E-3</v>
      </c>
    </row>
    <row r="278" spans="1:63" s="110" customFormat="1">
      <c r="A278" s="110" t="s">
        <v>524</v>
      </c>
      <c r="B278" s="110" t="s">
        <v>679</v>
      </c>
      <c r="E278" s="110" t="s">
        <v>623</v>
      </c>
      <c r="F278" s="200" t="s">
        <v>526</v>
      </c>
      <c r="G278" s="110" t="s">
        <v>565</v>
      </c>
      <c r="H278" s="112" t="s">
        <v>75</v>
      </c>
      <c r="J278" s="110" t="s">
        <v>213</v>
      </c>
      <c r="K278" s="110" t="s">
        <v>215</v>
      </c>
      <c r="L278" s="110" t="s">
        <v>79</v>
      </c>
      <c r="M278" s="110">
        <v>30</v>
      </c>
      <c r="N278" s="110">
        <v>4</v>
      </c>
      <c r="P278" s="200" t="s">
        <v>528</v>
      </c>
      <c r="R278" s="110">
        <v>3</v>
      </c>
      <c r="AD278" s="121">
        <v>125</v>
      </c>
      <c r="AF278" s="63" t="s">
        <v>1287</v>
      </c>
      <c r="AG278" s="50" t="s">
        <v>216</v>
      </c>
      <c r="AH278" s="110">
        <v>523</v>
      </c>
      <c r="AI278" s="110" t="s">
        <v>219</v>
      </c>
      <c r="AJ278" s="110" t="s">
        <v>218</v>
      </c>
      <c r="AK278" s="110">
        <f t="shared" si="26"/>
        <v>1.8000000000000007</v>
      </c>
      <c r="AL278" s="110">
        <v>30.74</v>
      </c>
      <c r="AM278" s="110">
        <f>2*24*60</f>
        <v>2880</v>
      </c>
      <c r="AN278" s="110" t="s">
        <v>529</v>
      </c>
      <c r="AR278" s="201">
        <v>0.22686999999999999</v>
      </c>
      <c r="AS278" s="201">
        <v>1.1940000000000006E-2</v>
      </c>
      <c r="AT278" s="141"/>
      <c r="AU278" s="201"/>
      <c r="AV278" s="201"/>
      <c r="AW278" s="201">
        <v>0.36181999999999997</v>
      </c>
      <c r="AX278" s="201">
        <v>2.0000000000000018E-2</v>
      </c>
      <c r="AY278" s="201">
        <v>0.14054</v>
      </c>
      <c r="AZ278" s="201">
        <v>8.6900000000000033E-3</v>
      </c>
    </row>
    <row r="279" spans="1:63" s="110" customFormat="1">
      <c r="A279" s="110" t="s">
        <v>524</v>
      </c>
      <c r="B279" s="110" t="s">
        <v>679</v>
      </c>
      <c r="E279" s="110" t="s">
        <v>623</v>
      </c>
      <c r="F279" s="200" t="s">
        <v>526</v>
      </c>
      <c r="G279" s="110" t="s">
        <v>565</v>
      </c>
      <c r="H279" s="112" t="s">
        <v>75</v>
      </c>
      <c r="J279" s="110" t="s">
        <v>213</v>
      </c>
      <c r="K279" s="110" t="s">
        <v>215</v>
      </c>
      <c r="L279" s="110" t="s">
        <v>79</v>
      </c>
      <c r="M279" s="110">
        <v>30</v>
      </c>
      <c r="N279" s="110">
        <v>4</v>
      </c>
      <c r="P279" s="200" t="s">
        <v>528</v>
      </c>
      <c r="R279" s="110">
        <v>4</v>
      </c>
      <c r="AD279" s="121">
        <v>125</v>
      </c>
      <c r="AF279" s="63" t="s">
        <v>1287</v>
      </c>
      <c r="AG279" s="50" t="s">
        <v>216</v>
      </c>
      <c r="AH279" s="110">
        <v>523</v>
      </c>
      <c r="AI279" s="110" t="s">
        <v>219</v>
      </c>
      <c r="AJ279" s="110" t="s">
        <v>218</v>
      </c>
      <c r="AK279" s="110">
        <f t="shared" si="26"/>
        <v>1.8000000000000007</v>
      </c>
      <c r="AL279" s="110">
        <v>30.74</v>
      </c>
      <c r="AM279" s="110">
        <f>3*24*60</f>
        <v>4320</v>
      </c>
      <c r="AN279" s="110" t="s">
        <v>529</v>
      </c>
      <c r="AR279" s="201">
        <v>0.22239</v>
      </c>
      <c r="AS279" s="201">
        <v>1.4919999999999989E-2</v>
      </c>
      <c r="AT279" s="141"/>
      <c r="AU279" s="201"/>
      <c r="AV279" s="201"/>
      <c r="AW279" s="201">
        <v>0.34727000000000002</v>
      </c>
      <c r="AX279" s="201">
        <v>1.8179999999999974E-2</v>
      </c>
      <c r="AY279" s="201">
        <v>0.12637999999999999</v>
      </c>
      <c r="AZ279" s="201">
        <v>5.4300000000000181E-3</v>
      </c>
    </row>
    <row r="280" spans="1:63" s="110" customFormat="1">
      <c r="A280" s="110" t="s">
        <v>524</v>
      </c>
      <c r="B280" s="110" t="s">
        <v>679</v>
      </c>
      <c r="E280" s="110" t="s">
        <v>623</v>
      </c>
      <c r="F280" s="200" t="s">
        <v>526</v>
      </c>
      <c r="G280" s="110" t="s">
        <v>565</v>
      </c>
      <c r="H280" s="112" t="s">
        <v>75</v>
      </c>
      <c r="J280" s="110" t="s">
        <v>213</v>
      </c>
      <c r="K280" s="110" t="s">
        <v>215</v>
      </c>
      <c r="L280" s="110" t="s">
        <v>79</v>
      </c>
      <c r="M280" s="110">
        <v>30</v>
      </c>
      <c r="N280" s="110">
        <v>4</v>
      </c>
      <c r="P280" s="200" t="s">
        <v>528</v>
      </c>
      <c r="R280" s="110">
        <v>5</v>
      </c>
      <c r="AD280" s="121">
        <v>125</v>
      </c>
      <c r="AF280" s="63" t="s">
        <v>1287</v>
      </c>
      <c r="AG280" s="50" t="s">
        <v>216</v>
      </c>
      <c r="AH280" s="110">
        <v>523</v>
      </c>
      <c r="AI280" s="110" t="s">
        <v>219</v>
      </c>
      <c r="AJ280" s="110" t="s">
        <v>218</v>
      </c>
      <c r="AK280" s="110">
        <f t="shared" si="26"/>
        <v>1.8000000000000007</v>
      </c>
      <c r="AL280" s="110">
        <v>30.74</v>
      </c>
      <c r="AM280" s="110">
        <f>4*24*60</f>
        <v>5760</v>
      </c>
      <c r="AN280" s="110" t="s">
        <v>529</v>
      </c>
      <c r="AR280" s="201">
        <v>0.19552</v>
      </c>
      <c r="AS280" s="201">
        <v>1.0449999999999987E-2</v>
      </c>
      <c r="AT280" s="141"/>
      <c r="AU280" s="201"/>
      <c r="AV280" s="201"/>
      <c r="AW280" s="201">
        <v>0.32908999999999999</v>
      </c>
      <c r="AX280" s="201">
        <v>2.1820000000000006E-2</v>
      </c>
      <c r="AY280" s="201">
        <v>0.15462000000000001</v>
      </c>
      <c r="AZ280" s="201">
        <v>1.4149999999999996E-2</v>
      </c>
    </row>
    <row r="281" spans="1:63" s="110" customFormat="1">
      <c r="A281" s="110" t="s">
        <v>524</v>
      </c>
      <c r="B281" s="110" t="s">
        <v>679</v>
      </c>
      <c r="E281" s="110" t="s">
        <v>623</v>
      </c>
      <c r="F281" s="200" t="s">
        <v>526</v>
      </c>
      <c r="G281" s="110" t="s">
        <v>565</v>
      </c>
      <c r="H281" s="112" t="s">
        <v>75</v>
      </c>
      <c r="J281" s="110" t="s">
        <v>213</v>
      </c>
      <c r="K281" s="110" t="s">
        <v>215</v>
      </c>
      <c r="L281" s="110" t="s">
        <v>79</v>
      </c>
      <c r="M281" s="110">
        <v>30</v>
      </c>
      <c r="N281" s="110">
        <v>4</v>
      </c>
      <c r="P281" s="200" t="s">
        <v>528</v>
      </c>
      <c r="R281" s="110">
        <v>6</v>
      </c>
      <c r="AD281" s="121">
        <v>125</v>
      </c>
      <c r="AF281" s="63" t="s">
        <v>1287</v>
      </c>
      <c r="AG281" s="50" t="s">
        <v>216</v>
      </c>
      <c r="AH281" s="110">
        <v>523</v>
      </c>
      <c r="AI281" s="110" t="s">
        <v>219</v>
      </c>
      <c r="AJ281" s="110" t="s">
        <v>218</v>
      </c>
      <c r="AK281" s="110">
        <f t="shared" si="26"/>
        <v>1.8000000000000007</v>
      </c>
      <c r="AL281" s="110">
        <v>30.74</v>
      </c>
      <c r="AM281" s="110">
        <f>5*24*60</f>
        <v>7200</v>
      </c>
      <c r="AN281" s="110" t="s">
        <v>529</v>
      </c>
      <c r="AR281" s="201">
        <v>0.22239</v>
      </c>
      <c r="AS281" s="201">
        <v>1.7910000000000009E-2</v>
      </c>
      <c r="AT281" s="141"/>
      <c r="AU281" s="201"/>
      <c r="AV281" s="201"/>
      <c r="AW281" s="201">
        <v>0.34909000000000001</v>
      </c>
      <c r="AX281" s="201">
        <v>1.2729999999999964E-2</v>
      </c>
      <c r="AY281" s="201">
        <v>0.14917</v>
      </c>
      <c r="AZ281" s="201">
        <v>1.3050000000000006E-2</v>
      </c>
    </row>
    <row r="282" spans="1:63" s="48" customFormat="1">
      <c r="A282" s="48" t="s">
        <v>524</v>
      </c>
      <c r="B282" s="48" t="s">
        <v>679</v>
      </c>
      <c r="E282" s="60" t="s">
        <v>623</v>
      </c>
      <c r="F282" s="82" t="s">
        <v>526</v>
      </c>
      <c r="G282" s="52" t="s">
        <v>565</v>
      </c>
      <c r="H282" s="61" t="s">
        <v>75</v>
      </c>
      <c r="J282" s="48" t="s">
        <v>213</v>
      </c>
      <c r="K282" s="48" t="s">
        <v>215</v>
      </c>
      <c r="L282" s="48" t="s">
        <v>79</v>
      </c>
      <c r="M282" s="48">
        <v>30</v>
      </c>
      <c r="N282" s="48">
        <v>4</v>
      </c>
      <c r="P282" s="82" t="s">
        <v>528</v>
      </c>
      <c r="R282" s="48">
        <v>1</v>
      </c>
      <c r="AD282" s="121">
        <v>125</v>
      </c>
      <c r="AE282" s="50"/>
      <c r="AF282" s="63" t="s">
        <v>1287</v>
      </c>
      <c r="AG282" s="50" t="s">
        <v>216</v>
      </c>
      <c r="AH282" s="48">
        <v>1183</v>
      </c>
      <c r="AI282" s="48" t="s">
        <v>218</v>
      </c>
      <c r="AJ282" s="48" t="s">
        <v>218</v>
      </c>
      <c r="AK282" s="48">
        <f t="shared" si="26"/>
        <v>1.8000000000000007</v>
      </c>
      <c r="AL282" s="48">
        <v>30.83</v>
      </c>
      <c r="AM282" s="48">
        <v>0</v>
      </c>
      <c r="AN282" s="48" t="s">
        <v>529</v>
      </c>
      <c r="AR282" s="83">
        <v>0.20149</v>
      </c>
      <c r="AS282" s="83">
        <v>1.0449999999999987E-2</v>
      </c>
      <c r="AT282" s="133"/>
      <c r="AU282" s="83"/>
      <c r="AV282" s="83"/>
      <c r="AW282" s="83">
        <v>0.28364</v>
      </c>
      <c r="AX282" s="83">
        <v>1.6359999999999986E-2</v>
      </c>
      <c r="AY282" s="83">
        <v>8.5120000000000001E-2</v>
      </c>
      <c r="AZ282" s="83">
        <v>7.5999999999999956E-3</v>
      </c>
    </row>
    <row r="283" spans="1:63" s="48" customFormat="1">
      <c r="A283" s="48" t="s">
        <v>524</v>
      </c>
      <c r="B283" s="48" t="s">
        <v>679</v>
      </c>
      <c r="E283" s="60" t="s">
        <v>623</v>
      </c>
      <c r="F283" s="82" t="s">
        <v>526</v>
      </c>
      <c r="G283" s="52" t="s">
        <v>565</v>
      </c>
      <c r="H283" s="61" t="s">
        <v>75</v>
      </c>
      <c r="J283" s="48" t="s">
        <v>213</v>
      </c>
      <c r="K283" s="48" t="s">
        <v>215</v>
      </c>
      <c r="L283" s="48" t="s">
        <v>79</v>
      </c>
      <c r="M283" s="48">
        <v>30</v>
      </c>
      <c r="N283" s="48">
        <v>4</v>
      </c>
      <c r="P283" s="82" t="s">
        <v>528</v>
      </c>
      <c r="R283" s="48">
        <v>2</v>
      </c>
      <c r="AD283" s="121">
        <v>125</v>
      </c>
      <c r="AE283" s="50"/>
      <c r="AF283" s="63" t="s">
        <v>1287</v>
      </c>
      <c r="AG283" s="50" t="s">
        <v>216</v>
      </c>
      <c r="AH283" s="48">
        <v>1183</v>
      </c>
      <c r="AI283" s="48" t="s">
        <v>218</v>
      </c>
      <c r="AJ283" s="48" t="s">
        <v>218</v>
      </c>
      <c r="AK283" s="48">
        <f t="shared" si="26"/>
        <v>1.8000000000000007</v>
      </c>
      <c r="AL283" s="48">
        <v>30.83</v>
      </c>
      <c r="AM283" s="48">
        <f>1*24*60</f>
        <v>1440</v>
      </c>
      <c r="AN283" s="48" t="s">
        <v>529</v>
      </c>
      <c r="AR283" s="83">
        <v>0.25373000000000001</v>
      </c>
      <c r="AS283" s="83">
        <v>2.5370000000000004E-2</v>
      </c>
      <c r="AT283" s="133"/>
      <c r="AU283" s="83"/>
      <c r="AV283" s="83"/>
      <c r="AW283" s="83">
        <v>0.43273</v>
      </c>
      <c r="AX283" s="83">
        <v>2.9090000000000005E-2</v>
      </c>
      <c r="AY283" s="83">
        <v>0.17532</v>
      </c>
      <c r="AZ283" s="83">
        <v>2.0650000000000002E-2</v>
      </c>
    </row>
    <row r="284" spans="1:63" s="48" customFormat="1">
      <c r="A284" s="48" t="s">
        <v>524</v>
      </c>
      <c r="B284" s="48" t="s">
        <v>679</v>
      </c>
      <c r="E284" s="60" t="s">
        <v>623</v>
      </c>
      <c r="F284" s="82" t="s">
        <v>526</v>
      </c>
      <c r="G284" s="52" t="s">
        <v>565</v>
      </c>
      <c r="H284" s="61" t="s">
        <v>75</v>
      </c>
      <c r="J284" s="48" t="s">
        <v>213</v>
      </c>
      <c r="K284" s="48" t="s">
        <v>215</v>
      </c>
      <c r="L284" s="48" t="s">
        <v>79</v>
      </c>
      <c r="M284" s="48">
        <v>30</v>
      </c>
      <c r="N284" s="48">
        <v>4</v>
      </c>
      <c r="P284" s="82" t="s">
        <v>528</v>
      </c>
      <c r="R284" s="48">
        <v>3</v>
      </c>
      <c r="AD284" s="121">
        <v>125</v>
      </c>
      <c r="AE284" s="50"/>
      <c r="AF284" s="63" t="s">
        <v>1287</v>
      </c>
      <c r="AG284" s="50" t="s">
        <v>216</v>
      </c>
      <c r="AH284" s="48">
        <v>1183</v>
      </c>
      <c r="AI284" s="48" t="s">
        <v>218</v>
      </c>
      <c r="AJ284" s="48" t="s">
        <v>218</v>
      </c>
      <c r="AK284" s="48">
        <f t="shared" si="26"/>
        <v>1.8000000000000007</v>
      </c>
      <c r="AL284" s="48">
        <v>30.83</v>
      </c>
      <c r="AM284" s="48">
        <f>2*24*60</f>
        <v>2880</v>
      </c>
      <c r="AN284" s="48" t="s">
        <v>529</v>
      </c>
      <c r="AR284" s="83">
        <v>0.22686999999999999</v>
      </c>
      <c r="AS284" s="83">
        <v>1.3430000000000025E-2</v>
      </c>
      <c r="AT284" s="133"/>
      <c r="AU284" s="83"/>
      <c r="AV284" s="83"/>
      <c r="AW284" s="83">
        <v>0.41636000000000001</v>
      </c>
      <c r="AX284" s="83">
        <v>5.4500000000000104E-3</v>
      </c>
      <c r="AY284" s="83">
        <v>0.19051999999999999</v>
      </c>
      <c r="AZ284" s="83">
        <v>9.7800000000000109E-3</v>
      </c>
    </row>
    <row r="285" spans="1:63" s="48" customFormat="1">
      <c r="A285" s="48" t="s">
        <v>524</v>
      </c>
      <c r="B285" s="48" t="s">
        <v>679</v>
      </c>
      <c r="E285" s="60" t="s">
        <v>623</v>
      </c>
      <c r="F285" s="82" t="s">
        <v>526</v>
      </c>
      <c r="G285" s="52" t="s">
        <v>565</v>
      </c>
      <c r="H285" s="61" t="s">
        <v>75</v>
      </c>
      <c r="J285" s="48" t="s">
        <v>213</v>
      </c>
      <c r="K285" s="48" t="s">
        <v>215</v>
      </c>
      <c r="L285" s="48" t="s">
        <v>79</v>
      </c>
      <c r="M285" s="48">
        <v>30</v>
      </c>
      <c r="N285" s="48">
        <v>4</v>
      </c>
      <c r="P285" s="82" t="s">
        <v>528</v>
      </c>
      <c r="R285" s="48">
        <v>4</v>
      </c>
      <c r="AD285" s="121">
        <v>125</v>
      </c>
      <c r="AE285" s="50"/>
      <c r="AF285" s="63" t="s">
        <v>1287</v>
      </c>
      <c r="AG285" s="50" t="s">
        <v>216</v>
      </c>
      <c r="AH285" s="48">
        <v>1183</v>
      </c>
      <c r="AI285" s="48" t="s">
        <v>218</v>
      </c>
      <c r="AJ285" s="48" t="s">
        <v>218</v>
      </c>
      <c r="AK285" s="48">
        <f t="shared" si="26"/>
        <v>1.8000000000000007</v>
      </c>
      <c r="AL285" s="48">
        <v>30.83</v>
      </c>
      <c r="AM285" s="48">
        <f>3*24*60</f>
        <v>4320</v>
      </c>
      <c r="AN285" s="48" t="s">
        <v>529</v>
      </c>
      <c r="AR285" s="83">
        <v>0.21642</v>
      </c>
      <c r="AS285" s="83">
        <v>1.4919999999999989E-2</v>
      </c>
      <c r="AT285" s="133"/>
      <c r="AU285" s="83"/>
      <c r="AV285" s="83"/>
      <c r="AW285" s="83">
        <v>0.43091000000000002</v>
      </c>
      <c r="AX285" s="83">
        <v>1.4539999999999997E-2</v>
      </c>
      <c r="AY285" s="83">
        <v>0.21659</v>
      </c>
      <c r="AZ285" s="83">
        <v>1.1959999999999998E-2</v>
      </c>
    </row>
    <row r="286" spans="1:63" s="48" customFormat="1">
      <c r="A286" s="48" t="s">
        <v>524</v>
      </c>
      <c r="B286" s="48" t="s">
        <v>679</v>
      </c>
      <c r="E286" s="60" t="s">
        <v>623</v>
      </c>
      <c r="F286" s="82" t="s">
        <v>526</v>
      </c>
      <c r="G286" s="52" t="s">
        <v>565</v>
      </c>
      <c r="H286" s="61" t="s">
        <v>75</v>
      </c>
      <c r="J286" s="48" t="s">
        <v>213</v>
      </c>
      <c r="K286" s="48" t="s">
        <v>215</v>
      </c>
      <c r="L286" s="48" t="s">
        <v>79</v>
      </c>
      <c r="M286" s="48">
        <v>30</v>
      </c>
      <c r="N286" s="48">
        <v>4</v>
      </c>
      <c r="P286" s="82" t="s">
        <v>528</v>
      </c>
      <c r="R286" s="48">
        <v>5</v>
      </c>
      <c r="AD286" s="121">
        <v>125</v>
      </c>
      <c r="AE286" s="50"/>
      <c r="AF286" s="63" t="s">
        <v>1287</v>
      </c>
      <c r="AG286" s="50" t="s">
        <v>216</v>
      </c>
      <c r="AH286" s="48">
        <v>1183</v>
      </c>
      <c r="AI286" s="48" t="s">
        <v>218</v>
      </c>
      <c r="AJ286" s="48" t="s">
        <v>218</v>
      </c>
      <c r="AK286" s="48">
        <f t="shared" si="26"/>
        <v>1.8000000000000007</v>
      </c>
      <c r="AL286" s="48">
        <v>30.83</v>
      </c>
      <c r="AM286" s="48">
        <f>4*24*60</f>
        <v>5760</v>
      </c>
      <c r="AN286" s="48" t="s">
        <v>529</v>
      </c>
      <c r="AR286" s="83">
        <v>0.19253999999999999</v>
      </c>
      <c r="AS286" s="83">
        <v>1.3429999999999997E-2</v>
      </c>
      <c r="AT286" s="133"/>
      <c r="AU286" s="83"/>
      <c r="AV286" s="83"/>
      <c r="AW286" s="83">
        <v>0.39817999999999998</v>
      </c>
      <c r="AX286" s="83">
        <v>1.0910000000000031E-2</v>
      </c>
      <c r="AY286" s="83">
        <v>0.20896999999999999</v>
      </c>
      <c r="AZ286" s="83">
        <v>6.519999999999998E-3</v>
      </c>
    </row>
    <row r="287" spans="1:63" s="115" customFormat="1">
      <c r="A287" s="115" t="s">
        <v>524</v>
      </c>
      <c r="B287" s="115" t="s">
        <v>679</v>
      </c>
      <c r="E287" s="169" t="s">
        <v>623</v>
      </c>
      <c r="F287" s="170" t="s">
        <v>526</v>
      </c>
      <c r="G287" s="171" t="s">
        <v>565</v>
      </c>
      <c r="H287" s="117" t="s">
        <v>75</v>
      </c>
      <c r="J287" s="115" t="s">
        <v>213</v>
      </c>
      <c r="K287" s="115" t="s">
        <v>215</v>
      </c>
      <c r="L287" s="115" t="s">
        <v>79</v>
      </c>
      <c r="M287" s="115">
        <v>30</v>
      </c>
      <c r="N287" s="115">
        <v>4</v>
      </c>
      <c r="P287" s="170" t="s">
        <v>528</v>
      </c>
      <c r="R287" s="115">
        <v>6</v>
      </c>
      <c r="AD287" s="121">
        <v>125</v>
      </c>
      <c r="AE287" s="172"/>
      <c r="AF287" s="63" t="s">
        <v>1287</v>
      </c>
      <c r="AG287" s="50" t="s">
        <v>216</v>
      </c>
      <c r="AH287" s="115">
        <v>1183</v>
      </c>
      <c r="AI287" s="115" t="s">
        <v>218</v>
      </c>
      <c r="AJ287" s="115" t="s">
        <v>218</v>
      </c>
      <c r="AK287" s="115">
        <f t="shared" si="26"/>
        <v>1.8000000000000007</v>
      </c>
      <c r="AL287" s="115">
        <v>30.83</v>
      </c>
      <c r="AM287" s="115">
        <f>5*24*60</f>
        <v>7200</v>
      </c>
      <c r="AN287" s="115" t="s">
        <v>529</v>
      </c>
      <c r="AR287" s="173">
        <v>0.2</v>
      </c>
      <c r="AS287" s="173">
        <v>1.0449999999999987E-2</v>
      </c>
      <c r="AT287" s="142"/>
      <c r="AU287" s="173"/>
      <c r="AV287" s="173"/>
      <c r="AW287" s="173">
        <v>0.40909000000000001</v>
      </c>
      <c r="AX287" s="173">
        <v>1.4550000000000007E-2</v>
      </c>
      <c r="AY287" s="173">
        <v>0.21548</v>
      </c>
      <c r="AZ287" s="173">
        <v>1.3039999999999996E-2</v>
      </c>
    </row>
    <row r="288" spans="1:63" s="174" customFormat="1">
      <c r="A288" s="174" t="s">
        <v>1213</v>
      </c>
      <c r="B288" s="174" t="s">
        <v>1147</v>
      </c>
      <c r="E288" s="174" t="s">
        <v>623</v>
      </c>
      <c r="F288" s="174" t="s">
        <v>456</v>
      </c>
      <c r="G288" s="174" t="s">
        <v>565</v>
      </c>
      <c r="H288" s="175" t="s">
        <v>75</v>
      </c>
      <c r="J288" s="174" t="s">
        <v>213</v>
      </c>
      <c r="K288" s="174" t="s">
        <v>215</v>
      </c>
      <c r="L288" s="174" t="s">
        <v>79</v>
      </c>
      <c r="M288" s="174">
        <v>10</v>
      </c>
      <c r="N288" s="175" t="s">
        <v>1152</v>
      </c>
      <c r="O288" s="174" t="s">
        <v>1150</v>
      </c>
      <c r="P288" s="176">
        <v>43676</v>
      </c>
      <c r="R288" s="174">
        <v>6</v>
      </c>
      <c r="U288" s="174" t="s">
        <v>1154</v>
      </c>
      <c r="W288" s="174" t="s">
        <v>1284</v>
      </c>
      <c r="AD288" s="121">
        <v>125</v>
      </c>
      <c r="AE288" s="172"/>
      <c r="AF288" s="63" t="s">
        <v>1287</v>
      </c>
      <c r="AG288" s="50" t="s">
        <v>216</v>
      </c>
      <c r="AI288" s="110" t="s">
        <v>219</v>
      </c>
      <c r="AJ288" s="174" t="s">
        <v>219</v>
      </c>
      <c r="AK288" s="174">
        <v>0</v>
      </c>
      <c r="AL288" s="174">
        <v>27</v>
      </c>
      <c r="AM288" s="174">
        <f>24*60*5</f>
        <v>7200</v>
      </c>
      <c r="AN288" s="174" t="s">
        <v>529</v>
      </c>
      <c r="AR288" s="177">
        <v>0.12606000000000001</v>
      </c>
      <c r="AS288" s="177">
        <v>1.1839999999999989E-2</v>
      </c>
      <c r="AT288" s="178"/>
      <c r="BK288" s="174" t="s">
        <v>1153</v>
      </c>
    </row>
    <row r="289" spans="1:63" s="174" customFormat="1">
      <c r="A289" s="174" t="s">
        <v>1213</v>
      </c>
      <c r="B289" s="174" t="s">
        <v>1147</v>
      </c>
      <c r="E289" s="174" t="s">
        <v>623</v>
      </c>
      <c r="F289" s="174" t="s">
        <v>456</v>
      </c>
      <c r="G289" s="174" t="s">
        <v>565</v>
      </c>
      <c r="H289" s="175" t="s">
        <v>75</v>
      </c>
      <c r="J289" s="174" t="s">
        <v>213</v>
      </c>
      <c r="K289" s="174" t="s">
        <v>215</v>
      </c>
      <c r="L289" s="174" t="s">
        <v>79</v>
      </c>
      <c r="M289" s="174">
        <v>10</v>
      </c>
      <c r="N289" s="175" t="s">
        <v>1152</v>
      </c>
      <c r="O289" s="174" t="s">
        <v>1150</v>
      </c>
      <c r="P289" s="176">
        <v>43676</v>
      </c>
      <c r="R289" s="174">
        <v>6</v>
      </c>
      <c r="U289" s="174" t="s">
        <v>1154</v>
      </c>
      <c r="W289" s="174" t="s">
        <v>1284</v>
      </c>
      <c r="AD289" s="121">
        <v>125</v>
      </c>
      <c r="AE289" s="172"/>
      <c r="AF289" s="63" t="s">
        <v>1287</v>
      </c>
      <c r="AG289" s="50" t="s">
        <v>216</v>
      </c>
      <c r="AI289" s="110" t="s">
        <v>219</v>
      </c>
      <c r="AJ289" s="174" t="s">
        <v>218</v>
      </c>
      <c r="AK289" s="174">
        <v>2</v>
      </c>
      <c r="AL289" s="174">
        <v>29</v>
      </c>
      <c r="AM289" s="174">
        <f>24*60*5</f>
        <v>7200</v>
      </c>
      <c r="AN289" s="174" t="s">
        <v>529</v>
      </c>
      <c r="AR289" s="177">
        <v>8.6290000000000006E-2</v>
      </c>
      <c r="AS289" s="177">
        <v>1.5129999999999991E-2</v>
      </c>
      <c r="AT289" s="178"/>
      <c r="BK289" s="174" t="s">
        <v>1153</v>
      </c>
    </row>
    <row r="290" spans="1:63" s="174" customFormat="1">
      <c r="A290" s="174" t="s">
        <v>1213</v>
      </c>
      <c r="B290" s="174" t="s">
        <v>1148</v>
      </c>
      <c r="E290" s="174" t="s">
        <v>623</v>
      </c>
      <c r="F290" s="174" t="s">
        <v>456</v>
      </c>
      <c r="G290" s="96" t="s">
        <v>564</v>
      </c>
      <c r="H290" s="175" t="s">
        <v>1151</v>
      </c>
      <c r="J290" s="174" t="s">
        <v>214</v>
      </c>
      <c r="K290" s="174" t="s">
        <v>215</v>
      </c>
      <c r="L290" s="174" t="s">
        <v>79</v>
      </c>
      <c r="M290" s="174">
        <v>10</v>
      </c>
      <c r="N290" s="175" t="s">
        <v>1152</v>
      </c>
      <c r="O290" s="174" t="s">
        <v>1150</v>
      </c>
      <c r="P290" s="176">
        <v>43322</v>
      </c>
      <c r="R290" s="174">
        <v>6</v>
      </c>
      <c r="U290" s="174" t="s">
        <v>1154</v>
      </c>
      <c r="W290" s="174" t="s">
        <v>1284</v>
      </c>
      <c r="AD290" s="174">
        <v>34</v>
      </c>
      <c r="AF290" s="50" t="s">
        <v>1180</v>
      </c>
      <c r="AG290" s="50" t="s">
        <v>216</v>
      </c>
      <c r="AI290" s="110" t="s">
        <v>219</v>
      </c>
      <c r="AJ290" s="174" t="s">
        <v>219</v>
      </c>
      <c r="AK290" s="174">
        <v>0</v>
      </c>
      <c r="AL290" s="174">
        <v>27</v>
      </c>
      <c r="AM290" s="174">
        <f>24*60*5</f>
        <v>7200</v>
      </c>
      <c r="AN290" s="174" t="s">
        <v>529</v>
      </c>
      <c r="AR290" s="177">
        <v>1.3820000000000001E-2</v>
      </c>
      <c r="AS290" s="177">
        <v>1.315E-2</v>
      </c>
      <c r="AT290" s="178"/>
      <c r="BK290" s="174" t="s">
        <v>1153</v>
      </c>
    </row>
    <row r="291" spans="1:63" s="174" customFormat="1">
      <c r="A291" s="174" t="s">
        <v>1213</v>
      </c>
      <c r="B291" s="174" t="s">
        <v>1148</v>
      </c>
      <c r="E291" s="174" t="s">
        <v>623</v>
      </c>
      <c r="F291" s="174" t="s">
        <v>456</v>
      </c>
      <c r="G291" s="96" t="s">
        <v>564</v>
      </c>
      <c r="H291" s="175" t="s">
        <v>1151</v>
      </c>
      <c r="J291" s="174" t="s">
        <v>214</v>
      </c>
      <c r="K291" s="174" t="s">
        <v>215</v>
      </c>
      <c r="L291" s="174" t="s">
        <v>79</v>
      </c>
      <c r="M291" s="174">
        <v>10</v>
      </c>
      <c r="N291" s="175" t="s">
        <v>1152</v>
      </c>
      <c r="O291" s="174" t="s">
        <v>1150</v>
      </c>
      <c r="P291" s="176">
        <v>43322</v>
      </c>
      <c r="R291" s="174">
        <v>6</v>
      </c>
      <c r="U291" s="174" t="s">
        <v>1154</v>
      </c>
      <c r="W291" s="174" t="s">
        <v>1284</v>
      </c>
      <c r="AD291" s="174">
        <v>34</v>
      </c>
      <c r="AF291" s="50" t="s">
        <v>1180</v>
      </c>
      <c r="AG291" s="50" t="s">
        <v>216</v>
      </c>
      <c r="AI291" s="110" t="s">
        <v>219</v>
      </c>
      <c r="AJ291" s="174" t="s">
        <v>218</v>
      </c>
      <c r="AK291" s="174">
        <v>2</v>
      </c>
      <c r="AL291" s="174">
        <v>29</v>
      </c>
      <c r="AM291" s="174">
        <f>24*60*5</f>
        <v>7200</v>
      </c>
      <c r="AN291" s="174" t="s">
        <v>529</v>
      </c>
      <c r="AR291" s="177">
        <v>3.29E-3</v>
      </c>
      <c r="AS291" s="177">
        <v>1.3200000000000004E-3</v>
      </c>
      <c r="AT291" s="178"/>
      <c r="BK291" s="174" t="s">
        <v>1153</v>
      </c>
    </row>
    <row r="292" spans="1:63" s="179" customFormat="1">
      <c r="A292" s="179" t="s">
        <v>949</v>
      </c>
      <c r="B292" s="179" t="s">
        <v>1156</v>
      </c>
      <c r="E292" s="180" t="s">
        <v>623</v>
      </c>
      <c r="F292" s="181" t="s">
        <v>336</v>
      </c>
      <c r="G292" s="118" t="s">
        <v>565</v>
      </c>
      <c r="H292" s="182" t="s">
        <v>75</v>
      </c>
      <c r="J292" s="179" t="s">
        <v>213</v>
      </c>
      <c r="K292" s="179" t="s">
        <v>215</v>
      </c>
      <c r="L292" s="179" t="s">
        <v>79</v>
      </c>
      <c r="M292" s="179">
        <v>25</v>
      </c>
      <c r="N292" s="179">
        <v>3</v>
      </c>
      <c r="P292" s="186">
        <v>41913</v>
      </c>
      <c r="AD292" s="121">
        <v>125</v>
      </c>
      <c r="AE292" s="172"/>
      <c r="AF292" s="63" t="s">
        <v>1287</v>
      </c>
      <c r="AG292" s="50" t="s">
        <v>216</v>
      </c>
      <c r="AI292" s="110" t="s">
        <v>219</v>
      </c>
      <c r="AJ292" s="179" t="s">
        <v>219</v>
      </c>
      <c r="AK292" s="179">
        <v>0</v>
      </c>
      <c r="AL292" s="179">
        <v>27.5</v>
      </c>
      <c r="AN292" s="179" t="s">
        <v>529</v>
      </c>
      <c r="AR292" s="183">
        <v>0.14519000000000001</v>
      </c>
      <c r="AS292" s="183">
        <v>9.2449999999999977E-2</v>
      </c>
      <c r="AT292" s="184"/>
      <c r="BK292" s="185" t="s">
        <v>1157</v>
      </c>
    </row>
  </sheetData>
  <sortState xmlns:xlrd2="http://schemas.microsoft.com/office/spreadsheetml/2017/richdata2" ref="H2:AY21">
    <sortCondition ref="H2:H21"/>
    <sortCondition ref="L2:L21"/>
    <sortCondition ref="AH2:AH21"/>
    <sortCondition ref="AL2:AL21"/>
  </sortState>
  <phoneticPr fontId="2" type="noConversion"/>
  <hyperlinks>
    <hyperlink ref="G239" r:id="rId1" display="https://en.wikipedia.org/wiki/Merulinidae" xr:uid="{D9160900-28D3-174E-A5B6-272727CF065E}"/>
    <hyperlink ref="G240" r:id="rId2" display="https://en.wikipedia.org/wiki/Merulinidae" xr:uid="{E9F9FC91-E05A-E247-99B6-3160D4F25EAF}"/>
    <hyperlink ref="G167" r:id="rId3" display="http://www.marinespecies.org/aphia.php?p=taxdetails&amp;id=196102" xr:uid="{4606ED76-9052-2643-9A46-472EB065FAF0}"/>
    <hyperlink ref="G168:G178" r:id="rId4" display="http://www.marinespecies.org/aphia.php?p=taxdetails&amp;id=196102" xr:uid="{7D75E770-BD23-5141-A3FB-3D4F657EC0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AEFCA-CFD0-064D-9DBF-D2656E1C0A35}">
  <dimension ref="A1:H15"/>
  <sheetViews>
    <sheetView topLeftCell="B2" zoomScale="190" workbookViewId="0">
      <selection activeCell="F16" sqref="F16"/>
    </sheetView>
  </sheetViews>
  <sheetFormatPr baseColWidth="10" defaultRowHeight="16"/>
  <cols>
    <col min="1" max="1" width="16.33203125" bestFit="1" customWidth="1"/>
    <col min="2" max="2" width="17.1640625" bestFit="1" customWidth="1"/>
    <col min="3" max="6" width="17.1640625" customWidth="1"/>
    <col min="7" max="7" width="13.83203125" bestFit="1" customWidth="1"/>
  </cols>
  <sheetData>
    <row r="1" spans="1:8">
      <c r="A1" t="s">
        <v>1289</v>
      </c>
      <c r="B1" t="s">
        <v>1290</v>
      </c>
      <c r="C1" t="s">
        <v>1426</v>
      </c>
      <c r="D1" t="s">
        <v>1427</v>
      </c>
      <c r="E1" t="s">
        <v>1428</v>
      </c>
      <c r="F1" t="s">
        <v>1429</v>
      </c>
      <c r="G1" t="s">
        <v>1298</v>
      </c>
      <c r="H1" t="s">
        <v>1301</v>
      </c>
    </row>
    <row r="2" spans="1:8">
      <c r="A2" s="235" t="s">
        <v>1304</v>
      </c>
      <c r="B2" s="236" t="s">
        <v>1296</v>
      </c>
      <c r="C2" s="235" t="s">
        <v>1304</v>
      </c>
      <c r="D2" s="236">
        <v>2</v>
      </c>
      <c r="E2" s="236"/>
      <c r="F2" s="236">
        <v>2</v>
      </c>
      <c r="G2" t="s">
        <v>1299</v>
      </c>
      <c r="H2" t="s">
        <v>1302</v>
      </c>
    </row>
    <row r="3" spans="1:8">
      <c r="A3" s="99" t="s">
        <v>1291</v>
      </c>
      <c r="B3" s="99" t="s">
        <v>1292</v>
      </c>
      <c r="C3" s="99" t="s">
        <v>1291</v>
      </c>
      <c r="D3" s="99">
        <v>5</v>
      </c>
      <c r="E3" s="99">
        <v>6</v>
      </c>
      <c r="F3" s="99">
        <v>6</v>
      </c>
      <c r="G3" t="s">
        <v>1300</v>
      </c>
      <c r="H3" t="s">
        <v>1303</v>
      </c>
    </row>
    <row r="4" spans="1:8">
      <c r="A4" s="99" t="s">
        <v>1292</v>
      </c>
      <c r="B4" t="s">
        <v>1297</v>
      </c>
      <c r="C4" s="99" t="s">
        <v>1292</v>
      </c>
      <c r="D4">
        <v>4</v>
      </c>
      <c r="E4">
        <v>4</v>
      </c>
      <c r="F4">
        <v>4</v>
      </c>
    </row>
    <row r="5" spans="1:8">
      <c r="A5" s="99" t="s">
        <v>1305</v>
      </c>
      <c r="B5" s="99" t="s">
        <v>1293</v>
      </c>
      <c r="C5" s="99" t="s">
        <v>1305</v>
      </c>
      <c r="D5" s="99">
        <v>2</v>
      </c>
      <c r="E5" s="99">
        <v>2</v>
      </c>
      <c r="F5" s="99">
        <v>2</v>
      </c>
    </row>
    <row r="6" spans="1:8">
      <c r="A6" s="99" t="s">
        <v>1306</v>
      </c>
      <c r="B6" s="99" t="s">
        <v>1294</v>
      </c>
      <c r="C6" s="99" t="s">
        <v>1306</v>
      </c>
      <c r="D6" s="99">
        <v>35</v>
      </c>
      <c r="E6" s="99">
        <v>35</v>
      </c>
      <c r="F6" s="99">
        <v>35</v>
      </c>
    </row>
    <row r="7" spans="1:8">
      <c r="A7" s="99" t="s">
        <v>1307</v>
      </c>
      <c r="B7" s="99" t="s">
        <v>1295</v>
      </c>
      <c r="C7" s="99" t="s">
        <v>1307</v>
      </c>
      <c r="D7" s="99">
        <v>8</v>
      </c>
      <c r="E7" s="99">
        <v>8</v>
      </c>
      <c r="F7" s="99">
        <v>8</v>
      </c>
    </row>
    <row r="8" spans="1:8">
      <c r="A8" t="s">
        <v>1308</v>
      </c>
      <c r="B8" t="s">
        <v>1311</v>
      </c>
      <c r="C8" t="s">
        <v>1308</v>
      </c>
      <c r="D8" s="99">
        <v>6</v>
      </c>
      <c r="E8" s="99"/>
      <c r="F8" s="99">
        <v>6</v>
      </c>
    </row>
    <row r="9" spans="1:8">
      <c r="A9" t="s">
        <v>1309</v>
      </c>
      <c r="C9" t="s">
        <v>1309</v>
      </c>
      <c r="D9" s="99">
        <v>9</v>
      </c>
      <c r="E9" s="99"/>
      <c r="F9" s="99">
        <v>9</v>
      </c>
    </row>
    <row r="10" spans="1:8">
      <c r="A10" t="s">
        <v>1310</v>
      </c>
      <c r="C10" t="s">
        <v>1310</v>
      </c>
      <c r="D10" s="99">
        <v>3</v>
      </c>
      <c r="E10" s="99"/>
      <c r="F10" s="99">
        <v>3</v>
      </c>
    </row>
    <row r="11" spans="1:8">
      <c r="C11" t="s">
        <v>1297</v>
      </c>
      <c r="E11">
        <v>1</v>
      </c>
      <c r="F11" s="99">
        <v>1</v>
      </c>
    </row>
    <row r="12" spans="1:8">
      <c r="C12" t="s">
        <v>1311</v>
      </c>
      <c r="E12">
        <v>1</v>
      </c>
      <c r="F12" s="99">
        <v>1</v>
      </c>
    </row>
    <row r="15" spans="1:8">
      <c r="F15">
        <f>SUM(F2:F12)</f>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5E412-C525-3243-BCDF-08EF2D175D36}">
  <dimension ref="A1:J15"/>
  <sheetViews>
    <sheetView zoomScale="116" workbookViewId="0">
      <selection activeCell="E12" sqref="E12"/>
    </sheetView>
  </sheetViews>
  <sheetFormatPr baseColWidth="10" defaultRowHeight="16"/>
  <cols>
    <col min="1" max="1" width="15.1640625" style="212" bestFit="1" customWidth="1"/>
    <col min="2" max="2" width="17.83203125" style="212" bestFit="1" customWidth="1"/>
    <col min="3" max="3" width="20" style="212" bestFit="1" customWidth="1"/>
    <col min="4" max="4" width="15" style="212" bestFit="1" customWidth="1"/>
    <col min="5" max="5" width="12.1640625" style="212" bestFit="1" customWidth="1"/>
    <col min="6" max="6" width="43" style="212" bestFit="1" customWidth="1"/>
    <col min="7" max="7" width="9.1640625" style="212" bestFit="1" customWidth="1"/>
    <col min="8" max="9" width="10.1640625" style="212" bestFit="1" customWidth="1"/>
    <col min="10" max="16384" width="10.83203125" style="212"/>
  </cols>
  <sheetData>
    <row r="1" spans="1:10">
      <c r="A1" s="212" t="s">
        <v>1185</v>
      </c>
      <c r="B1" s="212" t="s">
        <v>211</v>
      </c>
      <c r="C1" s="212" t="s">
        <v>1187</v>
      </c>
      <c r="D1" s="212" t="s">
        <v>1189</v>
      </c>
      <c r="E1" s="212" t="s">
        <v>1192</v>
      </c>
      <c r="F1" s="212" t="s">
        <v>1191</v>
      </c>
      <c r="G1" s="212" t="s">
        <v>1193</v>
      </c>
      <c r="H1" s="212" t="s">
        <v>1194</v>
      </c>
      <c r="I1" s="212" t="s">
        <v>1195</v>
      </c>
      <c r="J1" s="212" t="s">
        <v>1209</v>
      </c>
    </row>
    <row r="2" spans="1:10" s="213" customFormat="1">
      <c r="A2" s="213" t="s">
        <v>1186</v>
      </c>
      <c r="B2" s="213" t="s">
        <v>1188</v>
      </c>
      <c r="C2" s="213" t="s">
        <v>216</v>
      </c>
      <c r="E2" s="213">
        <v>1.458048E-2</v>
      </c>
      <c r="F2" s="213" t="s">
        <v>1197</v>
      </c>
      <c r="G2" s="213">
        <v>181.72620000000001</v>
      </c>
      <c r="H2" s="213">
        <v>181.59299999999999</v>
      </c>
      <c r="I2" s="213">
        <v>180.27850000000001</v>
      </c>
      <c r="J2" s="213" t="s">
        <v>1210</v>
      </c>
    </row>
    <row r="3" spans="1:10" s="213" customFormat="1">
      <c r="A3" s="213" t="s">
        <v>1186</v>
      </c>
      <c r="B3" s="213" t="s">
        <v>1188</v>
      </c>
      <c r="C3" s="213" t="s">
        <v>215</v>
      </c>
      <c r="E3" s="213">
        <v>3.9441570000000002E-3</v>
      </c>
      <c r="F3" s="213" t="s">
        <v>1196</v>
      </c>
      <c r="G3" s="213">
        <v>159.92609999999999</v>
      </c>
      <c r="H3" s="213">
        <v>159.89420000000001</v>
      </c>
      <c r="I3" s="213">
        <v>157.7612</v>
      </c>
      <c r="J3" s="213" t="s">
        <v>1210</v>
      </c>
    </row>
    <row r="4" spans="1:10" s="198" customFormat="1">
      <c r="A4" s="198" t="s">
        <v>1186</v>
      </c>
      <c r="B4" s="198" t="s">
        <v>213</v>
      </c>
      <c r="C4" s="198" t="s">
        <v>216</v>
      </c>
      <c r="E4" s="198">
        <v>0.59279660000000001</v>
      </c>
      <c r="F4" s="198" t="s">
        <v>1199</v>
      </c>
      <c r="G4" s="198">
        <v>21.054780000000001</v>
      </c>
      <c r="H4" s="198">
        <v>21.475629999999999</v>
      </c>
      <c r="I4" s="198">
        <v>23.119599999999998</v>
      </c>
    </row>
    <row r="5" spans="1:10" s="198" customFormat="1">
      <c r="A5" s="198" t="s">
        <v>1186</v>
      </c>
      <c r="B5" s="198" t="s">
        <v>213</v>
      </c>
      <c r="C5" s="198" t="s">
        <v>215</v>
      </c>
      <c r="E5" s="198">
        <v>0.79415449999999999</v>
      </c>
      <c r="F5" s="198" t="s">
        <v>1198</v>
      </c>
      <c r="G5" s="198">
        <v>13.424379999999999</v>
      </c>
      <c r="H5" s="198">
        <v>13.0061</v>
      </c>
      <c r="I5" s="198">
        <v>14.84543</v>
      </c>
    </row>
    <row r="6" spans="1:10" s="198" customFormat="1">
      <c r="A6" s="198" t="s">
        <v>1186</v>
      </c>
      <c r="B6" s="198" t="s">
        <v>213</v>
      </c>
      <c r="C6" s="198" t="s">
        <v>216</v>
      </c>
      <c r="D6" s="198" t="s">
        <v>1190</v>
      </c>
      <c r="E6" s="198">
        <v>0.34694180000000002</v>
      </c>
      <c r="F6" s="198" t="s">
        <v>1211</v>
      </c>
      <c r="G6" s="198">
        <v>20.70195</v>
      </c>
      <c r="H6" s="198">
        <v>20.512979999999999</v>
      </c>
      <c r="I6" s="198">
        <v>22.45242</v>
      </c>
    </row>
    <row r="7" spans="1:10" s="177" customFormat="1">
      <c r="A7" s="177" t="s">
        <v>1186</v>
      </c>
      <c r="B7" s="177" t="s">
        <v>214</v>
      </c>
      <c r="C7" s="177" t="s">
        <v>216</v>
      </c>
      <c r="E7" s="177">
        <v>9.5323309999999998E-3</v>
      </c>
      <c r="F7" s="177" t="s">
        <v>1212</v>
      </c>
      <c r="G7" s="177">
        <v>171.393</v>
      </c>
      <c r="H7" s="177">
        <v>171.3741</v>
      </c>
      <c r="I7" s="177">
        <v>173.1926</v>
      </c>
      <c r="J7" s="214" t="s">
        <v>1210</v>
      </c>
    </row>
    <row r="8" spans="1:10" s="177" customFormat="1">
      <c r="A8" s="177" t="s">
        <v>1186</v>
      </c>
      <c r="B8" s="177" t="s">
        <v>214</v>
      </c>
      <c r="C8" s="177" t="s">
        <v>215</v>
      </c>
      <c r="E8" s="177">
        <v>5.910613E-2</v>
      </c>
      <c r="F8" s="177" t="s">
        <v>1200</v>
      </c>
      <c r="G8" s="177">
        <v>144.17490000000001</v>
      </c>
      <c r="H8" s="177">
        <v>144.06559999999999</v>
      </c>
      <c r="I8" s="177">
        <v>145.84460000000001</v>
      </c>
      <c r="J8" s="214" t="s">
        <v>1210</v>
      </c>
    </row>
    <row r="9" spans="1:10" s="213" customFormat="1">
      <c r="A9" s="213" t="s">
        <v>1201</v>
      </c>
      <c r="B9" s="213" t="s">
        <v>1188</v>
      </c>
      <c r="C9" s="213" t="s">
        <v>216</v>
      </c>
      <c r="E9" s="213">
        <v>8.1361969999999995E-3</v>
      </c>
      <c r="F9" s="213" t="s">
        <v>1202</v>
      </c>
      <c r="G9" s="213">
        <v>167.8869</v>
      </c>
      <c r="H9" s="213">
        <v>167.84309999999999</v>
      </c>
      <c r="I9" s="213">
        <v>168.3031</v>
      </c>
      <c r="J9" s="215" t="s">
        <v>1210</v>
      </c>
    </row>
    <row r="10" spans="1:10" s="213" customFormat="1">
      <c r="A10" s="213" t="s">
        <v>1201</v>
      </c>
      <c r="B10" s="213" t="s">
        <v>1188</v>
      </c>
      <c r="C10" s="213" t="s">
        <v>215</v>
      </c>
      <c r="E10" s="216">
        <v>8.8312790000000005E-5</v>
      </c>
      <c r="F10" s="213" t="s">
        <v>1203</v>
      </c>
      <c r="G10" s="213">
        <v>149.84020000000001</v>
      </c>
      <c r="H10" s="213">
        <v>149.83969999999999</v>
      </c>
      <c r="I10" s="213">
        <v>149.68680000000001</v>
      </c>
      <c r="J10" s="215" t="s">
        <v>1210</v>
      </c>
    </row>
    <row r="11" spans="1:10" s="198" customFormat="1">
      <c r="A11" s="198" t="s">
        <v>1201</v>
      </c>
      <c r="B11" s="198" t="s">
        <v>213</v>
      </c>
      <c r="C11" s="198" t="s">
        <v>216</v>
      </c>
      <c r="E11" s="198">
        <v>0.14063639999999999</v>
      </c>
      <c r="F11" s="198" t="s">
        <v>1204</v>
      </c>
      <c r="G11" s="198">
        <v>30.791139999999999</v>
      </c>
      <c r="H11" s="198">
        <v>31.15568</v>
      </c>
      <c r="I11" s="198">
        <v>23.839770000000001</v>
      </c>
      <c r="J11" s="217" t="s">
        <v>1210</v>
      </c>
    </row>
    <row r="12" spans="1:10" s="198" customFormat="1">
      <c r="A12" s="198" t="s">
        <v>1201</v>
      </c>
      <c r="B12" s="198" t="s">
        <v>213</v>
      </c>
      <c r="C12" s="198" t="s">
        <v>215</v>
      </c>
      <c r="E12" s="198">
        <v>0.81400119999999998</v>
      </c>
      <c r="F12" s="198" t="s">
        <v>1205</v>
      </c>
      <c r="G12" s="198">
        <v>9.8711769999999994</v>
      </c>
      <c r="H12" s="198">
        <v>11.280531999999999</v>
      </c>
      <c r="I12" s="198">
        <v>11.942202</v>
      </c>
    </row>
    <row r="13" spans="1:10" s="198" customFormat="1">
      <c r="A13" s="198" t="s">
        <v>1201</v>
      </c>
      <c r="B13" s="198" t="s">
        <v>213</v>
      </c>
      <c r="C13" s="198" t="s">
        <v>216</v>
      </c>
      <c r="D13" s="198" t="s">
        <v>1190</v>
      </c>
      <c r="E13" s="198">
        <v>9.5713910000000003E-3</v>
      </c>
      <c r="F13" s="198" t="s">
        <v>1206</v>
      </c>
      <c r="G13" s="198">
        <v>26.176870000000001</v>
      </c>
      <c r="H13" s="198">
        <v>26.192599999999999</v>
      </c>
      <c r="I13" s="198">
        <v>23.25611</v>
      </c>
      <c r="J13" s="217" t="s">
        <v>1210</v>
      </c>
    </row>
    <row r="14" spans="1:10" s="177" customFormat="1">
      <c r="A14" s="177" t="s">
        <v>1201</v>
      </c>
      <c r="B14" s="177" t="s">
        <v>214</v>
      </c>
      <c r="C14" s="177" t="s">
        <v>216</v>
      </c>
      <c r="E14" s="177">
        <v>4.3248080000000003E-3</v>
      </c>
      <c r="F14" s="177" t="s">
        <v>1207</v>
      </c>
      <c r="G14" s="177">
        <v>161.67949999999999</v>
      </c>
      <c r="H14" s="177">
        <v>161.66630000000001</v>
      </c>
      <c r="I14" s="177">
        <v>163.16999999999999</v>
      </c>
      <c r="J14" s="214" t="s">
        <v>1210</v>
      </c>
    </row>
    <row r="15" spans="1:10" s="177" customFormat="1">
      <c r="A15" s="177" t="s">
        <v>1201</v>
      </c>
      <c r="B15" s="177" t="s">
        <v>214</v>
      </c>
      <c r="C15" s="177" t="s">
        <v>215</v>
      </c>
      <c r="E15" s="177">
        <v>6.0761330000000002E-2</v>
      </c>
      <c r="F15" s="177" t="s">
        <v>1208</v>
      </c>
      <c r="G15" s="177">
        <v>135.1996</v>
      </c>
      <c r="H15" s="177">
        <v>135.05609999999999</v>
      </c>
      <c r="I15" s="177">
        <v>136.6165</v>
      </c>
      <c r="J15" s="214" t="s">
        <v>1210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E183-115B-084E-A80A-36E72999B771}">
  <dimension ref="A1:E42"/>
  <sheetViews>
    <sheetView workbookViewId="0">
      <selection activeCell="B21" sqref="B21"/>
    </sheetView>
  </sheetViews>
  <sheetFormatPr baseColWidth="10" defaultRowHeight="16"/>
  <cols>
    <col min="1" max="1" width="34" customWidth="1"/>
    <col min="2" max="4" width="21.83203125" customWidth="1"/>
    <col min="5" max="5" width="28.83203125" customWidth="1"/>
    <col min="6" max="6" width="21.6640625" customWidth="1"/>
  </cols>
  <sheetData>
    <row r="1" spans="1:3">
      <c r="A1" t="s">
        <v>1158</v>
      </c>
    </row>
    <row r="2" spans="1:3">
      <c r="A2" t="s">
        <v>7</v>
      </c>
      <c r="B2" t="s">
        <v>1161</v>
      </c>
    </row>
    <row r="3" spans="1:3">
      <c r="A3" t="s">
        <v>1217</v>
      </c>
      <c r="B3" t="s">
        <v>1218</v>
      </c>
    </row>
    <row r="4" spans="1:3">
      <c r="A4" t="s">
        <v>1162</v>
      </c>
      <c r="B4" t="s">
        <v>1182</v>
      </c>
    </row>
    <row r="5" spans="1:3" ht="17" customHeight="1">
      <c r="A5" t="s">
        <v>1160</v>
      </c>
      <c r="B5" t="s">
        <v>1159</v>
      </c>
    </row>
    <row r="6" spans="1:3" ht="17" customHeight="1"/>
    <row r="7" spans="1:3" ht="17" customHeight="1"/>
    <row r="8" spans="1:3" ht="17" customHeight="1">
      <c r="A8" t="s">
        <v>1163</v>
      </c>
    </row>
    <row r="9" spans="1:3" ht="17" customHeight="1">
      <c r="A9" t="s">
        <v>1070</v>
      </c>
    </row>
    <row r="10" spans="1:3" ht="17" customHeight="1"/>
    <row r="11" spans="1:3" ht="17" customHeight="1">
      <c r="A11" t="s">
        <v>1164</v>
      </c>
    </row>
    <row r="13" spans="1:3" s="23" customFormat="1">
      <c r="A13" t="s">
        <v>1220</v>
      </c>
    </row>
    <row r="14" spans="1:3" s="220" customFormat="1">
      <c r="A14" s="27" t="s">
        <v>1178</v>
      </c>
    </row>
    <row r="15" spans="1:3" s="203" customFormat="1">
      <c r="A15" t="s">
        <v>1179</v>
      </c>
    </row>
    <row r="16" spans="1:3" s="203" customFormat="1">
      <c r="A16" s="230" t="s">
        <v>1425</v>
      </c>
      <c r="B16" s="203">
        <v>59.5</v>
      </c>
      <c r="C16" s="203" t="s">
        <v>1424</v>
      </c>
    </row>
    <row r="17" spans="1:3" s="203" customFormat="1">
      <c r="A17" s="222"/>
      <c r="B17" s="222"/>
      <c r="C17" s="222"/>
    </row>
    <row r="18" spans="1:3" s="219" customFormat="1">
      <c r="A18" s="251"/>
      <c r="B18" s="251"/>
      <c r="C18" s="251"/>
    </row>
    <row r="19" spans="1:3" s="219" customFormat="1"/>
    <row r="20" spans="1:3" s="219" customFormat="1"/>
    <row r="21" spans="1:3" s="219" customFormat="1"/>
    <row r="22" spans="1:3" s="219" customFormat="1"/>
    <row r="23" spans="1:3" s="220" customFormat="1"/>
    <row r="25" spans="1:3" s="219" customFormat="1"/>
    <row r="26" spans="1:3" s="219" customFormat="1"/>
    <row r="27" spans="1:3" s="219" customFormat="1"/>
    <row r="28" spans="1:3" s="23" customFormat="1"/>
    <row r="29" spans="1:3" s="23" customFormat="1"/>
    <row r="30" spans="1:3" s="23" customFormat="1"/>
    <row r="31" spans="1:3" s="220" customFormat="1"/>
    <row r="32" spans="1:3" s="220" customFormat="1"/>
    <row r="33" spans="4:5" s="219" customFormat="1"/>
    <row r="34" spans="4:5" s="219" customFormat="1"/>
    <row r="35" spans="4:5" s="23" customFormat="1"/>
    <row r="42" spans="4:5">
      <c r="D42" s="221"/>
      <c r="E42" s="2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AFC0-EAA2-C04B-BDEB-69AAE837FC76}">
  <dimension ref="A1:O57"/>
  <sheetViews>
    <sheetView topLeftCell="A2" workbookViewId="0">
      <selection activeCell="D14" sqref="D14"/>
    </sheetView>
  </sheetViews>
  <sheetFormatPr baseColWidth="10" defaultRowHeight="16"/>
  <cols>
    <col min="1" max="1" width="25.5" style="27" customWidth="1"/>
    <col min="2" max="2" width="27.33203125" style="27" customWidth="1"/>
    <col min="3" max="3" width="19.1640625" style="27" customWidth="1"/>
    <col min="4" max="4" width="10.83203125" style="27"/>
    <col min="5" max="7" width="12.1640625" style="27" bestFit="1" customWidth="1"/>
    <col min="8" max="10" width="10.83203125" style="27"/>
    <col min="11" max="11" width="11.1640625" style="27" customWidth="1"/>
    <col min="12" max="12" width="18.83203125" style="27" customWidth="1"/>
    <col min="13" max="13" width="12.1640625" style="27" bestFit="1" customWidth="1"/>
    <col min="14" max="14" width="11.1640625" style="27" bestFit="1" customWidth="1"/>
    <col min="15" max="16384" width="10.83203125" style="27"/>
  </cols>
  <sheetData>
    <row r="1" spans="1:15">
      <c r="A1" s="27" t="s">
        <v>420</v>
      </c>
    </row>
    <row r="2" spans="1:15" ht="17" thickBot="1">
      <c r="A2" s="43" t="s">
        <v>398</v>
      </c>
    </row>
    <row r="3" spans="1:15">
      <c r="A3" s="44" t="s">
        <v>354</v>
      </c>
      <c r="B3" s="29" t="s">
        <v>266</v>
      </c>
      <c r="C3" s="29"/>
      <c r="D3" s="29"/>
      <c r="E3" s="29"/>
      <c r="F3" s="29"/>
      <c r="G3" s="29"/>
      <c r="H3" s="29"/>
      <c r="I3" s="30"/>
    </row>
    <row r="4" spans="1:15">
      <c r="A4" s="45" t="s">
        <v>357</v>
      </c>
      <c r="B4" s="23"/>
      <c r="C4" s="23"/>
      <c r="D4" s="23"/>
      <c r="E4" s="23"/>
      <c r="F4" s="23"/>
      <c r="G4" s="23"/>
      <c r="H4" s="23"/>
      <c r="I4" s="32"/>
    </row>
    <row r="5" spans="1:15">
      <c r="A5" s="31">
        <v>6.0000000000000002E-5</v>
      </c>
      <c r="B5" s="23" t="s">
        <v>263</v>
      </c>
      <c r="C5" s="23">
        <v>1</v>
      </c>
      <c r="D5" s="23" t="s">
        <v>118</v>
      </c>
      <c r="E5" s="23"/>
      <c r="F5" s="23" t="s">
        <v>264</v>
      </c>
      <c r="G5" s="23">
        <v>1000</v>
      </c>
      <c r="H5" s="23" t="s">
        <v>265</v>
      </c>
      <c r="I5" s="32">
        <f>A5*G5/(C6*E6)</f>
        <v>4.4622936189201254E-2</v>
      </c>
    </row>
    <row r="6" spans="1:15" ht="17" thickBot="1">
      <c r="A6" s="33"/>
      <c r="B6" s="34" t="s">
        <v>118</v>
      </c>
      <c r="C6" s="34">
        <v>60</v>
      </c>
      <c r="D6" s="34" t="s">
        <v>109</v>
      </c>
      <c r="E6" s="34">
        <v>2.2409999999999999E-2</v>
      </c>
      <c r="F6" s="34" t="s">
        <v>263</v>
      </c>
      <c r="G6" s="34">
        <v>1</v>
      </c>
      <c r="H6" s="34" t="s">
        <v>264</v>
      </c>
      <c r="I6" s="35"/>
    </row>
    <row r="7" spans="1:15" ht="21" customHeight="1">
      <c r="A7" s="44" t="s">
        <v>353</v>
      </c>
      <c r="B7" s="29"/>
      <c r="C7" s="29"/>
      <c r="D7" s="29"/>
      <c r="E7" s="29"/>
      <c r="F7" s="29"/>
      <c r="G7" s="29"/>
      <c r="H7" s="29"/>
      <c r="I7" s="29"/>
      <c r="J7" s="29"/>
      <c r="K7" s="29"/>
      <c r="L7" s="29"/>
      <c r="M7" s="29"/>
      <c r="N7" s="29"/>
      <c r="O7" s="30"/>
    </row>
    <row r="8" spans="1:15">
      <c r="A8" s="45" t="s">
        <v>358</v>
      </c>
      <c r="B8" s="23"/>
      <c r="C8" s="23"/>
      <c r="D8" s="23"/>
      <c r="E8" s="23"/>
      <c r="F8" s="23"/>
      <c r="G8" s="23"/>
      <c r="H8" s="23"/>
      <c r="I8" s="23"/>
      <c r="J8" s="23"/>
      <c r="K8" s="23"/>
      <c r="L8" s="23"/>
      <c r="M8" s="23"/>
      <c r="N8" s="23"/>
      <c r="O8" s="32"/>
    </row>
    <row r="9" spans="1:15">
      <c r="A9" s="31"/>
      <c r="B9" s="23"/>
      <c r="C9" s="23"/>
      <c r="D9" s="23"/>
      <c r="E9" s="23"/>
      <c r="F9" s="23"/>
      <c r="G9" s="23"/>
      <c r="H9" s="36"/>
      <c r="I9" s="23"/>
      <c r="J9" s="23"/>
      <c r="K9" s="23"/>
      <c r="L9" s="23"/>
      <c r="M9" s="23"/>
      <c r="N9" s="23"/>
      <c r="O9" s="32"/>
    </row>
    <row r="10" spans="1:15">
      <c r="A10" s="31">
        <v>1.25</v>
      </c>
      <c r="B10" s="23" t="s">
        <v>324</v>
      </c>
      <c r="C10" s="23">
        <v>1</v>
      </c>
      <c r="D10" s="23" t="s">
        <v>117</v>
      </c>
      <c r="E10" s="23">
        <v>1</v>
      </c>
      <c r="F10" s="23" t="s">
        <v>119</v>
      </c>
      <c r="G10" s="23">
        <v>1</v>
      </c>
      <c r="H10" s="23" t="s">
        <v>118</v>
      </c>
      <c r="I10" s="36">
        <v>1000000000</v>
      </c>
      <c r="J10" s="23" t="s">
        <v>265</v>
      </c>
      <c r="K10" s="23">
        <f>D15</f>
        <v>0.12525</v>
      </c>
      <c r="L10" s="23" t="s">
        <v>327</v>
      </c>
      <c r="M10" s="36">
        <f>(A10*I10*K10)/(C11*E11*G11)</f>
        <v>8.154296875E-2</v>
      </c>
      <c r="N10" s="23" t="s">
        <v>328</v>
      </c>
      <c r="O10" s="32"/>
    </row>
    <row r="11" spans="1:15">
      <c r="A11" s="31"/>
      <c r="B11" s="23" t="s">
        <v>325</v>
      </c>
      <c r="C11" s="23">
        <v>1000</v>
      </c>
      <c r="D11" s="23" t="s">
        <v>324</v>
      </c>
      <c r="E11" s="23">
        <v>32000</v>
      </c>
      <c r="F11" s="23" t="s">
        <v>117</v>
      </c>
      <c r="G11" s="23">
        <v>60</v>
      </c>
      <c r="H11" s="23" t="s">
        <v>109</v>
      </c>
      <c r="I11" s="23">
        <v>1</v>
      </c>
      <c r="J11" s="23" t="s">
        <v>326</v>
      </c>
      <c r="K11" s="23"/>
      <c r="L11" s="23"/>
      <c r="M11" s="23"/>
      <c r="N11" s="23"/>
      <c r="O11" s="32"/>
    </row>
    <row r="12" spans="1:15">
      <c r="A12" s="31"/>
      <c r="B12" s="23"/>
      <c r="C12" s="23"/>
      <c r="D12" s="23"/>
      <c r="E12" s="23"/>
      <c r="F12" s="23"/>
      <c r="G12" s="23"/>
      <c r="H12" s="23"/>
      <c r="I12" s="23"/>
      <c r="J12" s="23"/>
      <c r="K12" s="23"/>
      <c r="L12" s="23"/>
      <c r="M12" s="23"/>
      <c r="N12" s="23"/>
      <c r="O12" s="32"/>
    </row>
    <row r="13" spans="1:15">
      <c r="A13" s="31"/>
      <c r="B13" s="23"/>
      <c r="C13" s="23"/>
      <c r="D13" s="23"/>
      <c r="E13" s="23"/>
      <c r="F13" s="23"/>
      <c r="G13" s="23"/>
      <c r="H13" s="23"/>
      <c r="I13" s="23"/>
      <c r="J13" s="23"/>
      <c r="K13" s="23"/>
      <c r="L13" s="23"/>
      <c r="M13" s="23"/>
      <c r="N13" s="23"/>
      <c r="O13" s="32"/>
    </row>
    <row r="14" spans="1:15" s="39" customFormat="1" ht="16" customHeight="1">
      <c r="A14" s="37"/>
      <c r="B14" s="25"/>
      <c r="C14" s="25" t="s">
        <v>1286</v>
      </c>
      <c r="D14" s="25">
        <v>125.25</v>
      </c>
      <c r="E14" s="25" t="s">
        <v>110</v>
      </c>
      <c r="H14" s="25"/>
      <c r="I14" s="25"/>
      <c r="J14" s="25"/>
      <c r="K14" s="25"/>
      <c r="L14" s="25"/>
      <c r="M14" s="25"/>
      <c r="N14" s="25"/>
      <c r="O14" s="38"/>
    </row>
    <row r="15" spans="1:15" s="39" customFormat="1" ht="16" customHeight="1">
      <c r="A15" s="37"/>
      <c r="B15" s="25"/>
      <c r="C15" s="25" t="s">
        <v>363</v>
      </c>
      <c r="D15" s="25">
        <f>D14*0.001</f>
        <v>0.12525</v>
      </c>
      <c r="E15" s="25" t="s">
        <v>327</v>
      </c>
      <c r="F15" s="25"/>
      <c r="G15" s="25"/>
      <c r="H15" s="25"/>
      <c r="I15" s="25"/>
      <c r="J15" s="25"/>
      <c r="K15" s="25"/>
      <c r="L15" s="25"/>
      <c r="M15" s="25"/>
      <c r="N15" s="25"/>
      <c r="O15" s="38"/>
    </row>
    <row r="16" spans="1:15">
      <c r="A16" s="31"/>
      <c r="B16" s="23"/>
      <c r="C16" s="25" t="s">
        <v>329</v>
      </c>
      <c r="D16" s="25" t="s">
        <v>355</v>
      </c>
      <c r="E16" s="23"/>
      <c r="F16" s="23"/>
      <c r="G16" s="23"/>
      <c r="H16" s="23"/>
      <c r="I16" s="23"/>
      <c r="J16" s="23"/>
      <c r="K16" s="23"/>
      <c r="L16" s="23"/>
      <c r="M16" s="23"/>
      <c r="N16" s="23"/>
      <c r="O16" s="32"/>
    </row>
    <row r="17" spans="1:15" ht="17" thickBot="1">
      <c r="A17" s="33"/>
      <c r="B17" s="34"/>
      <c r="C17" s="34"/>
      <c r="D17" s="34"/>
      <c r="E17" s="34"/>
      <c r="F17" s="34"/>
      <c r="G17" s="34"/>
      <c r="H17" s="34"/>
      <c r="I17" s="34"/>
      <c r="J17" s="34"/>
      <c r="K17" s="34"/>
      <c r="L17" s="34"/>
      <c r="M17" s="34"/>
      <c r="N17" s="34"/>
      <c r="O17" s="35"/>
    </row>
    <row r="18" spans="1:15">
      <c r="A18" s="46"/>
      <c r="B18" s="23">
        <v>1</v>
      </c>
      <c r="C18" s="23" t="s">
        <v>326</v>
      </c>
      <c r="D18" s="23">
        <v>32000</v>
      </c>
      <c r="E18" s="23" t="s">
        <v>117</v>
      </c>
      <c r="F18" s="23">
        <v>1000</v>
      </c>
      <c r="G18" s="23" t="s">
        <v>324</v>
      </c>
      <c r="H18" s="36">
        <f>(D18*F18)/B19</f>
        <v>3.2000000000000001E-2</v>
      </c>
      <c r="I18" s="41">
        <f>(32000*1000)/(1000000000)</f>
        <v>3.2000000000000001E-2</v>
      </c>
    </row>
    <row r="19" spans="1:15">
      <c r="A19" s="46" t="s">
        <v>356</v>
      </c>
      <c r="B19" s="36">
        <v>1000000000</v>
      </c>
      <c r="C19" s="23" t="s">
        <v>265</v>
      </c>
      <c r="D19" s="23">
        <v>1</v>
      </c>
      <c r="E19" s="23" t="s">
        <v>119</v>
      </c>
      <c r="F19" s="23">
        <v>1</v>
      </c>
      <c r="G19" s="23" t="s">
        <v>117</v>
      </c>
      <c r="H19" s="23"/>
      <c r="I19" s="41"/>
    </row>
    <row r="20" spans="1:15">
      <c r="A20" s="40"/>
      <c r="B20" s="23"/>
      <c r="C20" s="23"/>
      <c r="D20" s="23"/>
      <c r="E20" s="23"/>
      <c r="F20" s="23"/>
      <c r="G20" s="23"/>
      <c r="H20" s="23"/>
      <c r="I20" s="41"/>
    </row>
    <row r="21" spans="1:15">
      <c r="A21" s="40"/>
      <c r="B21" s="23"/>
      <c r="C21" s="23"/>
      <c r="D21" s="23"/>
      <c r="E21" s="23"/>
      <c r="F21" s="23"/>
      <c r="G21" s="23"/>
      <c r="H21" s="23"/>
      <c r="I21" s="41"/>
    </row>
    <row r="22" spans="1:15">
      <c r="A22" s="40"/>
      <c r="B22" s="23">
        <v>1</v>
      </c>
      <c r="C22" s="23" t="s">
        <v>346</v>
      </c>
      <c r="D22" s="23" t="s">
        <v>347</v>
      </c>
      <c r="E22" s="23">
        <v>3.2000000000000001E-2</v>
      </c>
      <c r="F22" s="23" t="s">
        <v>348</v>
      </c>
      <c r="G22" s="23"/>
      <c r="H22" s="23"/>
      <c r="I22" s="41"/>
    </row>
    <row r="23" spans="1:15">
      <c r="A23" s="40"/>
      <c r="B23" s="23"/>
      <c r="C23" s="36"/>
      <c r="D23" s="36"/>
      <c r="E23" s="23">
        <v>3.1999999999999999E-11</v>
      </c>
      <c r="F23" s="23" t="s">
        <v>349</v>
      </c>
      <c r="G23" s="23"/>
      <c r="H23" s="36"/>
      <c r="I23" s="41"/>
    </row>
    <row r="24" spans="1:15" ht="17" thickBot="1">
      <c r="A24" s="40"/>
      <c r="B24" s="23"/>
      <c r="C24" s="23"/>
      <c r="D24" s="36"/>
      <c r="E24" s="23"/>
      <c r="F24" s="23" t="s">
        <v>350</v>
      </c>
      <c r="G24" s="23"/>
      <c r="H24" s="23"/>
      <c r="I24" s="41"/>
    </row>
    <row r="25" spans="1:15">
      <c r="A25" s="44" t="s">
        <v>359</v>
      </c>
      <c r="B25" s="29"/>
      <c r="C25" s="42"/>
      <c r="D25" s="29"/>
      <c r="E25" s="29"/>
      <c r="F25" s="29"/>
      <c r="G25" s="29"/>
      <c r="H25" s="29"/>
      <c r="I25" s="29"/>
      <c r="J25" s="29"/>
      <c r="K25" s="29"/>
      <c r="L25" s="29"/>
      <c r="M25" s="29"/>
      <c r="N25" s="30"/>
    </row>
    <row r="26" spans="1:15">
      <c r="A26" s="45" t="s">
        <v>360</v>
      </c>
      <c r="B26" s="23" t="s">
        <v>361</v>
      </c>
      <c r="C26" s="23" t="s">
        <v>107</v>
      </c>
      <c r="D26" s="23">
        <v>1</v>
      </c>
      <c r="E26" s="23" t="s">
        <v>108</v>
      </c>
      <c r="F26" s="23" t="s">
        <v>361</v>
      </c>
      <c r="G26" s="23" t="s">
        <v>364</v>
      </c>
      <c r="H26" s="23" t="s">
        <v>368</v>
      </c>
      <c r="I26" s="23" t="s">
        <v>365</v>
      </c>
      <c r="J26" s="23" t="s">
        <v>366</v>
      </c>
      <c r="K26" s="23" t="s">
        <v>367</v>
      </c>
      <c r="L26" s="23"/>
      <c r="M26" s="23"/>
      <c r="N26" s="32"/>
    </row>
    <row r="27" spans="1:15">
      <c r="A27" s="31"/>
      <c r="B27" s="23"/>
      <c r="C27" s="23" t="s">
        <v>362</v>
      </c>
      <c r="D27" s="23">
        <v>1000</v>
      </c>
      <c r="E27" s="23" t="s">
        <v>364</v>
      </c>
      <c r="F27" s="23">
        <v>1</v>
      </c>
      <c r="G27" s="23" t="s">
        <v>112</v>
      </c>
      <c r="H27" s="23"/>
      <c r="I27" s="23"/>
      <c r="J27" s="23"/>
      <c r="K27" s="23"/>
      <c r="L27" s="23"/>
      <c r="M27" s="23"/>
      <c r="N27" s="32"/>
    </row>
    <row r="28" spans="1:15" ht="17" thickBot="1">
      <c r="A28" s="33"/>
      <c r="B28" s="34"/>
      <c r="C28" s="34"/>
      <c r="D28" s="34"/>
      <c r="E28" s="34"/>
      <c r="F28" s="34"/>
      <c r="G28" s="34"/>
      <c r="H28" s="34"/>
      <c r="I28" s="34"/>
      <c r="J28" s="34"/>
      <c r="K28" s="34"/>
      <c r="L28" s="34"/>
      <c r="M28" s="34"/>
      <c r="N28" s="35"/>
    </row>
    <row r="29" spans="1:15">
      <c r="A29" s="28"/>
      <c r="B29" s="29"/>
      <c r="C29" s="29"/>
      <c r="D29" s="30"/>
    </row>
    <row r="30" spans="1:15">
      <c r="A30" s="45" t="s">
        <v>375</v>
      </c>
      <c r="B30" s="21" t="s">
        <v>1288</v>
      </c>
      <c r="C30" s="23"/>
      <c r="D30" s="32"/>
    </row>
    <row r="31" spans="1:15" ht="17" thickBot="1">
      <c r="A31" s="31"/>
      <c r="B31" s="23"/>
      <c r="C31" s="23"/>
      <c r="D31" s="32"/>
    </row>
    <row r="32" spans="1:15">
      <c r="A32" s="44" t="s">
        <v>383</v>
      </c>
      <c r="B32" s="29"/>
      <c r="C32" s="29"/>
      <c r="D32" s="29"/>
      <c r="E32" s="29"/>
      <c r="F32" s="29"/>
      <c r="G32" s="29"/>
      <c r="H32" s="29"/>
      <c r="I32" s="29"/>
      <c r="J32" s="29"/>
      <c r="K32" s="30"/>
    </row>
    <row r="33" spans="1:11">
      <c r="A33" s="45" t="s">
        <v>384</v>
      </c>
      <c r="B33" s="23"/>
      <c r="C33" s="23"/>
      <c r="D33" s="23"/>
      <c r="E33" s="23"/>
      <c r="F33" s="23"/>
      <c r="G33" s="23"/>
      <c r="H33" s="23"/>
      <c r="I33" s="23"/>
      <c r="J33" s="23"/>
      <c r="K33" s="32"/>
    </row>
    <row r="34" spans="1:11">
      <c r="A34" s="31">
        <v>3.4275000000000001E-4</v>
      </c>
      <c r="B34" s="23" t="s">
        <v>117</v>
      </c>
      <c r="C34" s="23">
        <v>1</v>
      </c>
      <c r="D34" s="23" t="s">
        <v>119</v>
      </c>
      <c r="E34" s="23">
        <v>1</v>
      </c>
      <c r="F34" s="23" t="s">
        <v>118</v>
      </c>
      <c r="G34" s="36">
        <v>1000000000</v>
      </c>
      <c r="H34" s="23" t="s">
        <v>265</v>
      </c>
      <c r="I34" s="36">
        <f>(A34*G34)/(C35*E35)</f>
        <v>0.17851562500000001</v>
      </c>
      <c r="J34" s="23" t="s">
        <v>135</v>
      </c>
      <c r="K34" s="32"/>
    </row>
    <row r="35" spans="1:11">
      <c r="A35" s="31"/>
      <c r="B35" s="23" t="s">
        <v>385</v>
      </c>
      <c r="C35" s="23">
        <v>32000</v>
      </c>
      <c r="D35" s="23" t="s">
        <v>117</v>
      </c>
      <c r="E35" s="23">
        <v>60</v>
      </c>
      <c r="F35" s="23" t="s">
        <v>109</v>
      </c>
      <c r="G35" s="23">
        <v>1</v>
      </c>
      <c r="H35" s="23" t="s">
        <v>326</v>
      </c>
      <c r="I35" s="23"/>
      <c r="J35" s="23"/>
      <c r="K35" s="32"/>
    </row>
    <row r="36" spans="1:11">
      <c r="A36" s="31"/>
      <c r="B36" s="23"/>
      <c r="C36" s="23"/>
      <c r="D36" s="23"/>
      <c r="E36" s="23"/>
      <c r="F36" s="23"/>
      <c r="G36" s="23"/>
      <c r="H36" s="23"/>
      <c r="I36" s="23"/>
      <c r="J36" s="23"/>
      <c r="K36" s="32"/>
    </row>
    <row r="37" spans="1:11">
      <c r="A37" s="31"/>
      <c r="B37" s="23" t="s">
        <v>386</v>
      </c>
      <c r="C37" s="23" t="s">
        <v>387</v>
      </c>
      <c r="D37" s="23"/>
      <c r="E37" s="23"/>
      <c r="F37" s="23"/>
      <c r="G37" s="23"/>
      <c r="H37" s="23"/>
      <c r="I37" s="23"/>
      <c r="J37" s="23"/>
      <c r="K37" s="32"/>
    </row>
    <row r="38" spans="1:11" ht="17" thickBot="1">
      <c r="A38" s="33"/>
      <c r="B38" s="34" t="s">
        <v>388</v>
      </c>
      <c r="C38" s="34" t="s">
        <v>389</v>
      </c>
      <c r="D38" s="34"/>
      <c r="E38" s="34"/>
      <c r="F38" s="34"/>
      <c r="G38" s="34"/>
      <c r="H38" s="34"/>
      <c r="I38" s="34"/>
      <c r="J38" s="34"/>
      <c r="K38" s="35"/>
    </row>
    <row r="39" spans="1:11">
      <c r="A39" s="44" t="s">
        <v>399</v>
      </c>
      <c r="B39" s="29"/>
      <c r="C39" s="29"/>
      <c r="D39" s="29"/>
      <c r="E39" s="29"/>
      <c r="F39" s="29"/>
      <c r="G39" s="29"/>
      <c r="H39" s="29"/>
      <c r="I39" s="29"/>
      <c r="J39" s="29"/>
      <c r="K39" s="30"/>
    </row>
    <row r="40" spans="1:11">
      <c r="A40" s="45" t="s">
        <v>396</v>
      </c>
      <c r="B40" s="23"/>
      <c r="C40" s="23"/>
      <c r="D40" s="23"/>
      <c r="E40" s="23"/>
      <c r="F40" s="23"/>
      <c r="G40" s="23"/>
      <c r="H40" s="23"/>
      <c r="I40" s="23"/>
      <c r="J40" s="23"/>
      <c r="K40" s="32"/>
    </row>
    <row r="41" spans="1:11">
      <c r="A41" s="31"/>
      <c r="B41" s="23" t="s">
        <v>400</v>
      </c>
      <c r="C41" s="23">
        <v>1</v>
      </c>
      <c r="D41" s="23" t="s">
        <v>119</v>
      </c>
      <c r="E41" s="36">
        <v>1000000000</v>
      </c>
      <c r="F41" s="23" t="s">
        <v>346</v>
      </c>
      <c r="G41" s="23">
        <v>1</v>
      </c>
      <c r="H41" s="23" t="s">
        <v>118</v>
      </c>
      <c r="I41" s="23"/>
      <c r="J41" s="23" t="s">
        <v>135</v>
      </c>
      <c r="K41" s="32"/>
    </row>
    <row r="42" spans="1:11">
      <c r="A42" s="31"/>
      <c r="B42" s="23" t="s">
        <v>385</v>
      </c>
      <c r="C42" s="23">
        <v>22400000</v>
      </c>
      <c r="D42" s="23" t="s">
        <v>400</v>
      </c>
      <c r="E42" s="23">
        <v>1</v>
      </c>
      <c r="F42" s="23" t="s">
        <v>119</v>
      </c>
      <c r="G42" s="23">
        <v>60</v>
      </c>
      <c r="H42" s="23" t="s">
        <v>401</v>
      </c>
      <c r="I42" s="23"/>
      <c r="J42" s="23"/>
      <c r="K42" s="32"/>
    </row>
    <row r="43" spans="1:11">
      <c r="A43" s="31"/>
      <c r="B43" s="23"/>
      <c r="C43" s="23"/>
      <c r="D43" s="23"/>
      <c r="E43" s="23"/>
      <c r="F43" s="23"/>
      <c r="G43" s="23"/>
      <c r="H43" s="23"/>
      <c r="I43" s="23"/>
      <c r="J43" s="23"/>
      <c r="K43" s="32"/>
    </row>
    <row r="44" spans="1:11">
      <c r="A44" s="31"/>
      <c r="B44" s="23" t="s">
        <v>386</v>
      </c>
      <c r="C44" s="23" t="s">
        <v>402</v>
      </c>
      <c r="D44" s="23"/>
      <c r="E44" s="23"/>
      <c r="F44" s="23"/>
      <c r="G44" s="23"/>
      <c r="H44" s="23"/>
      <c r="I44" s="23"/>
      <c r="J44" s="23"/>
      <c r="K44" s="32"/>
    </row>
    <row r="45" spans="1:11" ht="17" thickBot="1">
      <c r="A45" s="33"/>
      <c r="B45" s="47"/>
      <c r="C45" s="34"/>
      <c r="D45" s="34"/>
      <c r="E45" s="34"/>
      <c r="F45" s="34"/>
      <c r="G45" s="34"/>
      <c r="H45" s="34"/>
      <c r="I45" s="34"/>
      <c r="J45" s="34"/>
      <c r="K45" s="35"/>
    </row>
    <row r="48" spans="1:11">
      <c r="B48" s="43"/>
    </row>
    <row r="50" spans="4:7">
      <c r="D50" s="23"/>
      <c r="E50" s="23"/>
      <c r="F50" s="23"/>
      <c r="G50" s="23"/>
    </row>
    <row r="51" spans="4:7">
      <c r="D51" s="23"/>
      <c r="E51" s="23"/>
      <c r="F51" s="23"/>
      <c r="G51" s="23"/>
    </row>
    <row r="52" spans="4:7">
      <c r="D52" s="23"/>
      <c r="E52" s="23"/>
      <c r="F52" s="23"/>
      <c r="G52" s="23"/>
    </row>
    <row r="53" spans="4:7">
      <c r="D53" s="23"/>
      <c r="E53" s="23"/>
      <c r="F53" s="23"/>
      <c r="G53" s="23"/>
    </row>
    <row r="54" spans="4:7">
      <c r="D54" s="23"/>
      <c r="E54" s="23"/>
      <c r="F54" s="23"/>
      <c r="G54" s="23"/>
    </row>
    <row r="55" spans="4:7">
      <c r="D55" s="23"/>
      <c r="E55" s="23"/>
      <c r="F55" s="23"/>
      <c r="G55" s="23"/>
    </row>
    <row r="56" spans="4:7">
      <c r="D56" s="23"/>
      <c r="E56" s="23"/>
      <c r="F56" s="23"/>
      <c r="G56" s="23"/>
    </row>
    <row r="57" spans="4:7">
      <c r="D57" s="23"/>
      <c r="E57" s="23"/>
      <c r="F57" s="23"/>
      <c r="G57"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8253-D922-BF48-AABA-2CF2D670F48D}">
  <dimension ref="A1:L25"/>
  <sheetViews>
    <sheetView topLeftCell="C1" zoomScale="125" zoomScaleNormal="125" workbookViewId="0">
      <selection activeCell="E6" sqref="C6:E6"/>
    </sheetView>
  </sheetViews>
  <sheetFormatPr baseColWidth="10" defaultRowHeight="16"/>
  <cols>
    <col min="1" max="1" width="19.83203125" customWidth="1"/>
    <col min="2" max="2" width="11.33203125" customWidth="1"/>
    <col min="3" max="3" width="21.83203125" customWidth="1"/>
    <col min="4" max="4" width="19.6640625" customWidth="1"/>
    <col min="5" max="6" width="19.33203125" customWidth="1"/>
    <col min="7" max="7" width="22.83203125" style="230" customWidth="1"/>
    <col min="8" max="8" width="20.1640625" style="226" customWidth="1"/>
    <col min="9" max="9" width="21" customWidth="1"/>
  </cols>
  <sheetData>
    <row r="1" spans="1:12">
      <c r="A1" s="23" t="s">
        <v>7</v>
      </c>
      <c r="B1" s="23" t="s">
        <v>1228</v>
      </c>
      <c r="C1" s="23" t="s">
        <v>74</v>
      </c>
      <c r="D1" s="23" t="s">
        <v>211</v>
      </c>
      <c r="E1" s="23" t="s">
        <v>1123</v>
      </c>
      <c r="F1" s="23" t="s">
        <v>1234</v>
      </c>
      <c r="G1" s="227" t="s">
        <v>1235</v>
      </c>
      <c r="H1" s="223" t="s">
        <v>1236</v>
      </c>
      <c r="I1" s="23" t="s">
        <v>1132</v>
      </c>
      <c r="J1" s="23" t="s">
        <v>80</v>
      </c>
      <c r="K1" s="23"/>
      <c r="L1" s="23"/>
    </row>
    <row r="2" spans="1:12" s="99" customFormat="1">
      <c r="A2" s="220" t="s">
        <v>1130</v>
      </c>
      <c r="B2" s="220" t="s">
        <v>1229</v>
      </c>
      <c r="C2" s="220" t="s">
        <v>1134</v>
      </c>
      <c r="D2" s="220" t="s">
        <v>214</v>
      </c>
      <c r="E2" s="220" t="s">
        <v>290</v>
      </c>
      <c r="F2" s="220">
        <v>1</v>
      </c>
      <c r="G2" s="228"/>
      <c r="H2" s="224"/>
      <c r="I2" s="220">
        <v>43</v>
      </c>
      <c r="J2" s="220"/>
      <c r="K2" s="220"/>
      <c r="L2" s="220"/>
    </row>
    <row r="3" spans="1:12" s="99" customFormat="1">
      <c r="A3" s="220" t="s">
        <v>1130</v>
      </c>
      <c r="B3" s="220" t="s">
        <v>1229</v>
      </c>
      <c r="C3" s="220" t="s">
        <v>1131</v>
      </c>
      <c r="D3" s="220" t="s">
        <v>214</v>
      </c>
      <c r="E3" s="220" t="s">
        <v>290</v>
      </c>
      <c r="F3" s="220">
        <v>1</v>
      </c>
      <c r="G3" s="228"/>
      <c r="H3" s="224"/>
      <c r="I3" s="220">
        <v>27</v>
      </c>
      <c r="J3" s="220"/>
      <c r="K3" s="220"/>
      <c r="L3" s="220"/>
    </row>
    <row r="4" spans="1:12" s="99" customFormat="1">
      <c r="A4" s="220" t="s">
        <v>1130</v>
      </c>
      <c r="B4" s="220" t="s">
        <v>1229</v>
      </c>
      <c r="C4" s="220" t="s">
        <v>1133</v>
      </c>
      <c r="D4" s="220" t="s">
        <v>214</v>
      </c>
      <c r="E4" s="220" t="s">
        <v>290</v>
      </c>
      <c r="F4" s="220">
        <v>1</v>
      </c>
      <c r="G4" s="228"/>
      <c r="H4" s="224"/>
      <c r="I4" s="220">
        <v>31</v>
      </c>
      <c r="J4" s="220"/>
      <c r="K4" s="220"/>
      <c r="L4" s="220"/>
    </row>
    <row r="5" spans="1:12" s="254" customFormat="1">
      <c r="A5" s="251" t="s">
        <v>1226</v>
      </c>
      <c r="B5" s="251" t="s">
        <v>1229</v>
      </c>
      <c r="C5" s="251" t="s">
        <v>1225</v>
      </c>
      <c r="D5" s="251" t="s">
        <v>214</v>
      </c>
      <c r="E5" s="251" t="s">
        <v>290</v>
      </c>
      <c r="F5" s="251">
        <v>1</v>
      </c>
      <c r="G5" s="252">
        <v>62.5</v>
      </c>
      <c r="H5" s="253">
        <v>6.3</v>
      </c>
      <c r="I5" s="251"/>
      <c r="J5" s="251"/>
      <c r="K5" s="251"/>
      <c r="L5" s="251"/>
    </row>
    <row r="6" spans="1:12" s="254" customFormat="1">
      <c r="A6" s="251" t="s">
        <v>1117</v>
      </c>
      <c r="B6" s="251" t="s">
        <v>1229</v>
      </c>
      <c r="C6" s="251" t="s">
        <v>1116</v>
      </c>
      <c r="D6" s="251" t="s">
        <v>214</v>
      </c>
      <c r="E6" s="251" t="s">
        <v>1126</v>
      </c>
      <c r="F6" s="251">
        <v>2</v>
      </c>
      <c r="G6" s="252">
        <v>58</v>
      </c>
      <c r="H6" s="253"/>
      <c r="I6" s="251"/>
      <c r="J6" s="251"/>
      <c r="K6" s="251"/>
      <c r="L6" s="251"/>
    </row>
    <row r="7" spans="1:12" s="254" customFormat="1">
      <c r="A7" s="251" t="s">
        <v>1119</v>
      </c>
      <c r="B7" s="251" t="s">
        <v>1229</v>
      </c>
      <c r="C7" s="251" t="s">
        <v>1118</v>
      </c>
      <c r="D7" s="251" t="s">
        <v>214</v>
      </c>
      <c r="E7" s="251" t="s">
        <v>290</v>
      </c>
      <c r="F7" s="251">
        <v>1</v>
      </c>
      <c r="G7" s="252">
        <v>69.099999999999994</v>
      </c>
      <c r="H7" s="253"/>
      <c r="I7" s="251"/>
      <c r="J7" s="251"/>
      <c r="K7" s="251"/>
      <c r="L7" s="251"/>
    </row>
    <row r="8" spans="1:12" s="257" customFormat="1">
      <c r="A8" s="222" t="s">
        <v>1239</v>
      </c>
      <c r="B8" s="222" t="s">
        <v>1229</v>
      </c>
      <c r="C8" s="222" t="s">
        <v>1120</v>
      </c>
      <c r="D8" s="222" t="s">
        <v>214</v>
      </c>
      <c r="E8" s="222" t="s">
        <v>1227</v>
      </c>
      <c r="F8" s="222">
        <v>31</v>
      </c>
      <c r="G8" s="255">
        <v>50.2</v>
      </c>
      <c r="H8" s="256">
        <v>3.7</v>
      </c>
    </row>
    <row r="9" spans="1:12" s="257" customFormat="1">
      <c r="A9" s="222" t="s">
        <v>1124</v>
      </c>
      <c r="B9" s="222" t="s">
        <v>1229</v>
      </c>
      <c r="C9" s="222" t="s">
        <v>1120</v>
      </c>
      <c r="D9" s="222" t="s">
        <v>214</v>
      </c>
      <c r="E9" s="222" t="s">
        <v>1125</v>
      </c>
      <c r="F9" s="222">
        <v>5</v>
      </c>
      <c r="G9" s="255">
        <v>61</v>
      </c>
      <c r="H9" s="256">
        <v>6.9</v>
      </c>
      <c r="I9" s="222"/>
      <c r="J9" s="222"/>
      <c r="K9" s="222"/>
      <c r="L9" s="222"/>
    </row>
    <row r="10" spans="1:12" s="257" customFormat="1">
      <c r="A10" s="222" t="s">
        <v>1117</v>
      </c>
      <c r="B10" s="222" t="s">
        <v>1229</v>
      </c>
      <c r="C10" s="222" t="s">
        <v>1120</v>
      </c>
      <c r="D10" s="222" t="s">
        <v>214</v>
      </c>
      <c r="E10" s="222" t="s">
        <v>290</v>
      </c>
      <c r="F10" s="222">
        <v>1</v>
      </c>
      <c r="G10" s="255">
        <v>85.2</v>
      </c>
      <c r="H10" s="256"/>
      <c r="I10" s="222"/>
      <c r="J10" s="222"/>
      <c r="K10" s="222"/>
      <c r="L10" s="222"/>
    </row>
    <row r="11" spans="1:12" s="99" customFormat="1">
      <c r="A11" s="220" t="s">
        <v>1238</v>
      </c>
      <c r="B11" s="220" t="s">
        <v>1229</v>
      </c>
      <c r="C11" s="220" t="s">
        <v>1122</v>
      </c>
      <c r="D11" s="220" t="s">
        <v>214</v>
      </c>
      <c r="E11" s="220"/>
      <c r="F11" s="220"/>
      <c r="G11" s="228">
        <v>39</v>
      </c>
      <c r="H11" s="224"/>
      <c r="I11" s="220"/>
      <c r="J11" s="220"/>
      <c r="K11" s="220"/>
      <c r="L11" s="220"/>
    </row>
    <row r="12" spans="1:12" s="99" customFormat="1">
      <c r="A12" s="220" t="s">
        <v>1130</v>
      </c>
      <c r="B12" s="220" t="s">
        <v>1229</v>
      </c>
      <c r="C12" s="220" t="s">
        <v>1129</v>
      </c>
      <c r="D12" s="220" t="s">
        <v>214</v>
      </c>
      <c r="E12" s="220" t="s">
        <v>290</v>
      </c>
      <c r="F12" s="220">
        <v>1</v>
      </c>
      <c r="G12" s="228"/>
      <c r="H12" s="224"/>
      <c r="I12" s="220">
        <v>12</v>
      </c>
      <c r="J12" s="220"/>
      <c r="K12" s="220"/>
      <c r="L12" s="220"/>
    </row>
    <row r="13" spans="1:12" s="99" customFormat="1">
      <c r="A13" s="220" t="s">
        <v>502</v>
      </c>
      <c r="B13" s="220" t="s">
        <v>1229</v>
      </c>
      <c r="C13" s="220" t="s">
        <v>42</v>
      </c>
      <c r="D13" s="220" t="s">
        <v>214</v>
      </c>
      <c r="E13" s="220" t="s">
        <v>290</v>
      </c>
      <c r="F13" s="220">
        <v>1</v>
      </c>
      <c r="G13" s="228">
        <v>78.8</v>
      </c>
      <c r="H13" s="224">
        <v>0.5</v>
      </c>
      <c r="I13" s="220"/>
      <c r="J13" s="220"/>
      <c r="K13" s="220"/>
      <c r="L13" s="220"/>
    </row>
    <row r="14" spans="1:12" s="99" customFormat="1">
      <c r="A14" s="23" t="s">
        <v>1117</v>
      </c>
      <c r="B14" s="220" t="s">
        <v>1230</v>
      </c>
      <c r="C14" s="23" t="s">
        <v>1232</v>
      </c>
      <c r="D14" s="23" t="s">
        <v>1177</v>
      </c>
      <c r="E14" s="23" t="s">
        <v>1126</v>
      </c>
      <c r="F14" s="220">
        <v>2</v>
      </c>
      <c r="G14" s="227">
        <v>41.3</v>
      </c>
      <c r="H14" s="223">
        <v>0.1</v>
      </c>
      <c r="I14" s="23"/>
      <c r="J14" s="23"/>
      <c r="K14" s="23"/>
      <c r="L14" s="23"/>
    </row>
    <row r="15" spans="1:12" s="183" customFormat="1" ht="18" customHeight="1">
      <c r="A15" s="23" t="s">
        <v>1128</v>
      </c>
      <c r="B15" s="220" t="s">
        <v>1230</v>
      </c>
      <c r="C15" s="23" t="s">
        <v>1232</v>
      </c>
      <c r="D15" s="23" t="s">
        <v>1177</v>
      </c>
      <c r="E15" s="23"/>
      <c r="F15" s="23"/>
      <c r="G15" s="227">
        <v>54</v>
      </c>
      <c r="H15" s="223"/>
      <c r="I15" s="23"/>
      <c r="J15" s="23" t="s">
        <v>1237</v>
      </c>
      <c r="K15" s="23"/>
      <c r="L15" s="23"/>
    </row>
    <row r="16" spans="1:12" s="183" customFormat="1">
      <c r="A16" s="23" t="s">
        <v>1127</v>
      </c>
      <c r="B16" s="220" t="s">
        <v>1231</v>
      </c>
      <c r="C16" s="23" t="s">
        <v>1233</v>
      </c>
      <c r="D16" s="23" t="s">
        <v>1177</v>
      </c>
      <c r="E16" s="23"/>
      <c r="F16" s="23"/>
      <c r="G16" s="227">
        <v>51.5</v>
      </c>
      <c r="H16" s="223"/>
      <c r="I16" s="23"/>
      <c r="J16" s="23"/>
      <c r="K16" s="23"/>
      <c r="L16" s="23"/>
    </row>
    <row r="17" spans="1:12" s="257" customFormat="1">
      <c r="A17" s="251" t="s">
        <v>1119</v>
      </c>
      <c r="B17" s="251" t="s">
        <v>1229</v>
      </c>
      <c r="C17" s="251" t="s">
        <v>1121</v>
      </c>
      <c r="D17" s="251" t="s">
        <v>214</v>
      </c>
      <c r="E17" s="251" t="s">
        <v>290</v>
      </c>
      <c r="F17" s="251">
        <v>1</v>
      </c>
      <c r="G17" s="252">
        <v>67.400000000000006</v>
      </c>
      <c r="H17" s="253"/>
      <c r="I17" s="251"/>
      <c r="J17" s="251"/>
      <c r="K17" s="251"/>
      <c r="L17" s="251"/>
    </row>
    <row r="18" spans="1:12" s="183" customFormat="1">
      <c r="A18" s="203" t="s">
        <v>149</v>
      </c>
      <c r="B18" s="203" t="s">
        <v>1229</v>
      </c>
      <c r="C18" s="203" t="s">
        <v>75</v>
      </c>
      <c r="D18" s="203" t="s">
        <v>213</v>
      </c>
      <c r="E18" s="203" t="s">
        <v>112</v>
      </c>
      <c r="F18" s="203">
        <v>2</v>
      </c>
      <c r="G18" s="229">
        <v>70</v>
      </c>
      <c r="H18" s="225"/>
      <c r="I18" s="203"/>
      <c r="J18" s="222" t="s">
        <v>1221</v>
      </c>
      <c r="K18" s="203"/>
      <c r="L18" s="203"/>
    </row>
    <row r="19" spans="1:12" s="183" customFormat="1">
      <c r="A19" s="203" t="s">
        <v>1222</v>
      </c>
      <c r="B19" s="203" t="s">
        <v>1229</v>
      </c>
      <c r="C19" s="203" t="s">
        <v>75</v>
      </c>
      <c r="D19" s="203" t="s">
        <v>213</v>
      </c>
      <c r="E19" s="203" t="s">
        <v>112</v>
      </c>
      <c r="F19" s="203">
        <v>2</v>
      </c>
      <c r="G19" s="229">
        <v>63</v>
      </c>
      <c r="H19" s="225"/>
      <c r="I19" s="203"/>
      <c r="J19" s="203" t="s">
        <v>1223</v>
      </c>
      <c r="K19" s="203"/>
      <c r="L19" s="203"/>
    </row>
    <row r="20" spans="1:12">
      <c r="A20" s="203" t="s">
        <v>1222</v>
      </c>
      <c r="B20" s="203" t="s">
        <v>1229</v>
      </c>
      <c r="C20" s="203" t="s">
        <v>75</v>
      </c>
      <c r="D20" s="203" t="s">
        <v>213</v>
      </c>
      <c r="E20" s="203" t="s">
        <v>112</v>
      </c>
      <c r="F20" s="203">
        <v>2</v>
      </c>
      <c r="G20" s="229">
        <v>86</v>
      </c>
      <c r="H20" s="225"/>
      <c r="I20" s="203"/>
      <c r="J20" s="203" t="s">
        <v>1224</v>
      </c>
      <c r="K20" s="203"/>
      <c r="L20" s="203"/>
    </row>
    <row r="21" spans="1:12">
      <c r="A21" s="203" t="s">
        <v>149</v>
      </c>
      <c r="B21" s="203" t="s">
        <v>1229</v>
      </c>
      <c r="C21" s="203" t="s">
        <v>75</v>
      </c>
      <c r="D21" s="203" t="s">
        <v>213</v>
      </c>
      <c r="E21" s="203" t="s">
        <v>112</v>
      </c>
      <c r="F21" s="203">
        <v>2</v>
      </c>
      <c r="G21" s="229"/>
      <c r="H21" s="225"/>
      <c r="I21" s="203">
        <v>150</v>
      </c>
      <c r="J21" s="203"/>
      <c r="K21" s="203"/>
      <c r="L21" s="203"/>
    </row>
    <row r="22" spans="1:12">
      <c r="A22" s="203" t="s">
        <v>1124</v>
      </c>
      <c r="B22" s="203" t="s">
        <v>1229</v>
      </c>
      <c r="C22" s="203" t="s">
        <v>75</v>
      </c>
      <c r="D22" s="203" t="s">
        <v>213</v>
      </c>
      <c r="E22" s="203" t="s">
        <v>1126</v>
      </c>
      <c r="F22" s="203">
        <v>2</v>
      </c>
      <c r="G22" s="229">
        <v>68.099999999999994</v>
      </c>
      <c r="H22" s="225"/>
      <c r="I22" s="203"/>
      <c r="J22" s="203"/>
      <c r="K22" s="203"/>
      <c r="L22" s="203"/>
    </row>
    <row r="25" spans="1:12">
      <c r="B25" s="203"/>
    </row>
  </sheetData>
  <sortState xmlns:xlrd2="http://schemas.microsoft.com/office/spreadsheetml/2017/richdata2" ref="A2:L23">
    <sortCondition ref="C2:C23"/>
    <sortCondition ref="D2:D23"/>
    <sortCondition ref="E2:E2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E236-B5D5-C340-9143-3EAC21E4544D}">
  <dimension ref="A1:A17"/>
  <sheetViews>
    <sheetView zoomScale="150" workbookViewId="0">
      <selection activeCell="A14" sqref="A14"/>
    </sheetView>
  </sheetViews>
  <sheetFormatPr baseColWidth="10" defaultRowHeight="16"/>
  <cols>
    <col min="1" max="1" width="64.5" customWidth="1"/>
  </cols>
  <sheetData>
    <row r="1" spans="1:1">
      <c r="A1" t="s">
        <v>121</v>
      </c>
    </row>
    <row r="2" spans="1:1">
      <c r="A2" s="237" t="s">
        <v>1313</v>
      </c>
    </row>
    <row r="3" spans="1:1">
      <c r="A3" s="237" t="s">
        <v>1314</v>
      </c>
    </row>
    <row r="4" spans="1:1">
      <c r="A4" s="237" t="s">
        <v>1315</v>
      </c>
    </row>
    <row r="5" spans="1:1">
      <c r="A5" s="237" t="s">
        <v>1316</v>
      </c>
    </row>
    <row r="6" spans="1:1">
      <c r="A6" s="237"/>
    </row>
    <row r="7" spans="1:1">
      <c r="A7" s="237" t="s">
        <v>1317</v>
      </c>
    </row>
    <row r="8" spans="1:1">
      <c r="A8" s="237" t="s">
        <v>1318</v>
      </c>
    </row>
    <row r="9" spans="1:1">
      <c r="A9" s="237" t="s">
        <v>1319</v>
      </c>
    </row>
    <row r="10" spans="1:1">
      <c r="A10" s="237" t="s">
        <v>1320</v>
      </c>
    </row>
    <row r="11" spans="1:1">
      <c r="A11" s="237" t="s">
        <v>1321</v>
      </c>
    </row>
    <row r="12" spans="1:1">
      <c r="A12" s="237" t="s">
        <v>1322</v>
      </c>
    </row>
    <row r="13" spans="1:1">
      <c r="A13" s="237"/>
    </row>
    <row r="15" spans="1:1">
      <c r="A15" t="s">
        <v>1420</v>
      </c>
    </row>
    <row r="16" spans="1:1">
      <c r="A16" t="s">
        <v>1421</v>
      </c>
    </row>
    <row r="17" spans="1:1">
      <c r="A17" t="s">
        <v>1422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DBF6-92CD-9742-926A-64A7F4704665}">
  <dimension ref="A1:M19"/>
  <sheetViews>
    <sheetView workbookViewId="0">
      <selection activeCell="F26" sqref="F26"/>
    </sheetView>
  </sheetViews>
  <sheetFormatPr baseColWidth="10" defaultRowHeight="16"/>
  <cols>
    <col min="1" max="1" width="10.83203125" style="20"/>
    <col min="2" max="2" width="28.83203125" style="20" customWidth="1"/>
    <col min="3" max="4" width="14.6640625" style="20" customWidth="1"/>
    <col min="5" max="8" width="10.83203125" style="20"/>
    <col min="9" max="9" width="18.6640625" style="20" customWidth="1"/>
    <col min="10" max="16384" width="10.83203125" style="20"/>
  </cols>
  <sheetData>
    <row r="1" spans="1:13">
      <c r="A1" s="20" t="s">
        <v>1419</v>
      </c>
      <c r="B1" s="20" t="s">
        <v>1418</v>
      </c>
      <c r="C1" s="20" t="s">
        <v>1417</v>
      </c>
      <c r="D1" s="20" t="s">
        <v>1412</v>
      </c>
      <c r="E1" s="20" t="s">
        <v>1416</v>
      </c>
      <c r="F1" s="20" t="s">
        <v>1415</v>
      </c>
      <c r="G1" s="20" t="s">
        <v>1414</v>
      </c>
      <c r="I1" s="20" t="s">
        <v>1412</v>
      </c>
      <c r="J1" s="20" t="s">
        <v>1413</v>
      </c>
      <c r="L1" s="20" t="s">
        <v>1412</v>
      </c>
      <c r="M1" s="20" t="s">
        <v>80</v>
      </c>
    </row>
    <row r="2" spans="1:13" ht="18">
      <c r="A2" s="20" t="s">
        <v>1352</v>
      </c>
      <c r="B2" s="239" t="s">
        <v>1411</v>
      </c>
      <c r="C2" s="239" t="s">
        <v>1410</v>
      </c>
      <c r="D2" s="239" t="s">
        <v>1409</v>
      </c>
      <c r="E2" s="239" t="s">
        <v>1408</v>
      </c>
      <c r="F2" s="239" t="s">
        <v>1407</v>
      </c>
      <c r="G2" s="246" t="s">
        <v>1406</v>
      </c>
      <c r="H2" s="239" t="s">
        <v>1405</v>
      </c>
      <c r="I2" s="239" t="s">
        <v>1387</v>
      </c>
      <c r="J2" s="246" t="s">
        <v>1404</v>
      </c>
      <c r="K2" s="239" t="s">
        <v>1403</v>
      </c>
      <c r="L2" s="240" t="s">
        <v>1384</v>
      </c>
    </row>
    <row r="3" spans="1:13" ht="18">
      <c r="A3" s="20" t="s">
        <v>1352</v>
      </c>
      <c r="B3" s="239" t="s">
        <v>1402</v>
      </c>
      <c r="C3" s="239" t="s">
        <v>1337</v>
      </c>
      <c r="D3" s="239" t="s">
        <v>1401</v>
      </c>
      <c r="E3" s="239" t="s">
        <v>1400</v>
      </c>
      <c r="F3" s="239" t="s">
        <v>1399</v>
      </c>
      <c r="G3" s="246" t="s">
        <v>1398</v>
      </c>
      <c r="H3" s="239" t="s">
        <v>1397</v>
      </c>
      <c r="I3" s="247" t="s">
        <v>1376</v>
      </c>
      <c r="J3" s="246" t="s">
        <v>1396</v>
      </c>
      <c r="K3" s="239" t="s">
        <v>1395</v>
      </c>
      <c r="L3" s="239" t="s">
        <v>1353</v>
      </c>
    </row>
    <row r="4" spans="1:13">
      <c r="A4" s="20" t="s">
        <v>1352</v>
      </c>
      <c r="B4" s="239" t="s">
        <v>1394</v>
      </c>
      <c r="C4" s="20" t="s">
        <v>1393</v>
      </c>
      <c r="D4" s="239" t="s">
        <v>1392</v>
      </c>
      <c r="E4" s="239" t="s">
        <v>1391</v>
      </c>
      <c r="F4" s="239" t="s">
        <v>1390</v>
      </c>
      <c r="G4" s="246" t="s">
        <v>1389</v>
      </c>
      <c r="H4" s="239" t="s">
        <v>1388</v>
      </c>
      <c r="I4" s="239" t="s">
        <v>1387</v>
      </c>
      <c r="J4" s="246" t="s">
        <v>1386</v>
      </c>
      <c r="K4" s="239" t="s">
        <v>1385</v>
      </c>
      <c r="L4" s="240" t="s">
        <v>1384</v>
      </c>
      <c r="M4" s="239" t="s">
        <v>1383</v>
      </c>
    </row>
    <row r="5" spans="1:13">
      <c r="A5" s="20" t="s">
        <v>1352</v>
      </c>
      <c r="B5" s="239" t="s">
        <v>1382</v>
      </c>
      <c r="C5" s="20" t="s">
        <v>1381</v>
      </c>
      <c r="D5" s="239" t="s">
        <v>1380</v>
      </c>
      <c r="E5" s="239" t="s">
        <v>1379</v>
      </c>
      <c r="G5" s="246" t="s">
        <v>1378</v>
      </c>
      <c r="H5" s="239" t="s">
        <v>1377</v>
      </c>
      <c r="I5" s="247" t="s">
        <v>1376</v>
      </c>
      <c r="J5" s="246" t="s">
        <v>1375</v>
      </c>
      <c r="K5" s="239" t="s">
        <v>1374</v>
      </c>
      <c r="L5" s="240" t="s">
        <v>1353</v>
      </c>
    </row>
    <row r="6" spans="1:13" s="248" customFormat="1">
      <c r="A6" s="248" t="s">
        <v>1352</v>
      </c>
      <c r="B6" s="245" t="s">
        <v>1373</v>
      </c>
      <c r="C6" s="245" t="s">
        <v>1372</v>
      </c>
      <c r="F6" s="244" t="s">
        <v>1371</v>
      </c>
      <c r="G6" s="244"/>
      <c r="H6" s="244"/>
      <c r="I6" s="244"/>
      <c r="J6" s="244"/>
      <c r="K6" s="244"/>
      <c r="L6" s="244"/>
    </row>
    <row r="7" spans="1:13">
      <c r="A7" s="20" t="s">
        <v>1352</v>
      </c>
      <c r="B7" s="239" t="s">
        <v>1370</v>
      </c>
      <c r="C7" s="239" t="s">
        <v>1369</v>
      </c>
      <c r="D7" s="239" t="s">
        <v>1368</v>
      </c>
      <c r="F7" s="239" t="s">
        <v>1367</v>
      </c>
      <c r="G7" s="246" t="s">
        <v>1366</v>
      </c>
      <c r="H7" s="239" t="s">
        <v>1365</v>
      </c>
      <c r="I7" s="249" t="s">
        <v>1364</v>
      </c>
      <c r="J7" s="246" t="s">
        <v>1363</v>
      </c>
      <c r="K7" s="239" t="s">
        <v>1362</v>
      </c>
      <c r="L7" s="250" t="s">
        <v>1361</v>
      </c>
    </row>
    <row r="8" spans="1:13" ht="18">
      <c r="A8" s="20" t="s">
        <v>1352</v>
      </c>
      <c r="B8" s="239" t="s">
        <v>1360</v>
      </c>
      <c r="F8" s="239" t="s">
        <v>1359</v>
      </c>
      <c r="G8" s="246" t="s">
        <v>1358</v>
      </c>
      <c r="H8" s="239" t="s">
        <v>1357</v>
      </c>
      <c r="I8" s="247" t="s">
        <v>1356</v>
      </c>
      <c r="J8" s="246" t="s">
        <v>1355</v>
      </c>
      <c r="K8" s="239" t="s">
        <v>1354</v>
      </c>
      <c r="L8" s="240" t="s">
        <v>1353</v>
      </c>
      <c r="M8" s="243" t="s">
        <v>1423</v>
      </c>
    </row>
    <row r="9" spans="1:13">
      <c r="A9" s="20" t="s">
        <v>1352</v>
      </c>
      <c r="B9" s="238" t="s">
        <v>1351</v>
      </c>
    </row>
    <row r="10" spans="1:13">
      <c r="A10" s="20" t="s">
        <v>1335</v>
      </c>
      <c r="B10" s="239" t="s">
        <v>1350</v>
      </c>
      <c r="G10" s="246" t="s">
        <v>1349</v>
      </c>
      <c r="H10" s="239" t="s">
        <v>1348</v>
      </c>
      <c r="J10" s="246" t="s">
        <v>1347</v>
      </c>
      <c r="K10" s="239" t="s">
        <v>1346</v>
      </c>
      <c r="L10" s="240" t="s">
        <v>1345</v>
      </c>
    </row>
    <row r="11" spans="1:13">
      <c r="A11" s="20" t="s">
        <v>1335</v>
      </c>
      <c r="B11" s="239" t="s">
        <v>1344</v>
      </c>
      <c r="G11" s="246" t="s">
        <v>1343</v>
      </c>
      <c r="H11" s="239" t="s">
        <v>1342</v>
      </c>
      <c r="I11" s="247" t="s">
        <v>1341</v>
      </c>
      <c r="J11" s="246" t="s">
        <v>1340</v>
      </c>
      <c r="K11" s="239" t="s">
        <v>1339</v>
      </c>
    </row>
    <row r="12" spans="1:13" ht="18">
      <c r="A12" s="20" t="s">
        <v>1335</v>
      </c>
      <c r="B12" s="239" t="s">
        <v>1338</v>
      </c>
      <c r="C12" s="239" t="s">
        <v>1337</v>
      </c>
      <c r="F12" s="242" t="s">
        <v>1336</v>
      </c>
      <c r="G12" s="242"/>
      <c r="H12" s="242"/>
      <c r="I12" s="242"/>
      <c r="J12" s="242"/>
      <c r="K12" s="242"/>
      <c r="L12" s="242"/>
    </row>
    <row r="13" spans="1:13">
      <c r="A13" s="20" t="s">
        <v>1335</v>
      </c>
      <c r="B13" s="241" t="s">
        <v>1334</v>
      </c>
      <c r="F13" s="20" t="s">
        <v>1333</v>
      </c>
      <c r="G13" s="246" t="s">
        <v>1332</v>
      </c>
      <c r="H13" s="239" t="s">
        <v>1331</v>
      </c>
      <c r="I13" s="247" t="s">
        <v>1330</v>
      </c>
      <c r="J13" s="246" t="s">
        <v>1329</v>
      </c>
      <c r="K13" s="239" t="s">
        <v>1328</v>
      </c>
      <c r="L13" s="240" t="s">
        <v>1327</v>
      </c>
    </row>
    <row r="15" spans="1:13">
      <c r="B15" s="239"/>
    </row>
    <row r="16" spans="1:13">
      <c r="C16" s="20" t="s">
        <v>1326</v>
      </c>
    </row>
    <row r="17" spans="3:3">
      <c r="C17" s="20" t="s">
        <v>1325</v>
      </c>
    </row>
    <row r="18" spans="3:3">
      <c r="C18" s="20" t="s">
        <v>1324</v>
      </c>
    </row>
    <row r="19" spans="3:3">
      <c r="C19" s="238" t="s">
        <v>1323</v>
      </c>
    </row>
  </sheetData>
  <hyperlinks>
    <hyperlink ref="J2" r:id="rId1" xr:uid="{FFC21A59-AB30-3249-B58E-C9F2B4F313D9}"/>
    <hyperlink ref="G2" r:id="rId2" location="?keyword=potassium+dichromate+analytic+grade" display="https://www.fishersci.com/shop/products/potassium-dichromate-99-5-analysis-acros-organics-3/AC196590500 - ?keyword=potassium+dichromate+analytic+grade" xr:uid="{966A11CC-BFA6-3C42-8A9D-7DD4F27B262E}"/>
    <hyperlink ref="G3" r:id="rId3" location="?keyword=sulphuric+acid" display="https://www.fishersci.com/shop/products/sulfuric-acid-technical-fisher-chemical/A298212 - ?keyword=sulphuric+acid" xr:uid="{3D4EA758-831E-874D-97CE-D162F1FAF595}"/>
    <hyperlink ref="J3" r:id="rId4" xr:uid="{648DDACF-36EA-9840-A5EE-2F470B8C14CC}"/>
    <hyperlink ref="J4" r:id="rId5" xr:uid="{65AF599A-C18C-6B41-8C0E-2E3F31359014}"/>
    <hyperlink ref="G4" r:id="rId6" location="?keyword=Potassium+Iodide" display="https://www.fishersci.com/shop/products/potassium-iodide-99-analysis-acros-organics-3/AC373651000 - ?keyword=Potassium+Iodide" xr:uid="{E1157483-CCD4-DA4E-B33B-8A6485EEB094}"/>
    <hyperlink ref="G5" r:id="rId7" location="?keyword=Phosphoric+acid" display="https://www.fishersci.com/shop/products/phosphoric-acid-j-t-baker-3/02003602 - ?keyword=Phosphoric+acid" xr:uid="{1B06B2DC-A2FE-1745-A5A4-99E1AE779F93}"/>
    <hyperlink ref="J5" r:id="rId8" xr:uid="{6475FE22-1B26-4E44-86F5-F83E47891C8C}"/>
    <hyperlink ref="G8" r:id="rId9" location="?keyword=soluble+starch" display="https://www.fishersci.com/shop/products/starch-soluble-reagent-acs-acros-organics-5/AC424491000 - ?keyword=soluble+starch" xr:uid="{2AB611C8-6976-8D45-A8CD-B68F0B433E8C}"/>
    <hyperlink ref="G10" r:id="rId10" location="?keyword=Phosphate+buffered+saline" display="https://www.fishersci.com/shop/products/phosphate-buffered-saline-10x-solution-fisher-bioreagents-6/bp39920 - ?keyword=Phosphate+buffered+saline" xr:uid="{61009D5E-2B64-DE4F-AEB9-ADBE00799285}"/>
    <hyperlink ref="G11" r:id="rId11" xr:uid="{CD11AC3C-05DA-364F-9B4E-A3E8300DAA1F}"/>
    <hyperlink ref="G13" r:id="rId12" location="?keyword=DMSO" display="https://www.fishersci.com/shop/products/dmso-dimethyl-sulfoxide-gc-headspace-grade-fisher-chemical/D1391 - ?keyword=DMSO" xr:uid="{686EA8FF-DD70-3849-9E24-EFB21F9D930B}"/>
    <hyperlink ref="J7" r:id="rId13" xr:uid="{AF30A2EA-6FD5-0242-93B4-8A4F64EA3D48}"/>
    <hyperlink ref="J8" r:id="rId14" xr:uid="{0C1CCB89-301B-0145-8933-465CF736C910}"/>
    <hyperlink ref="J10" r:id="rId15" xr:uid="{20C9DD78-0EA1-0542-A70D-4E9FDD855127}"/>
    <hyperlink ref="J11" r:id="rId16" xr:uid="{2303DFEB-A50D-7642-99B9-BEE665172EE6}"/>
    <hyperlink ref="J13" r:id="rId17" xr:uid="{A7BAA248-5729-7C4E-8E67-27546DACE675}"/>
    <hyperlink ref="G7" r:id="rId18" location="?keyword=Hydrogen+chloride" display="https://www.fishersci.com/shop/products/hydrogen-chloride-1m-solution-ethyl-acetate-acros-organics/AC388701000 - ?keyword=Hydrogen+chloride" xr:uid="{1A213DB3-0B13-7B46-9DA9-C7911FAB1C7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E8C7-365A-F448-914D-68DB03E4BCD7}">
  <dimension ref="A1:H5"/>
  <sheetViews>
    <sheetView workbookViewId="0">
      <selection activeCell="G13" sqref="G13"/>
    </sheetView>
  </sheetViews>
  <sheetFormatPr baseColWidth="10" defaultRowHeight="16"/>
  <cols>
    <col min="1" max="1" width="19.5" customWidth="1"/>
    <col min="2" max="2" width="20.6640625" customWidth="1"/>
  </cols>
  <sheetData>
    <row r="1" spans="1:8">
      <c r="A1" t="s">
        <v>7</v>
      </c>
      <c r="B1" t="s">
        <v>74</v>
      </c>
      <c r="C1" t="s">
        <v>1167</v>
      </c>
      <c r="E1" t="s">
        <v>1168</v>
      </c>
      <c r="F1" t="s">
        <v>438</v>
      </c>
      <c r="G1" t="s">
        <v>1169</v>
      </c>
      <c r="H1" t="s">
        <v>1170</v>
      </c>
    </row>
    <row r="2" spans="1:8">
      <c r="A2" t="s">
        <v>201</v>
      </c>
      <c r="B2" t="s">
        <v>75</v>
      </c>
      <c r="C2">
        <v>0.11708830000000001</v>
      </c>
      <c r="D2">
        <f>SQRT(C2)</f>
        <v>0.34218167689109247</v>
      </c>
      <c r="E2">
        <v>-0.34218167689109202</v>
      </c>
      <c r="F2">
        <v>5</v>
      </c>
      <c r="G2">
        <v>100</v>
      </c>
      <c r="H2" t="s">
        <v>1171</v>
      </c>
    </row>
    <row r="3" spans="1:8">
      <c r="A3" t="s">
        <v>352</v>
      </c>
      <c r="B3" t="s">
        <v>75</v>
      </c>
      <c r="C3">
        <v>0.86673049999999996</v>
      </c>
      <c r="D3">
        <f t="shared" ref="D3:D5" si="0">SQRT(C3)</f>
        <v>0.93098361961959353</v>
      </c>
      <c r="E3">
        <v>-0.93098361961959397</v>
      </c>
      <c r="F3">
        <v>5</v>
      </c>
      <c r="G3">
        <v>16</v>
      </c>
      <c r="H3" t="s">
        <v>1172</v>
      </c>
    </row>
    <row r="4" spans="1:8">
      <c r="A4" t="s">
        <v>244</v>
      </c>
      <c r="B4" t="s">
        <v>75</v>
      </c>
      <c r="C4">
        <v>0.60009480000000004</v>
      </c>
      <c r="D4">
        <f t="shared" si="0"/>
        <v>0.77465785996141556</v>
      </c>
      <c r="E4">
        <v>0.77465785996141556</v>
      </c>
      <c r="F4">
        <v>6</v>
      </c>
      <c r="G4">
        <v>15</v>
      </c>
      <c r="H4" t="s">
        <v>1174</v>
      </c>
    </row>
    <row r="5" spans="1:8">
      <c r="A5" t="s">
        <v>524</v>
      </c>
      <c r="B5" t="s">
        <v>75</v>
      </c>
      <c r="C5">
        <v>0.17691519999999999</v>
      </c>
      <c r="D5">
        <f t="shared" si="0"/>
        <v>0.42061288615542913</v>
      </c>
      <c r="E5">
        <v>-0.42061288615542902</v>
      </c>
      <c r="F5">
        <v>5</v>
      </c>
      <c r="G5">
        <v>24</v>
      </c>
      <c r="H5" t="s">
        <v>1175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783E-7AF3-3847-8EE5-64182D248138}">
  <dimension ref="A1:H7"/>
  <sheetViews>
    <sheetView workbookViewId="0">
      <selection activeCell="G13" sqref="G13"/>
    </sheetView>
  </sheetViews>
  <sheetFormatPr baseColWidth="10" defaultRowHeight="16"/>
  <cols>
    <col min="1" max="1" width="19.5" customWidth="1"/>
    <col min="2" max="2" width="20.6640625" customWidth="1"/>
  </cols>
  <sheetData>
    <row r="1" spans="1:8">
      <c r="A1" t="s">
        <v>7</v>
      </c>
      <c r="B1" t="s">
        <v>74</v>
      </c>
      <c r="C1" t="s">
        <v>1167</v>
      </c>
      <c r="E1" t="s">
        <v>1168</v>
      </c>
      <c r="F1" t="s">
        <v>438</v>
      </c>
      <c r="G1" t="s">
        <v>1169</v>
      </c>
      <c r="H1" t="s">
        <v>1170</v>
      </c>
    </row>
    <row r="2" spans="1:8">
      <c r="A2" t="s">
        <v>276</v>
      </c>
      <c r="B2" t="s">
        <v>289</v>
      </c>
      <c r="C2">
        <v>0.64761959999999996</v>
      </c>
      <c r="D2">
        <f t="shared" ref="D2:D7" si="0">SQRT(C2)</f>
        <v>0.80474815936415778</v>
      </c>
      <c r="E2">
        <v>-0.804748159364158</v>
      </c>
      <c r="F2">
        <v>5</v>
      </c>
      <c r="G2">
        <v>35</v>
      </c>
      <c r="H2" t="s">
        <v>1173</v>
      </c>
    </row>
    <row r="3" spans="1:8">
      <c r="A3" t="s">
        <v>276</v>
      </c>
      <c r="B3" t="s">
        <v>37</v>
      </c>
      <c r="C3">
        <v>0.92033759999999998</v>
      </c>
      <c r="D3">
        <f t="shared" si="0"/>
        <v>0.95934227468615185</v>
      </c>
      <c r="E3">
        <v>-0.95934227468615196</v>
      </c>
      <c r="F3">
        <v>5</v>
      </c>
      <c r="G3">
        <v>70</v>
      </c>
      <c r="H3" t="s">
        <v>1173</v>
      </c>
    </row>
    <row r="4" spans="1:8">
      <c r="A4" t="s">
        <v>276</v>
      </c>
      <c r="B4" t="s">
        <v>287</v>
      </c>
      <c r="C4">
        <v>0.81781820000000005</v>
      </c>
      <c r="D4">
        <f t="shared" si="0"/>
        <v>0.90433301388371312</v>
      </c>
      <c r="E4">
        <v>-0.90433301388371301</v>
      </c>
      <c r="F4">
        <v>5</v>
      </c>
      <c r="G4">
        <v>40</v>
      </c>
      <c r="H4" t="s">
        <v>1173</v>
      </c>
    </row>
    <row r="5" spans="1:8">
      <c r="A5" t="s">
        <v>276</v>
      </c>
      <c r="B5" t="s">
        <v>288</v>
      </c>
      <c r="C5">
        <v>0.23425090000000001</v>
      </c>
      <c r="D5">
        <f t="shared" si="0"/>
        <v>0.48399473137628268</v>
      </c>
      <c r="E5">
        <v>-0.48399473137628302</v>
      </c>
      <c r="F5">
        <v>5</v>
      </c>
      <c r="G5">
        <v>35</v>
      </c>
      <c r="H5" t="s">
        <v>1173</v>
      </c>
    </row>
    <row r="6" spans="1:8">
      <c r="A6" t="s">
        <v>244</v>
      </c>
      <c r="B6" t="s">
        <v>22</v>
      </c>
      <c r="C6">
        <v>0.800597</v>
      </c>
      <c r="D6">
        <f t="shared" si="0"/>
        <v>0.89476086190668846</v>
      </c>
      <c r="E6">
        <v>0.89476086190668846</v>
      </c>
      <c r="F6">
        <v>6</v>
      </c>
      <c r="G6">
        <v>15</v>
      </c>
      <c r="H6" t="s">
        <v>1174</v>
      </c>
    </row>
    <row r="7" spans="1:8">
      <c r="A7" t="s">
        <v>269</v>
      </c>
      <c r="B7" s="202" t="s">
        <v>1166</v>
      </c>
      <c r="C7">
        <v>0.21865309999999999</v>
      </c>
      <c r="D7">
        <f t="shared" si="0"/>
        <v>0.46760357141493264</v>
      </c>
      <c r="E7">
        <v>-0.46760357141493297</v>
      </c>
      <c r="F7">
        <v>7</v>
      </c>
      <c r="G7">
        <v>80</v>
      </c>
      <c r="H7" t="s">
        <v>1176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955C7-B339-A547-B315-213A516C97B9}">
  <dimension ref="A1:H12"/>
  <sheetViews>
    <sheetView workbookViewId="0">
      <selection activeCell="G13" sqref="G13"/>
    </sheetView>
  </sheetViews>
  <sheetFormatPr baseColWidth="10" defaultRowHeight="16"/>
  <cols>
    <col min="1" max="1" width="18.5" customWidth="1"/>
    <col min="2" max="2" width="17.6640625" customWidth="1"/>
  </cols>
  <sheetData>
    <row r="1" spans="1:8">
      <c r="A1" t="s">
        <v>7</v>
      </c>
      <c r="B1" t="s">
        <v>74</v>
      </c>
      <c r="C1" t="s">
        <v>1167</v>
      </c>
      <c r="E1" t="s">
        <v>1168</v>
      </c>
      <c r="F1" t="s">
        <v>438</v>
      </c>
      <c r="G1" t="s">
        <v>1169</v>
      </c>
      <c r="H1" t="s">
        <v>1170</v>
      </c>
    </row>
    <row r="2" spans="1:8" s="204" customFormat="1">
      <c r="A2" s="204" t="s">
        <v>201</v>
      </c>
      <c r="B2" s="204" t="s">
        <v>75</v>
      </c>
      <c r="C2" s="205">
        <v>0.17486160000000001</v>
      </c>
      <c r="D2" s="204">
        <f>SQRT(C2)</f>
        <v>0.41816456090874082</v>
      </c>
      <c r="E2" s="204">
        <v>0.41816456090874082</v>
      </c>
      <c r="F2" s="204">
        <v>5</v>
      </c>
      <c r="G2" s="204">
        <v>100</v>
      </c>
      <c r="H2" s="204" t="s">
        <v>1171</v>
      </c>
    </row>
    <row r="3" spans="1:8" s="204" customFormat="1">
      <c r="A3" s="204" t="s">
        <v>352</v>
      </c>
      <c r="B3" s="204" t="s">
        <v>75</v>
      </c>
      <c r="C3" s="204">
        <v>0.12978429999999999</v>
      </c>
      <c r="D3" s="204">
        <f t="shared" ref="D3:D11" si="0">SQRT(C3)</f>
        <v>0.36025588128440039</v>
      </c>
      <c r="E3" s="204">
        <v>0.36025588128440039</v>
      </c>
      <c r="F3" s="204">
        <v>5</v>
      </c>
      <c r="G3" s="204">
        <v>16</v>
      </c>
      <c r="H3" s="204" t="s">
        <v>1172</v>
      </c>
    </row>
    <row r="4" spans="1:8" s="204" customFormat="1">
      <c r="A4" s="204" t="s">
        <v>276</v>
      </c>
      <c r="B4" s="204" t="s">
        <v>289</v>
      </c>
      <c r="C4" s="204">
        <v>9.5623189999999997E-2</v>
      </c>
      <c r="D4" s="204">
        <f t="shared" si="0"/>
        <v>0.30922999531093359</v>
      </c>
      <c r="E4" s="204">
        <v>-0.30922999531093398</v>
      </c>
      <c r="F4" s="204">
        <v>5</v>
      </c>
      <c r="G4" s="204">
        <v>35</v>
      </c>
      <c r="H4" s="204" t="s">
        <v>1173</v>
      </c>
    </row>
    <row r="5" spans="1:8" s="204" customFormat="1">
      <c r="A5" s="204" t="s">
        <v>276</v>
      </c>
      <c r="B5" s="204" t="s">
        <v>37</v>
      </c>
      <c r="C5" s="204">
        <v>0.43140079999999997</v>
      </c>
      <c r="D5" s="204">
        <f t="shared" si="0"/>
        <v>0.65681108395032428</v>
      </c>
      <c r="E5" s="204">
        <v>-0.65681108395032395</v>
      </c>
      <c r="F5" s="204">
        <v>5</v>
      </c>
      <c r="G5" s="204">
        <v>70</v>
      </c>
      <c r="H5" s="204" t="s">
        <v>1173</v>
      </c>
    </row>
    <row r="6" spans="1:8" s="204" customFormat="1">
      <c r="A6" s="204" t="s">
        <v>276</v>
      </c>
      <c r="B6" s="204" t="s">
        <v>287</v>
      </c>
      <c r="C6" s="204">
        <v>0.18889990000000001</v>
      </c>
      <c r="D6" s="204">
        <f t="shared" si="0"/>
        <v>0.43462616120063458</v>
      </c>
      <c r="E6" s="204">
        <v>-0.43462616120063502</v>
      </c>
      <c r="F6" s="204">
        <v>5</v>
      </c>
      <c r="G6" s="204">
        <v>40</v>
      </c>
      <c r="H6" s="204" t="s">
        <v>1173</v>
      </c>
    </row>
    <row r="7" spans="1:8" s="204" customFormat="1">
      <c r="A7" s="204" t="s">
        <v>276</v>
      </c>
      <c r="B7" s="204" t="s">
        <v>288</v>
      </c>
      <c r="C7" s="204">
        <v>3.1016500000000001E-3</v>
      </c>
      <c r="D7" s="204">
        <f t="shared" si="0"/>
        <v>5.5692459094566833E-2</v>
      </c>
      <c r="E7" s="204">
        <v>-5.5692459094566799E-2</v>
      </c>
      <c r="F7" s="204">
        <v>5</v>
      </c>
      <c r="G7" s="204">
        <v>35</v>
      </c>
      <c r="H7" s="204" t="s">
        <v>1173</v>
      </c>
    </row>
    <row r="8" spans="1:8" s="204" customFormat="1">
      <c r="A8" s="204" t="s">
        <v>244</v>
      </c>
      <c r="B8" s="204" t="s">
        <v>75</v>
      </c>
      <c r="C8" s="204">
        <v>0.88884280000000004</v>
      </c>
      <c r="D8" s="204">
        <f t="shared" si="0"/>
        <v>0.94278459894081856</v>
      </c>
      <c r="E8" s="204">
        <v>0.94278459894081856</v>
      </c>
      <c r="F8" s="204">
        <v>6</v>
      </c>
      <c r="G8" s="204">
        <v>15</v>
      </c>
      <c r="H8" s="204" t="s">
        <v>1174</v>
      </c>
    </row>
    <row r="9" spans="1:8" s="204" customFormat="1">
      <c r="A9" s="204" t="s">
        <v>244</v>
      </c>
      <c r="B9" s="204" t="s">
        <v>22</v>
      </c>
      <c r="C9" s="204">
        <v>0.95593079999999997</v>
      </c>
      <c r="D9" s="204">
        <f t="shared" si="0"/>
        <v>0.97771713700844987</v>
      </c>
      <c r="E9" s="204">
        <v>0.97771713700844987</v>
      </c>
      <c r="F9" s="204">
        <v>6</v>
      </c>
      <c r="G9" s="204">
        <v>15</v>
      </c>
      <c r="H9" s="204" t="s">
        <v>1174</v>
      </c>
    </row>
    <row r="10" spans="1:8" s="204" customFormat="1">
      <c r="A10" s="204" t="s">
        <v>524</v>
      </c>
      <c r="B10" s="204" t="s">
        <v>75</v>
      </c>
      <c r="C10" s="204">
        <v>0.17691519999999999</v>
      </c>
      <c r="D10" s="204">
        <f t="shared" si="0"/>
        <v>0.42061288615542913</v>
      </c>
      <c r="E10" s="204">
        <v>-0.42061288615542902</v>
      </c>
      <c r="F10" s="204">
        <v>5</v>
      </c>
      <c r="G10" s="204">
        <v>24</v>
      </c>
      <c r="H10" s="204" t="s">
        <v>1175</v>
      </c>
    </row>
    <row r="11" spans="1:8" s="204" customFormat="1">
      <c r="A11" s="204" t="s">
        <v>269</v>
      </c>
      <c r="B11" s="206" t="s">
        <v>1166</v>
      </c>
      <c r="C11" s="204">
        <v>0.21865309999999999</v>
      </c>
      <c r="D11" s="204">
        <f t="shared" si="0"/>
        <v>0.46760357141493264</v>
      </c>
      <c r="E11" s="204">
        <v>-0.46760357141493297</v>
      </c>
      <c r="F11" s="204">
        <v>7</v>
      </c>
      <c r="G11" s="204">
        <v>80</v>
      </c>
      <c r="H11" s="204" t="s">
        <v>1176</v>
      </c>
    </row>
    <row r="12" spans="1:8" s="204" customFormat="1">
      <c r="C12" s="20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80F71-CBCA-724B-9EC8-0B89FDB47369}">
  <dimension ref="A1:H15"/>
  <sheetViews>
    <sheetView workbookViewId="0">
      <selection sqref="A1:H11"/>
    </sheetView>
  </sheetViews>
  <sheetFormatPr baseColWidth="10" defaultRowHeight="16"/>
  <sheetData>
    <row r="1" spans="1:8">
      <c r="A1" t="s">
        <v>7</v>
      </c>
      <c r="B1" t="s">
        <v>74</v>
      </c>
      <c r="C1" t="s">
        <v>1167</v>
      </c>
      <c r="E1" t="s">
        <v>1168</v>
      </c>
      <c r="F1" t="s">
        <v>438</v>
      </c>
      <c r="G1" t="s">
        <v>1169</v>
      </c>
      <c r="H1" t="s">
        <v>1170</v>
      </c>
    </row>
    <row r="2" spans="1:8" s="204" customFormat="1">
      <c r="A2" s="204" t="s">
        <v>201</v>
      </c>
      <c r="B2" s="204" t="s">
        <v>75</v>
      </c>
      <c r="C2" s="205">
        <v>0.77400000000000002</v>
      </c>
      <c r="D2" s="204">
        <f>SQRT(C2)</f>
        <v>0.87977269791691082</v>
      </c>
      <c r="E2" s="204">
        <v>-0.87977269791691104</v>
      </c>
      <c r="F2" s="204">
        <v>5</v>
      </c>
      <c r="G2" s="204">
        <v>100</v>
      </c>
      <c r="H2" s="204" t="s">
        <v>1171</v>
      </c>
    </row>
    <row r="3" spans="1:8" s="204" customFormat="1">
      <c r="A3" s="204" t="s">
        <v>352</v>
      </c>
      <c r="B3" s="204" t="s">
        <v>75</v>
      </c>
      <c r="C3" s="204">
        <v>0.22869999999999999</v>
      </c>
      <c r="D3" s="204">
        <f t="shared" ref="D3:D11" si="0">SQRT(C3)</f>
        <v>0.47822588804873373</v>
      </c>
      <c r="E3" s="204">
        <v>0.47822588804873373</v>
      </c>
      <c r="F3" s="204">
        <v>5</v>
      </c>
      <c r="G3" s="204">
        <v>16</v>
      </c>
      <c r="H3" s="204" t="s">
        <v>1172</v>
      </c>
    </row>
    <row r="4" spans="1:8" s="204" customFormat="1">
      <c r="A4" s="204" t="s">
        <v>276</v>
      </c>
      <c r="B4" s="204" t="s">
        <v>289</v>
      </c>
      <c r="C4" s="204">
        <v>0.50770000000000004</v>
      </c>
      <c r="D4" s="204">
        <f t="shared" si="0"/>
        <v>0.71253070109294236</v>
      </c>
      <c r="E4" s="204">
        <v>0.71253070109294236</v>
      </c>
      <c r="F4" s="204">
        <v>5</v>
      </c>
      <c r="G4" s="204">
        <v>35</v>
      </c>
      <c r="H4" s="204" t="s">
        <v>1173</v>
      </c>
    </row>
    <row r="5" spans="1:8" s="204" customFormat="1">
      <c r="A5" s="204" t="s">
        <v>276</v>
      </c>
      <c r="B5" s="204" t="s">
        <v>37</v>
      </c>
      <c r="C5" s="204">
        <v>0.4078</v>
      </c>
      <c r="D5" s="204">
        <f t="shared" si="0"/>
        <v>0.6385922016435841</v>
      </c>
      <c r="E5" s="204">
        <v>0.6385922016435841</v>
      </c>
      <c r="F5" s="204">
        <v>5</v>
      </c>
      <c r="G5" s="204">
        <v>70</v>
      </c>
      <c r="H5" s="204" t="s">
        <v>1173</v>
      </c>
    </row>
    <row r="6" spans="1:8" s="204" customFormat="1">
      <c r="A6" s="204" t="s">
        <v>276</v>
      </c>
      <c r="B6" s="204" t="s">
        <v>287</v>
      </c>
      <c r="C6" s="204">
        <v>0.76139999999999997</v>
      </c>
      <c r="D6" s="204">
        <f t="shared" si="0"/>
        <v>0.87258237433493924</v>
      </c>
      <c r="E6" s="204">
        <v>0.87258237433493924</v>
      </c>
      <c r="F6" s="204">
        <v>5</v>
      </c>
      <c r="G6" s="204">
        <v>40</v>
      </c>
      <c r="H6" s="204" t="s">
        <v>1173</v>
      </c>
    </row>
    <row r="7" spans="1:8" s="204" customFormat="1">
      <c r="A7" s="204" t="s">
        <v>276</v>
      </c>
      <c r="B7" s="204" t="s">
        <v>288</v>
      </c>
      <c r="C7" s="204">
        <v>0.66930000000000001</v>
      </c>
      <c r="D7" s="204">
        <f t="shared" si="0"/>
        <v>0.81810757238886378</v>
      </c>
      <c r="E7" s="204">
        <v>0.81810757238886378</v>
      </c>
      <c r="F7" s="204">
        <v>5</v>
      </c>
      <c r="G7" s="204">
        <v>35</v>
      </c>
      <c r="H7" s="204" t="s">
        <v>1173</v>
      </c>
    </row>
    <row r="8" spans="1:8" s="204" customFormat="1">
      <c r="A8" s="204" t="s">
        <v>244</v>
      </c>
      <c r="B8" s="204" t="s">
        <v>75</v>
      </c>
      <c r="C8" s="204">
        <v>0.94830000000000003</v>
      </c>
      <c r="D8" s="204">
        <f t="shared" si="0"/>
        <v>0.97380696239039077</v>
      </c>
      <c r="E8" s="204">
        <v>0.97380696239039077</v>
      </c>
      <c r="F8" s="204">
        <v>6</v>
      </c>
      <c r="G8" s="204">
        <v>15</v>
      </c>
      <c r="H8" s="204" t="s">
        <v>1174</v>
      </c>
    </row>
    <row r="9" spans="1:8" s="204" customFormat="1">
      <c r="A9" s="204" t="s">
        <v>244</v>
      </c>
      <c r="B9" s="204" t="s">
        <v>22</v>
      </c>
      <c r="C9" s="204">
        <v>0.99380000000000002</v>
      </c>
      <c r="D9" s="204">
        <f t="shared" si="0"/>
        <v>0.99689518004652822</v>
      </c>
      <c r="E9" s="204">
        <v>0.99689518004652822</v>
      </c>
      <c r="F9" s="204">
        <v>6</v>
      </c>
      <c r="G9" s="204">
        <v>15</v>
      </c>
      <c r="H9" s="204" t="s">
        <v>1174</v>
      </c>
    </row>
    <row r="10" spans="1:8" s="204" customFormat="1">
      <c r="A10" s="204" t="s">
        <v>524</v>
      </c>
      <c r="B10" s="204" t="s">
        <v>75</v>
      </c>
      <c r="C10" s="204">
        <v>0.83330000000000004</v>
      </c>
      <c r="D10" s="204">
        <f t="shared" si="0"/>
        <v>0.91285267157411554</v>
      </c>
      <c r="E10" s="204">
        <v>-0.91285267157411598</v>
      </c>
      <c r="F10" s="204">
        <v>5</v>
      </c>
      <c r="G10" s="204">
        <v>24</v>
      </c>
      <c r="H10" s="204" t="s">
        <v>1175</v>
      </c>
    </row>
    <row r="11" spans="1:8" s="204" customFormat="1">
      <c r="A11" s="204" t="s">
        <v>269</v>
      </c>
      <c r="B11" s="206" t="s">
        <v>1166</v>
      </c>
      <c r="C11" s="204">
        <v>0.27300000000000002</v>
      </c>
      <c r="D11" s="204">
        <f t="shared" si="0"/>
        <v>0.52249401910452531</v>
      </c>
      <c r="E11" s="204">
        <v>0.52249401910452531</v>
      </c>
      <c r="F11" s="204">
        <v>7</v>
      </c>
      <c r="G11" s="204">
        <v>80</v>
      </c>
      <c r="H11" s="204" t="s">
        <v>1176</v>
      </c>
    </row>
    <row r="12" spans="1:8" s="204" customFormat="1"/>
    <row r="13" spans="1:8" s="204" customFormat="1"/>
    <row r="14" spans="1:8" s="204" customFormat="1"/>
    <row r="15" spans="1:8" s="204" customForma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53DC-E0FC-6645-BF0E-627F0A184B58}">
  <dimension ref="A1:M176"/>
  <sheetViews>
    <sheetView topLeftCell="A102" workbookViewId="0">
      <selection activeCell="C11" sqref="C11"/>
    </sheetView>
  </sheetViews>
  <sheetFormatPr baseColWidth="10" defaultRowHeight="16"/>
  <cols>
    <col min="1" max="1" width="43.33203125" customWidth="1"/>
    <col min="2" max="2" width="20" customWidth="1"/>
    <col min="3" max="3" width="12" customWidth="1"/>
    <col min="4" max="4" width="11" customWidth="1"/>
    <col min="5" max="6" width="12.1640625" bestFit="1" customWidth="1"/>
    <col min="8" max="8" width="12.1640625" bestFit="1" customWidth="1"/>
    <col min="9" max="9" width="20.1640625" customWidth="1"/>
    <col min="10" max="10" width="8.1640625" customWidth="1"/>
    <col min="12" max="12" width="13.33203125" bestFit="1" customWidth="1"/>
    <col min="14" max="14" width="16.33203125" customWidth="1"/>
  </cols>
  <sheetData>
    <row r="1" spans="1:11">
      <c r="A1" s="3" t="s">
        <v>165</v>
      </c>
      <c r="B1" s="4" t="s">
        <v>164</v>
      </c>
      <c r="C1" s="4"/>
      <c r="D1" s="4"/>
      <c r="E1" s="4"/>
      <c r="F1" s="4"/>
      <c r="G1" s="4"/>
      <c r="H1" s="4"/>
      <c r="I1" s="4"/>
      <c r="J1" s="4"/>
      <c r="K1" s="5"/>
    </row>
    <row r="2" spans="1:11">
      <c r="A2" s="6"/>
      <c r="B2" s="19">
        <v>1.8</v>
      </c>
      <c r="C2" s="7" t="s">
        <v>107</v>
      </c>
      <c r="D2" s="7">
        <v>60</v>
      </c>
      <c r="E2" s="7" t="s">
        <v>110</v>
      </c>
      <c r="F2" s="7"/>
      <c r="G2" s="7"/>
      <c r="H2" s="7"/>
      <c r="I2" s="7"/>
      <c r="J2" s="7"/>
      <c r="K2" s="8"/>
    </row>
    <row r="3" spans="1:11">
      <c r="A3" s="6"/>
      <c r="B3" s="7"/>
      <c r="C3" s="7" t="s">
        <v>108</v>
      </c>
      <c r="D3" s="7"/>
      <c r="E3" s="7" t="s">
        <v>79</v>
      </c>
      <c r="F3" s="7"/>
      <c r="G3" s="7"/>
      <c r="H3" s="7"/>
      <c r="I3" s="7"/>
      <c r="J3" s="7"/>
      <c r="K3" s="8"/>
    </row>
    <row r="4" spans="1:11">
      <c r="A4" s="6"/>
      <c r="B4" s="7"/>
      <c r="C4" s="7" t="s">
        <v>109</v>
      </c>
      <c r="D4" s="7"/>
      <c r="E4" s="7"/>
      <c r="F4" s="7"/>
      <c r="G4" s="7"/>
      <c r="H4" s="7"/>
      <c r="I4" s="7"/>
      <c r="J4" s="7"/>
      <c r="K4" s="8"/>
    </row>
    <row r="5" spans="1:11">
      <c r="A5" s="6"/>
      <c r="B5" s="7"/>
      <c r="C5" s="7"/>
      <c r="D5" s="7"/>
      <c r="E5" s="7"/>
      <c r="F5" s="7"/>
      <c r="G5" s="7"/>
      <c r="H5" s="7"/>
      <c r="I5" s="7"/>
      <c r="J5" s="7"/>
      <c r="K5" s="8"/>
    </row>
    <row r="6" spans="1:11">
      <c r="A6" s="6" t="s">
        <v>113</v>
      </c>
      <c r="B6" s="9">
        <v>1.8E-3</v>
      </c>
      <c r="C6" s="7" t="s">
        <v>111</v>
      </c>
      <c r="D6" s="7">
        <v>0.06</v>
      </c>
      <c r="E6" s="197" t="s">
        <v>184</v>
      </c>
      <c r="F6" s="14" t="s">
        <v>1165</v>
      </c>
      <c r="G6" s="7">
        <f>B6*D6</f>
        <v>1.08E-4</v>
      </c>
      <c r="H6" s="7" t="s">
        <v>111</v>
      </c>
      <c r="I6" s="7">
        <v>0.108</v>
      </c>
      <c r="J6" s="7" t="s">
        <v>107</v>
      </c>
      <c r="K6" s="8"/>
    </row>
    <row r="7" spans="1:11">
      <c r="A7" s="6"/>
      <c r="B7" s="7"/>
      <c r="C7" s="197" t="s">
        <v>108</v>
      </c>
      <c r="D7" s="7"/>
      <c r="E7" s="7" t="s">
        <v>79</v>
      </c>
      <c r="G7" s="7"/>
      <c r="H7" s="7" t="s">
        <v>112</v>
      </c>
      <c r="I7" s="7"/>
      <c r="J7" s="7" t="s">
        <v>112</v>
      </c>
      <c r="K7" s="8"/>
    </row>
    <row r="8" spans="1:11">
      <c r="A8" s="6"/>
      <c r="B8" s="7"/>
      <c r="C8" s="7" t="s">
        <v>109</v>
      </c>
      <c r="D8" s="7"/>
      <c r="E8" s="7"/>
      <c r="G8" s="7"/>
      <c r="H8" s="7" t="s">
        <v>109</v>
      </c>
      <c r="I8" s="7"/>
      <c r="J8" s="7" t="s">
        <v>109</v>
      </c>
      <c r="K8" s="8"/>
    </row>
    <row r="9" spans="1:11">
      <c r="A9" s="6"/>
      <c r="B9" s="7"/>
      <c r="C9" s="7"/>
      <c r="D9" s="7"/>
      <c r="E9" s="7"/>
      <c r="F9" s="7"/>
      <c r="G9" s="7"/>
      <c r="H9" s="7"/>
      <c r="I9" s="7"/>
      <c r="J9" s="7"/>
      <c r="K9" s="8"/>
    </row>
    <row r="10" spans="1:11">
      <c r="A10" s="6"/>
      <c r="B10" s="7"/>
      <c r="C10" s="7"/>
      <c r="D10" s="7"/>
      <c r="E10" s="7"/>
      <c r="F10" s="7"/>
      <c r="G10" s="7"/>
      <c r="H10" s="7"/>
      <c r="I10" s="7"/>
      <c r="J10" s="7"/>
      <c r="K10" s="8"/>
    </row>
    <row r="11" spans="1:11" ht="18">
      <c r="A11" s="6"/>
      <c r="B11" s="10"/>
      <c r="C11" s="7"/>
      <c r="D11" s="7"/>
      <c r="E11" s="7"/>
      <c r="F11" s="7"/>
      <c r="G11" s="7"/>
      <c r="H11" s="7"/>
      <c r="I11" s="7"/>
      <c r="J11" s="7"/>
      <c r="K11" s="8"/>
    </row>
    <row r="12" spans="1:11">
      <c r="A12" s="198" t="s">
        <v>83</v>
      </c>
      <c r="B12" s="199">
        <v>1.4999999999999999E-7</v>
      </c>
      <c r="C12" s="198" t="s">
        <v>111</v>
      </c>
      <c r="D12" s="198">
        <v>440</v>
      </c>
      <c r="E12" s="198" t="s">
        <v>114</v>
      </c>
      <c r="F12" s="198" t="s">
        <v>1165</v>
      </c>
      <c r="G12" s="199">
        <f>B12*D12</f>
        <v>6.5999999999999992E-5</v>
      </c>
      <c r="H12" s="198" t="s">
        <v>114</v>
      </c>
      <c r="I12" s="198"/>
      <c r="J12" s="198"/>
      <c r="K12" s="198"/>
    </row>
    <row r="13" spans="1:11">
      <c r="A13" s="198" t="s">
        <v>124</v>
      </c>
      <c r="B13" s="198"/>
      <c r="C13" s="198" t="s">
        <v>112</v>
      </c>
      <c r="D13" s="198"/>
      <c r="E13" s="198" t="s">
        <v>111</v>
      </c>
      <c r="F13" s="198"/>
      <c r="G13" s="198"/>
      <c r="H13" s="198" t="s">
        <v>112</v>
      </c>
      <c r="I13" s="198"/>
      <c r="J13" s="198"/>
      <c r="K13" s="198"/>
    </row>
    <row r="14" spans="1:11">
      <c r="A14" s="198" t="s">
        <v>125</v>
      </c>
      <c r="B14" s="198"/>
      <c r="C14" s="198" t="s">
        <v>109</v>
      </c>
      <c r="D14" s="198"/>
      <c r="E14" s="198"/>
      <c r="F14" s="198"/>
      <c r="G14" s="198"/>
      <c r="H14" s="198" t="s">
        <v>109</v>
      </c>
      <c r="I14" s="198"/>
      <c r="J14" s="198"/>
      <c r="K14" s="198"/>
    </row>
    <row r="15" spans="1:11">
      <c r="A15" s="198" t="s">
        <v>181</v>
      </c>
      <c r="B15" s="198"/>
      <c r="C15" s="198"/>
      <c r="D15" s="198"/>
      <c r="E15" s="198"/>
      <c r="F15" s="198"/>
      <c r="G15" s="198"/>
      <c r="H15" s="198"/>
      <c r="I15" s="198"/>
      <c r="J15" s="198"/>
      <c r="K15" s="198"/>
    </row>
    <row r="16" spans="1:11">
      <c r="A16" s="198" t="s">
        <v>183</v>
      </c>
      <c r="B16" s="199">
        <f>G12</f>
        <v>6.5999999999999992E-5</v>
      </c>
      <c r="C16" s="198" t="s">
        <v>114</v>
      </c>
      <c r="D16" s="198">
        <v>1000</v>
      </c>
      <c r="E16" s="198" t="s">
        <v>146</v>
      </c>
      <c r="F16" s="198">
        <v>60</v>
      </c>
      <c r="G16" s="198" t="s">
        <v>109</v>
      </c>
      <c r="H16" s="198">
        <v>24</v>
      </c>
      <c r="I16" s="198" t="s">
        <v>176</v>
      </c>
      <c r="J16" s="198">
        <f>B16*D16*F16*H16</f>
        <v>95.039999999999992</v>
      </c>
      <c r="K16" s="198" t="s">
        <v>146</v>
      </c>
    </row>
    <row r="17" spans="1:11">
      <c r="A17" s="198" t="s">
        <v>182</v>
      </c>
      <c r="B17" s="198"/>
      <c r="C17" s="198" t="s">
        <v>112</v>
      </c>
      <c r="D17" s="198">
        <v>1</v>
      </c>
      <c r="E17" s="198" t="s">
        <v>114</v>
      </c>
      <c r="F17" s="198">
        <v>1</v>
      </c>
      <c r="G17" s="198" t="s">
        <v>118</v>
      </c>
      <c r="H17" s="198">
        <v>1</v>
      </c>
      <c r="I17" s="198" t="s">
        <v>175</v>
      </c>
      <c r="J17" s="198"/>
      <c r="K17" s="198" t="s">
        <v>112</v>
      </c>
    </row>
    <row r="18" spans="1:11">
      <c r="A18" s="6"/>
      <c r="B18" s="7"/>
      <c r="C18" s="7"/>
      <c r="D18" s="7"/>
      <c r="E18" s="7"/>
      <c r="F18" s="7"/>
      <c r="G18" s="7"/>
      <c r="H18" s="7"/>
      <c r="I18" s="7"/>
      <c r="J18" s="7"/>
      <c r="K18" s="8"/>
    </row>
    <row r="19" spans="1:11">
      <c r="A19" s="6" t="s">
        <v>115</v>
      </c>
      <c r="B19" s="7">
        <v>3.6999999999999998E-2</v>
      </c>
      <c r="C19" s="14" t="s">
        <v>184</v>
      </c>
      <c r="D19" s="7">
        <v>13.72</v>
      </c>
      <c r="E19" s="7" t="s">
        <v>114</v>
      </c>
      <c r="F19" s="7">
        <f>B19*D19</f>
        <v>0.50763999999999998</v>
      </c>
      <c r="G19" s="7"/>
      <c r="H19" s="7"/>
      <c r="I19" s="7"/>
      <c r="J19" s="7"/>
      <c r="K19" s="8"/>
    </row>
    <row r="20" spans="1:11">
      <c r="A20" s="6" t="s">
        <v>143</v>
      </c>
      <c r="B20" s="7"/>
      <c r="C20" s="7" t="s">
        <v>112</v>
      </c>
      <c r="D20" s="14">
        <v>1</v>
      </c>
      <c r="E20" s="14" t="s">
        <v>117</v>
      </c>
      <c r="F20" s="7"/>
      <c r="G20" s="7"/>
      <c r="H20" s="7"/>
      <c r="I20" s="7"/>
      <c r="J20" s="7"/>
      <c r="K20" s="8"/>
    </row>
    <row r="21" spans="1:11">
      <c r="A21" s="6" t="s">
        <v>187</v>
      </c>
      <c r="B21" s="7"/>
      <c r="C21" s="7"/>
      <c r="D21" s="7"/>
      <c r="E21" s="7"/>
      <c r="F21" s="7"/>
      <c r="G21" s="7"/>
      <c r="H21" s="7"/>
      <c r="I21" s="7"/>
      <c r="J21" s="7"/>
      <c r="K21" s="8"/>
    </row>
    <row r="22" spans="1:11">
      <c r="A22" s="6" t="s">
        <v>188</v>
      </c>
      <c r="B22" s="7"/>
      <c r="C22" s="7"/>
      <c r="D22" s="7"/>
      <c r="E22" s="7"/>
      <c r="F22" s="7"/>
      <c r="G22" s="7"/>
      <c r="H22" s="7"/>
      <c r="I22" s="7"/>
      <c r="J22" s="7"/>
      <c r="K22" s="8"/>
    </row>
    <row r="23" spans="1:11">
      <c r="A23" s="6"/>
      <c r="B23" s="7"/>
      <c r="C23" s="7"/>
      <c r="D23" s="7"/>
      <c r="E23" s="7"/>
      <c r="F23" s="7"/>
      <c r="G23" s="7"/>
      <c r="H23" s="7"/>
      <c r="I23" s="7"/>
      <c r="J23" s="7"/>
      <c r="K23" s="8"/>
    </row>
    <row r="24" spans="1:11">
      <c r="A24" s="177" t="s">
        <v>116</v>
      </c>
      <c r="B24" s="177">
        <v>1.7200000000000001E-4</v>
      </c>
      <c r="C24" s="177" t="s">
        <v>117</v>
      </c>
      <c r="D24" s="177">
        <v>1</v>
      </c>
      <c r="E24" s="177" t="s">
        <v>118</v>
      </c>
      <c r="F24" s="177">
        <f>B24/D25</f>
        <v>2.8666666666666666E-6</v>
      </c>
      <c r="G24" s="177" t="s">
        <v>117</v>
      </c>
      <c r="H24" s="177"/>
      <c r="I24" s="177"/>
      <c r="J24" s="177"/>
      <c r="K24" s="177"/>
    </row>
    <row r="25" spans="1:11">
      <c r="A25" s="177"/>
      <c r="B25" s="177"/>
      <c r="C25" s="177" t="s">
        <v>112</v>
      </c>
      <c r="D25" s="177">
        <v>60</v>
      </c>
      <c r="E25" s="177" t="s">
        <v>109</v>
      </c>
      <c r="F25" s="177"/>
      <c r="G25" s="177" t="s">
        <v>112</v>
      </c>
      <c r="H25" s="177"/>
      <c r="I25" s="177"/>
      <c r="J25" s="177"/>
      <c r="K25" s="177"/>
    </row>
    <row r="26" spans="1:11">
      <c r="A26" s="177"/>
      <c r="B26" s="177"/>
      <c r="C26" s="177" t="s">
        <v>118</v>
      </c>
      <c r="D26" s="177"/>
      <c r="E26" s="177"/>
      <c r="F26" s="177"/>
      <c r="G26" s="177" t="s">
        <v>109</v>
      </c>
      <c r="H26" s="177"/>
      <c r="I26" s="177"/>
      <c r="J26" s="177"/>
      <c r="K26" s="177"/>
    </row>
    <row r="27" spans="1:11">
      <c r="A27" s="177"/>
      <c r="B27" s="177"/>
      <c r="C27" s="177"/>
      <c r="D27" s="177"/>
      <c r="E27" s="177"/>
      <c r="F27" s="177"/>
      <c r="G27" s="177"/>
      <c r="H27" s="177"/>
      <c r="I27" s="177"/>
      <c r="J27" s="177"/>
      <c r="K27" s="177"/>
    </row>
    <row r="28" spans="1:11">
      <c r="A28" s="177"/>
      <c r="B28" s="177">
        <f>F24</f>
        <v>2.8666666666666666E-6</v>
      </c>
      <c r="C28" s="177" t="s">
        <v>117</v>
      </c>
      <c r="D28" s="177">
        <v>1</v>
      </c>
      <c r="E28" s="177" t="s">
        <v>119</v>
      </c>
      <c r="F28" s="177">
        <f>B28/D29</f>
        <v>8.9583333333333334E-11</v>
      </c>
      <c r="G28" s="177" t="s">
        <v>119</v>
      </c>
      <c r="H28" s="177"/>
      <c r="I28" s="177"/>
      <c r="J28" s="177"/>
      <c r="K28" s="177"/>
    </row>
    <row r="29" spans="1:11">
      <c r="A29" s="177"/>
      <c r="B29" s="177"/>
      <c r="C29" s="177" t="s">
        <v>112</v>
      </c>
      <c r="D29" s="177">
        <v>32000</v>
      </c>
      <c r="E29" s="177" t="s">
        <v>117</v>
      </c>
      <c r="F29" s="177"/>
      <c r="G29" s="177" t="s">
        <v>112</v>
      </c>
      <c r="H29" s="177"/>
      <c r="I29" s="177"/>
      <c r="J29" s="177"/>
      <c r="K29" s="177"/>
    </row>
    <row r="30" spans="1:11">
      <c r="A30" s="177"/>
      <c r="B30" s="177"/>
      <c r="C30" s="177" t="s">
        <v>109</v>
      </c>
      <c r="D30" s="177"/>
      <c r="E30" s="177"/>
      <c r="F30" s="177"/>
      <c r="G30" s="177" t="s">
        <v>109</v>
      </c>
      <c r="H30" s="177"/>
      <c r="I30" s="177"/>
      <c r="J30" s="177"/>
      <c r="K30" s="177"/>
    </row>
    <row r="31" spans="1:11">
      <c r="A31" s="177"/>
      <c r="B31" s="177"/>
      <c r="C31" s="177"/>
      <c r="D31" s="177"/>
      <c r="E31" s="177"/>
      <c r="F31" s="177"/>
      <c r="G31" s="177"/>
      <c r="H31" s="177"/>
      <c r="I31" s="177"/>
      <c r="J31" s="177"/>
      <c r="K31" s="177"/>
    </row>
    <row r="32" spans="1:11">
      <c r="A32" s="177"/>
      <c r="B32" s="177">
        <f>F28</f>
        <v>8.9583333333333334E-11</v>
      </c>
      <c r="C32" s="177" t="s">
        <v>119</v>
      </c>
      <c r="D32" s="177">
        <v>2817</v>
      </c>
      <c r="E32" s="177" t="s">
        <v>120</v>
      </c>
      <c r="F32" s="177">
        <v>1000</v>
      </c>
      <c r="G32" s="177" t="s">
        <v>114</v>
      </c>
      <c r="H32" s="177">
        <f>B32*D32*F32/D33</f>
        <v>4.2059374999999997E-5</v>
      </c>
      <c r="I32" s="177" t="s">
        <v>114</v>
      </c>
      <c r="J32" s="177"/>
      <c r="K32" s="177"/>
    </row>
    <row r="33" spans="1:13">
      <c r="A33" s="177"/>
      <c r="B33" s="177"/>
      <c r="C33" s="177" t="s">
        <v>112</v>
      </c>
      <c r="D33" s="177">
        <v>6</v>
      </c>
      <c r="E33" s="177" t="s">
        <v>119</v>
      </c>
      <c r="F33" s="177">
        <v>1</v>
      </c>
      <c r="G33" s="177" t="s">
        <v>120</v>
      </c>
      <c r="H33" s="177"/>
      <c r="I33" s="177" t="s">
        <v>112</v>
      </c>
      <c r="J33" s="177"/>
      <c r="K33" s="177"/>
    </row>
    <row r="34" spans="1:13">
      <c r="A34" s="177"/>
      <c r="B34" s="177"/>
      <c r="C34" s="177" t="s">
        <v>109</v>
      </c>
      <c r="D34" s="177"/>
      <c r="E34" s="177"/>
      <c r="F34" s="177"/>
      <c r="G34" s="177"/>
      <c r="H34" s="177"/>
      <c r="I34" s="177" t="s">
        <v>109</v>
      </c>
      <c r="J34" s="177"/>
      <c r="K34" s="177"/>
    </row>
    <row r="35" spans="1:13">
      <c r="A35" s="177"/>
      <c r="B35" s="177"/>
      <c r="C35" s="177"/>
      <c r="D35" s="177"/>
      <c r="E35" s="177"/>
      <c r="F35" s="177"/>
      <c r="G35" s="177"/>
      <c r="H35" s="177"/>
      <c r="I35" s="177"/>
      <c r="J35" s="177"/>
      <c r="K35" s="177"/>
    </row>
    <row r="36" spans="1:13">
      <c r="A36" s="177"/>
      <c r="B36" s="177">
        <f>H32</f>
        <v>4.2059374999999997E-5</v>
      </c>
      <c r="C36" s="177" t="s">
        <v>114</v>
      </c>
      <c r="D36" s="177">
        <v>1000</v>
      </c>
      <c r="E36" s="177" t="s">
        <v>146</v>
      </c>
      <c r="F36" s="177">
        <v>60</v>
      </c>
      <c r="G36" s="177" t="s">
        <v>109</v>
      </c>
      <c r="H36" s="177">
        <v>12</v>
      </c>
      <c r="I36" s="177" t="s">
        <v>177</v>
      </c>
      <c r="J36" s="177">
        <f>B36*D36*F36*H36</f>
        <v>30.282749999999997</v>
      </c>
      <c r="K36" s="177" t="s">
        <v>146</v>
      </c>
    </row>
    <row r="37" spans="1:13">
      <c r="A37" s="177"/>
      <c r="B37" s="177"/>
      <c r="C37" s="177" t="s">
        <v>112</v>
      </c>
      <c r="D37" s="177">
        <v>1</v>
      </c>
      <c r="E37" s="177" t="s">
        <v>114</v>
      </c>
      <c r="F37" s="177">
        <v>1</v>
      </c>
      <c r="G37" s="177" t="s">
        <v>118</v>
      </c>
      <c r="H37" s="177">
        <v>1</v>
      </c>
      <c r="I37" s="177" t="s">
        <v>175</v>
      </c>
      <c r="J37" s="177"/>
      <c r="K37" s="177" t="s">
        <v>112</v>
      </c>
    </row>
    <row r="38" spans="1:13">
      <c r="A38" s="177"/>
      <c r="B38" s="177"/>
      <c r="C38" s="177" t="s">
        <v>109</v>
      </c>
      <c r="D38" s="177"/>
      <c r="E38" s="177"/>
      <c r="F38" s="177"/>
      <c r="G38" s="177"/>
      <c r="H38" s="177"/>
      <c r="I38" s="177"/>
      <c r="J38" s="177"/>
      <c r="K38" s="177" t="s">
        <v>175</v>
      </c>
    </row>
    <row r="39" spans="1:13">
      <c r="A39" s="6"/>
      <c r="B39" s="7"/>
      <c r="C39" s="7"/>
      <c r="D39" s="7"/>
      <c r="E39" s="7"/>
      <c r="F39" s="7"/>
      <c r="G39" s="7"/>
      <c r="H39" s="7"/>
      <c r="I39" s="7"/>
      <c r="J39" s="7"/>
      <c r="K39" s="8"/>
    </row>
    <row r="40" spans="1:13">
      <c r="A40" s="6"/>
      <c r="B40" s="7"/>
      <c r="C40" s="7"/>
      <c r="D40" s="7"/>
      <c r="E40" s="7"/>
      <c r="F40" s="7"/>
      <c r="G40" s="7"/>
      <c r="H40" s="7"/>
      <c r="I40" s="7"/>
      <c r="J40" s="7"/>
      <c r="K40" s="8"/>
    </row>
    <row r="41" spans="1:13">
      <c r="A41" s="6"/>
      <c r="B41" s="7"/>
      <c r="C41" s="7"/>
      <c r="D41" s="7"/>
      <c r="E41" s="7"/>
      <c r="F41" s="7"/>
      <c r="G41" s="7"/>
      <c r="H41" s="7"/>
      <c r="I41" s="7"/>
      <c r="J41" s="7"/>
      <c r="K41" s="8"/>
    </row>
    <row r="42" spans="1:13">
      <c r="A42" s="6"/>
      <c r="B42" s="7"/>
      <c r="C42" s="7"/>
      <c r="D42" s="7"/>
      <c r="E42" s="7"/>
      <c r="F42" s="7"/>
      <c r="G42" s="7"/>
      <c r="H42" s="7"/>
      <c r="I42" s="7"/>
      <c r="J42" s="7"/>
      <c r="K42" s="8"/>
    </row>
    <row r="43" spans="1:13">
      <c r="A43" s="6"/>
      <c r="B43" s="7"/>
      <c r="C43" s="7"/>
      <c r="D43" s="7"/>
      <c r="E43" s="7"/>
      <c r="F43" s="7"/>
      <c r="G43" s="7"/>
      <c r="H43" s="7"/>
      <c r="I43" s="7"/>
      <c r="J43" s="7"/>
      <c r="K43" s="8"/>
    </row>
    <row r="44" spans="1:13">
      <c r="A44" s="6" t="s">
        <v>83</v>
      </c>
      <c r="B44" s="7">
        <f>J16</f>
        <v>95.039999999999992</v>
      </c>
      <c r="C44" s="7" t="s">
        <v>173</v>
      </c>
      <c r="D44" s="7"/>
      <c r="E44" s="7"/>
      <c r="F44" s="7"/>
      <c r="G44" s="7"/>
      <c r="H44" s="7"/>
      <c r="I44" s="7"/>
      <c r="J44" s="7"/>
      <c r="K44" s="8"/>
      <c r="L44" s="7"/>
      <c r="M44" s="7"/>
    </row>
    <row r="45" spans="1:13">
      <c r="A45" s="6" t="s">
        <v>121</v>
      </c>
      <c r="B45" s="7">
        <f>B19*1000</f>
        <v>37</v>
      </c>
      <c r="C45" s="7" t="s">
        <v>178</v>
      </c>
      <c r="D45" s="7"/>
      <c r="E45" s="7"/>
      <c r="F45" s="7"/>
      <c r="G45" s="7"/>
      <c r="H45" s="7"/>
      <c r="I45" s="7"/>
      <c r="J45" s="7"/>
      <c r="K45" s="8"/>
      <c r="L45" s="7"/>
      <c r="M45" s="7"/>
    </row>
    <row r="46" spans="1:13">
      <c r="A46" s="6" t="s">
        <v>116</v>
      </c>
      <c r="B46" s="7">
        <f>J36</f>
        <v>30.282749999999997</v>
      </c>
      <c r="C46" s="7" t="s">
        <v>122</v>
      </c>
      <c r="D46" s="7"/>
      <c r="E46" s="7"/>
      <c r="F46" s="7"/>
      <c r="G46" s="7"/>
      <c r="H46" s="7"/>
      <c r="I46" s="7"/>
      <c r="J46" s="7"/>
      <c r="K46" s="8"/>
    </row>
    <row r="47" spans="1:13">
      <c r="A47" s="6" t="s">
        <v>166</v>
      </c>
      <c r="B47" s="7">
        <f>B44-B46</f>
        <v>64.757249999999999</v>
      </c>
      <c r="C47" s="14" t="s">
        <v>122</v>
      </c>
      <c r="D47" s="7"/>
      <c r="E47" s="7"/>
      <c r="F47" s="7"/>
      <c r="G47" s="7"/>
      <c r="H47" s="7"/>
      <c r="I47" s="7"/>
      <c r="J47" s="7"/>
      <c r="K47" s="8"/>
    </row>
    <row r="48" spans="1:13">
      <c r="A48" s="6" t="s">
        <v>174</v>
      </c>
      <c r="B48" s="7"/>
      <c r="C48" s="7"/>
      <c r="D48" s="7"/>
      <c r="E48" s="7"/>
      <c r="F48" s="7"/>
      <c r="G48" s="7"/>
      <c r="H48" s="7"/>
      <c r="I48" s="7"/>
      <c r="J48" s="7"/>
      <c r="K48" s="8"/>
    </row>
    <row r="49" spans="1:11">
      <c r="A49" s="6" t="s">
        <v>123</v>
      </c>
      <c r="B49" s="7"/>
      <c r="C49" s="7"/>
      <c r="D49" s="7"/>
      <c r="E49" s="7"/>
      <c r="F49" s="7"/>
      <c r="G49" s="7"/>
      <c r="H49" s="7"/>
      <c r="I49" s="7"/>
      <c r="J49" s="7"/>
      <c r="K49" s="8"/>
    </row>
    <row r="50" spans="1:11" ht="17" thickBot="1">
      <c r="A50" s="11" t="s">
        <v>167</v>
      </c>
      <c r="B50" s="12">
        <f>B45/B47</f>
        <v>0.57136459624211966</v>
      </c>
      <c r="C50" s="12" t="s">
        <v>109</v>
      </c>
      <c r="D50" s="12">
        <v>60</v>
      </c>
      <c r="E50" s="12"/>
      <c r="F50" s="12"/>
      <c r="G50" s="12"/>
      <c r="H50" s="12"/>
      <c r="I50" s="12"/>
      <c r="J50" s="12"/>
      <c r="K50" s="13"/>
    </row>
    <row r="51" spans="1:11">
      <c r="A51" s="6"/>
      <c r="B51" s="7"/>
      <c r="C51" s="7"/>
      <c r="D51" s="7"/>
      <c r="E51" s="7"/>
      <c r="F51" s="7"/>
      <c r="G51" s="7"/>
      <c r="H51" s="7"/>
      <c r="I51" s="8"/>
    </row>
    <row r="52" spans="1:11">
      <c r="A52" s="6" t="s">
        <v>148</v>
      </c>
      <c r="B52" s="7"/>
      <c r="C52" s="7"/>
      <c r="D52" s="7"/>
      <c r="E52" s="7"/>
      <c r="F52" s="7"/>
      <c r="G52" s="7"/>
      <c r="H52" s="7"/>
      <c r="I52" s="8"/>
    </row>
    <row r="53" spans="1:11">
      <c r="A53" s="6" t="s">
        <v>149</v>
      </c>
      <c r="B53" s="7" t="s">
        <v>151</v>
      </c>
      <c r="C53" s="7" t="s">
        <v>154</v>
      </c>
      <c r="D53" s="7"/>
      <c r="E53" s="7"/>
      <c r="F53" s="7"/>
      <c r="G53" s="7"/>
      <c r="H53" s="7"/>
      <c r="I53" s="8"/>
    </row>
    <row r="54" spans="1:11">
      <c r="A54" s="6" t="s">
        <v>150</v>
      </c>
      <c r="B54" s="7">
        <v>17</v>
      </c>
      <c r="C54" s="7">
        <v>13.6</v>
      </c>
      <c r="D54" s="7">
        <f>B54*C54/100</f>
        <v>2.3119999999999998</v>
      </c>
      <c r="E54" s="7"/>
      <c r="F54" s="7"/>
      <c r="G54" s="7"/>
      <c r="H54" s="7"/>
      <c r="I54" s="8"/>
    </row>
    <row r="55" spans="1:11">
      <c r="A55" s="6" t="s">
        <v>152</v>
      </c>
      <c r="B55" s="7">
        <v>70</v>
      </c>
      <c r="C55" s="7">
        <v>13.72</v>
      </c>
      <c r="D55" s="7">
        <f t="shared" ref="D55:D56" si="0">B55*C55/100</f>
        <v>9.604000000000001</v>
      </c>
      <c r="E55" s="7"/>
      <c r="F55" s="7"/>
      <c r="G55" s="7"/>
      <c r="H55" s="7"/>
      <c r="I55" s="8"/>
    </row>
    <row r="56" spans="1:11">
      <c r="A56" s="6" t="s">
        <v>153</v>
      </c>
      <c r="B56" s="7">
        <v>13</v>
      </c>
      <c r="C56" s="7">
        <v>14.77</v>
      </c>
      <c r="D56" s="7">
        <f t="shared" si="0"/>
        <v>1.9200999999999999</v>
      </c>
      <c r="E56" s="7"/>
      <c r="F56" s="7"/>
      <c r="G56" s="7"/>
      <c r="H56" s="7"/>
      <c r="I56" s="8"/>
    </row>
    <row r="57" spans="1:11">
      <c r="A57" s="6"/>
      <c r="B57" s="7"/>
      <c r="C57" s="7"/>
      <c r="D57" s="7">
        <f>SUM(D54:D56)</f>
        <v>13.8361</v>
      </c>
      <c r="E57" s="7" t="s">
        <v>155</v>
      </c>
      <c r="F57" s="7"/>
      <c r="G57" s="7"/>
      <c r="H57" s="7"/>
      <c r="I57" s="8"/>
    </row>
    <row r="58" spans="1:11">
      <c r="A58" s="6"/>
      <c r="B58" s="7"/>
      <c r="C58" s="7"/>
      <c r="D58" s="7" t="e">
        <f>((AVERAGE(#REF!,#REF!))*D29)/1000</f>
        <v>#REF!</v>
      </c>
      <c r="E58" s="7" t="s">
        <v>162</v>
      </c>
      <c r="F58" s="7"/>
      <c r="G58" s="7"/>
      <c r="H58" s="7"/>
      <c r="I58" s="8"/>
    </row>
    <row r="59" spans="1:11">
      <c r="A59" s="6"/>
      <c r="B59" s="7"/>
      <c r="C59" s="7"/>
      <c r="D59" s="7" t="e">
        <f>D58*D57</f>
        <v>#REF!</v>
      </c>
      <c r="E59" s="7" t="s">
        <v>122</v>
      </c>
      <c r="F59" s="7" t="s">
        <v>163</v>
      </c>
      <c r="G59" s="7"/>
      <c r="H59" s="7"/>
      <c r="I59" s="8"/>
    </row>
    <row r="60" spans="1:11">
      <c r="A60" s="6"/>
      <c r="B60" s="7"/>
      <c r="C60" s="7"/>
      <c r="D60" s="7"/>
      <c r="E60" s="7"/>
      <c r="F60" s="7"/>
      <c r="G60" s="7"/>
      <c r="H60" s="7"/>
      <c r="I60" s="8"/>
    </row>
    <row r="61" spans="1:11">
      <c r="A61" s="6"/>
      <c r="B61" s="7" t="s">
        <v>110</v>
      </c>
      <c r="C61" s="7" t="s">
        <v>158</v>
      </c>
      <c r="D61" s="7" t="s">
        <v>160</v>
      </c>
      <c r="E61" s="7" t="s">
        <v>156</v>
      </c>
      <c r="F61" s="7"/>
      <c r="G61" s="7"/>
      <c r="H61" s="7"/>
      <c r="I61" s="8"/>
    </row>
    <row r="62" spans="1:11">
      <c r="A62" s="6" t="s">
        <v>157</v>
      </c>
      <c r="B62" s="7">
        <v>150</v>
      </c>
      <c r="C62" s="7" t="e">
        <f>((AVERAGE(#REF!,#REF!))*D29)/1000</f>
        <v>#REF!</v>
      </c>
      <c r="D62" s="7"/>
      <c r="E62" s="7">
        <v>3.1</v>
      </c>
      <c r="F62" s="7"/>
      <c r="G62" s="7"/>
      <c r="H62" s="7"/>
      <c r="I62" s="8"/>
    </row>
    <row r="63" spans="1:11">
      <c r="A63" s="6" t="s">
        <v>150</v>
      </c>
      <c r="B63" s="7">
        <f>B62*B54/100</f>
        <v>25.5</v>
      </c>
      <c r="C63" s="7" t="e" cm="1">
        <f t="array" ref="C63">C62*B\54/100</f>
        <v>#REF!</v>
      </c>
      <c r="D63" s="7">
        <v>13.6</v>
      </c>
      <c r="E63" s="7" t="e">
        <f>C63*D63</f>
        <v>#REF!</v>
      </c>
      <c r="F63" s="7" t="s">
        <v>159</v>
      </c>
      <c r="G63" s="7"/>
      <c r="H63" s="7"/>
      <c r="I63" s="8"/>
    </row>
    <row r="64" spans="1:11">
      <c r="A64" s="6" t="s">
        <v>152</v>
      </c>
      <c r="B64" s="7">
        <f>B62*B55/100</f>
        <v>105</v>
      </c>
      <c r="C64" s="7" t="e">
        <f>C62*B55/100</f>
        <v>#REF!</v>
      </c>
      <c r="D64" s="7">
        <v>13.72</v>
      </c>
      <c r="E64" s="7" t="e">
        <f t="shared" ref="E64:E65" si="1">C64*D64</f>
        <v>#REF!</v>
      </c>
      <c r="F64" s="7"/>
      <c r="G64" s="7"/>
      <c r="H64" s="7"/>
      <c r="I64" s="8"/>
    </row>
    <row r="65" spans="1:10">
      <c r="A65" s="6" t="s">
        <v>153</v>
      </c>
      <c r="B65" s="7">
        <f>B62*B56/100</f>
        <v>19.5</v>
      </c>
      <c r="C65" s="7" t="e">
        <f>C62*B56/100</f>
        <v>#REF!</v>
      </c>
      <c r="D65" s="7">
        <v>14.77</v>
      </c>
      <c r="E65" s="7" t="e">
        <f t="shared" si="1"/>
        <v>#REF!</v>
      </c>
      <c r="F65" s="7"/>
      <c r="G65" s="7"/>
      <c r="H65" s="7"/>
      <c r="I65" s="8"/>
    </row>
    <row r="66" spans="1:10">
      <c r="A66" s="6"/>
      <c r="B66" s="7"/>
      <c r="C66" s="7"/>
      <c r="D66" s="7"/>
      <c r="E66" s="7"/>
      <c r="F66" s="7"/>
      <c r="G66" s="7"/>
      <c r="H66" s="7"/>
      <c r="I66" s="8"/>
    </row>
    <row r="67" spans="1:10">
      <c r="A67" s="6" t="s">
        <v>161</v>
      </c>
      <c r="B67" s="7" t="e">
        <f>AVERAGE(#REF!,#REF!)</f>
        <v>#REF!</v>
      </c>
      <c r="C67" s="7" t="s">
        <v>111</v>
      </c>
      <c r="D67" s="7">
        <v>1</v>
      </c>
      <c r="E67" s="7" t="s">
        <v>119</v>
      </c>
      <c r="F67" s="7">
        <v>16000</v>
      </c>
      <c r="G67" s="7" t="s">
        <v>117</v>
      </c>
      <c r="H67" s="7"/>
      <c r="I67" s="8"/>
    </row>
    <row r="68" spans="1:10">
      <c r="A68" s="6"/>
      <c r="B68" s="7"/>
      <c r="C68" s="7" t="s">
        <v>112</v>
      </c>
      <c r="D68" s="7">
        <v>1000</v>
      </c>
      <c r="E68" s="7" t="s">
        <v>111</v>
      </c>
      <c r="F68" s="7">
        <v>1</v>
      </c>
      <c r="G68" s="7" t="s">
        <v>119</v>
      </c>
      <c r="H68" s="7"/>
      <c r="I68" s="8"/>
    </row>
    <row r="69" spans="1:10">
      <c r="A69" s="6"/>
      <c r="B69" s="7"/>
      <c r="C69" s="7" t="s">
        <v>109</v>
      </c>
      <c r="D69" s="7"/>
      <c r="E69" s="7"/>
      <c r="F69" s="7"/>
      <c r="G69" s="7"/>
      <c r="H69" s="7"/>
      <c r="I69" s="8"/>
    </row>
    <row r="70" spans="1:10">
      <c r="A70" s="6"/>
      <c r="B70" s="7"/>
      <c r="C70" s="7"/>
      <c r="D70" s="7"/>
      <c r="E70" s="7"/>
      <c r="F70" s="7"/>
      <c r="G70" s="7"/>
      <c r="H70" s="7"/>
      <c r="I70" s="8"/>
    </row>
    <row r="71" spans="1:10" ht="17" thickBot="1">
      <c r="A71" s="11"/>
      <c r="B71" s="12"/>
      <c r="C71" s="12"/>
      <c r="D71" s="12"/>
      <c r="E71" s="12"/>
      <c r="F71" s="12"/>
      <c r="G71" s="12"/>
      <c r="H71" s="12"/>
      <c r="I71" s="13"/>
    </row>
    <row r="72" spans="1:10">
      <c r="A72" s="3" t="s">
        <v>126</v>
      </c>
      <c r="B72" s="4" t="s">
        <v>169</v>
      </c>
      <c r="C72" s="4"/>
      <c r="D72" s="4"/>
      <c r="E72" s="4"/>
      <c r="F72" s="4"/>
      <c r="G72" s="4"/>
      <c r="H72" s="4"/>
      <c r="I72" s="4"/>
      <c r="J72" s="5"/>
    </row>
    <row r="73" spans="1:10">
      <c r="A73" s="6" t="s">
        <v>127</v>
      </c>
      <c r="B73" s="7"/>
      <c r="C73" s="7"/>
      <c r="D73" s="7"/>
      <c r="E73" s="7"/>
      <c r="F73" s="7"/>
      <c r="G73" s="7"/>
      <c r="H73" s="7"/>
      <c r="I73" s="7"/>
      <c r="J73" s="8"/>
    </row>
    <row r="74" spans="1:10">
      <c r="A74" s="6" t="s">
        <v>134</v>
      </c>
      <c r="B74" s="7" t="s">
        <v>135</v>
      </c>
      <c r="C74" s="7" t="s">
        <v>122</v>
      </c>
      <c r="D74" s="7" t="s">
        <v>136</v>
      </c>
      <c r="E74" s="7" t="s">
        <v>122</v>
      </c>
      <c r="F74" s="7" t="s">
        <v>133</v>
      </c>
      <c r="G74" s="7"/>
      <c r="H74" s="7" t="s">
        <v>144</v>
      </c>
      <c r="I74" s="7">
        <v>1510</v>
      </c>
      <c r="J74" s="8" t="s">
        <v>146</v>
      </c>
    </row>
    <row r="75" spans="1:10">
      <c r="A75" s="6" t="s">
        <v>128</v>
      </c>
      <c r="B75" s="7">
        <f>0.052</f>
        <v>5.1999999999999998E-2</v>
      </c>
      <c r="C75" s="7">
        <f>(B75/1000000)*440</f>
        <v>2.2879999999999998E-5</v>
      </c>
      <c r="D75" s="7">
        <v>5.5E-2</v>
      </c>
      <c r="E75" s="7">
        <f>(D75/1000000)*440</f>
        <v>2.4200000000000002E-5</v>
      </c>
      <c r="F75" s="7">
        <f>D75/B75</f>
        <v>1.0576923076923077</v>
      </c>
      <c r="G75" s="7"/>
      <c r="H75" s="7" t="s">
        <v>145</v>
      </c>
      <c r="I75" s="7">
        <v>1200</v>
      </c>
      <c r="J75" s="8" t="s">
        <v>146</v>
      </c>
    </row>
    <row r="76" spans="1:10">
      <c r="A76" s="15" t="s">
        <v>129</v>
      </c>
      <c r="B76" s="7">
        <f t="shared" ref="B76:B79" si="2">0.052</f>
        <v>5.1999999999999998E-2</v>
      </c>
      <c r="C76" s="7">
        <f t="shared" ref="C76:C79" si="3">(B76/1000000)*440</f>
        <v>2.2879999999999998E-5</v>
      </c>
      <c r="D76" s="7">
        <v>8.3000000000000004E-2</v>
      </c>
      <c r="E76" s="7">
        <f t="shared" ref="E76:E79" si="4">(D76/1000000)*440</f>
        <v>3.6520000000000003E-5</v>
      </c>
      <c r="F76" s="7">
        <f>D76/B76</f>
        <v>1.5961538461538463</v>
      </c>
      <c r="G76" s="7"/>
      <c r="H76" s="7" t="s">
        <v>147</v>
      </c>
      <c r="I76" s="7">
        <f>I74-I75</f>
        <v>310</v>
      </c>
      <c r="J76" s="8" t="s">
        <v>146</v>
      </c>
    </row>
    <row r="77" spans="1:10">
      <c r="A77" s="6" t="s">
        <v>130</v>
      </c>
      <c r="B77" s="7">
        <f t="shared" si="2"/>
        <v>5.1999999999999998E-2</v>
      </c>
      <c r="C77" s="7">
        <f t="shared" si="3"/>
        <v>2.2879999999999998E-5</v>
      </c>
      <c r="D77" s="7">
        <f>B77*1.83</f>
        <v>9.5159999999999995E-2</v>
      </c>
      <c r="E77" s="7">
        <f t="shared" si="4"/>
        <v>4.1870399999999998E-5</v>
      </c>
      <c r="F77" s="7">
        <f>D77/B77</f>
        <v>1.83</v>
      </c>
      <c r="G77" s="7"/>
      <c r="H77" s="7"/>
      <c r="I77" s="7"/>
      <c r="J77" s="8"/>
    </row>
    <row r="78" spans="1:10">
      <c r="A78" s="15" t="s">
        <v>131</v>
      </c>
      <c r="B78" s="7">
        <f t="shared" si="2"/>
        <v>5.1999999999999998E-2</v>
      </c>
      <c r="C78" s="7">
        <f t="shared" si="3"/>
        <v>2.2879999999999998E-5</v>
      </c>
      <c r="D78" s="7">
        <v>8.2000000000000003E-2</v>
      </c>
      <c r="E78" s="7">
        <f t="shared" si="4"/>
        <v>3.608E-5</v>
      </c>
      <c r="F78" s="7">
        <f>D78/B78</f>
        <v>1.5769230769230771</v>
      </c>
      <c r="G78" s="7"/>
      <c r="H78" s="7"/>
      <c r="I78" s="7"/>
      <c r="J78" s="8"/>
    </row>
    <row r="79" spans="1:10">
      <c r="A79" s="6" t="s">
        <v>132</v>
      </c>
      <c r="B79" s="7">
        <f t="shared" si="2"/>
        <v>5.1999999999999998E-2</v>
      </c>
      <c r="C79" s="7">
        <f t="shared" si="3"/>
        <v>2.2879999999999998E-5</v>
      </c>
      <c r="D79" s="7">
        <v>7.8E-2</v>
      </c>
      <c r="E79" s="7">
        <f t="shared" si="4"/>
        <v>3.4319999999999997E-5</v>
      </c>
      <c r="F79" s="7">
        <f>D79/B79</f>
        <v>1.5</v>
      </c>
      <c r="G79" s="7"/>
      <c r="H79" s="7"/>
      <c r="I79" s="7"/>
      <c r="J79" s="8"/>
    </row>
    <row r="80" spans="1:10">
      <c r="A80" s="15" t="s">
        <v>138</v>
      </c>
      <c r="B80" s="7"/>
      <c r="C80" s="7">
        <v>1440</v>
      </c>
      <c r="D80" s="7"/>
      <c r="E80" s="7">
        <v>1440</v>
      </c>
      <c r="F80" s="7"/>
      <c r="G80" s="7"/>
      <c r="H80" s="7"/>
      <c r="I80" s="7"/>
      <c r="J80" s="8"/>
    </row>
    <row r="81" spans="1:10">
      <c r="A81" s="15" t="s">
        <v>172</v>
      </c>
      <c r="B81" s="7"/>
      <c r="C81" s="7">
        <f>(C75*C80)+(C76*C80)+(C77*C80)+(C78*C80)+(C79*C80)</f>
        <v>0.16473599999999999</v>
      </c>
      <c r="D81" s="7"/>
      <c r="E81" s="7">
        <f>(E75*E80)+(E76*E80)+(E77*E80)+(E78*E80)+(E79*E80)</f>
        <v>0.24910617599999998</v>
      </c>
      <c r="F81" s="7"/>
      <c r="G81" s="7"/>
      <c r="H81" s="7"/>
      <c r="I81" s="7"/>
      <c r="J81" s="8"/>
    </row>
    <row r="82" spans="1:10">
      <c r="A82" s="15" t="s">
        <v>142</v>
      </c>
      <c r="B82" s="7"/>
      <c r="C82" s="7">
        <v>0.17299999999999999</v>
      </c>
      <c r="D82" s="7"/>
      <c r="E82" s="7">
        <v>0.25700000000000001</v>
      </c>
      <c r="F82" s="7"/>
      <c r="G82" s="7"/>
      <c r="H82" s="7"/>
      <c r="I82" s="7"/>
      <c r="J82" s="8"/>
    </row>
    <row r="83" spans="1:10">
      <c r="A83" s="15" t="s">
        <v>140</v>
      </c>
      <c r="B83" s="7"/>
      <c r="C83" s="7"/>
      <c r="D83" s="7"/>
      <c r="E83" s="7">
        <f>E82-C82</f>
        <v>8.4000000000000019E-2</v>
      </c>
      <c r="F83" s="7" t="s">
        <v>141</v>
      </c>
      <c r="G83" s="7"/>
      <c r="H83" s="7"/>
      <c r="I83" s="7"/>
      <c r="J83" s="8"/>
    </row>
    <row r="84" spans="1:10">
      <c r="A84" s="15" t="s">
        <v>137</v>
      </c>
      <c r="B84" s="7" t="s">
        <v>170</v>
      </c>
      <c r="C84" s="7"/>
      <c r="D84" s="7"/>
      <c r="E84" s="7"/>
      <c r="F84" s="7"/>
      <c r="G84" s="7"/>
      <c r="H84" s="7"/>
      <c r="I84" s="7"/>
      <c r="J84" s="8"/>
    </row>
    <row r="85" spans="1:10">
      <c r="A85" s="6"/>
      <c r="B85" s="7" t="s">
        <v>139</v>
      </c>
      <c r="C85" s="7" t="s">
        <v>122</v>
      </c>
      <c r="D85" s="7" t="s">
        <v>171</v>
      </c>
      <c r="E85" s="7" t="s">
        <v>122</v>
      </c>
      <c r="F85" s="7" t="s">
        <v>133</v>
      </c>
      <c r="G85" s="7"/>
      <c r="H85" s="14"/>
      <c r="I85" s="7"/>
      <c r="J85" s="8"/>
    </row>
    <row r="86" spans="1:10">
      <c r="A86" s="6" t="s">
        <v>128</v>
      </c>
      <c r="B86" s="7" t="e">
        <f>AVERAGE(#REF!,#REF!)</f>
        <v>#REF!</v>
      </c>
      <c r="C86" s="7" t="e">
        <f>B86*440</f>
        <v>#REF!</v>
      </c>
      <c r="D86" s="7" t="e">
        <f>B86*F75</f>
        <v>#REF!</v>
      </c>
      <c r="E86" s="7" t="e">
        <f>D86*440</f>
        <v>#REF!</v>
      </c>
      <c r="F86" s="7" t="e">
        <f>D86/B86</f>
        <v>#REF!</v>
      </c>
      <c r="G86" s="7"/>
      <c r="H86" s="7"/>
      <c r="I86" s="7"/>
      <c r="J86" s="8"/>
    </row>
    <row r="87" spans="1:10">
      <c r="A87" s="15" t="s">
        <v>129</v>
      </c>
      <c r="B87" s="7" t="e">
        <f>AVERAGE(#REF!,#REF!)</f>
        <v>#REF!</v>
      </c>
      <c r="C87" s="7" t="e">
        <f t="shared" ref="C87:C90" si="5">B87*440</f>
        <v>#REF!</v>
      </c>
      <c r="D87" s="7" t="e">
        <f>B87*F76</f>
        <v>#REF!</v>
      </c>
      <c r="E87" s="7" t="e">
        <f>D87*440</f>
        <v>#REF!</v>
      </c>
      <c r="F87" s="7" t="e">
        <f>D87/B87</f>
        <v>#REF!</v>
      </c>
      <c r="G87" s="7"/>
      <c r="H87" s="7"/>
      <c r="I87" s="7"/>
      <c r="J87" s="8"/>
    </row>
    <row r="88" spans="1:10">
      <c r="A88" s="6" t="s">
        <v>130</v>
      </c>
      <c r="B88" s="7" t="e">
        <f>AVERAGE(#REF!,#REF!)</f>
        <v>#REF!</v>
      </c>
      <c r="C88" s="7" t="e">
        <f t="shared" si="5"/>
        <v>#REF!</v>
      </c>
      <c r="D88" s="7" t="e">
        <f>B88*F77</f>
        <v>#REF!</v>
      </c>
      <c r="E88" s="7" t="e">
        <f t="shared" ref="E88:E90" si="6">D88*440</f>
        <v>#REF!</v>
      </c>
      <c r="F88" s="7" t="e">
        <f>D88/B88</f>
        <v>#REF!</v>
      </c>
      <c r="G88" s="7"/>
      <c r="H88" s="7"/>
      <c r="I88" s="7"/>
      <c r="J88" s="8"/>
    </row>
    <row r="89" spans="1:10">
      <c r="A89" s="15" t="s">
        <v>131</v>
      </c>
      <c r="B89" s="7" t="e">
        <f>AVERAGE(#REF!,#REF!)</f>
        <v>#REF!</v>
      </c>
      <c r="C89" s="7" t="e">
        <f t="shared" si="5"/>
        <v>#REF!</v>
      </c>
      <c r="D89" s="7" t="e">
        <f>B89*F78</f>
        <v>#REF!</v>
      </c>
      <c r="E89" s="7" t="e">
        <f t="shared" si="6"/>
        <v>#REF!</v>
      </c>
      <c r="F89" s="7" t="e">
        <f>D89/B89</f>
        <v>#REF!</v>
      </c>
      <c r="G89" s="7"/>
      <c r="H89" s="7"/>
      <c r="I89" s="7"/>
      <c r="J89" s="8"/>
    </row>
    <row r="90" spans="1:10">
      <c r="A90" s="6" t="s">
        <v>132</v>
      </c>
      <c r="B90" s="7" t="e">
        <f>AVERAGE(#REF!,#REF!)</f>
        <v>#REF!</v>
      </c>
      <c r="C90" s="7" t="e">
        <f t="shared" si="5"/>
        <v>#REF!</v>
      </c>
      <c r="D90" s="7" t="e">
        <f>B90*F79</f>
        <v>#REF!</v>
      </c>
      <c r="E90" s="7" t="e">
        <f t="shared" si="6"/>
        <v>#REF!</v>
      </c>
      <c r="F90" s="7" t="e">
        <f>D90/B90</f>
        <v>#REF!</v>
      </c>
      <c r="G90" s="7"/>
      <c r="H90" s="7"/>
      <c r="I90" s="7"/>
      <c r="J90" s="8"/>
    </row>
    <row r="91" spans="1:10">
      <c r="A91" s="15" t="s">
        <v>138</v>
      </c>
      <c r="B91" s="7"/>
      <c r="C91" s="7">
        <v>1440</v>
      </c>
      <c r="D91" s="7"/>
      <c r="E91" s="7">
        <v>1440</v>
      </c>
      <c r="F91" s="7"/>
      <c r="G91" s="7"/>
      <c r="H91" s="7"/>
      <c r="I91" s="7"/>
      <c r="J91" s="8"/>
    </row>
    <row r="92" spans="1:10">
      <c r="A92" s="15" t="s">
        <v>172</v>
      </c>
      <c r="B92" s="7"/>
      <c r="C92" s="7" t="e">
        <f>(C86*C91)+(C87*C91)+(C88*C91)+(C89*C91)+(C90*C91)</f>
        <v>#REF!</v>
      </c>
      <c r="D92" s="7"/>
      <c r="E92" s="7" t="e">
        <f>(E86*E91)+(E87*E91)+(E88*E91)+(E89*E91)+(E90*E91)</f>
        <v>#REF!</v>
      </c>
      <c r="F92" s="7"/>
      <c r="G92" s="7"/>
      <c r="H92" s="7"/>
      <c r="I92" s="7"/>
      <c r="J92" s="8"/>
    </row>
    <row r="93" spans="1:10">
      <c r="A93" s="15" t="s">
        <v>140</v>
      </c>
      <c r="B93" s="7"/>
      <c r="C93" s="7"/>
      <c r="D93" s="7"/>
      <c r="E93" s="7" t="e">
        <f>E92-C92</f>
        <v>#REF!</v>
      </c>
      <c r="F93" s="7" t="s">
        <v>168</v>
      </c>
      <c r="G93" s="7"/>
      <c r="H93" s="7"/>
      <c r="I93" s="7"/>
      <c r="J93" s="8"/>
    </row>
    <row r="94" spans="1:10">
      <c r="A94" s="6"/>
      <c r="B94" s="7"/>
      <c r="C94" s="7"/>
      <c r="D94" s="7"/>
      <c r="E94" s="7"/>
      <c r="F94" s="7"/>
      <c r="G94" s="7"/>
      <c r="H94" s="7"/>
      <c r="I94" s="7"/>
      <c r="J94" s="8"/>
    </row>
    <row r="95" spans="1:10">
      <c r="A95" s="6"/>
      <c r="B95" s="7"/>
      <c r="C95" s="7"/>
      <c r="D95" s="7"/>
      <c r="E95" s="7"/>
      <c r="F95" s="7"/>
      <c r="G95" s="7"/>
      <c r="H95" s="7"/>
      <c r="I95" s="7"/>
      <c r="J95" s="8"/>
    </row>
    <row r="96" spans="1:10">
      <c r="A96" s="6"/>
      <c r="B96" s="7"/>
      <c r="C96" s="7"/>
      <c r="D96" s="7"/>
      <c r="E96" s="7"/>
      <c r="F96" s="7"/>
      <c r="G96" s="7"/>
      <c r="H96" s="7"/>
      <c r="I96" s="7"/>
      <c r="J96" s="8"/>
    </row>
    <row r="97" spans="1:12">
      <c r="A97" s="6"/>
      <c r="B97" s="7">
        <v>0.17299999999999999</v>
      </c>
      <c r="D97" s="7"/>
      <c r="E97" s="7">
        <v>8.4000000000000005E-2</v>
      </c>
      <c r="F97" s="7">
        <f>E97*F98/E98</f>
        <v>48.554913294797693</v>
      </c>
      <c r="G97" s="7" t="s">
        <v>180</v>
      </c>
      <c r="H97" s="7"/>
      <c r="I97" s="7"/>
      <c r="J97" s="8"/>
    </row>
    <row r="98" spans="1:12">
      <c r="A98" s="6"/>
      <c r="B98" s="7">
        <v>0.25700000000000001</v>
      </c>
      <c r="C98" t="s">
        <v>179</v>
      </c>
      <c r="D98" s="7">
        <f>B98-B97</f>
        <v>8.4000000000000019E-2</v>
      </c>
      <c r="E98" s="7">
        <v>0.17299999999999999</v>
      </c>
      <c r="F98" s="7">
        <v>100</v>
      </c>
      <c r="G98" s="7"/>
      <c r="H98" s="7"/>
      <c r="I98" s="7"/>
      <c r="J98" s="8"/>
    </row>
    <row r="99" spans="1:12">
      <c r="A99" s="6"/>
      <c r="B99" s="7"/>
      <c r="C99" s="7"/>
      <c r="D99" s="7"/>
      <c r="E99" s="7"/>
      <c r="F99" s="7"/>
      <c r="G99" s="7"/>
      <c r="H99" s="7"/>
      <c r="I99" s="7"/>
      <c r="J99" s="8"/>
    </row>
    <row r="100" spans="1:12" ht="17" thickBot="1">
      <c r="A100" s="6"/>
      <c r="B100" s="7"/>
      <c r="C100" s="7"/>
      <c r="D100" s="7"/>
      <c r="E100" s="7"/>
      <c r="F100" s="7"/>
      <c r="G100" s="7"/>
      <c r="H100" s="7"/>
      <c r="I100" s="7"/>
      <c r="J100" s="8"/>
    </row>
    <row r="101" spans="1:12">
      <c r="A101" s="3"/>
      <c r="B101" s="4"/>
      <c r="C101" s="4"/>
      <c r="D101" s="4"/>
      <c r="E101" s="4"/>
      <c r="F101" s="4"/>
      <c r="G101" s="4"/>
      <c r="H101" s="4"/>
      <c r="I101" s="4"/>
      <c r="J101" s="4"/>
      <c r="K101" s="5"/>
    </row>
    <row r="102" spans="1:12">
      <c r="A102" s="6"/>
      <c r="B102" s="7"/>
      <c r="C102" s="7"/>
      <c r="D102" s="7"/>
      <c r="E102" s="7"/>
      <c r="F102" s="7"/>
      <c r="G102" s="7"/>
      <c r="H102" s="7"/>
      <c r="I102" s="7"/>
      <c r="J102" s="7"/>
      <c r="K102" s="8"/>
    </row>
    <row r="103" spans="1:12">
      <c r="A103" s="6">
        <f>13.72*1000</f>
        <v>13720</v>
      </c>
      <c r="B103" s="7" t="s">
        <v>146</v>
      </c>
      <c r="C103" s="7">
        <v>1</v>
      </c>
      <c r="D103" s="7" t="s">
        <v>112</v>
      </c>
      <c r="E103" s="7"/>
      <c r="F103" s="7"/>
      <c r="G103" s="7"/>
      <c r="H103" s="7"/>
      <c r="I103" s="7"/>
      <c r="J103" s="7"/>
      <c r="K103" s="8"/>
    </row>
    <row r="104" spans="1:12">
      <c r="A104" s="6"/>
      <c r="B104" s="7" t="s">
        <v>184</v>
      </c>
      <c r="C104" s="7">
        <f>2700*0.7</f>
        <v>1889.9999999999998</v>
      </c>
      <c r="D104" s="7" t="s">
        <v>146</v>
      </c>
      <c r="E104" s="7"/>
      <c r="F104" s="7"/>
      <c r="G104" s="7"/>
      <c r="H104" s="7"/>
      <c r="I104" s="7"/>
      <c r="J104" s="7"/>
      <c r="K104" s="8"/>
    </row>
    <row r="105" spans="1:12">
      <c r="A105" s="6"/>
      <c r="B105" s="7" t="s">
        <v>185</v>
      </c>
      <c r="C105" s="7"/>
      <c r="D105" s="7"/>
      <c r="E105" s="7"/>
      <c r="F105" s="7"/>
      <c r="G105" s="7"/>
      <c r="H105" s="7"/>
      <c r="I105" s="7"/>
      <c r="J105" s="7"/>
      <c r="K105" s="8"/>
    </row>
    <row r="106" spans="1:12">
      <c r="A106" s="6"/>
      <c r="B106" s="7" t="s">
        <v>186</v>
      </c>
      <c r="C106" s="7"/>
      <c r="D106" s="7"/>
      <c r="E106" s="7"/>
      <c r="F106" s="7"/>
      <c r="G106" s="7"/>
      <c r="H106" s="7"/>
      <c r="I106" s="7"/>
      <c r="J106" s="7"/>
      <c r="K106" s="8"/>
    </row>
    <row r="107" spans="1:12">
      <c r="A107" s="6"/>
      <c r="B107" s="7"/>
      <c r="C107" s="7"/>
      <c r="D107" s="7"/>
      <c r="E107" s="7"/>
      <c r="F107" s="7"/>
      <c r="G107" s="7"/>
      <c r="H107" s="7"/>
      <c r="I107" s="7"/>
      <c r="J107" s="7"/>
      <c r="K107" s="8"/>
    </row>
    <row r="108" spans="1:12">
      <c r="A108" s="258" t="s">
        <v>196</v>
      </c>
      <c r="B108" s="259"/>
      <c r="C108" s="259"/>
      <c r="D108" s="259"/>
      <c r="E108" s="259"/>
      <c r="F108" s="259"/>
      <c r="G108" s="259"/>
      <c r="H108" s="259"/>
      <c r="I108" s="259"/>
      <c r="J108" s="7"/>
      <c r="K108" s="8"/>
    </row>
    <row r="109" spans="1:12" ht="18">
      <c r="A109" s="6"/>
      <c r="B109" s="10"/>
      <c r="C109" s="7"/>
      <c r="D109" s="7"/>
      <c r="E109" s="7"/>
      <c r="F109" s="7"/>
      <c r="G109" s="7"/>
      <c r="H109" s="7"/>
      <c r="I109" s="7"/>
      <c r="J109" s="7"/>
      <c r="K109" s="8"/>
      <c r="L109" s="7"/>
    </row>
    <row r="110" spans="1:12" ht="18">
      <c r="A110" s="6" t="s">
        <v>83</v>
      </c>
      <c r="B110" s="16">
        <v>4.6700000000000002E-4</v>
      </c>
      <c r="C110" s="14" t="s">
        <v>117</v>
      </c>
      <c r="D110" s="7">
        <v>1</v>
      </c>
      <c r="E110" s="7" t="s">
        <v>119</v>
      </c>
      <c r="F110" s="7">
        <f>B110/D111</f>
        <v>1.4593750000000001E-8</v>
      </c>
      <c r="G110" s="7"/>
      <c r="H110" s="7"/>
      <c r="I110" s="7"/>
      <c r="J110" s="7"/>
      <c r="K110" s="8"/>
      <c r="L110" s="7"/>
    </row>
    <row r="111" spans="1:12" ht="18">
      <c r="A111" s="6"/>
      <c r="B111" s="10"/>
      <c r="C111" s="14" t="s">
        <v>112</v>
      </c>
      <c r="D111" s="7">
        <v>32000</v>
      </c>
      <c r="E111" s="7" t="s">
        <v>117</v>
      </c>
      <c r="F111" s="7"/>
      <c r="G111" s="7"/>
      <c r="H111" s="7"/>
      <c r="I111" s="7"/>
      <c r="J111" s="7"/>
      <c r="K111" s="8"/>
      <c r="L111" s="7"/>
    </row>
    <row r="112" spans="1:12" ht="18">
      <c r="A112" s="6"/>
      <c r="B112" s="10"/>
      <c r="C112" s="14" t="s">
        <v>118</v>
      </c>
      <c r="D112" s="7"/>
      <c r="E112" s="7"/>
      <c r="F112" s="7"/>
      <c r="G112" s="7"/>
      <c r="H112" s="7"/>
      <c r="I112" s="7"/>
      <c r="J112" s="7"/>
      <c r="K112" s="8"/>
      <c r="L112" s="7"/>
    </row>
    <row r="113" spans="1:12" ht="18">
      <c r="A113" s="6"/>
      <c r="B113" s="10"/>
      <c r="C113" s="7"/>
      <c r="D113" s="7"/>
      <c r="E113" s="7"/>
      <c r="F113" s="7"/>
      <c r="G113" s="7"/>
      <c r="H113" s="7"/>
      <c r="I113" s="7"/>
      <c r="J113" s="7"/>
      <c r="K113" s="8"/>
      <c r="L113" s="7"/>
    </row>
    <row r="114" spans="1:12" ht="18">
      <c r="A114" s="6"/>
      <c r="B114" s="16">
        <f>F110*1000</f>
        <v>1.4593750000000001E-5</v>
      </c>
      <c r="C114" s="14" t="s">
        <v>119</v>
      </c>
      <c r="D114" s="7">
        <v>440</v>
      </c>
      <c r="E114" s="7" t="s">
        <v>114</v>
      </c>
      <c r="F114" s="7">
        <f>B114*D114</f>
        <v>6.4212499999999999E-3</v>
      </c>
      <c r="G114" s="7" t="s">
        <v>114</v>
      </c>
      <c r="H114" s="7">
        <f>F114*24</f>
        <v>0.15411</v>
      </c>
      <c r="I114" s="18">
        <f>H114*1000</f>
        <v>154.10999999999999</v>
      </c>
      <c r="J114" s="18" t="s">
        <v>173</v>
      </c>
      <c r="K114" s="8"/>
      <c r="L114" s="7"/>
    </row>
    <row r="115" spans="1:12" ht="18">
      <c r="A115" s="6"/>
      <c r="B115" s="10"/>
      <c r="C115" s="14" t="s">
        <v>112</v>
      </c>
      <c r="D115" s="7"/>
      <c r="E115" s="7" t="s">
        <v>111</v>
      </c>
      <c r="F115" s="7"/>
      <c r="G115" s="7" t="s">
        <v>112</v>
      </c>
      <c r="H115" s="7"/>
      <c r="I115" s="7"/>
      <c r="J115" s="7"/>
      <c r="K115" s="8"/>
      <c r="L115" s="7"/>
    </row>
    <row r="116" spans="1:12" ht="18">
      <c r="A116" s="6"/>
      <c r="B116" s="10"/>
      <c r="C116" s="14" t="s">
        <v>118</v>
      </c>
      <c r="D116" s="7"/>
      <c r="E116" s="7"/>
      <c r="F116" s="7"/>
      <c r="G116" s="7" t="s">
        <v>118</v>
      </c>
      <c r="H116" s="7"/>
      <c r="I116" s="7"/>
      <c r="J116" s="7"/>
      <c r="K116" s="8"/>
      <c r="L116" s="7"/>
    </row>
    <row r="117" spans="1:12" ht="18">
      <c r="A117" s="6"/>
      <c r="B117" s="10"/>
      <c r="C117" s="14"/>
      <c r="D117" s="7"/>
      <c r="E117" s="7"/>
      <c r="F117" s="7"/>
      <c r="G117" s="7"/>
      <c r="H117" s="7"/>
      <c r="I117" s="7"/>
      <c r="J117" s="7"/>
      <c r="K117" s="8"/>
      <c r="L117" s="7"/>
    </row>
    <row r="118" spans="1:12">
      <c r="A118" s="6" t="s">
        <v>116</v>
      </c>
      <c r="B118" s="7">
        <v>1.17E-4</v>
      </c>
      <c r="C118" s="7" t="s">
        <v>117</v>
      </c>
      <c r="D118" s="7">
        <v>1</v>
      </c>
      <c r="E118" s="7" t="s">
        <v>118</v>
      </c>
      <c r="F118" s="7">
        <f>B118/D119</f>
        <v>1.95E-6</v>
      </c>
      <c r="G118" s="7" t="s">
        <v>117</v>
      </c>
      <c r="H118" s="7"/>
      <c r="I118" s="7"/>
      <c r="J118" s="7"/>
      <c r="K118" s="8"/>
      <c r="L118" s="7"/>
    </row>
    <row r="119" spans="1:12">
      <c r="A119" s="6"/>
      <c r="B119" s="7"/>
      <c r="C119" s="7" t="s">
        <v>112</v>
      </c>
      <c r="D119" s="7">
        <v>60</v>
      </c>
      <c r="E119" s="7" t="s">
        <v>109</v>
      </c>
      <c r="F119" s="7"/>
      <c r="G119" s="7" t="s">
        <v>112</v>
      </c>
      <c r="H119" s="7"/>
      <c r="I119" s="7"/>
      <c r="J119" s="7"/>
      <c r="K119" s="8"/>
      <c r="L119" s="7"/>
    </row>
    <row r="120" spans="1:12">
      <c r="A120" s="6"/>
      <c r="B120" s="7"/>
      <c r="C120" s="7" t="s">
        <v>118</v>
      </c>
      <c r="D120" s="7"/>
      <c r="E120" s="7"/>
      <c r="F120" s="7"/>
      <c r="G120" s="7" t="s">
        <v>109</v>
      </c>
      <c r="H120" s="7"/>
      <c r="I120" s="7"/>
      <c r="J120" s="7"/>
      <c r="K120" s="8"/>
      <c r="L120" s="7"/>
    </row>
    <row r="121" spans="1:12">
      <c r="A121" s="6"/>
      <c r="B121" s="7"/>
      <c r="C121" s="7"/>
      <c r="D121" s="7"/>
      <c r="E121" s="7"/>
      <c r="F121" s="7"/>
      <c r="G121" s="7"/>
      <c r="H121" s="7"/>
      <c r="I121" s="7"/>
      <c r="J121" s="7"/>
      <c r="K121" s="8"/>
      <c r="L121" s="7"/>
    </row>
    <row r="122" spans="1:12">
      <c r="A122" s="6"/>
      <c r="B122" s="7">
        <f>F118</f>
        <v>1.95E-6</v>
      </c>
      <c r="C122" s="7" t="s">
        <v>117</v>
      </c>
      <c r="D122" s="7">
        <v>1</v>
      </c>
      <c r="E122" s="7" t="s">
        <v>119</v>
      </c>
      <c r="F122" s="7">
        <f>B122/D123</f>
        <v>6.0937500000000003E-11</v>
      </c>
      <c r="G122" s="7" t="s">
        <v>119</v>
      </c>
      <c r="H122" s="7"/>
      <c r="I122" s="7"/>
      <c r="J122" s="7"/>
      <c r="K122" s="8"/>
      <c r="L122" s="7"/>
    </row>
    <row r="123" spans="1:12">
      <c r="A123" s="6"/>
      <c r="B123" s="7"/>
      <c r="C123" s="7" t="s">
        <v>112</v>
      </c>
      <c r="D123" s="7">
        <v>32000</v>
      </c>
      <c r="E123" s="7" t="s">
        <v>117</v>
      </c>
      <c r="F123" s="7"/>
      <c r="G123" s="7" t="s">
        <v>112</v>
      </c>
      <c r="H123" s="7"/>
      <c r="I123" s="7"/>
      <c r="J123" s="7"/>
      <c r="K123" s="8"/>
      <c r="L123" s="7"/>
    </row>
    <row r="124" spans="1:12">
      <c r="A124" s="6"/>
      <c r="B124" s="7"/>
      <c r="C124" s="7" t="s">
        <v>109</v>
      </c>
      <c r="D124" s="14"/>
      <c r="E124" s="7"/>
      <c r="F124" s="7"/>
      <c r="G124" s="7" t="s">
        <v>109</v>
      </c>
      <c r="H124" s="7"/>
      <c r="I124" s="7"/>
      <c r="J124" s="7"/>
      <c r="K124" s="8"/>
      <c r="L124" s="7"/>
    </row>
    <row r="125" spans="1:12">
      <c r="A125" s="6"/>
      <c r="B125" s="7"/>
      <c r="C125" s="7"/>
      <c r="D125" s="7"/>
      <c r="E125" s="7"/>
      <c r="F125" s="7"/>
      <c r="G125" s="7"/>
      <c r="H125" s="7"/>
      <c r="I125" s="7"/>
      <c r="J125" s="7"/>
      <c r="K125" s="8"/>
      <c r="L125" s="7"/>
    </row>
    <row r="126" spans="1:12">
      <c r="A126" s="6"/>
      <c r="B126" s="7">
        <f>F122</f>
        <v>6.0937500000000003E-11</v>
      </c>
      <c r="C126" s="7" t="s">
        <v>119</v>
      </c>
      <c r="D126" s="7">
        <v>2817</v>
      </c>
      <c r="E126" s="7" t="s">
        <v>120</v>
      </c>
      <c r="F126" s="7">
        <v>1000</v>
      </c>
      <c r="G126" s="7" t="s">
        <v>114</v>
      </c>
      <c r="H126" s="7">
        <f>B126*D126*F126/D127</f>
        <v>2.8610156250000001E-5</v>
      </c>
      <c r="I126" s="7" t="s">
        <v>114</v>
      </c>
      <c r="J126" s="7">
        <f>H126*60</f>
        <v>1.716609375E-3</v>
      </c>
      <c r="K126" s="8"/>
      <c r="L126" s="7"/>
    </row>
    <row r="127" spans="1:12">
      <c r="A127" s="6"/>
      <c r="B127" s="7"/>
      <c r="C127" s="7" t="s">
        <v>112</v>
      </c>
      <c r="D127" s="7">
        <v>6</v>
      </c>
      <c r="E127" s="7" t="s">
        <v>119</v>
      </c>
      <c r="F127" s="7">
        <v>1</v>
      </c>
      <c r="G127" s="7" t="s">
        <v>120</v>
      </c>
      <c r="H127" s="7"/>
      <c r="I127" s="7" t="s">
        <v>112</v>
      </c>
      <c r="J127" s="7"/>
      <c r="K127" s="8"/>
      <c r="L127" s="7"/>
    </row>
    <row r="128" spans="1:12">
      <c r="A128" s="6"/>
      <c r="B128" s="7"/>
      <c r="C128" s="7" t="s">
        <v>109</v>
      </c>
      <c r="D128" s="7"/>
      <c r="E128" s="7"/>
      <c r="F128" s="7"/>
      <c r="G128" s="7"/>
      <c r="H128" s="7"/>
      <c r="I128" s="7" t="s">
        <v>109</v>
      </c>
      <c r="J128" s="7"/>
      <c r="K128" s="8"/>
      <c r="L128" s="7"/>
    </row>
    <row r="129" spans="1:12">
      <c r="A129" s="6"/>
      <c r="B129" s="7"/>
      <c r="C129" s="7"/>
      <c r="D129" s="7"/>
      <c r="E129" s="7"/>
      <c r="F129" s="7"/>
      <c r="G129" s="7"/>
      <c r="H129" s="7"/>
      <c r="I129" s="7"/>
      <c r="J129" s="7"/>
      <c r="K129" s="8"/>
      <c r="L129" s="7"/>
    </row>
    <row r="130" spans="1:12">
      <c r="A130" s="6"/>
      <c r="B130" s="7">
        <f>H126</f>
        <v>2.8610156250000001E-5</v>
      </c>
      <c r="C130" s="7" t="s">
        <v>114</v>
      </c>
      <c r="D130" s="7">
        <v>1000</v>
      </c>
      <c r="E130" s="7" t="s">
        <v>146</v>
      </c>
      <c r="F130" s="7">
        <v>60</v>
      </c>
      <c r="G130" s="14" t="s">
        <v>109</v>
      </c>
      <c r="H130" s="7">
        <v>12</v>
      </c>
      <c r="I130" s="7" t="s">
        <v>177</v>
      </c>
      <c r="J130" s="18">
        <f>B130*D130*F130*H130</f>
        <v>20.5993125</v>
      </c>
      <c r="K130" s="17" t="s">
        <v>146</v>
      </c>
      <c r="L130" s="7"/>
    </row>
    <row r="131" spans="1:12">
      <c r="A131" s="6"/>
      <c r="B131" s="7"/>
      <c r="C131" s="7" t="s">
        <v>112</v>
      </c>
      <c r="D131" s="7">
        <v>1</v>
      </c>
      <c r="E131" s="7" t="s">
        <v>114</v>
      </c>
      <c r="F131" s="7">
        <v>1</v>
      </c>
      <c r="G131" s="7" t="s">
        <v>118</v>
      </c>
      <c r="H131" s="7">
        <v>1</v>
      </c>
      <c r="I131" s="7" t="s">
        <v>175</v>
      </c>
      <c r="J131" s="18"/>
      <c r="K131" s="17" t="s">
        <v>112</v>
      </c>
      <c r="L131" s="7"/>
    </row>
    <row r="132" spans="1:12">
      <c r="A132" s="6"/>
      <c r="B132" s="7"/>
      <c r="C132" s="7" t="s">
        <v>109</v>
      </c>
      <c r="D132" s="7"/>
      <c r="E132" s="7"/>
      <c r="F132" s="7"/>
      <c r="G132" s="7"/>
      <c r="H132" s="7"/>
      <c r="I132" s="7"/>
      <c r="J132" s="18"/>
      <c r="K132" s="17" t="s">
        <v>175</v>
      </c>
      <c r="L132" s="7"/>
    </row>
    <row r="133" spans="1:12">
      <c r="A133" s="6"/>
      <c r="B133" s="7"/>
      <c r="C133" s="7"/>
      <c r="D133" s="7"/>
      <c r="E133" s="7"/>
      <c r="F133" s="7"/>
      <c r="G133" s="7"/>
      <c r="H133" s="7"/>
      <c r="I133" s="7"/>
      <c r="J133" s="7"/>
      <c r="K133" s="8"/>
      <c r="L133" s="7"/>
    </row>
    <row r="134" spans="1:12">
      <c r="A134" s="6"/>
      <c r="B134" s="7"/>
      <c r="C134" s="7"/>
      <c r="D134" s="7"/>
      <c r="E134" s="7"/>
      <c r="F134" s="7"/>
      <c r="G134" s="7"/>
      <c r="H134" s="7"/>
      <c r="I134" s="7"/>
      <c r="J134" s="7"/>
      <c r="K134" s="8"/>
      <c r="L134" s="7"/>
    </row>
    <row r="135" spans="1:12">
      <c r="A135" s="258" t="s">
        <v>197</v>
      </c>
      <c r="B135" s="259"/>
      <c r="C135" s="259"/>
      <c r="D135" s="259"/>
      <c r="E135" s="259"/>
      <c r="F135" s="259"/>
      <c r="G135" s="259"/>
      <c r="H135" s="259"/>
      <c r="I135" s="259"/>
      <c r="J135" s="7"/>
      <c r="K135" s="8"/>
      <c r="L135" s="7"/>
    </row>
    <row r="136" spans="1:12" ht="18">
      <c r="A136" s="6"/>
      <c r="B136" s="10"/>
      <c r="C136" s="7"/>
      <c r="D136" s="7"/>
      <c r="E136" s="7"/>
      <c r="F136" s="7"/>
      <c r="G136" s="7"/>
      <c r="H136" s="7"/>
      <c r="I136" s="7"/>
      <c r="J136" s="7"/>
      <c r="K136" s="8"/>
      <c r="L136" s="7"/>
    </row>
    <row r="137" spans="1:12" ht="18">
      <c r="A137" s="6" t="s">
        <v>83</v>
      </c>
      <c r="B137" s="16">
        <v>1.1400000000000001E-4</v>
      </c>
      <c r="C137" s="14" t="s">
        <v>117</v>
      </c>
      <c r="D137" s="7">
        <v>1</v>
      </c>
      <c r="E137" s="7" t="s">
        <v>119</v>
      </c>
      <c r="F137" s="7">
        <f>B137/D138</f>
        <v>3.5625000000000001E-9</v>
      </c>
      <c r="G137" s="7"/>
      <c r="H137" s="7"/>
      <c r="I137" s="7"/>
      <c r="J137" s="7"/>
      <c r="K137" s="8"/>
      <c r="L137" s="7"/>
    </row>
    <row r="138" spans="1:12" ht="18">
      <c r="A138" s="6"/>
      <c r="B138" s="10"/>
      <c r="C138" s="14" t="s">
        <v>112</v>
      </c>
      <c r="D138" s="7">
        <v>32000</v>
      </c>
      <c r="E138" s="7" t="s">
        <v>117</v>
      </c>
      <c r="F138" s="7"/>
      <c r="G138" s="7"/>
      <c r="H138" s="7"/>
      <c r="I138" s="7"/>
      <c r="J138" s="7"/>
      <c r="K138" s="8"/>
      <c r="L138" s="7"/>
    </row>
    <row r="139" spans="1:12" ht="18">
      <c r="A139" s="6"/>
      <c r="B139" s="10"/>
      <c r="C139" s="14" t="s">
        <v>118</v>
      </c>
      <c r="D139" s="7"/>
      <c r="E139" s="7"/>
      <c r="F139" s="7"/>
      <c r="G139" s="7"/>
      <c r="H139" s="7"/>
      <c r="I139" s="7"/>
      <c r="J139" s="7"/>
      <c r="K139" s="8"/>
      <c r="L139" s="7"/>
    </row>
    <row r="140" spans="1:12" ht="18">
      <c r="A140" s="6"/>
      <c r="B140" s="10"/>
      <c r="C140" s="7"/>
      <c r="D140" s="7"/>
      <c r="E140" s="7"/>
      <c r="F140" s="7"/>
      <c r="G140" s="7"/>
      <c r="H140" s="7"/>
      <c r="I140" s="7"/>
      <c r="J140" s="7"/>
      <c r="K140" s="8"/>
      <c r="L140" s="7"/>
    </row>
    <row r="141" spans="1:12" ht="18">
      <c r="A141" s="6"/>
      <c r="B141" s="16">
        <f>F137*1000</f>
        <v>3.5625000000000002E-6</v>
      </c>
      <c r="C141" s="14" t="s">
        <v>119</v>
      </c>
      <c r="D141" s="7">
        <v>440</v>
      </c>
      <c r="E141" s="7" t="s">
        <v>114</v>
      </c>
      <c r="F141" s="7">
        <f>B141*D141</f>
        <v>1.5675000000000001E-3</v>
      </c>
      <c r="G141" s="7" t="s">
        <v>114</v>
      </c>
      <c r="H141" s="7">
        <f>F141*24</f>
        <v>3.7620000000000001E-2</v>
      </c>
      <c r="I141" s="18">
        <f>H141*1000</f>
        <v>37.619999999999997</v>
      </c>
      <c r="J141" s="18" t="s">
        <v>173</v>
      </c>
      <c r="K141" s="8"/>
      <c r="L141" s="7"/>
    </row>
    <row r="142" spans="1:12" ht="18">
      <c r="A142" s="6"/>
      <c r="B142" s="10"/>
      <c r="C142" s="14" t="s">
        <v>112</v>
      </c>
      <c r="D142" s="7"/>
      <c r="E142" s="7" t="s">
        <v>111</v>
      </c>
      <c r="F142" s="7"/>
      <c r="G142" s="7" t="s">
        <v>112</v>
      </c>
      <c r="H142" s="7"/>
      <c r="I142" s="7"/>
      <c r="J142" s="7"/>
      <c r="K142" s="8"/>
      <c r="L142" s="7"/>
    </row>
    <row r="143" spans="1:12" ht="18">
      <c r="A143" s="6"/>
      <c r="B143" s="10"/>
      <c r="C143" s="14" t="s">
        <v>118</v>
      </c>
      <c r="D143" s="7"/>
      <c r="E143" s="7"/>
      <c r="F143" s="7"/>
      <c r="G143" s="7" t="s">
        <v>118</v>
      </c>
      <c r="H143" s="7"/>
      <c r="I143" s="7"/>
      <c r="J143" s="7"/>
      <c r="K143" s="8"/>
      <c r="L143" s="7"/>
    </row>
    <row r="144" spans="1:12" ht="18">
      <c r="A144" s="6"/>
      <c r="B144" s="10"/>
      <c r="C144" s="14"/>
      <c r="D144" s="7"/>
      <c r="E144" s="7"/>
      <c r="F144" s="7"/>
      <c r="G144" s="7"/>
      <c r="H144" s="7"/>
      <c r="I144" s="7"/>
      <c r="J144" s="7"/>
      <c r="K144" s="8"/>
      <c r="L144" s="7"/>
    </row>
    <row r="145" spans="1:12">
      <c r="A145" s="6" t="s">
        <v>116</v>
      </c>
      <c r="B145" s="7">
        <v>3.1300000000000002E-4</v>
      </c>
      <c r="C145" s="7" t="s">
        <v>117</v>
      </c>
      <c r="D145" s="7">
        <v>1</v>
      </c>
      <c r="E145" s="7" t="s">
        <v>118</v>
      </c>
      <c r="F145" s="7">
        <f>B145/D146</f>
        <v>5.216666666666667E-6</v>
      </c>
      <c r="G145" s="7" t="s">
        <v>117</v>
      </c>
      <c r="H145" s="7"/>
      <c r="I145" s="7"/>
      <c r="J145" s="7"/>
      <c r="K145" s="8"/>
      <c r="L145" s="7"/>
    </row>
    <row r="146" spans="1:12">
      <c r="A146" s="6"/>
      <c r="B146" s="7"/>
      <c r="C146" s="7" t="s">
        <v>112</v>
      </c>
      <c r="D146" s="7">
        <v>60</v>
      </c>
      <c r="E146" s="7" t="s">
        <v>109</v>
      </c>
      <c r="F146" s="7"/>
      <c r="G146" s="7" t="s">
        <v>112</v>
      </c>
      <c r="H146" s="7"/>
      <c r="I146" s="7"/>
      <c r="J146" s="7"/>
      <c r="K146" s="8"/>
      <c r="L146" s="7"/>
    </row>
    <row r="147" spans="1:12">
      <c r="A147" s="6"/>
      <c r="B147" s="7"/>
      <c r="C147" s="7" t="s">
        <v>118</v>
      </c>
      <c r="D147" s="7"/>
      <c r="E147" s="7"/>
      <c r="F147" s="7"/>
      <c r="G147" s="7" t="s">
        <v>109</v>
      </c>
      <c r="H147" s="7"/>
      <c r="I147" s="7"/>
      <c r="J147" s="7"/>
      <c r="K147" s="8"/>
      <c r="L147" s="7"/>
    </row>
    <row r="148" spans="1:12">
      <c r="A148" s="6"/>
      <c r="B148" s="7"/>
      <c r="C148" s="7"/>
      <c r="D148" s="7"/>
      <c r="E148" s="7"/>
      <c r="F148" s="7"/>
      <c r="G148" s="7"/>
      <c r="H148" s="7"/>
      <c r="I148" s="7"/>
      <c r="J148" s="7"/>
      <c r="K148" s="8"/>
      <c r="L148" s="7"/>
    </row>
    <row r="149" spans="1:12">
      <c r="A149" s="6"/>
      <c r="B149" s="7">
        <f>F145</f>
        <v>5.216666666666667E-6</v>
      </c>
      <c r="C149" s="7" t="s">
        <v>117</v>
      </c>
      <c r="D149" s="7">
        <v>1</v>
      </c>
      <c r="E149" s="7" t="s">
        <v>119</v>
      </c>
      <c r="F149" s="7">
        <f>B149/D150</f>
        <v>1.6302083333333335E-10</v>
      </c>
      <c r="G149" s="7" t="s">
        <v>119</v>
      </c>
      <c r="H149" s="7"/>
      <c r="I149" s="7"/>
      <c r="J149" s="7"/>
      <c r="K149" s="8"/>
      <c r="L149" s="7"/>
    </row>
    <row r="150" spans="1:12">
      <c r="A150" s="6"/>
      <c r="B150" s="7"/>
      <c r="C150" s="7" t="s">
        <v>112</v>
      </c>
      <c r="D150" s="7">
        <v>32000</v>
      </c>
      <c r="E150" s="7" t="s">
        <v>117</v>
      </c>
      <c r="F150" s="7"/>
      <c r="G150" s="7" t="s">
        <v>112</v>
      </c>
      <c r="H150" s="7"/>
      <c r="I150" s="7"/>
      <c r="J150" s="7"/>
      <c r="K150" s="8"/>
      <c r="L150" s="7"/>
    </row>
    <row r="151" spans="1:12">
      <c r="A151" s="6"/>
      <c r="B151" s="7"/>
      <c r="C151" s="7" t="s">
        <v>109</v>
      </c>
      <c r="D151" s="14"/>
      <c r="E151" s="7"/>
      <c r="F151" s="7"/>
      <c r="G151" s="7" t="s">
        <v>109</v>
      </c>
      <c r="H151" s="7"/>
      <c r="I151" s="7"/>
      <c r="J151" s="7"/>
      <c r="K151" s="8"/>
      <c r="L151" s="7"/>
    </row>
    <row r="152" spans="1:12">
      <c r="A152" s="6"/>
      <c r="B152" s="7"/>
      <c r="C152" s="7"/>
      <c r="D152" s="7"/>
      <c r="E152" s="7"/>
      <c r="F152" s="7"/>
      <c r="G152" s="7"/>
      <c r="H152" s="7"/>
      <c r="I152" s="7"/>
      <c r="J152" s="7"/>
      <c r="K152" s="8"/>
      <c r="L152" s="7"/>
    </row>
    <row r="153" spans="1:12">
      <c r="A153" s="6"/>
      <c r="B153" s="7">
        <f>F149</f>
        <v>1.6302083333333335E-10</v>
      </c>
      <c r="C153" s="7" t="s">
        <v>119</v>
      </c>
      <c r="D153" s="7">
        <v>2817</v>
      </c>
      <c r="E153" s="7" t="s">
        <v>120</v>
      </c>
      <c r="F153" s="7">
        <v>1000</v>
      </c>
      <c r="G153" s="7" t="s">
        <v>114</v>
      </c>
      <c r="H153" s="7">
        <f>B153*D153*F153/D154</f>
        <v>7.6538281250000006E-5</v>
      </c>
      <c r="I153" s="7" t="s">
        <v>114</v>
      </c>
      <c r="J153" s="7">
        <f>H153*60</f>
        <v>4.5922968750000005E-3</v>
      </c>
      <c r="K153" s="8"/>
      <c r="L153" s="7"/>
    </row>
    <row r="154" spans="1:12">
      <c r="A154" s="6"/>
      <c r="B154" s="7"/>
      <c r="C154" s="7" t="s">
        <v>112</v>
      </c>
      <c r="D154" s="7">
        <v>6</v>
      </c>
      <c r="E154" s="7" t="s">
        <v>119</v>
      </c>
      <c r="F154" s="7">
        <v>1</v>
      </c>
      <c r="G154" s="7" t="s">
        <v>120</v>
      </c>
      <c r="H154" s="7"/>
      <c r="I154" s="7" t="s">
        <v>112</v>
      </c>
      <c r="J154" s="7"/>
      <c r="K154" s="8"/>
      <c r="L154" s="7"/>
    </row>
    <row r="155" spans="1:12">
      <c r="A155" s="6"/>
      <c r="B155" s="7"/>
      <c r="C155" s="7" t="s">
        <v>109</v>
      </c>
      <c r="D155" s="7"/>
      <c r="E155" s="7"/>
      <c r="F155" s="7"/>
      <c r="G155" s="7"/>
      <c r="H155" s="7"/>
      <c r="I155" s="7" t="s">
        <v>109</v>
      </c>
      <c r="J155" s="7"/>
      <c r="K155" s="8"/>
      <c r="L155" s="7"/>
    </row>
    <row r="156" spans="1:12">
      <c r="A156" s="6"/>
      <c r="B156" s="7"/>
      <c r="C156" s="7"/>
      <c r="D156" s="7"/>
      <c r="E156" s="7"/>
      <c r="F156" s="7"/>
      <c r="G156" s="7"/>
      <c r="H156" s="7"/>
      <c r="I156" s="7"/>
      <c r="J156" s="7"/>
      <c r="K156" s="8"/>
      <c r="L156" s="7"/>
    </row>
    <row r="157" spans="1:12">
      <c r="A157" s="6"/>
      <c r="B157" s="7">
        <f>H153</f>
        <v>7.6538281250000006E-5</v>
      </c>
      <c r="C157" s="7" t="s">
        <v>114</v>
      </c>
      <c r="D157" s="7">
        <v>1000</v>
      </c>
      <c r="E157" s="7" t="s">
        <v>146</v>
      </c>
      <c r="F157" s="7">
        <v>60</v>
      </c>
      <c r="G157" s="14" t="s">
        <v>109</v>
      </c>
      <c r="H157" s="7">
        <v>12</v>
      </c>
      <c r="I157" s="7" t="s">
        <v>177</v>
      </c>
      <c r="J157" s="18">
        <f>B157*D157*F157*H157</f>
        <v>55.107562500000007</v>
      </c>
      <c r="K157" s="17" t="s">
        <v>146</v>
      </c>
      <c r="L157" s="7"/>
    </row>
    <row r="158" spans="1:12">
      <c r="A158" s="6"/>
      <c r="B158" s="7"/>
      <c r="C158" s="7" t="s">
        <v>112</v>
      </c>
      <c r="D158" s="7">
        <v>1</v>
      </c>
      <c r="E158" s="7" t="s">
        <v>114</v>
      </c>
      <c r="F158" s="7">
        <v>1</v>
      </c>
      <c r="G158" s="7" t="s">
        <v>118</v>
      </c>
      <c r="H158" s="7">
        <v>1</v>
      </c>
      <c r="I158" s="7" t="s">
        <v>175</v>
      </c>
      <c r="J158" s="18"/>
      <c r="K158" s="17" t="s">
        <v>112</v>
      </c>
      <c r="L158" s="7"/>
    </row>
    <row r="159" spans="1:12">
      <c r="A159" s="6"/>
      <c r="B159" s="7"/>
      <c r="C159" s="7" t="s">
        <v>109</v>
      </c>
      <c r="D159" s="7"/>
      <c r="E159" s="7"/>
      <c r="F159" s="7"/>
      <c r="G159" s="7"/>
      <c r="H159" s="7"/>
      <c r="I159" s="7"/>
      <c r="J159" s="18"/>
      <c r="K159" s="17" t="s">
        <v>175</v>
      </c>
      <c r="L159" s="7"/>
    </row>
    <row r="160" spans="1:12">
      <c r="A160" s="6"/>
      <c r="B160" s="7"/>
      <c r="C160" s="7"/>
      <c r="D160" s="7"/>
      <c r="E160" s="7"/>
      <c r="F160" s="7"/>
      <c r="G160" s="7"/>
      <c r="H160" s="7"/>
      <c r="I160" s="7"/>
      <c r="J160" s="7"/>
      <c r="K160" s="8"/>
      <c r="L160" s="7"/>
    </row>
    <row r="161" spans="1:11" ht="17" thickBot="1">
      <c r="A161" s="11"/>
      <c r="B161" s="12"/>
      <c r="C161" s="12"/>
      <c r="D161" s="12"/>
      <c r="E161" s="12"/>
      <c r="F161" s="12"/>
      <c r="G161" s="12"/>
      <c r="H161" s="12"/>
      <c r="I161" s="12"/>
      <c r="J161" s="12"/>
      <c r="K161" s="13"/>
    </row>
    <row r="162" spans="1:11">
      <c r="A162" s="6" t="s">
        <v>195</v>
      </c>
      <c r="B162" s="7"/>
      <c r="C162" s="7"/>
      <c r="D162" s="7"/>
      <c r="E162" s="8"/>
    </row>
    <row r="163" spans="1:11">
      <c r="A163" s="6" t="s">
        <v>189</v>
      </c>
      <c r="B163" s="7"/>
      <c r="C163" s="7"/>
      <c r="D163" s="7"/>
      <c r="E163" s="8"/>
    </row>
    <row r="164" spans="1:11">
      <c r="A164" s="6" t="s">
        <v>190</v>
      </c>
      <c r="B164" s="7">
        <f>2.64*1000</f>
        <v>2640</v>
      </c>
      <c r="C164" s="7" t="s">
        <v>146</v>
      </c>
      <c r="D164" s="7"/>
      <c r="E164" s="8"/>
    </row>
    <row r="165" spans="1:11">
      <c r="A165" s="6" t="s">
        <v>191</v>
      </c>
      <c r="B165" s="7">
        <f>1.53*1000</f>
        <v>1530</v>
      </c>
      <c r="C165" s="7" t="s">
        <v>146</v>
      </c>
      <c r="D165" s="7"/>
      <c r="E165" s="8"/>
    </row>
    <row r="166" spans="1:11">
      <c r="A166" s="6" t="s">
        <v>121</v>
      </c>
      <c r="B166" s="7">
        <f>1.11*1000</f>
        <v>1110</v>
      </c>
      <c r="C166" s="7" t="s">
        <v>146</v>
      </c>
      <c r="D166" s="7"/>
      <c r="E166" s="8"/>
    </row>
    <row r="167" spans="1:11">
      <c r="A167" s="6"/>
      <c r="B167" s="7"/>
      <c r="C167" s="7"/>
      <c r="D167" s="7"/>
      <c r="E167" s="8"/>
    </row>
    <row r="168" spans="1:11">
      <c r="A168" s="6" t="s">
        <v>192</v>
      </c>
      <c r="B168" s="7"/>
      <c r="C168" s="7"/>
      <c r="D168" s="7"/>
      <c r="E168" s="8"/>
    </row>
    <row r="169" spans="1:11">
      <c r="A169" s="6" t="s">
        <v>190</v>
      </c>
      <c r="B169" s="7">
        <f>J16*31</f>
        <v>2946.24</v>
      </c>
      <c r="C169" s="7" t="s">
        <v>146</v>
      </c>
      <c r="D169" s="7" t="s">
        <v>193</v>
      </c>
      <c r="E169" s="8"/>
    </row>
    <row r="170" spans="1:11">
      <c r="A170" s="6" t="s">
        <v>116</v>
      </c>
      <c r="B170" s="7">
        <f>J36*31</f>
        <v>938.76524999999992</v>
      </c>
      <c r="C170" s="7" t="s">
        <v>146</v>
      </c>
      <c r="D170" s="7" t="s">
        <v>194</v>
      </c>
      <c r="E170" s="8"/>
    </row>
    <row r="171" spans="1:11" ht="17" thickBot="1">
      <c r="A171" s="11" t="s">
        <v>121</v>
      </c>
      <c r="B171" s="12">
        <f>B169-B170</f>
        <v>2007.4747499999999</v>
      </c>
      <c r="C171" s="12" t="s">
        <v>146</v>
      </c>
      <c r="D171" s="12"/>
      <c r="E171" s="13"/>
    </row>
    <row r="172" spans="1:11">
      <c r="A172" s="15" t="s">
        <v>149</v>
      </c>
    </row>
    <row r="173" spans="1:11">
      <c r="A173">
        <v>1105</v>
      </c>
    </row>
    <row r="174" spans="1:11">
      <c r="A174">
        <v>1105</v>
      </c>
    </row>
    <row r="175" spans="1:11">
      <c r="A175">
        <v>412</v>
      </c>
    </row>
    <row r="176" spans="1:11">
      <c r="A176">
        <v>187</v>
      </c>
    </row>
  </sheetData>
  <mergeCells count="2">
    <mergeCell ref="A108:I108"/>
    <mergeCell ref="A135:I135"/>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5E14-F681-984C-8768-074E8A9B7650}">
  <dimension ref="A1:O272"/>
  <sheetViews>
    <sheetView topLeftCell="B1" zoomScale="125" zoomScaleNormal="125" workbookViewId="0">
      <pane ySplit="1" topLeftCell="A2" activePane="bottomLeft" state="frozen"/>
      <selection pane="bottomLeft" activeCell="B6" sqref="B6"/>
    </sheetView>
  </sheetViews>
  <sheetFormatPr baseColWidth="10" defaultRowHeight="16"/>
  <cols>
    <col min="1" max="1" width="22.83203125" style="86" customWidth="1"/>
    <col min="2" max="2" width="60.83203125" style="86" customWidth="1"/>
    <col min="3" max="3" width="22.83203125" style="87" customWidth="1"/>
    <col min="4" max="7" width="22.83203125" style="86" customWidth="1"/>
    <col min="8" max="8" width="29.6640625" style="86" customWidth="1"/>
    <col min="9" max="9" width="25.33203125" style="86" customWidth="1"/>
    <col min="10" max="10" width="95.5" style="86" customWidth="1"/>
    <col min="11" max="16384" width="10.83203125" style="86"/>
  </cols>
  <sheetData>
    <row r="1" spans="1:15">
      <c r="A1" s="86" t="s">
        <v>226</v>
      </c>
      <c r="B1" s="86" t="s">
        <v>227</v>
      </c>
      <c r="C1" s="87" t="s">
        <v>284</v>
      </c>
      <c r="D1" s="86" t="s">
        <v>668</v>
      </c>
      <c r="E1" s="86" t="s">
        <v>466</v>
      </c>
      <c r="F1" s="86" t="s">
        <v>452</v>
      </c>
      <c r="G1" s="86" t="s">
        <v>80</v>
      </c>
      <c r="H1" s="86" t="s">
        <v>926</v>
      </c>
      <c r="I1" s="86" t="s">
        <v>318</v>
      </c>
      <c r="J1" s="86" t="s">
        <v>519</v>
      </c>
      <c r="K1" s="86" t="s">
        <v>520</v>
      </c>
      <c r="L1" s="86" t="s">
        <v>80</v>
      </c>
    </row>
    <row r="2" spans="1:15" s="88" customFormat="1" ht="19" customHeight="1">
      <c r="A2" s="88" t="s">
        <v>448</v>
      </c>
      <c r="B2" s="88" t="s">
        <v>447</v>
      </c>
      <c r="C2" s="95" t="s">
        <v>215</v>
      </c>
      <c r="F2" s="88" t="s">
        <v>453</v>
      </c>
      <c r="H2" s="88" t="s">
        <v>928</v>
      </c>
      <c r="I2" s="88" t="s">
        <v>518</v>
      </c>
      <c r="J2" s="88" t="s">
        <v>649</v>
      </c>
      <c r="K2" s="88">
        <v>50</v>
      </c>
      <c r="L2" s="88" t="s">
        <v>527</v>
      </c>
      <c r="O2" s="88" t="s">
        <v>605</v>
      </c>
    </row>
    <row r="3" spans="1:15" s="88" customFormat="1">
      <c r="A3" s="88" t="s">
        <v>201</v>
      </c>
      <c r="B3" s="88" t="s">
        <v>225</v>
      </c>
      <c r="C3" s="95" t="s">
        <v>215</v>
      </c>
      <c r="F3" s="88" t="s">
        <v>669</v>
      </c>
      <c r="G3" s="88" t="s">
        <v>1111</v>
      </c>
      <c r="H3" s="88" t="s">
        <v>928</v>
      </c>
      <c r="I3" s="88" t="s">
        <v>648</v>
      </c>
      <c r="J3" s="88" t="s">
        <v>1274</v>
      </c>
      <c r="K3" s="88">
        <v>108</v>
      </c>
    </row>
    <row r="4" spans="1:15" s="88" customFormat="1">
      <c r="A4" s="88" t="s">
        <v>273</v>
      </c>
      <c r="B4" s="88" t="s">
        <v>272</v>
      </c>
      <c r="C4" s="95" t="s">
        <v>215</v>
      </c>
      <c r="G4" s="88" t="s">
        <v>337</v>
      </c>
      <c r="H4" s="88" t="s">
        <v>928</v>
      </c>
      <c r="I4" s="88" t="s">
        <v>618</v>
      </c>
      <c r="J4" s="88" t="s">
        <v>649</v>
      </c>
      <c r="K4" s="88">
        <v>1</v>
      </c>
    </row>
    <row r="5" spans="1:15" s="88" customFormat="1">
      <c r="A5" s="88" t="s">
        <v>352</v>
      </c>
      <c r="B5" s="96" t="s">
        <v>351</v>
      </c>
      <c r="C5" s="95" t="s">
        <v>215</v>
      </c>
      <c r="G5" s="88" t="s">
        <v>1115</v>
      </c>
      <c r="H5" s="88" t="s">
        <v>928</v>
      </c>
      <c r="I5" s="88" t="s">
        <v>929</v>
      </c>
      <c r="J5" s="88" t="s">
        <v>1009</v>
      </c>
      <c r="K5" s="88">
        <v>52</v>
      </c>
    </row>
    <row r="6" spans="1:15" s="88" customFormat="1">
      <c r="A6" s="88" t="s">
        <v>198</v>
      </c>
      <c r="B6" s="96" t="s">
        <v>224</v>
      </c>
      <c r="C6" s="95" t="s">
        <v>215</v>
      </c>
      <c r="F6" s="88" t="s">
        <v>667</v>
      </c>
      <c r="G6" s="88" t="s">
        <v>403</v>
      </c>
      <c r="H6" s="88" t="s">
        <v>928</v>
      </c>
      <c r="I6" s="88" t="s">
        <v>1241</v>
      </c>
      <c r="J6" s="88" t="s">
        <v>1240</v>
      </c>
      <c r="K6" s="88">
        <v>46</v>
      </c>
    </row>
    <row r="7" spans="1:15" s="88" customFormat="1">
      <c r="A7" s="88" t="s">
        <v>459</v>
      </c>
      <c r="B7" s="88" t="s">
        <v>461</v>
      </c>
      <c r="C7" s="95" t="s">
        <v>215</v>
      </c>
      <c r="F7" s="97" t="s">
        <v>460</v>
      </c>
      <c r="H7" s="88" t="s">
        <v>928</v>
      </c>
      <c r="I7" s="88" t="s">
        <v>648</v>
      </c>
      <c r="J7" s="88" t="s">
        <v>1240</v>
      </c>
      <c r="K7" s="88">
        <v>92</v>
      </c>
      <c r="L7" s="88" t="s">
        <v>1270</v>
      </c>
    </row>
    <row r="8" spans="1:15" s="88" customFormat="1">
      <c r="A8" s="88" t="s">
        <v>221</v>
      </c>
      <c r="B8" s="96" t="s">
        <v>220</v>
      </c>
      <c r="C8" s="95" t="s">
        <v>215</v>
      </c>
      <c r="F8" s="88" t="s">
        <v>674</v>
      </c>
      <c r="G8" s="88" t="s">
        <v>1112</v>
      </c>
      <c r="H8" s="88" t="s">
        <v>928</v>
      </c>
      <c r="I8" s="232" t="s">
        <v>929</v>
      </c>
      <c r="J8" s="232" t="s">
        <v>1276</v>
      </c>
      <c r="K8" s="88">
        <v>305</v>
      </c>
    </row>
    <row r="9" spans="1:15" s="88" customFormat="1">
      <c r="A9" s="88" t="s">
        <v>202</v>
      </c>
      <c r="B9" s="96" t="s">
        <v>222</v>
      </c>
      <c r="C9" s="95" t="s">
        <v>215</v>
      </c>
      <c r="F9" s="88" t="s">
        <v>660</v>
      </c>
      <c r="G9" s="88" t="s">
        <v>1091</v>
      </c>
      <c r="H9" s="88" t="s">
        <v>928</v>
      </c>
      <c r="I9" s="232"/>
      <c r="J9" s="232" t="s">
        <v>1275</v>
      </c>
    </row>
    <row r="10" spans="1:15" s="88" customFormat="1">
      <c r="A10" s="88" t="s">
        <v>319</v>
      </c>
      <c r="B10" s="88" t="s">
        <v>320</v>
      </c>
      <c r="C10" s="95" t="s">
        <v>215</v>
      </c>
      <c r="G10" s="96" t="s">
        <v>418</v>
      </c>
      <c r="H10" s="88" t="s">
        <v>928</v>
      </c>
      <c r="J10" s="88" t="s">
        <v>1282</v>
      </c>
    </row>
    <row r="11" spans="1:15" s="88" customFormat="1">
      <c r="A11" s="88" t="s">
        <v>276</v>
      </c>
      <c r="B11" s="88" t="s">
        <v>285</v>
      </c>
      <c r="C11" s="95" t="s">
        <v>215</v>
      </c>
      <c r="F11" s="88" t="s">
        <v>699</v>
      </c>
      <c r="G11" s="88" t="s">
        <v>1114</v>
      </c>
      <c r="H11" s="88" t="s">
        <v>928</v>
      </c>
    </row>
    <row r="12" spans="1:15" s="88" customFormat="1">
      <c r="A12" s="88" t="s">
        <v>244</v>
      </c>
      <c r="B12" s="96" t="s">
        <v>243</v>
      </c>
      <c r="C12" s="95" t="s">
        <v>215</v>
      </c>
      <c r="F12" s="88" t="s">
        <v>676</v>
      </c>
      <c r="G12" s="88" t="s">
        <v>1138</v>
      </c>
      <c r="H12" s="88" t="s">
        <v>928</v>
      </c>
      <c r="J12" s="88" t="s">
        <v>1271</v>
      </c>
    </row>
    <row r="13" spans="1:15" s="88" customFormat="1">
      <c r="A13" s="88" t="s">
        <v>85</v>
      </c>
      <c r="B13" s="96" t="s">
        <v>223</v>
      </c>
      <c r="C13" s="95" t="s">
        <v>215</v>
      </c>
      <c r="G13" s="88" t="s">
        <v>421</v>
      </c>
      <c r="H13" s="88" t="s">
        <v>928</v>
      </c>
      <c r="J13" s="88" t="s">
        <v>1273</v>
      </c>
    </row>
    <row r="14" spans="1:15" s="88" customFormat="1">
      <c r="A14" s="88" t="s">
        <v>524</v>
      </c>
      <c r="B14" s="88" t="s">
        <v>523</v>
      </c>
      <c r="C14" s="95" t="s">
        <v>215</v>
      </c>
      <c r="F14" s="88" t="s">
        <v>1084</v>
      </c>
      <c r="G14" s="88" t="s">
        <v>530</v>
      </c>
      <c r="H14" s="88" t="s">
        <v>928</v>
      </c>
      <c r="J14" s="88" t="s">
        <v>1272</v>
      </c>
    </row>
    <row r="15" spans="1:15" s="88" customFormat="1">
      <c r="A15" s="96" t="s">
        <v>307</v>
      </c>
      <c r="B15" s="96" t="s">
        <v>308</v>
      </c>
      <c r="C15" s="95" t="s">
        <v>215</v>
      </c>
      <c r="F15" s="88" t="s">
        <v>704</v>
      </c>
      <c r="G15" s="88" t="s">
        <v>417</v>
      </c>
      <c r="H15" s="88" t="s">
        <v>928</v>
      </c>
      <c r="J15" s="88" t="s">
        <v>1214</v>
      </c>
    </row>
    <row r="16" spans="1:15" s="88" customFormat="1">
      <c r="A16" s="88" t="s">
        <v>269</v>
      </c>
      <c r="B16" s="96" t="s">
        <v>270</v>
      </c>
      <c r="C16" s="95" t="s">
        <v>215</v>
      </c>
      <c r="H16" s="88" t="s">
        <v>928</v>
      </c>
      <c r="J16" s="218" t="s">
        <v>85</v>
      </c>
    </row>
    <row r="17" spans="1:10" s="88" customFormat="1">
      <c r="A17" s="88" t="s">
        <v>257</v>
      </c>
      <c r="B17" s="96" t="s">
        <v>256</v>
      </c>
      <c r="C17" s="95" t="s">
        <v>215</v>
      </c>
      <c r="F17" s="88" t="s">
        <v>693</v>
      </c>
      <c r="G17" s="88" t="s">
        <v>258</v>
      </c>
      <c r="H17" s="88" t="s">
        <v>928</v>
      </c>
      <c r="J17" s="218" t="s">
        <v>201</v>
      </c>
    </row>
    <row r="18" spans="1:10" s="88" customFormat="1">
      <c r="A18" s="88" t="s">
        <v>455</v>
      </c>
      <c r="B18" s="88" t="s">
        <v>454</v>
      </c>
      <c r="C18" s="95" t="s">
        <v>215</v>
      </c>
      <c r="F18" s="88" t="s">
        <v>1079</v>
      </c>
      <c r="G18" s="98" t="s">
        <v>457</v>
      </c>
      <c r="H18" s="88" t="s">
        <v>928</v>
      </c>
      <c r="J18" s="218" t="s">
        <v>202</v>
      </c>
    </row>
    <row r="19" spans="1:10" s="88" customFormat="1">
      <c r="A19" s="88" t="s">
        <v>275</v>
      </c>
      <c r="B19" s="88" t="s">
        <v>1085</v>
      </c>
      <c r="C19" s="95" t="s">
        <v>215</v>
      </c>
      <c r="F19" s="88" t="s">
        <v>467</v>
      </c>
      <c r="G19" s="88" t="s">
        <v>468</v>
      </c>
      <c r="H19" s="88" t="s">
        <v>928</v>
      </c>
      <c r="J19" s="218" t="s">
        <v>244</v>
      </c>
    </row>
    <row r="20" spans="1:10" s="88" customFormat="1">
      <c r="A20" s="88" t="s">
        <v>149</v>
      </c>
      <c r="B20" s="96" t="s">
        <v>391</v>
      </c>
      <c r="C20" s="95" t="s">
        <v>215</v>
      </c>
      <c r="F20" s="88" t="s">
        <v>1075</v>
      </c>
      <c r="G20" s="88" t="s">
        <v>1092</v>
      </c>
      <c r="H20" s="88" t="s">
        <v>928</v>
      </c>
      <c r="J20" s="218" t="s">
        <v>276</v>
      </c>
    </row>
    <row r="21" spans="1:10" s="88" customFormat="1">
      <c r="A21" s="88" t="s">
        <v>105</v>
      </c>
      <c r="B21" s="96" t="s">
        <v>242</v>
      </c>
      <c r="C21" s="95" t="s">
        <v>215</v>
      </c>
      <c r="F21" s="88" t="s">
        <v>666</v>
      </c>
      <c r="G21" s="88" t="s">
        <v>1108</v>
      </c>
      <c r="H21" s="88" t="s">
        <v>928</v>
      </c>
      <c r="J21" s="218" t="s">
        <v>426</v>
      </c>
    </row>
    <row r="22" spans="1:10" s="88" customFormat="1">
      <c r="A22" s="88" t="s">
        <v>252</v>
      </c>
      <c r="B22" s="96" t="s">
        <v>255</v>
      </c>
      <c r="C22" s="95" t="s">
        <v>215</v>
      </c>
      <c r="G22" s="96" t="s">
        <v>404</v>
      </c>
      <c r="H22" s="88" t="s">
        <v>928</v>
      </c>
      <c r="J22" s="218" t="s">
        <v>1213</v>
      </c>
    </row>
    <row r="23" spans="1:10" s="88" customFormat="1">
      <c r="A23" s="88" t="s">
        <v>274</v>
      </c>
      <c r="B23" s="88" t="s">
        <v>369</v>
      </c>
      <c r="C23" s="95" t="s">
        <v>215</v>
      </c>
      <c r="F23" s="88" t="s">
        <v>1074</v>
      </c>
      <c r="G23" s="88" t="s">
        <v>370</v>
      </c>
      <c r="H23" s="88" t="s">
        <v>928</v>
      </c>
      <c r="J23" s="86"/>
    </row>
    <row r="24" spans="1:10" s="88" customFormat="1">
      <c r="A24" s="88" t="s">
        <v>259</v>
      </c>
      <c r="B24" s="96" t="s">
        <v>260</v>
      </c>
      <c r="C24" s="95" t="s">
        <v>215</v>
      </c>
      <c r="F24" s="88" t="s">
        <v>694</v>
      </c>
      <c r="G24" s="88" t="s">
        <v>406</v>
      </c>
      <c r="H24" s="88" t="s">
        <v>928</v>
      </c>
    </row>
    <row r="25" spans="1:10" s="88" customFormat="1">
      <c r="A25" s="88" t="s">
        <v>371</v>
      </c>
      <c r="B25" s="88" t="s">
        <v>372</v>
      </c>
      <c r="C25" s="95" t="s">
        <v>215</v>
      </c>
      <c r="F25" s="88" t="s">
        <v>895</v>
      </c>
      <c r="G25" s="88" t="s">
        <v>373</v>
      </c>
      <c r="H25" s="88" t="s">
        <v>928</v>
      </c>
    </row>
    <row r="26" spans="1:10" s="88" customFormat="1">
      <c r="A26" s="88" t="s">
        <v>394</v>
      </c>
      <c r="B26" s="88" t="s">
        <v>393</v>
      </c>
      <c r="C26" s="95" t="s">
        <v>215</v>
      </c>
      <c r="F26" s="88" t="s">
        <v>1077</v>
      </c>
      <c r="G26" s="88" t="s">
        <v>419</v>
      </c>
      <c r="H26" s="88" t="s">
        <v>928</v>
      </c>
    </row>
    <row r="27" spans="1:10" s="88" customFormat="1">
      <c r="A27" s="88" t="s">
        <v>522</v>
      </c>
      <c r="B27" s="88" t="s">
        <v>521</v>
      </c>
      <c r="C27" s="95" t="s">
        <v>215</v>
      </c>
      <c r="F27" s="88" t="s">
        <v>1146</v>
      </c>
      <c r="H27" s="88" t="s">
        <v>927</v>
      </c>
    </row>
    <row r="28" spans="1:10" s="88" customFormat="1">
      <c r="A28" s="88" t="s">
        <v>949</v>
      </c>
      <c r="B28" s="204" t="s">
        <v>948</v>
      </c>
      <c r="C28" s="95" t="s">
        <v>215</v>
      </c>
      <c r="F28" s="187" t="s">
        <v>1155</v>
      </c>
      <c r="H28" s="88" t="s">
        <v>1057</v>
      </c>
    </row>
    <row r="29" spans="1:10">
      <c r="A29" s="86" t="s">
        <v>970</v>
      </c>
      <c r="B29" s="204" t="s">
        <v>969</v>
      </c>
      <c r="C29" s="87" t="s">
        <v>216</v>
      </c>
      <c r="D29" s="86" t="s">
        <v>465</v>
      </c>
      <c r="E29" s="86" t="s">
        <v>464</v>
      </c>
      <c r="H29" s="86" t="s">
        <v>1057</v>
      </c>
    </row>
    <row r="30" spans="1:10">
      <c r="A30" s="86" t="s">
        <v>854</v>
      </c>
      <c r="B30" s="86" t="s">
        <v>853</v>
      </c>
      <c r="C30" s="87" t="s">
        <v>216</v>
      </c>
      <c r="D30" s="86" t="s">
        <v>463</v>
      </c>
      <c r="E30" s="86" t="s">
        <v>517</v>
      </c>
      <c r="H30" s="86" t="s">
        <v>648</v>
      </c>
    </row>
    <row r="31" spans="1:10">
      <c r="A31" s="86" t="s">
        <v>919</v>
      </c>
      <c r="B31" s="86" t="s">
        <v>918</v>
      </c>
      <c r="C31" s="87" t="s">
        <v>216</v>
      </c>
      <c r="D31" s="86" t="s">
        <v>463</v>
      </c>
      <c r="E31" s="86" t="s">
        <v>920</v>
      </c>
      <c r="H31" s="86" t="s">
        <v>648</v>
      </c>
    </row>
    <row r="32" spans="1:10">
      <c r="A32" s="86" t="s">
        <v>862</v>
      </c>
      <c r="B32" s="86" t="s">
        <v>861</v>
      </c>
      <c r="C32" s="87" t="s">
        <v>216</v>
      </c>
      <c r="D32" s="86" t="s">
        <v>463</v>
      </c>
      <c r="E32" s="86" t="s">
        <v>464</v>
      </c>
      <c r="H32" s="86" t="s">
        <v>648</v>
      </c>
    </row>
    <row r="33" spans="1:8">
      <c r="A33" s="86" t="s">
        <v>511</v>
      </c>
      <c r="B33" s="86" t="s">
        <v>510</v>
      </c>
      <c r="C33" s="87" t="s">
        <v>216</v>
      </c>
      <c r="D33" s="86" t="s">
        <v>463</v>
      </c>
      <c r="E33" s="86" t="s">
        <v>509</v>
      </c>
      <c r="H33" s="86" t="s">
        <v>927</v>
      </c>
    </row>
    <row r="34" spans="1:8">
      <c r="A34" s="86" t="s">
        <v>886</v>
      </c>
      <c r="B34" s="86" t="s">
        <v>885</v>
      </c>
      <c r="C34" s="87" t="s">
        <v>216</v>
      </c>
      <c r="D34" s="86" t="s">
        <v>463</v>
      </c>
      <c r="E34" s="86" t="s">
        <v>517</v>
      </c>
      <c r="H34" s="86" t="s">
        <v>648</v>
      </c>
    </row>
    <row r="35" spans="1:8">
      <c r="A35" s="86" t="s">
        <v>512</v>
      </c>
      <c r="B35" s="86" t="s">
        <v>377</v>
      </c>
      <c r="C35" s="87" t="s">
        <v>216</v>
      </c>
      <c r="D35" s="86" t="s">
        <v>463</v>
      </c>
      <c r="E35" s="86" t="s">
        <v>294</v>
      </c>
      <c r="H35" s="86" t="s">
        <v>927</v>
      </c>
    </row>
    <row r="36" spans="1:8">
      <c r="A36" s="86" t="s">
        <v>888</v>
      </c>
      <c r="B36" s="86" t="s">
        <v>887</v>
      </c>
      <c r="C36" s="87" t="s">
        <v>216</v>
      </c>
      <c r="D36" s="86" t="s">
        <v>463</v>
      </c>
      <c r="E36" s="86" t="s">
        <v>517</v>
      </c>
      <c r="H36" s="86" t="s">
        <v>648</v>
      </c>
    </row>
    <row r="37" spans="1:8">
      <c r="A37" s="86" t="s">
        <v>496</v>
      </c>
      <c r="B37" s="86" t="s">
        <v>495</v>
      </c>
      <c r="C37" s="87" t="s">
        <v>216</v>
      </c>
      <c r="D37" s="86" t="s">
        <v>463</v>
      </c>
      <c r="E37" s="86" t="s">
        <v>481</v>
      </c>
      <c r="H37" s="86" t="s">
        <v>927</v>
      </c>
    </row>
    <row r="38" spans="1:8">
      <c r="A38" s="86" t="s">
        <v>277</v>
      </c>
      <c r="B38" s="204" t="s">
        <v>462</v>
      </c>
      <c r="C38" s="87" t="s">
        <v>216</v>
      </c>
      <c r="D38" s="86" t="s">
        <v>463</v>
      </c>
      <c r="E38" s="86" t="s">
        <v>464</v>
      </c>
      <c r="F38" s="90"/>
      <c r="H38" s="86" t="s">
        <v>927</v>
      </c>
    </row>
    <row r="39" spans="1:8">
      <c r="A39" s="86" t="s">
        <v>912</v>
      </c>
      <c r="B39" s="86" t="s">
        <v>911</v>
      </c>
      <c r="C39" s="87" t="s">
        <v>216</v>
      </c>
      <c r="D39" s="86" t="s">
        <v>852</v>
      </c>
      <c r="E39" s="86" t="s">
        <v>464</v>
      </c>
      <c r="H39" s="86" t="s">
        <v>648</v>
      </c>
    </row>
    <row r="40" spans="1:8">
      <c r="A40" s="86" t="s">
        <v>867</v>
      </c>
      <c r="B40" s="86" t="s">
        <v>866</v>
      </c>
      <c r="C40" s="87" t="s">
        <v>216</v>
      </c>
      <c r="D40" s="86" t="s">
        <v>463</v>
      </c>
      <c r="E40" s="86" t="s">
        <v>464</v>
      </c>
      <c r="H40" s="86" t="s">
        <v>648</v>
      </c>
    </row>
    <row r="41" spans="1:8">
      <c r="A41" s="86" t="s">
        <v>939</v>
      </c>
      <c r="B41" s="204" t="s">
        <v>938</v>
      </c>
      <c r="C41" s="87" t="s">
        <v>216</v>
      </c>
      <c r="D41" s="86" t="s">
        <v>852</v>
      </c>
      <c r="E41" s="86" t="s">
        <v>1030</v>
      </c>
      <c r="H41" s="86" t="s">
        <v>1057</v>
      </c>
    </row>
    <row r="42" spans="1:8">
      <c r="A42" s="86" t="s">
        <v>712</v>
      </c>
      <c r="B42" s="86" t="s">
        <v>711</v>
      </c>
      <c r="C42" s="87" t="s">
        <v>216</v>
      </c>
      <c r="D42" s="86" t="s">
        <v>463</v>
      </c>
      <c r="E42" s="86" t="s">
        <v>517</v>
      </c>
      <c r="H42" s="86" t="s">
        <v>648</v>
      </c>
    </row>
    <row r="43" spans="1:8">
      <c r="A43" s="86" t="s">
        <v>1019</v>
      </c>
      <c r="B43" s="204" t="s">
        <v>1018</v>
      </c>
      <c r="C43" s="87" t="s">
        <v>216</v>
      </c>
      <c r="D43" s="86" t="s">
        <v>465</v>
      </c>
      <c r="E43" s="86" t="s">
        <v>1031</v>
      </c>
      <c r="H43" s="86" t="s">
        <v>1057</v>
      </c>
    </row>
    <row r="44" spans="1:8">
      <c r="A44" s="86" t="s">
        <v>615</v>
      </c>
      <c r="B44" s="86" t="s">
        <v>597</v>
      </c>
      <c r="C44" s="87" t="s">
        <v>216</v>
      </c>
      <c r="D44" s="86" t="s">
        <v>463</v>
      </c>
      <c r="E44" s="86" t="s">
        <v>617</v>
      </c>
      <c r="H44" s="86" t="s">
        <v>927</v>
      </c>
    </row>
    <row r="45" spans="1:8">
      <c r="A45" s="86" t="s">
        <v>770</v>
      </c>
      <c r="B45" s="86" t="s">
        <v>769</v>
      </c>
      <c r="C45" s="87" t="s">
        <v>216</v>
      </c>
      <c r="D45" s="86" t="s">
        <v>465</v>
      </c>
      <c r="E45" s="86" t="s">
        <v>481</v>
      </c>
      <c r="H45" s="86" t="s">
        <v>648</v>
      </c>
    </row>
    <row r="46" spans="1:8">
      <c r="A46" s="92" t="s">
        <v>964</v>
      </c>
      <c r="B46" s="204" t="s">
        <v>963</v>
      </c>
      <c r="C46" s="87" t="s">
        <v>216</v>
      </c>
      <c r="D46" s="86" t="s">
        <v>465</v>
      </c>
      <c r="E46" s="86" t="s">
        <v>1031</v>
      </c>
      <c r="F46" s="86" t="s">
        <v>1037</v>
      </c>
      <c r="H46" s="86" t="s">
        <v>1057</v>
      </c>
    </row>
    <row r="47" spans="1:8">
      <c r="A47" s="86" t="s">
        <v>772</v>
      </c>
      <c r="B47" s="86" t="s">
        <v>771</v>
      </c>
      <c r="C47" s="87" t="s">
        <v>216</v>
      </c>
      <c r="D47" s="86" t="s">
        <v>465</v>
      </c>
      <c r="E47" s="86" t="s">
        <v>294</v>
      </c>
      <c r="F47" s="86" t="s">
        <v>773</v>
      </c>
      <c r="H47" s="86" t="s">
        <v>648</v>
      </c>
    </row>
    <row r="48" spans="1:8">
      <c r="A48" s="86" t="s">
        <v>783</v>
      </c>
      <c r="B48" s="86" t="s">
        <v>782</v>
      </c>
      <c r="C48" s="87" t="s">
        <v>216</v>
      </c>
      <c r="D48" s="86" t="s">
        <v>463</v>
      </c>
      <c r="E48" s="86" t="s">
        <v>517</v>
      </c>
      <c r="H48" s="86" t="s">
        <v>648</v>
      </c>
    </row>
    <row r="49" spans="1:8">
      <c r="A49" s="86" t="s">
        <v>922</v>
      </c>
      <c r="B49" s="86" t="s">
        <v>921</v>
      </c>
      <c r="C49" s="87" t="s">
        <v>216</v>
      </c>
      <c r="D49" s="86" t="s">
        <v>463</v>
      </c>
      <c r="E49" s="86" t="s">
        <v>517</v>
      </c>
      <c r="H49" s="86" t="s">
        <v>648</v>
      </c>
    </row>
    <row r="50" spans="1:8">
      <c r="A50" s="86" t="s">
        <v>751</v>
      </c>
      <c r="B50" s="86" t="s">
        <v>738</v>
      </c>
      <c r="C50" s="87" t="s">
        <v>216</v>
      </c>
      <c r="D50" s="86" t="s">
        <v>463</v>
      </c>
      <c r="E50" s="86" t="s">
        <v>517</v>
      </c>
      <c r="H50" s="86" t="s">
        <v>648</v>
      </c>
    </row>
    <row r="51" spans="1:8">
      <c r="A51" s="86" t="s">
        <v>880</v>
      </c>
      <c r="B51" s="86" t="s">
        <v>879</v>
      </c>
      <c r="C51" s="87" t="s">
        <v>216</v>
      </c>
      <c r="D51" s="86" t="s">
        <v>463</v>
      </c>
      <c r="E51" s="86" t="s">
        <v>294</v>
      </c>
      <c r="H51" s="86" t="s">
        <v>648</v>
      </c>
    </row>
    <row r="52" spans="1:8">
      <c r="A52" s="92" t="s">
        <v>1000</v>
      </c>
      <c r="B52" s="204" t="s">
        <v>999</v>
      </c>
      <c r="C52" s="87" t="s">
        <v>216</v>
      </c>
      <c r="D52" s="86" t="s">
        <v>463</v>
      </c>
      <c r="E52" s="86" t="s">
        <v>1031</v>
      </c>
      <c r="H52" s="86" t="s">
        <v>1057</v>
      </c>
    </row>
    <row r="53" spans="1:8">
      <c r="A53" s="86" t="s">
        <v>611</v>
      </c>
      <c r="B53" s="86" t="s">
        <v>612</v>
      </c>
      <c r="C53" s="87" t="s">
        <v>216</v>
      </c>
      <c r="D53" s="86" t="s">
        <v>463</v>
      </c>
      <c r="E53" s="86" t="s">
        <v>517</v>
      </c>
      <c r="H53" s="86" t="s">
        <v>927</v>
      </c>
    </row>
    <row r="54" spans="1:8">
      <c r="A54" s="86" t="s">
        <v>746</v>
      </c>
      <c r="B54" s="86" t="s">
        <v>717</v>
      </c>
      <c r="C54" s="87" t="s">
        <v>216</v>
      </c>
      <c r="D54" s="86" t="s">
        <v>463</v>
      </c>
      <c r="E54" s="86" t="s">
        <v>481</v>
      </c>
      <c r="H54" s="86" t="s">
        <v>648</v>
      </c>
    </row>
    <row r="55" spans="1:8" ht="16" customHeight="1">
      <c r="A55" s="86" t="s">
        <v>897</v>
      </c>
      <c r="B55" s="86" t="s">
        <v>896</v>
      </c>
      <c r="C55" s="87" t="s">
        <v>216</v>
      </c>
      <c r="D55" s="86" t="s">
        <v>463</v>
      </c>
      <c r="E55" s="86" t="s">
        <v>517</v>
      </c>
      <c r="H55" s="86" t="s">
        <v>648</v>
      </c>
    </row>
    <row r="56" spans="1:8">
      <c r="A56" s="86" t="s">
        <v>858</v>
      </c>
      <c r="B56" s="86" t="s">
        <v>857</v>
      </c>
      <c r="C56" s="87" t="s">
        <v>216</v>
      </c>
      <c r="D56" s="86" t="s">
        <v>463</v>
      </c>
      <c r="E56" s="86" t="s">
        <v>464</v>
      </c>
      <c r="H56" s="86" t="s">
        <v>648</v>
      </c>
    </row>
    <row r="57" spans="1:8">
      <c r="A57" s="86" t="s">
        <v>941</v>
      </c>
      <c r="B57" s="204" t="s">
        <v>940</v>
      </c>
      <c r="C57" s="87" t="s">
        <v>216</v>
      </c>
      <c r="D57" s="86" t="s">
        <v>465</v>
      </c>
      <c r="E57" s="86" t="s">
        <v>1031</v>
      </c>
      <c r="H57" s="86" t="s">
        <v>1057</v>
      </c>
    </row>
    <row r="58" spans="1:8">
      <c r="A58" s="86" t="s">
        <v>505</v>
      </c>
      <c r="B58" s="86" t="s">
        <v>504</v>
      </c>
      <c r="C58" s="87" t="s">
        <v>216</v>
      </c>
      <c r="D58" s="86" t="s">
        <v>463</v>
      </c>
      <c r="E58" s="86" t="s">
        <v>464</v>
      </c>
      <c r="H58" s="86" t="s">
        <v>927</v>
      </c>
    </row>
    <row r="59" spans="1:8">
      <c r="A59" s="86" t="s">
        <v>731</v>
      </c>
      <c r="B59" s="86" t="s">
        <v>730</v>
      </c>
      <c r="C59" s="87" t="s">
        <v>216</v>
      </c>
      <c r="D59" s="86" t="s">
        <v>463</v>
      </c>
      <c r="E59" s="86" t="s">
        <v>517</v>
      </c>
      <c r="H59" s="86" t="s">
        <v>648</v>
      </c>
    </row>
    <row r="60" spans="1:8">
      <c r="A60" s="86" t="s">
        <v>957</v>
      </c>
      <c r="B60" s="204" t="s">
        <v>956</v>
      </c>
      <c r="C60" s="87" t="s">
        <v>216</v>
      </c>
      <c r="D60" s="86" t="s">
        <v>463</v>
      </c>
      <c r="E60" s="86" t="s">
        <v>517</v>
      </c>
      <c r="H60" s="86" t="s">
        <v>1057</v>
      </c>
    </row>
    <row r="61" spans="1:8">
      <c r="A61" s="92" t="s">
        <v>1004</v>
      </c>
      <c r="B61" s="204" t="s">
        <v>1003</v>
      </c>
      <c r="C61" s="87" t="s">
        <v>216</v>
      </c>
      <c r="D61" s="86" t="s">
        <v>463</v>
      </c>
      <c r="E61" s="86" t="s">
        <v>1031</v>
      </c>
      <c r="F61" s="86" t="s">
        <v>1046</v>
      </c>
      <c r="H61" s="86" t="s">
        <v>1057</v>
      </c>
    </row>
    <row r="62" spans="1:8">
      <c r="A62" s="90" t="s">
        <v>613</v>
      </c>
      <c r="B62" s="90" t="s">
        <v>614</v>
      </c>
      <c r="C62" s="87" t="s">
        <v>216</v>
      </c>
      <c r="D62" s="86" t="s">
        <v>463</v>
      </c>
      <c r="E62" s="86" t="s">
        <v>517</v>
      </c>
      <c r="H62" s="86" t="s">
        <v>927</v>
      </c>
    </row>
    <row r="63" spans="1:8">
      <c r="A63" s="86" t="s">
        <v>908</v>
      </c>
      <c r="B63" s="86" t="s">
        <v>907</v>
      </c>
      <c r="C63" s="87" t="s">
        <v>216</v>
      </c>
      <c r="D63" s="86" t="s">
        <v>463</v>
      </c>
      <c r="E63" s="86" t="s">
        <v>481</v>
      </c>
      <c r="H63" s="86" t="s">
        <v>648</v>
      </c>
    </row>
    <row r="64" spans="1:8">
      <c r="A64" s="86" t="s">
        <v>489</v>
      </c>
      <c r="B64" s="86" t="s">
        <v>490</v>
      </c>
      <c r="C64" s="87" t="s">
        <v>216</v>
      </c>
      <c r="D64" s="86" t="s">
        <v>463</v>
      </c>
      <c r="E64" s="86" t="s">
        <v>294</v>
      </c>
      <c r="F64" s="86" t="s">
        <v>488</v>
      </c>
      <c r="H64" s="86" t="s">
        <v>927</v>
      </c>
    </row>
    <row r="65" spans="1:8">
      <c r="A65" s="86" t="s">
        <v>736</v>
      </c>
      <c r="B65" s="86" t="s">
        <v>925</v>
      </c>
      <c r="C65" s="87" t="s">
        <v>216</v>
      </c>
      <c r="D65" s="86" t="s">
        <v>852</v>
      </c>
      <c r="E65" s="86" t="s">
        <v>464</v>
      </c>
      <c r="H65" s="86" t="s">
        <v>648</v>
      </c>
    </row>
    <row r="66" spans="1:8">
      <c r="A66" s="86" t="s">
        <v>750</v>
      </c>
      <c r="B66" s="86" t="s">
        <v>737</v>
      </c>
      <c r="C66" s="87" t="s">
        <v>216</v>
      </c>
      <c r="D66" s="86" t="s">
        <v>463</v>
      </c>
      <c r="E66" s="86" t="s">
        <v>517</v>
      </c>
      <c r="H66" s="86" t="s">
        <v>648</v>
      </c>
    </row>
    <row r="67" spans="1:8">
      <c r="A67" s="86" t="s">
        <v>540</v>
      </c>
      <c r="B67" s="86" t="s">
        <v>539</v>
      </c>
      <c r="C67" s="87" t="s">
        <v>216</v>
      </c>
      <c r="D67" s="86" t="s">
        <v>465</v>
      </c>
      <c r="E67" s="86" t="s">
        <v>294</v>
      </c>
      <c r="H67" s="86" t="s">
        <v>927</v>
      </c>
    </row>
    <row r="68" spans="1:8">
      <c r="A68" s="86" t="s">
        <v>904</v>
      </c>
      <c r="B68" s="86" t="s">
        <v>903</v>
      </c>
      <c r="C68" s="87" t="s">
        <v>216</v>
      </c>
      <c r="D68" s="86" t="s">
        <v>463</v>
      </c>
      <c r="E68" s="86" t="s">
        <v>464</v>
      </c>
      <c r="H68" s="86" t="s">
        <v>648</v>
      </c>
    </row>
    <row r="69" spans="1:8">
      <c r="A69" s="86" t="s">
        <v>493</v>
      </c>
      <c r="B69" s="86" t="s">
        <v>494</v>
      </c>
      <c r="C69" s="87" t="s">
        <v>216</v>
      </c>
      <c r="D69" s="86" t="s">
        <v>463</v>
      </c>
      <c r="E69" s="86" t="s">
        <v>481</v>
      </c>
      <c r="H69" s="86" t="s">
        <v>927</v>
      </c>
    </row>
    <row r="70" spans="1:8">
      <c r="A70" s="86" t="s">
        <v>972</v>
      </c>
      <c r="B70" s="204" t="s">
        <v>971</v>
      </c>
      <c r="C70" s="87" t="s">
        <v>216</v>
      </c>
      <c r="D70" s="86" t="s">
        <v>463</v>
      </c>
      <c r="E70" s="86" t="s">
        <v>464</v>
      </c>
      <c r="H70" s="86" t="s">
        <v>1057</v>
      </c>
    </row>
    <row r="71" spans="1:8">
      <c r="A71" s="92" t="s">
        <v>1008</v>
      </c>
      <c r="B71" s="204" t="s">
        <v>1007</v>
      </c>
      <c r="C71" s="87" t="s">
        <v>216</v>
      </c>
      <c r="D71" s="86" t="s">
        <v>465</v>
      </c>
      <c r="E71" s="86" t="s">
        <v>1031</v>
      </c>
      <c r="H71" s="86" t="s">
        <v>1057</v>
      </c>
    </row>
    <row r="72" spans="1:8">
      <c r="A72" s="92" t="s">
        <v>976</v>
      </c>
      <c r="B72" s="204" t="s">
        <v>975</v>
      </c>
      <c r="C72" s="87" t="s">
        <v>216</v>
      </c>
      <c r="D72" s="86" t="s">
        <v>465</v>
      </c>
      <c r="E72" s="86" t="s">
        <v>1031</v>
      </c>
      <c r="H72" s="86" t="s">
        <v>1057</v>
      </c>
    </row>
    <row r="73" spans="1:8">
      <c r="A73" s="86" t="s">
        <v>822</v>
      </c>
      <c r="B73" s="86" t="s">
        <v>821</v>
      </c>
      <c r="C73" s="87" t="s">
        <v>216</v>
      </c>
      <c r="D73" s="86" t="s">
        <v>463</v>
      </c>
      <c r="E73" s="86" t="s">
        <v>481</v>
      </c>
      <c r="H73" s="86" t="s">
        <v>648</v>
      </c>
    </row>
    <row r="74" spans="1:8">
      <c r="A74" s="86" t="s">
        <v>951</v>
      </c>
      <c r="B74" s="204" t="s">
        <v>950</v>
      </c>
      <c r="C74" s="87" t="s">
        <v>216</v>
      </c>
      <c r="D74" s="86" t="s">
        <v>465</v>
      </c>
      <c r="E74" s="86" t="s">
        <v>1036</v>
      </c>
      <c r="H74" s="86" t="s">
        <v>1057</v>
      </c>
    </row>
    <row r="75" spans="1:8">
      <c r="A75" s="86" t="s">
        <v>560</v>
      </c>
      <c r="B75" s="204" t="s">
        <v>962</v>
      </c>
      <c r="C75" s="87" t="s">
        <v>216</v>
      </c>
      <c r="D75" s="86" t="s">
        <v>465</v>
      </c>
      <c r="E75" s="86" t="s">
        <v>1031</v>
      </c>
      <c r="H75" s="86" t="s">
        <v>1057</v>
      </c>
    </row>
    <row r="76" spans="1:8">
      <c r="A76" s="86" t="s">
        <v>560</v>
      </c>
      <c r="B76" s="86" t="s">
        <v>559</v>
      </c>
      <c r="C76" s="87" t="s">
        <v>216</v>
      </c>
      <c r="D76" s="86" t="s">
        <v>463</v>
      </c>
      <c r="E76" s="86" t="s">
        <v>294</v>
      </c>
      <c r="H76" s="86" t="s">
        <v>927</v>
      </c>
    </row>
    <row r="77" spans="1:8">
      <c r="A77" s="86" t="s">
        <v>998</v>
      </c>
      <c r="B77" s="204" t="s">
        <v>997</v>
      </c>
      <c r="C77" s="87" t="s">
        <v>216</v>
      </c>
      <c r="D77" s="86" t="s">
        <v>465</v>
      </c>
      <c r="E77" s="86" t="s">
        <v>517</v>
      </c>
      <c r="H77" s="86" t="s">
        <v>1057</v>
      </c>
    </row>
    <row r="78" spans="1:8">
      <c r="A78" s="86" t="s">
        <v>955</v>
      </c>
      <c r="B78" s="204" t="s">
        <v>954</v>
      </c>
      <c r="C78" s="87" t="s">
        <v>216</v>
      </c>
      <c r="D78" s="86" t="s">
        <v>852</v>
      </c>
      <c r="E78" s="86" t="s">
        <v>517</v>
      </c>
      <c r="H78" s="86" t="s">
        <v>1057</v>
      </c>
    </row>
    <row r="79" spans="1:8">
      <c r="A79" s="86" t="s">
        <v>953</v>
      </c>
      <c r="B79" s="204" t="s">
        <v>952</v>
      </c>
      <c r="C79" s="87" t="s">
        <v>216</v>
      </c>
      <c r="D79" s="86" t="s">
        <v>465</v>
      </c>
      <c r="E79" s="86" t="s">
        <v>1031</v>
      </c>
      <c r="H79" s="86" t="s">
        <v>1057</v>
      </c>
    </row>
    <row r="80" spans="1:8">
      <c r="A80" s="86" t="s">
        <v>279</v>
      </c>
      <c r="B80" s="86" t="s">
        <v>278</v>
      </c>
      <c r="C80" s="87" t="s">
        <v>216</v>
      </c>
      <c r="D80" s="86" t="s">
        <v>463</v>
      </c>
      <c r="E80" s="86" t="s">
        <v>464</v>
      </c>
      <c r="H80" s="86" t="s">
        <v>927</v>
      </c>
    </row>
    <row r="81" spans="1:8">
      <c r="A81" s="86" t="s">
        <v>606</v>
      </c>
      <c r="B81" s="86" t="s">
        <v>607</v>
      </c>
      <c r="C81" s="87" t="s">
        <v>216</v>
      </c>
      <c r="D81" s="86" t="s">
        <v>463</v>
      </c>
      <c r="E81" s="86" t="s">
        <v>464</v>
      </c>
      <c r="H81" s="86" t="s">
        <v>927</v>
      </c>
    </row>
    <row r="82" spans="1:8">
      <c r="A82" s="86" t="s">
        <v>803</v>
      </c>
      <c r="B82" s="86" t="s">
        <v>802</v>
      </c>
      <c r="C82" s="87" t="s">
        <v>216</v>
      </c>
      <c r="D82" s="86" t="s">
        <v>463</v>
      </c>
      <c r="E82" s="86" t="s">
        <v>464</v>
      </c>
      <c r="H82" s="86" t="s">
        <v>648</v>
      </c>
    </row>
    <row r="83" spans="1:8">
      <c r="A83" s="86" t="s">
        <v>917</v>
      </c>
      <c r="B83" s="86" t="s">
        <v>916</v>
      </c>
      <c r="C83" s="87" t="s">
        <v>216</v>
      </c>
      <c r="D83" s="86" t="s">
        <v>463</v>
      </c>
      <c r="E83" s="86" t="s">
        <v>464</v>
      </c>
      <c r="H83" s="86" t="s">
        <v>648</v>
      </c>
    </row>
    <row r="84" spans="1:8">
      <c r="A84" s="86" t="s">
        <v>608</v>
      </c>
      <c r="B84" s="86" t="s">
        <v>609</v>
      </c>
      <c r="C84" s="87" t="s">
        <v>216</v>
      </c>
      <c r="D84" s="86" t="s">
        <v>463</v>
      </c>
      <c r="E84" s="86" t="s">
        <v>610</v>
      </c>
      <c r="H84" s="86" t="s">
        <v>927</v>
      </c>
    </row>
    <row r="85" spans="1:8">
      <c r="A85" s="86" t="s">
        <v>591</v>
      </c>
      <c r="B85" s="86" t="s">
        <v>590</v>
      </c>
      <c r="C85" s="87" t="s">
        <v>216</v>
      </c>
      <c r="D85" s="86" t="s">
        <v>465</v>
      </c>
      <c r="E85" s="86" t="s">
        <v>294</v>
      </c>
      <c r="H85" s="86" t="s">
        <v>927</v>
      </c>
    </row>
    <row r="86" spans="1:8">
      <c r="A86" s="86" t="s">
        <v>502</v>
      </c>
      <c r="B86" s="86" t="s">
        <v>503</v>
      </c>
      <c r="C86" s="87" t="s">
        <v>216</v>
      </c>
      <c r="D86" s="86" t="s">
        <v>465</v>
      </c>
      <c r="E86" s="86" t="s">
        <v>294</v>
      </c>
      <c r="F86" s="86" t="s">
        <v>501</v>
      </c>
      <c r="H86" s="86" t="s">
        <v>927</v>
      </c>
    </row>
    <row r="87" spans="1:8">
      <c r="A87" s="86" t="s">
        <v>500</v>
      </c>
      <c r="B87" s="86" t="s">
        <v>499</v>
      </c>
      <c r="C87" s="87" t="s">
        <v>216</v>
      </c>
      <c r="D87" s="86" t="s">
        <v>465</v>
      </c>
      <c r="E87" s="86" t="s">
        <v>294</v>
      </c>
      <c r="H87" s="86" t="s">
        <v>927</v>
      </c>
    </row>
    <row r="88" spans="1:8">
      <c r="A88" s="86" t="s">
        <v>752</v>
      </c>
      <c r="B88" s="86" t="s">
        <v>744</v>
      </c>
      <c r="C88" s="87" t="s">
        <v>216</v>
      </c>
      <c r="D88" s="86" t="s">
        <v>463</v>
      </c>
      <c r="E88" s="86" t="s">
        <v>517</v>
      </c>
      <c r="H88" s="86" t="s">
        <v>648</v>
      </c>
    </row>
    <row r="89" spans="1:8">
      <c r="A89" s="86" t="s">
        <v>748</v>
      </c>
      <c r="B89" s="86" t="s">
        <v>720</v>
      </c>
      <c r="C89" s="87" t="s">
        <v>216</v>
      </c>
      <c r="D89" s="86" t="s">
        <v>463</v>
      </c>
      <c r="E89" s="86" t="s">
        <v>481</v>
      </c>
      <c r="H89" s="86" t="s">
        <v>648</v>
      </c>
    </row>
    <row r="90" spans="1:8">
      <c r="A90" s="86" t="s">
        <v>856</v>
      </c>
      <c r="B90" s="86" t="s">
        <v>855</v>
      </c>
      <c r="C90" s="87" t="s">
        <v>216</v>
      </c>
      <c r="D90" s="86" t="s">
        <v>463</v>
      </c>
      <c r="E90" s="86" t="s">
        <v>464</v>
      </c>
      <c r="H90" s="86" t="s">
        <v>648</v>
      </c>
    </row>
    <row r="91" spans="1:8">
      <c r="A91" s="86" t="s">
        <v>882</v>
      </c>
      <c r="B91" s="86" t="s">
        <v>881</v>
      </c>
      <c r="C91" s="87" t="s">
        <v>216</v>
      </c>
      <c r="D91" s="86" t="s">
        <v>463</v>
      </c>
      <c r="E91" s="86" t="s">
        <v>294</v>
      </c>
      <c r="H91" s="86" t="s">
        <v>648</v>
      </c>
    </row>
    <row r="92" spans="1:8">
      <c r="A92" s="86" t="s">
        <v>890</v>
      </c>
      <c r="B92" s="86" t="s">
        <v>889</v>
      </c>
      <c r="C92" s="87" t="s">
        <v>216</v>
      </c>
      <c r="D92" s="86" t="s">
        <v>463</v>
      </c>
      <c r="E92" s="86" t="s">
        <v>464</v>
      </c>
      <c r="H92" s="86" t="s">
        <v>648</v>
      </c>
    </row>
    <row r="93" spans="1:8">
      <c r="A93" s="86" t="s">
        <v>791</v>
      </c>
      <c r="B93" s="86" t="s">
        <v>790</v>
      </c>
      <c r="C93" s="87" t="s">
        <v>216</v>
      </c>
      <c r="D93" s="86" t="s">
        <v>463</v>
      </c>
      <c r="E93" s="86" t="s">
        <v>464</v>
      </c>
      <c r="H93" s="86" t="s">
        <v>648</v>
      </c>
    </row>
    <row r="94" spans="1:8">
      <c r="A94" s="86" t="s">
        <v>743</v>
      </c>
      <c r="B94" s="86" t="s">
        <v>742</v>
      </c>
      <c r="C94" s="87" t="s">
        <v>216</v>
      </c>
      <c r="D94" s="86" t="s">
        <v>463</v>
      </c>
      <c r="E94" s="86" t="s">
        <v>517</v>
      </c>
      <c r="H94" s="86" t="s">
        <v>648</v>
      </c>
    </row>
    <row r="95" spans="1:8">
      <c r="A95" s="86" t="s">
        <v>491</v>
      </c>
      <c r="B95" s="86" t="s">
        <v>492</v>
      </c>
      <c r="C95" s="87" t="s">
        <v>216</v>
      </c>
      <c r="D95" s="86" t="s">
        <v>463</v>
      </c>
      <c r="E95" s="86" t="s">
        <v>294</v>
      </c>
      <c r="H95" s="86" t="s">
        <v>927</v>
      </c>
    </row>
    <row r="96" spans="1:8">
      <c r="A96" s="86" t="s">
        <v>828</v>
      </c>
      <c r="B96" s="86" t="s">
        <v>827</v>
      </c>
      <c r="C96" s="87" t="s">
        <v>216</v>
      </c>
      <c r="D96" s="86" t="s">
        <v>465</v>
      </c>
      <c r="E96" s="86" t="s">
        <v>829</v>
      </c>
      <c r="H96" s="86" t="s">
        <v>648</v>
      </c>
    </row>
    <row r="97" spans="1:8">
      <c r="A97" s="86" t="s">
        <v>1033</v>
      </c>
      <c r="B97" s="86" t="s">
        <v>1032</v>
      </c>
      <c r="C97" s="87" t="s">
        <v>216</v>
      </c>
      <c r="D97" s="86" t="s">
        <v>465</v>
      </c>
      <c r="E97" s="86" t="s">
        <v>294</v>
      </c>
      <c r="F97" s="86" t="s">
        <v>1035</v>
      </c>
      <c r="H97" s="86" t="s">
        <v>1034</v>
      </c>
    </row>
    <row r="98" spans="1:8">
      <c r="A98" s="86" t="s">
        <v>986</v>
      </c>
      <c r="B98" s="204" t="s">
        <v>985</v>
      </c>
      <c r="C98" s="87" t="s">
        <v>216</v>
      </c>
      <c r="D98" s="86" t="s">
        <v>463</v>
      </c>
      <c r="E98" s="86" t="s">
        <v>517</v>
      </c>
      <c r="H98" s="86" t="s">
        <v>1057</v>
      </c>
    </row>
    <row r="99" spans="1:8">
      <c r="A99" s="86" t="s">
        <v>747</v>
      </c>
      <c r="B99" s="86" t="s">
        <v>718</v>
      </c>
      <c r="C99" s="87" t="s">
        <v>216</v>
      </c>
      <c r="D99" s="86" t="s">
        <v>465</v>
      </c>
      <c r="E99" s="86" t="s">
        <v>294</v>
      </c>
      <c r="F99" s="86" t="s">
        <v>719</v>
      </c>
      <c r="H99" s="86" t="s">
        <v>648</v>
      </c>
    </row>
    <row r="100" spans="1:8">
      <c r="A100" s="86" t="s">
        <v>536</v>
      </c>
      <c r="B100" s="86" t="s">
        <v>535</v>
      </c>
      <c r="C100" s="87" t="s">
        <v>216</v>
      </c>
      <c r="D100" s="86" t="s">
        <v>463</v>
      </c>
      <c r="E100" s="86" t="s">
        <v>294</v>
      </c>
      <c r="H100" s="86" t="s">
        <v>927</v>
      </c>
    </row>
    <row r="101" spans="1:8">
      <c r="A101" s="86" t="s">
        <v>740</v>
      </c>
      <c r="B101" s="86" t="s">
        <v>739</v>
      </c>
      <c r="C101" s="87" t="s">
        <v>216</v>
      </c>
      <c r="D101" s="86" t="s">
        <v>465</v>
      </c>
      <c r="E101" s="86" t="s">
        <v>741</v>
      </c>
      <c r="H101" s="86" t="s">
        <v>648</v>
      </c>
    </row>
    <row r="102" spans="1:8">
      <c r="A102" s="86" t="s">
        <v>740</v>
      </c>
      <c r="B102" s="86" t="s">
        <v>863</v>
      </c>
      <c r="C102" s="87" t="s">
        <v>216</v>
      </c>
      <c r="D102" s="86" t="s">
        <v>463</v>
      </c>
      <c r="E102" s="86" t="s">
        <v>464</v>
      </c>
      <c r="H102" s="86" t="s">
        <v>648</v>
      </c>
    </row>
    <row r="103" spans="1:8">
      <c r="A103" s="86" t="s">
        <v>978</v>
      </c>
      <c r="B103" s="204" t="s">
        <v>977</v>
      </c>
      <c r="C103" s="87" t="s">
        <v>216</v>
      </c>
      <c r="D103" s="86" t="s">
        <v>465</v>
      </c>
      <c r="E103" s="86" t="s">
        <v>1041</v>
      </c>
      <c r="F103" s="86" t="s">
        <v>1042</v>
      </c>
      <c r="H103" s="86" t="s">
        <v>1057</v>
      </c>
    </row>
    <row r="104" spans="1:8">
      <c r="A104" s="86" t="s">
        <v>283</v>
      </c>
      <c r="B104" s="86" t="s">
        <v>282</v>
      </c>
      <c r="C104" s="87" t="s">
        <v>216</v>
      </c>
      <c r="D104" s="86" t="s">
        <v>463</v>
      </c>
      <c r="E104" s="86" t="s">
        <v>294</v>
      </c>
      <c r="H104" s="86" t="s">
        <v>927</v>
      </c>
    </row>
    <row r="105" spans="1:8">
      <c r="A105" s="86" t="s">
        <v>543</v>
      </c>
      <c r="B105" s="86" t="s">
        <v>542</v>
      </c>
      <c r="C105" s="87" t="s">
        <v>216</v>
      </c>
      <c r="D105" s="86" t="s">
        <v>465</v>
      </c>
      <c r="E105" s="86" t="s">
        <v>294</v>
      </c>
      <c r="F105" s="86" t="s">
        <v>616</v>
      </c>
      <c r="H105" s="86" t="s">
        <v>927</v>
      </c>
    </row>
    <row r="106" spans="1:8">
      <c r="A106" s="94" t="s">
        <v>543</v>
      </c>
      <c r="B106" s="94" t="s">
        <v>542</v>
      </c>
      <c r="C106" s="87" t="s">
        <v>216</v>
      </c>
      <c r="D106" s="86" t="s">
        <v>465</v>
      </c>
      <c r="E106" s="86" t="s">
        <v>1031</v>
      </c>
      <c r="F106" s="94" t="s">
        <v>1088</v>
      </c>
      <c r="H106" s="86" t="s">
        <v>1034</v>
      </c>
    </row>
    <row r="107" spans="1:8">
      <c r="A107" s="86" t="s">
        <v>508</v>
      </c>
      <c r="B107" s="86" t="s">
        <v>507</v>
      </c>
      <c r="C107" s="87" t="s">
        <v>216</v>
      </c>
      <c r="D107" s="86" t="s">
        <v>465</v>
      </c>
      <c r="E107" s="86" t="s">
        <v>294</v>
      </c>
      <c r="F107" s="86" t="s">
        <v>506</v>
      </c>
      <c r="H107" s="86" t="s">
        <v>927</v>
      </c>
    </row>
    <row r="108" spans="1:8">
      <c r="A108" s="86" t="s">
        <v>877</v>
      </c>
      <c r="B108" s="86" t="s">
        <v>876</v>
      </c>
      <c r="C108" s="87" t="s">
        <v>216</v>
      </c>
      <c r="D108" s="86" t="s">
        <v>465</v>
      </c>
      <c r="E108" s="86" t="s">
        <v>294</v>
      </c>
      <c r="F108" s="86" t="s">
        <v>878</v>
      </c>
      <c r="H108" s="86" t="s">
        <v>648</v>
      </c>
    </row>
    <row r="109" spans="1:8">
      <c r="A109" s="86" t="s">
        <v>476</v>
      </c>
      <c r="B109" s="86" t="s">
        <v>475</v>
      </c>
      <c r="C109" s="87" t="s">
        <v>216</v>
      </c>
      <c r="D109" s="86" t="s">
        <v>465</v>
      </c>
      <c r="E109" s="86" t="s">
        <v>294</v>
      </c>
      <c r="F109" s="86" t="s">
        <v>477</v>
      </c>
      <c r="G109" s="86" t="s">
        <v>478</v>
      </c>
      <c r="H109" s="86" t="s">
        <v>927</v>
      </c>
    </row>
    <row r="110" spans="1:8">
      <c r="A110" s="86" t="s">
        <v>735</v>
      </c>
      <c r="B110" s="86" t="s">
        <v>734</v>
      </c>
      <c r="C110" s="87" t="s">
        <v>216</v>
      </c>
      <c r="D110" s="86" t="s">
        <v>463</v>
      </c>
      <c r="E110" s="86" t="s">
        <v>517</v>
      </c>
      <c r="H110" s="86" t="s">
        <v>648</v>
      </c>
    </row>
    <row r="111" spans="1:8">
      <c r="A111" s="86" t="s">
        <v>869</v>
      </c>
      <c r="B111" s="86" t="s">
        <v>868</v>
      </c>
      <c r="C111" s="87" t="s">
        <v>216</v>
      </c>
      <c r="D111" s="86" t="s">
        <v>463</v>
      </c>
      <c r="E111" s="86" t="s">
        <v>517</v>
      </c>
      <c r="H111" s="86" t="s">
        <v>648</v>
      </c>
    </row>
    <row r="112" spans="1:8">
      <c r="A112" s="86" t="s">
        <v>801</v>
      </c>
      <c r="B112" s="86" t="s">
        <v>800</v>
      </c>
      <c r="C112" s="87" t="s">
        <v>216</v>
      </c>
      <c r="D112" s="86" t="s">
        <v>463</v>
      </c>
      <c r="E112" s="86" t="s">
        <v>464</v>
      </c>
      <c r="H112" s="86" t="s">
        <v>648</v>
      </c>
    </row>
    <row r="113" spans="1:8">
      <c r="A113" s="86" t="s">
        <v>943</v>
      </c>
      <c r="B113" s="204" t="s">
        <v>942</v>
      </c>
      <c r="C113" s="87" t="s">
        <v>216</v>
      </c>
      <c r="D113" s="86" t="s">
        <v>463</v>
      </c>
      <c r="E113" s="86" t="s">
        <v>464</v>
      </c>
      <c r="H113" s="86" t="s">
        <v>1057</v>
      </c>
    </row>
    <row r="114" spans="1:8">
      <c r="A114" s="86" t="s">
        <v>931</v>
      </c>
      <c r="B114" s="204" t="s">
        <v>930</v>
      </c>
      <c r="C114" s="87" t="s">
        <v>216</v>
      </c>
      <c r="D114" s="86" t="s">
        <v>465</v>
      </c>
      <c r="E114" s="86" t="s">
        <v>464</v>
      </c>
      <c r="F114" s="86" t="s">
        <v>1028</v>
      </c>
      <c r="H114" s="86" t="s">
        <v>1057</v>
      </c>
    </row>
    <row r="115" spans="1:8">
      <c r="A115" s="86" t="s">
        <v>833</v>
      </c>
      <c r="B115" s="86" t="s">
        <v>832</v>
      </c>
      <c r="C115" s="87" t="s">
        <v>216</v>
      </c>
      <c r="D115" s="86" t="s">
        <v>463</v>
      </c>
      <c r="E115" s="86" t="s">
        <v>481</v>
      </c>
      <c r="H115" s="86" t="s">
        <v>648</v>
      </c>
    </row>
    <row r="116" spans="1:8">
      <c r="A116" s="86" t="s">
        <v>775</v>
      </c>
      <c r="B116" s="86" t="s">
        <v>774</v>
      </c>
      <c r="C116" s="87" t="s">
        <v>216</v>
      </c>
      <c r="D116" s="86" t="s">
        <v>465</v>
      </c>
      <c r="E116" s="86" t="s">
        <v>294</v>
      </c>
      <c r="F116" s="86" t="s">
        <v>150</v>
      </c>
      <c r="H116" s="86" t="s">
        <v>648</v>
      </c>
    </row>
    <row r="117" spans="1:8">
      <c r="A117" s="86" t="s">
        <v>914</v>
      </c>
      <c r="B117" s="86" t="s">
        <v>913</v>
      </c>
      <c r="C117" s="87" t="s">
        <v>216</v>
      </c>
      <c r="D117" s="86" t="s">
        <v>463</v>
      </c>
      <c r="E117" s="86" t="s">
        <v>517</v>
      </c>
      <c r="H117" s="86" t="s">
        <v>648</v>
      </c>
    </row>
    <row r="118" spans="1:8">
      <c r="A118" s="86" t="s">
        <v>534</v>
      </c>
      <c r="B118" s="86" t="s">
        <v>533</v>
      </c>
      <c r="C118" s="87" t="s">
        <v>216</v>
      </c>
      <c r="D118" s="86" t="s">
        <v>463</v>
      </c>
      <c r="E118" s="86" t="s">
        <v>294</v>
      </c>
      <c r="H118" s="86" t="s">
        <v>927</v>
      </c>
    </row>
    <row r="119" spans="1:8">
      <c r="A119" s="92" t="s">
        <v>992</v>
      </c>
      <c r="B119" s="204" t="s">
        <v>991</v>
      </c>
      <c r="C119" s="87" t="s">
        <v>216</v>
      </c>
      <c r="D119" s="86" t="s">
        <v>465</v>
      </c>
      <c r="E119" s="86" t="s">
        <v>464</v>
      </c>
      <c r="H119" s="86" t="s">
        <v>1057</v>
      </c>
    </row>
    <row r="120" spans="1:8">
      <c r="A120" s="86" t="s">
        <v>910</v>
      </c>
      <c r="B120" s="86" t="s">
        <v>909</v>
      </c>
      <c r="C120" s="87" t="s">
        <v>216</v>
      </c>
      <c r="D120" s="86" t="s">
        <v>463</v>
      </c>
      <c r="E120" s="86" t="s">
        <v>464</v>
      </c>
      <c r="H120" s="86" t="s">
        <v>648</v>
      </c>
    </row>
    <row r="121" spans="1:8">
      <c r="A121" s="86" t="s">
        <v>819</v>
      </c>
      <c r="B121" s="86" t="s">
        <v>818</v>
      </c>
      <c r="C121" s="87" t="s">
        <v>216</v>
      </c>
      <c r="D121" s="86" t="s">
        <v>463</v>
      </c>
      <c r="E121" s="86" t="s">
        <v>464</v>
      </c>
      <c r="H121" s="86" t="s">
        <v>648</v>
      </c>
    </row>
    <row r="122" spans="1:8">
      <c r="A122" s="86" t="s">
        <v>819</v>
      </c>
      <c r="B122" s="86" t="s">
        <v>820</v>
      </c>
      <c r="C122" s="87" t="s">
        <v>216</v>
      </c>
      <c r="D122" s="86" t="s">
        <v>463</v>
      </c>
      <c r="E122" s="86" t="s">
        <v>517</v>
      </c>
      <c r="H122" s="86" t="s">
        <v>648</v>
      </c>
    </row>
    <row r="123" spans="1:8">
      <c r="A123" s="86" t="s">
        <v>851</v>
      </c>
      <c r="B123" s="86" t="s">
        <v>850</v>
      </c>
      <c r="C123" s="87" t="s">
        <v>216</v>
      </c>
      <c r="D123" s="86" t="s">
        <v>852</v>
      </c>
      <c r="E123" s="86" t="s">
        <v>464</v>
      </c>
      <c r="H123" s="86" t="s">
        <v>648</v>
      </c>
    </row>
    <row r="124" spans="1:8">
      <c r="A124" s="86" t="s">
        <v>847</v>
      </c>
      <c r="B124" s="86" t="s">
        <v>846</v>
      </c>
      <c r="C124" s="87" t="s">
        <v>216</v>
      </c>
      <c r="D124" s="86" t="s">
        <v>463</v>
      </c>
      <c r="E124" s="86" t="s">
        <v>294</v>
      </c>
      <c r="F124" s="86" t="s">
        <v>808</v>
      </c>
      <c r="H124" s="86" t="s">
        <v>648</v>
      </c>
    </row>
    <row r="125" spans="1:8">
      <c r="A125" s="86" t="s">
        <v>1048</v>
      </c>
      <c r="B125" s="204" t="s">
        <v>1061</v>
      </c>
      <c r="C125" s="87" t="s">
        <v>216</v>
      </c>
      <c r="D125" s="86" t="s">
        <v>463</v>
      </c>
      <c r="E125" s="86" t="s">
        <v>1031</v>
      </c>
      <c r="H125" s="86" t="s">
        <v>1057</v>
      </c>
    </row>
    <row r="126" spans="1:8">
      <c r="A126" s="86" t="s">
        <v>812</v>
      </c>
      <c r="B126" s="86" t="s">
        <v>811</v>
      </c>
      <c r="C126" s="87" t="s">
        <v>216</v>
      </c>
      <c r="D126" s="86" t="s">
        <v>463</v>
      </c>
      <c r="E126" s="86" t="s">
        <v>481</v>
      </c>
      <c r="H126" s="86" t="s">
        <v>648</v>
      </c>
    </row>
    <row r="127" spans="1:8">
      <c r="A127" s="86" t="s">
        <v>843</v>
      </c>
      <c r="B127" s="93" t="s">
        <v>842</v>
      </c>
      <c r="C127" s="87" t="s">
        <v>216</v>
      </c>
      <c r="D127" s="86" t="s">
        <v>463</v>
      </c>
      <c r="E127" s="86" t="s">
        <v>517</v>
      </c>
      <c r="H127" s="86" t="s">
        <v>648</v>
      </c>
    </row>
    <row r="128" spans="1:8">
      <c r="A128" s="86" t="s">
        <v>849</v>
      </c>
      <c r="B128" s="86" t="s">
        <v>848</v>
      </c>
      <c r="C128" s="87" t="s">
        <v>216</v>
      </c>
      <c r="D128" s="86" t="s">
        <v>463</v>
      </c>
      <c r="E128" s="86" t="s">
        <v>464</v>
      </c>
      <c r="H128" s="86" t="s">
        <v>648</v>
      </c>
    </row>
    <row r="129" spans="1:8">
      <c r="A129" s="86" t="s">
        <v>865</v>
      </c>
      <c r="B129" s="86" t="s">
        <v>864</v>
      </c>
      <c r="C129" s="87" t="s">
        <v>216</v>
      </c>
      <c r="D129" s="86" t="s">
        <v>463</v>
      </c>
      <c r="E129" s="86" t="s">
        <v>464</v>
      </c>
      <c r="H129" s="86" t="s">
        <v>648</v>
      </c>
    </row>
    <row r="130" spans="1:8">
      <c r="A130" s="86" t="s">
        <v>831</v>
      </c>
      <c r="B130" s="86" t="s">
        <v>830</v>
      </c>
      <c r="C130" s="87" t="s">
        <v>216</v>
      </c>
      <c r="D130" s="86" t="s">
        <v>463</v>
      </c>
      <c r="E130" s="86" t="s">
        <v>464</v>
      </c>
      <c r="H130" s="86" t="s">
        <v>648</v>
      </c>
    </row>
    <row r="131" spans="1:8">
      <c r="A131" s="86" t="s">
        <v>831</v>
      </c>
      <c r="B131" s="86" t="s">
        <v>900</v>
      </c>
      <c r="C131" s="87" t="s">
        <v>216</v>
      </c>
      <c r="D131" s="86" t="s">
        <v>463</v>
      </c>
      <c r="E131" s="86" t="s">
        <v>464</v>
      </c>
      <c r="H131" s="86" t="s">
        <v>648</v>
      </c>
    </row>
    <row r="132" spans="1:8">
      <c r="A132" s="86" t="s">
        <v>994</v>
      </c>
      <c r="B132" s="204" t="s">
        <v>993</v>
      </c>
      <c r="C132" s="87" t="s">
        <v>216</v>
      </c>
      <c r="D132" s="86" t="s">
        <v>463</v>
      </c>
      <c r="E132" s="86" t="s">
        <v>1031</v>
      </c>
      <c r="H132" s="86" t="s">
        <v>1057</v>
      </c>
    </row>
    <row r="133" spans="1:8">
      <c r="A133" s="86" t="s">
        <v>1067</v>
      </c>
      <c r="B133" s="86" t="s">
        <v>1066</v>
      </c>
      <c r="C133" s="87" t="s">
        <v>216</v>
      </c>
      <c r="D133" s="86" t="s">
        <v>463</v>
      </c>
      <c r="E133" s="86" t="s">
        <v>1068</v>
      </c>
      <c r="H133" s="86" t="s">
        <v>1057</v>
      </c>
    </row>
    <row r="134" spans="1:8">
      <c r="A134" s="86" t="s">
        <v>547</v>
      </c>
      <c r="B134" s="86" t="s">
        <v>546</v>
      </c>
      <c r="C134" s="87" t="s">
        <v>216</v>
      </c>
      <c r="D134" s="86" t="s">
        <v>465</v>
      </c>
      <c r="E134" s="86" t="s">
        <v>294</v>
      </c>
      <c r="H134" s="86" t="s">
        <v>927</v>
      </c>
    </row>
    <row r="135" spans="1:8">
      <c r="A135" s="86" t="s">
        <v>793</v>
      </c>
      <c r="B135" s="86" t="s">
        <v>792</v>
      </c>
      <c r="C135" s="87" t="s">
        <v>216</v>
      </c>
      <c r="D135" s="86" t="s">
        <v>852</v>
      </c>
      <c r="E135" s="86" t="s">
        <v>464</v>
      </c>
      <c r="H135" s="86" t="s">
        <v>648</v>
      </c>
    </row>
    <row r="136" spans="1:8">
      <c r="A136" s="86" t="s">
        <v>733</v>
      </c>
      <c r="B136" s="86" t="s">
        <v>732</v>
      </c>
      <c r="C136" s="87" t="s">
        <v>216</v>
      </c>
      <c r="D136" s="86" t="s">
        <v>465</v>
      </c>
      <c r="E136" s="86" t="s">
        <v>464</v>
      </c>
      <c r="H136" s="86" t="s">
        <v>648</v>
      </c>
    </row>
    <row r="137" spans="1:8">
      <c r="A137" s="86" t="s">
        <v>845</v>
      </c>
      <c r="B137" s="86" t="s">
        <v>844</v>
      </c>
      <c r="C137" s="87" t="s">
        <v>216</v>
      </c>
      <c r="D137" s="86" t="s">
        <v>463</v>
      </c>
      <c r="E137" s="86" t="s">
        <v>517</v>
      </c>
      <c r="H137" s="86" t="s">
        <v>648</v>
      </c>
    </row>
    <row r="138" spans="1:8">
      <c r="A138" s="86" t="s">
        <v>755</v>
      </c>
      <c r="B138" s="86" t="s">
        <v>754</v>
      </c>
      <c r="C138" s="87" t="s">
        <v>216</v>
      </c>
      <c r="D138" s="86" t="s">
        <v>463</v>
      </c>
      <c r="E138" s="86" t="s">
        <v>517</v>
      </c>
      <c r="H138" s="86" t="s">
        <v>648</v>
      </c>
    </row>
    <row r="139" spans="1:8">
      <c r="A139" s="86" t="s">
        <v>759</v>
      </c>
      <c r="B139" s="86" t="s">
        <v>758</v>
      </c>
      <c r="C139" s="87" t="s">
        <v>216</v>
      </c>
      <c r="D139" s="86" t="s">
        <v>852</v>
      </c>
      <c r="E139" s="86" t="s">
        <v>464</v>
      </c>
      <c r="H139" s="86" t="s">
        <v>648</v>
      </c>
    </row>
    <row r="140" spans="1:8">
      <c r="A140" s="86" t="s">
        <v>784</v>
      </c>
      <c r="B140" s="86" t="s">
        <v>1058</v>
      </c>
      <c r="C140" s="87" t="s">
        <v>216</v>
      </c>
      <c r="D140" s="86" t="s">
        <v>465</v>
      </c>
      <c r="E140" s="86" t="s">
        <v>294</v>
      </c>
      <c r="F140" s="86" t="s">
        <v>785</v>
      </c>
      <c r="H140" s="86" t="s">
        <v>648</v>
      </c>
    </row>
    <row r="141" spans="1:8">
      <c r="A141" s="86" t="s">
        <v>563</v>
      </c>
      <c r="B141" s="86" t="s">
        <v>562</v>
      </c>
      <c r="C141" s="87" t="s">
        <v>216</v>
      </c>
      <c r="D141" s="86" t="s">
        <v>465</v>
      </c>
      <c r="E141" s="86" t="s">
        <v>294</v>
      </c>
      <c r="F141" s="86" t="s">
        <v>561</v>
      </c>
      <c r="H141" s="86" t="s">
        <v>927</v>
      </c>
    </row>
    <row r="142" spans="1:8">
      <c r="A142" s="86" t="s">
        <v>655</v>
      </c>
      <c r="B142" s="86" t="s">
        <v>621</v>
      </c>
      <c r="C142" s="87" t="s">
        <v>216</v>
      </c>
      <c r="D142" s="86" t="s">
        <v>465</v>
      </c>
      <c r="E142" s="86" t="s">
        <v>294</v>
      </c>
      <c r="F142" s="86" t="s">
        <v>654</v>
      </c>
      <c r="H142" s="86" t="s">
        <v>927</v>
      </c>
    </row>
    <row r="143" spans="1:8">
      <c r="A143" s="86" t="s">
        <v>599</v>
      </c>
      <c r="B143" s="86" t="s">
        <v>598</v>
      </c>
      <c r="C143" s="87" t="s">
        <v>216</v>
      </c>
      <c r="D143" s="86" t="s">
        <v>463</v>
      </c>
      <c r="E143" s="86" t="s">
        <v>517</v>
      </c>
      <c r="H143" s="86" t="s">
        <v>927</v>
      </c>
    </row>
    <row r="144" spans="1:8">
      <c r="A144" s="86" t="s">
        <v>838</v>
      </c>
      <c r="B144" s="86" t="s">
        <v>837</v>
      </c>
      <c r="C144" s="87" t="s">
        <v>216</v>
      </c>
      <c r="D144" s="86" t="s">
        <v>852</v>
      </c>
      <c r="E144" s="86" t="s">
        <v>481</v>
      </c>
      <c r="H144" s="86" t="s">
        <v>648</v>
      </c>
    </row>
    <row r="145" spans="1:8">
      <c r="A145" s="86" t="s">
        <v>554</v>
      </c>
      <c r="B145" s="86" t="s">
        <v>553</v>
      </c>
      <c r="C145" s="87" t="s">
        <v>216</v>
      </c>
      <c r="D145" s="86" t="s">
        <v>463</v>
      </c>
      <c r="E145" s="86" t="s">
        <v>517</v>
      </c>
      <c r="H145" s="86" t="s">
        <v>927</v>
      </c>
    </row>
    <row r="146" spans="1:8">
      <c r="A146" s="86" t="s">
        <v>899</v>
      </c>
      <c r="B146" s="86" t="s">
        <v>898</v>
      </c>
      <c r="C146" s="87" t="s">
        <v>216</v>
      </c>
      <c r="D146" s="86" t="s">
        <v>852</v>
      </c>
      <c r="E146" s="86" t="s">
        <v>464</v>
      </c>
      <c r="H146" s="86" t="s">
        <v>648</v>
      </c>
    </row>
    <row r="147" spans="1:8">
      <c r="A147" s="86" t="s">
        <v>789</v>
      </c>
      <c r="B147" s="86" t="s">
        <v>788</v>
      </c>
      <c r="C147" s="87" t="s">
        <v>216</v>
      </c>
      <c r="D147" s="86" t="s">
        <v>463</v>
      </c>
      <c r="E147" s="86" t="s">
        <v>464</v>
      </c>
      <c r="H147" s="86" t="s">
        <v>648</v>
      </c>
    </row>
    <row r="148" spans="1:8">
      <c r="A148" s="86" t="s">
        <v>710</v>
      </c>
      <c r="B148" s="86" t="s">
        <v>709</v>
      </c>
      <c r="C148" s="87" t="s">
        <v>216</v>
      </c>
      <c r="D148" s="86" t="s">
        <v>463</v>
      </c>
      <c r="E148" s="86" t="s">
        <v>481</v>
      </c>
      <c r="H148" s="86" t="s">
        <v>927</v>
      </c>
    </row>
    <row r="149" spans="1:8">
      <c r="A149" s="86" t="s">
        <v>722</v>
      </c>
      <c r="B149" s="86" t="s">
        <v>721</v>
      </c>
      <c r="C149" s="87" t="s">
        <v>216</v>
      </c>
      <c r="D149" s="86" t="s">
        <v>463</v>
      </c>
      <c r="E149" s="86" t="s">
        <v>517</v>
      </c>
      <c r="H149" s="86" t="s">
        <v>648</v>
      </c>
    </row>
    <row r="150" spans="1:8">
      <c r="A150" s="86" t="s">
        <v>722</v>
      </c>
      <c r="B150" s="86" t="s">
        <v>915</v>
      </c>
      <c r="C150" s="87" t="s">
        <v>216</v>
      </c>
      <c r="D150" s="86" t="s">
        <v>463</v>
      </c>
      <c r="E150" s="86" t="s">
        <v>517</v>
      </c>
      <c r="H150" s="86" t="s">
        <v>648</v>
      </c>
    </row>
    <row r="151" spans="1:8">
      <c r="A151" s="86" t="s">
        <v>558</v>
      </c>
      <c r="B151" s="86" t="s">
        <v>557</v>
      </c>
      <c r="C151" s="87" t="s">
        <v>216</v>
      </c>
      <c r="D151" s="86" t="s">
        <v>463</v>
      </c>
      <c r="E151" s="86" t="s">
        <v>517</v>
      </c>
      <c r="H151" s="86" t="s">
        <v>927</v>
      </c>
    </row>
    <row r="152" spans="1:8">
      <c r="A152" s="86" t="s">
        <v>596</v>
      </c>
      <c r="B152" s="86" t="s">
        <v>595</v>
      </c>
      <c r="C152" s="87" t="s">
        <v>216</v>
      </c>
      <c r="D152" s="86" t="s">
        <v>463</v>
      </c>
      <c r="E152" s="86" t="s">
        <v>517</v>
      </c>
      <c r="H152" s="86" t="s">
        <v>927</v>
      </c>
    </row>
    <row r="153" spans="1:8">
      <c r="A153" s="86" t="s">
        <v>884</v>
      </c>
      <c r="B153" s="86" t="s">
        <v>883</v>
      </c>
      <c r="C153" s="87" t="s">
        <v>216</v>
      </c>
      <c r="D153" s="86" t="s">
        <v>852</v>
      </c>
      <c r="E153" s="86" t="s">
        <v>294</v>
      </c>
      <c r="H153" s="86" t="s">
        <v>648</v>
      </c>
    </row>
    <row r="154" spans="1:8">
      <c r="A154" s="86" t="s">
        <v>498</v>
      </c>
      <c r="B154" s="86" t="s">
        <v>497</v>
      </c>
      <c r="C154" s="87" t="s">
        <v>216</v>
      </c>
      <c r="D154" s="86" t="s">
        <v>463</v>
      </c>
      <c r="E154" s="86" t="s">
        <v>481</v>
      </c>
      <c r="H154" s="86" t="s">
        <v>927</v>
      </c>
    </row>
    <row r="155" spans="1:8">
      <c r="A155" s="92" t="s">
        <v>1023</v>
      </c>
      <c r="B155" s="204" t="s">
        <v>1022</v>
      </c>
      <c r="C155" s="87" t="s">
        <v>216</v>
      </c>
      <c r="D155" s="86" t="s">
        <v>852</v>
      </c>
      <c r="E155" s="86" t="s">
        <v>517</v>
      </c>
      <c r="H155" s="86" t="s">
        <v>1057</v>
      </c>
    </row>
    <row r="156" spans="1:8">
      <c r="A156" s="86" t="s">
        <v>892</v>
      </c>
      <c r="B156" s="86" t="s">
        <v>891</v>
      </c>
      <c r="C156" s="87" t="s">
        <v>216</v>
      </c>
      <c r="D156" s="86" t="s">
        <v>463</v>
      </c>
      <c r="E156" s="86" t="s">
        <v>481</v>
      </c>
      <c r="H156" s="86" t="s">
        <v>648</v>
      </c>
    </row>
    <row r="157" spans="1:8">
      <c r="A157" s="92" t="s">
        <v>1011</v>
      </c>
      <c r="B157" s="204" t="s">
        <v>1010</v>
      </c>
      <c r="C157" s="87" t="s">
        <v>216</v>
      </c>
      <c r="D157" s="86" t="s">
        <v>465</v>
      </c>
      <c r="E157" s="86" t="s">
        <v>1031</v>
      </c>
      <c r="F157" s="86" t="s">
        <v>1049</v>
      </c>
      <c r="H157" s="86" t="s">
        <v>1057</v>
      </c>
    </row>
    <row r="158" spans="1:8">
      <c r="A158" s="86" t="s">
        <v>724</v>
      </c>
      <c r="B158" s="86" t="s">
        <v>723</v>
      </c>
      <c r="C158" s="87" t="s">
        <v>216</v>
      </c>
      <c r="D158" s="86" t="s">
        <v>463</v>
      </c>
      <c r="E158" s="86" t="s">
        <v>517</v>
      </c>
      <c r="H158" s="86" t="s">
        <v>648</v>
      </c>
    </row>
    <row r="159" spans="1:8">
      <c r="A159" s="86" t="s">
        <v>980</v>
      </c>
      <c r="B159" s="204" t="s">
        <v>979</v>
      </c>
      <c r="C159" s="87" t="s">
        <v>216</v>
      </c>
      <c r="D159" s="86" t="s">
        <v>463</v>
      </c>
      <c r="E159" s="86" t="s">
        <v>1031</v>
      </c>
      <c r="H159" s="86" t="s">
        <v>1057</v>
      </c>
    </row>
    <row r="160" spans="1:8">
      <c r="A160" s="86" t="s">
        <v>1054</v>
      </c>
      <c r="B160" s="86" t="s">
        <v>1053</v>
      </c>
      <c r="C160" s="87" t="s">
        <v>216</v>
      </c>
      <c r="D160" s="86" t="s">
        <v>463</v>
      </c>
      <c r="E160" s="86" t="s">
        <v>464</v>
      </c>
      <c r="H160" s="86" t="s">
        <v>1034</v>
      </c>
    </row>
    <row r="161" spans="1:8">
      <c r="A161" s="86" t="s">
        <v>589</v>
      </c>
      <c r="B161" s="86" t="s">
        <v>588</v>
      </c>
      <c r="C161" s="87" t="s">
        <v>216</v>
      </c>
      <c r="D161" s="86" t="s">
        <v>463</v>
      </c>
      <c r="E161" s="86" t="s">
        <v>294</v>
      </c>
      <c r="H161" s="86" t="s">
        <v>927</v>
      </c>
    </row>
    <row r="162" spans="1:8">
      <c r="A162" s="86" t="s">
        <v>583</v>
      </c>
      <c r="B162" s="86" t="s">
        <v>582</v>
      </c>
      <c r="C162" s="87" t="s">
        <v>216</v>
      </c>
      <c r="D162" s="86" t="s">
        <v>463</v>
      </c>
      <c r="E162" s="86" t="s">
        <v>294</v>
      </c>
      <c r="H162" s="86" t="s">
        <v>927</v>
      </c>
    </row>
    <row r="163" spans="1:8">
      <c r="A163" s="86" t="s">
        <v>538</v>
      </c>
      <c r="B163" s="86" t="s">
        <v>541</v>
      </c>
      <c r="C163" s="87" t="s">
        <v>216</v>
      </c>
      <c r="D163" s="86" t="s">
        <v>463</v>
      </c>
      <c r="E163" s="86" t="s">
        <v>294</v>
      </c>
      <c r="H163" s="86" t="s">
        <v>927</v>
      </c>
    </row>
    <row r="164" spans="1:8">
      <c r="A164" s="86" t="s">
        <v>538</v>
      </c>
      <c r="B164" s="86" t="s">
        <v>537</v>
      </c>
      <c r="C164" s="87" t="s">
        <v>216</v>
      </c>
      <c r="D164" s="86" t="s">
        <v>463</v>
      </c>
      <c r="E164" s="86" t="s">
        <v>294</v>
      </c>
      <c r="H164" s="86" t="s">
        <v>927</v>
      </c>
    </row>
    <row r="165" spans="1:8">
      <c r="A165" s="86" t="s">
        <v>753</v>
      </c>
      <c r="B165" s="86" t="s">
        <v>745</v>
      </c>
      <c r="C165" s="87" t="s">
        <v>216</v>
      </c>
      <c r="D165" s="86" t="s">
        <v>463</v>
      </c>
      <c r="E165" s="86" t="s">
        <v>464</v>
      </c>
      <c r="H165" s="86" t="s">
        <v>648</v>
      </c>
    </row>
    <row r="166" spans="1:8">
      <c r="A166" s="86" t="s">
        <v>545</v>
      </c>
      <c r="B166" s="86" t="s">
        <v>544</v>
      </c>
      <c r="C166" s="87" t="s">
        <v>216</v>
      </c>
      <c r="D166" s="86" t="s">
        <v>463</v>
      </c>
      <c r="E166" s="86" t="s">
        <v>294</v>
      </c>
      <c r="H166" s="86" t="s">
        <v>927</v>
      </c>
    </row>
    <row r="167" spans="1:8">
      <c r="A167" s="86" t="s">
        <v>826</v>
      </c>
      <c r="B167" s="86" t="s">
        <v>825</v>
      </c>
      <c r="C167" s="87" t="s">
        <v>216</v>
      </c>
      <c r="D167" s="86" t="s">
        <v>463</v>
      </c>
      <c r="E167" s="86" t="s">
        <v>464</v>
      </c>
      <c r="H167" s="86" t="s">
        <v>648</v>
      </c>
    </row>
    <row r="168" spans="1:8">
      <c r="A168" s="86" t="s">
        <v>479</v>
      </c>
      <c r="B168" s="89" t="s">
        <v>480</v>
      </c>
      <c r="C168" s="87" t="s">
        <v>216</v>
      </c>
      <c r="D168" s="86" t="s">
        <v>463</v>
      </c>
      <c r="E168" s="86" t="s">
        <v>481</v>
      </c>
      <c r="H168" s="86" t="s">
        <v>927</v>
      </c>
    </row>
    <row r="169" spans="1:8">
      <c r="A169" s="86" t="s">
        <v>482</v>
      </c>
      <c r="B169" s="86" t="s">
        <v>483</v>
      </c>
      <c r="C169" s="87" t="s">
        <v>216</v>
      </c>
      <c r="D169" s="86" t="s">
        <v>463</v>
      </c>
      <c r="E169" s="86" t="s">
        <v>464</v>
      </c>
      <c r="H169" s="86" t="s">
        <v>927</v>
      </c>
    </row>
    <row r="170" spans="1:8">
      <c r="A170" s="86" t="s">
        <v>716</v>
      </c>
      <c r="B170" s="86" t="s">
        <v>715</v>
      </c>
      <c r="C170" s="87" t="s">
        <v>216</v>
      </c>
      <c r="D170" s="86" t="s">
        <v>463</v>
      </c>
      <c r="E170" s="86" t="s">
        <v>294</v>
      </c>
      <c r="H170" s="86" t="s">
        <v>648</v>
      </c>
    </row>
    <row r="171" spans="1:8">
      <c r="A171" s="86" t="s">
        <v>581</v>
      </c>
      <c r="B171" s="86" t="s">
        <v>580</v>
      </c>
      <c r="C171" s="87" t="s">
        <v>216</v>
      </c>
      <c r="D171" s="86" t="s">
        <v>463</v>
      </c>
      <c r="E171" s="86" t="s">
        <v>294</v>
      </c>
      <c r="H171" s="86" t="s">
        <v>927</v>
      </c>
    </row>
    <row r="172" spans="1:8">
      <c r="A172" s="86" t="s">
        <v>817</v>
      </c>
      <c r="B172" s="86" t="s">
        <v>1059</v>
      </c>
      <c r="C172" s="87" t="s">
        <v>216</v>
      </c>
      <c r="D172" s="86" t="s">
        <v>465</v>
      </c>
      <c r="E172" s="86" t="s">
        <v>294</v>
      </c>
      <c r="F172" s="86" t="s">
        <v>808</v>
      </c>
      <c r="H172" s="86" t="s">
        <v>648</v>
      </c>
    </row>
    <row r="173" spans="1:8">
      <c r="A173" s="86" t="s">
        <v>777</v>
      </c>
      <c r="B173" s="86" t="s">
        <v>776</v>
      </c>
      <c r="C173" s="87" t="s">
        <v>216</v>
      </c>
      <c r="D173" s="86" t="s">
        <v>463</v>
      </c>
      <c r="E173" s="86" t="s">
        <v>481</v>
      </c>
      <c r="H173" s="86" t="s">
        <v>648</v>
      </c>
    </row>
    <row r="174" spans="1:8">
      <c r="A174" s="86" t="s">
        <v>816</v>
      </c>
      <c r="B174" s="86" t="s">
        <v>815</v>
      </c>
      <c r="C174" s="87" t="s">
        <v>216</v>
      </c>
      <c r="D174" s="86" t="s">
        <v>463</v>
      </c>
      <c r="E174" s="86" t="s">
        <v>464</v>
      </c>
      <c r="H174" s="86" t="s">
        <v>648</v>
      </c>
    </row>
    <row r="175" spans="1:8">
      <c r="A175" s="86" t="s">
        <v>873</v>
      </c>
      <c r="B175" s="86" t="s">
        <v>872</v>
      </c>
      <c r="C175" s="87" t="s">
        <v>216</v>
      </c>
      <c r="D175" s="86" t="s">
        <v>463</v>
      </c>
      <c r="E175" s="86" t="s">
        <v>517</v>
      </c>
      <c r="H175" s="86" t="s">
        <v>648</v>
      </c>
    </row>
    <row r="176" spans="1:8">
      <c r="A176" s="86" t="s">
        <v>749</v>
      </c>
      <c r="B176" s="86" t="s">
        <v>725</v>
      </c>
      <c r="C176" s="87" t="s">
        <v>216</v>
      </c>
      <c r="D176" s="86" t="s">
        <v>463</v>
      </c>
      <c r="E176" s="86" t="s">
        <v>517</v>
      </c>
      <c r="H176" s="86" t="s">
        <v>648</v>
      </c>
    </row>
    <row r="177" spans="1:8">
      <c r="A177" s="86" t="s">
        <v>781</v>
      </c>
      <c r="B177" s="86" t="s">
        <v>780</v>
      </c>
      <c r="C177" s="87" t="s">
        <v>216</v>
      </c>
      <c r="D177" s="86" t="s">
        <v>463</v>
      </c>
      <c r="E177" s="86" t="s">
        <v>517</v>
      </c>
      <c r="H177" s="86" t="s">
        <v>648</v>
      </c>
    </row>
    <row r="178" spans="1:8">
      <c r="A178" s="86" t="s">
        <v>765</v>
      </c>
      <c r="B178" s="86" t="s">
        <v>764</v>
      </c>
      <c r="C178" s="87" t="s">
        <v>216</v>
      </c>
      <c r="D178" s="86" t="s">
        <v>463</v>
      </c>
      <c r="E178" s="86" t="s">
        <v>517</v>
      </c>
      <c r="H178" s="86" t="s">
        <v>648</v>
      </c>
    </row>
    <row r="179" spans="1:8">
      <c r="A179" s="86" t="s">
        <v>924</v>
      </c>
      <c r="B179" s="86" t="s">
        <v>923</v>
      </c>
      <c r="C179" s="87" t="s">
        <v>216</v>
      </c>
      <c r="D179" s="86" t="s">
        <v>852</v>
      </c>
      <c r="E179" s="86" t="s">
        <v>517</v>
      </c>
      <c r="H179" s="86" t="s">
        <v>648</v>
      </c>
    </row>
    <row r="180" spans="1:8">
      <c r="A180" s="92" t="s">
        <v>996</v>
      </c>
      <c r="B180" s="204" t="s">
        <v>995</v>
      </c>
      <c r="C180" s="87" t="s">
        <v>216</v>
      </c>
      <c r="D180" s="86" t="s">
        <v>465</v>
      </c>
      <c r="E180" s="86" t="s">
        <v>1031</v>
      </c>
      <c r="H180" s="86" t="s">
        <v>1057</v>
      </c>
    </row>
    <row r="181" spans="1:8">
      <c r="A181" s="86" t="s">
        <v>763</v>
      </c>
      <c r="B181" s="86" t="s">
        <v>762</v>
      </c>
      <c r="C181" s="87" t="s">
        <v>216</v>
      </c>
      <c r="D181" s="86" t="s">
        <v>463</v>
      </c>
      <c r="E181" s="86" t="s">
        <v>464</v>
      </c>
      <c r="H181" s="86" t="s">
        <v>648</v>
      </c>
    </row>
    <row r="182" spans="1:8">
      <c r="A182" s="86" t="s">
        <v>1021</v>
      </c>
      <c r="B182" s="204" t="s">
        <v>1020</v>
      </c>
      <c r="C182" s="87" t="s">
        <v>216</v>
      </c>
      <c r="D182" s="86" t="s">
        <v>465</v>
      </c>
      <c r="E182" s="86" t="s">
        <v>1031</v>
      </c>
      <c r="F182" s="86" t="s">
        <v>1051</v>
      </c>
      <c r="H182" s="86" t="s">
        <v>1057</v>
      </c>
    </row>
    <row r="183" spans="1:8">
      <c r="A183" s="86" t="s">
        <v>799</v>
      </c>
      <c r="B183" s="86" t="s">
        <v>798</v>
      </c>
      <c r="C183" s="87" t="s">
        <v>216</v>
      </c>
      <c r="D183" s="86" t="s">
        <v>465</v>
      </c>
      <c r="E183" s="86" t="s">
        <v>294</v>
      </c>
      <c r="H183" s="86" t="s">
        <v>648</v>
      </c>
    </row>
    <row r="184" spans="1:8">
      <c r="A184" s="86" t="s">
        <v>579</v>
      </c>
      <c r="B184" s="86" t="s">
        <v>578</v>
      </c>
      <c r="C184" s="87" t="s">
        <v>216</v>
      </c>
      <c r="D184" s="86" t="s">
        <v>463</v>
      </c>
      <c r="E184" s="86" t="s">
        <v>294</v>
      </c>
      <c r="H184" s="86" t="s">
        <v>927</v>
      </c>
    </row>
    <row r="185" spans="1:8">
      <c r="A185" s="86" t="s">
        <v>902</v>
      </c>
      <c r="B185" s="86" t="s">
        <v>901</v>
      </c>
      <c r="C185" s="87" t="s">
        <v>216</v>
      </c>
      <c r="D185" s="86" t="s">
        <v>463</v>
      </c>
      <c r="E185" s="86" t="s">
        <v>464</v>
      </c>
      <c r="H185" s="86" t="s">
        <v>648</v>
      </c>
    </row>
    <row r="186" spans="1:8">
      <c r="A186" s="86" t="s">
        <v>585</v>
      </c>
      <c r="B186" s="86" t="s">
        <v>584</v>
      </c>
      <c r="C186" s="87" t="s">
        <v>216</v>
      </c>
      <c r="D186" s="86" t="s">
        <v>463</v>
      </c>
      <c r="E186" s="86" t="s">
        <v>294</v>
      </c>
      <c r="H186" s="86" t="s">
        <v>927</v>
      </c>
    </row>
    <row r="187" spans="1:8">
      <c r="A187" s="86" t="s">
        <v>514</v>
      </c>
      <c r="B187" s="86" t="s">
        <v>513</v>
      </c>
      <c r="C187" s="87" t="s">
        <v>216</v>
      </c>
      <c r="D187" s="86" t="s">
        <v>463</v>
      </c>
      <c r="E187" s="86" t="s">
        <v>481</v>
      </c>
      <c r="H187" s="86" t="s">
        <v>927</v>
      </c>
    </row>
    <row r="188" spans="1:8">
      <c r="A188" s="86" t="s">
        <v>471</v>
      </c>
      <c r="B188" s="86" t="s">
        <v>469</v>
      </c>
      <c r="C188" s="87" t="s">
        <v>216</v>
      </c>
      <c r="D188" s="86" t="s">
        <v>465</v>
      </c>
      <c r="E188" s="86" t="s">
        <v>294</v>
      </c>
      <c r="F188" s="86" t="s">
        <v>470</v>
      </c>
      <c r="H188" s="86" t="s">
        <v>927</v>
      </c>
    </row>
    <row r="189" spans="1:8">
      <c r="A189" s="86" t="s">
        <v>474</v>
      </c>
      <c r="B189" s="86" t="s">
        <v>473</v>
      </c>
      <c r="C189" s="87" t="s">
        <v>216</v>
      </c>
      <c r="D189" s="86" t="s">
        <v>465</v>
      </c>
      <c r="E189" s="86" t="s">
        <v>294</v>
      </c>
      <c r="F189" s="86" t="s">
        <v>472</v>
      </c>
      <c r="H189" s="86" t="s">
        <v>927</v>
      </c>
    </row>
    <row r="190" spans="1:8">
      <c r="A190" s="86" t="s">
        <v>485</v>
      </c>
      <c r="B190" s="86" t="s">
        <v>486</v>
      </c>
      <c r="C190" s="87" t="s">
        <v>216</v>
      </c>
      <c r="D190" s="86" t="s">
        <v>463</v>
      </c>
      <c r="E190" s="86" t="s">
        <v>294</v>
      </c>
      <c r="F190" s="86" t="s">
        <v>484</v>
      </c>
      <c r="H190" s="86" t="s">
        <v>927</v>
      </c>
    </row>
    <row r="191" spans="1:8">
      <c r="A191" s="86" t="s">
        <v>485</v>
      </c>
      <c r="B191" s="86" t="s">
        <v>487</v>
      </c>
      <c r="C191" s="87" t="s">
        <v>216</v>
      </c>
      <c r="D191" s="86" t="s">
        <v>465</v>
      </c>
      <c r="E191" s="86" t="s">
        <v>294</v>
      </c>
      <c r="F191" s="86" t="s">
        <v>488</v>
      </c>
      <c r="H191" s="86" t="s">
        <v>927</v>
      </c>
    </row>
    <row r="192" spans="1:8">
      <c r="A192" s="86" t="s">
        <v>974</v>
      </c>
      <c r="B192" s="204" t="s">
        <v>973</v>
      </c>
      <c r="C192" s="87" t="s">
        <v>216</v>
      </c>
      <c r="D192" s="86" t="s">
        <v>852</v>
      </c>
      <c r="E192" s="86" t="s">
        <v>517</v>
      </c>
      <c r="H192" s="86" t="s">
        <v>1057</v>
      </c>
    </row>
    <row r="193" spans="1:8">
      <c r="A193" s="86" t="s">
        <v>1038</v>
      </c>
      <c r="B193" s="86" t="s">
        <v>1039</v>
      </c>
      <c r="C193" s="87" t="s">
        <v>216</v>
      </c>
      <c r="D193" s="86" t="s">
        <v>463</v>
      </c>
      <c r="E193" s="86" t="s">
        <v>294</v>
      </c>
      <c r="F193" s="86" t="s">
        <v>1052</v>
      </c>
      <c r="H193" s="86" t="s">
        <v>1034</v>
      </c>
    </row>
    <row r="194" spans="1:8">
      <c r="A194" s="86" t="s">
        <v>1017</v>
      </c>
      <c r="B194" s="204" t="s">
        <v>1016</v>
      </c>
      <c r="C194" s="87" t="s">
        <v>216</v>
      </c>
      <c r="D194" s="86" t="s">
        <v>463</v>
      </c>
      <c r="E194" s="86" t="s">
        <v>1031</v>
      </c>
      <c r="F194" s="86" t="s">
        <v>1050</v>
      </c>
      <c r="H194" s="86" t="s">
        <v>1057</v>
      </c>
    </row>
    <row r="195" spans="1:8">
      <c r="A195" s="86" t="s">
        <v>587</v>
      </c>
      <c r="B195" s="86" t="s">
        <v>586</v>
      </c>
      <c r="C195" s="87" t="s">
        <v>216</v>
      </c>
      <c r="D195" s="86" t="s">
        <v>463</v>
      </c>
      <c r="E195" s="86" t="s">
        <v>294</v>
      </c>
      <c r="H195" s="86" t="s">
        <v>927</v>
      </c>
    </row>
    <row r="196" spans="1:8">
      <c r="A196" s="86" t="s">
        <v>651</v>
      </c>
      <c r="B196" s="86" t="s">
        <v>652</v>
      </c>
      <c r="C196" s="87" t="s">
        <v>216</v>
      </c>
      <c r="D196" s="86" t="s">
        <v>465</v>
      </c>
      <c r="E196" s="86" t="s">
        <v>294</v>
      </c>
      <c r="F196" s="86" t="s">
        <v>650</v>
      </c>
      <c r="H196" s="86" t="s">
        <v>927</v>
      </c>
    </row>
    <row r="197" spans="1:8">
      <c r="A197" s="86" t="s">
        <v>875</v>
      </c>
      <c r="B197" s="86" t="s">
        <v>874</v>
      </c>
      <c r="C197" s="87" t="s">
        <v>216</v>
      </c>
      <c r="D197" s="86" t="s">
        <v>465</v>
      </c>
      <c r="E197" s="86" t="s">
        <v>464</v>
      </c>
      <c r="H197" s="86" t="s">
        <v>648</v>
      </c>
    </row>
    <row r="198" spans="1:8">
      <c r="A198" s="86" t="s">
        <v>281</v>
      </c>
      <c r="B198" s="86" t="s">
        <v>280</v>
      </c>
      <c r="C198" s="87" t="s">
        <v>216</v>
      </c>
      <c r="D198" s="86" t="s">
        <v>465</v>
      </c>
      <c r="E198" s="86" t="s">
        <v>294</v>
      </c>
      <c r="H198" s="86" t="s">
        <v>927</v>
      </c>
    </row>
    <row r="199" spans="1:8">
      <c r="A199" s="86" t="s">
        <v>1006</v>
      </c>
      <c r="B199" s="204" t="s">
        <v>1005</v>
      </c>
      <c r="C199" s="87" t="s">
        <v>216</v>
      </c>
      <c r="D199" s="86" t="s">
        <v>465</v>
      </c>
      <c r="E199" s="86" t="s">
        <v>1047</v>
      </c>
      <c r="H199" s="86" t="s">
        <v>1057</v>
      </c>
    </row>
    <row r="200" spans="1:8">
      <c r="A200" s="86" t="s">
        <v>550</v>
      </c>
      <c r="B200" s="86" t="s">
        <v>549</v>
      </c>
      <c r="C200" s="87" t="s">
        <v>216</v>
      </c>
      <c r="D200" s="86" t="s">
        <v>465</v>
      </c>
      <c r="E200" s="86" t="s">
        <v>294</v>
      </c>
      <c r="F200" s="86" t="s">
        <v>548</v>
      </c>
      <c r="H200" s="86" t="s">
        <v>927</v>
      </c>
    </row>
    <row r="201" spans="1:8">
      <c r="A201" s="86" t="s">
        <v>1025</v>
      </c>
      <c r="B201" s="204" t="s">
        <v>1024</v>
      </c>
      <c r="C201" s="87" t="s">
        <v>216</v>
      </c>
      <c r="D201" s="86" t="s">
        <v>465</v>
      </c>
      <c r="E201" s="86" t="s">
        <v>1031</v>
      </c>
      <c r="H201" s="86" t="s">
        <v>1057</v>
      </c>
    </row>
    <row r="202" spans="1:8">
      <c r="A202" s="86" t="s">
        <v>552</v>
      </c>
      <c r="B202" s="86" t="s">
        <v>551</v>
      </c>
      <c r="C202" s="87" t="s">
        <v>216</v>
      </c>
      <c r="D202" s="86" t="s">
        <v>463</v>
      </c>
      <c r="E202" s="86" t="s">
        <v>481</v>
      </c>
      <c r="H202" s="86" t="s">
        <v>927</v>
      </c>
    </row>
    <row r="203" spans="1:8">
      <c r="A203" s="86" t="s">
        <v>787</v>
      </c>
      <c r="B203" s="86" t="s">
        <v>786</v>
      </c>
      <c r="C203" s="87" t="s">
        <v>216</v>
      </c>
      <c r="D203" s="86" t="s">
        <v>463</v>
      </c>
      <c r="E203" s="86" t="s">
        <v>517</v>
      </c>
      <c r="H203" s="86" t="s">
        <v>648</v>
      </c>
    </row>
    <row r="204" spans="1:8">
      <c r="A204" s="86" t="s">
        <v>1027</v>
      </c>
      <c r="B204" s="204" t="s">
        <v>1026</v>
      </c>
      <c r="C204" s="87" t="s">
        <v>216</v>
      </c>
      <c r="D204" s="86" t="s">
        <v>463</v>
      </c>
      <c r="E204" s="86" t="s">
        <v>517</v>
      </c>
      <c r="H204" s="86" t="s">
        <v>1057</v>
      </c>
    </row>
    <row r="205" spans="1:8">
      <c r="A205" s="86" t="s">
        <v>871</v>
      </c>
      <c r="B205" s="86" t="s">
        <v>870</v>
      </c>
      <c r="C205" s="87" t="s">
        <v>216</v>
      </c>
      <c r="D205" s="86" t="s">
        <v>463</v>
      </c>
      <c r="E205" s="86" t="s">
        <v>464</v>
      </c>
      <c r="H205" s="86" t="s">
        <v>648</v>
      </c>
    </row>
    <row r="206" spans="1:8">
      <c r="A206" s="86" t="s">
        <v>937</v>
      </c>
      <c r="B206" s="204" t="s">
        <v>936</v>
      </c>
      <c r="C206" s="87" t="s">
        <v>216</v>
      </c>
      <c r="D206" s="86" t="s">
        <v>465</v>
      </c>
      <c r="E206" s="86" t="s">
        <v>1029</v>
      </c>
      <c r="H206" s="86" t="s">
        <v>1057</v>
      </c>
    </row>
    <row r="207" spans="1:8">
      <c r="A207" s="86" t="s">
        <v>935</v>
      </c>
      <c r="B207" s="204" t="s">
        <v>934</v>
      </c>
      <c r="C207" s="87" t="s">
        <v>216</v>
      </c>
      <c r="D207" s="86" t="s">
        <v>465</v>
      </c>
      <c r="E207" s="86" t="s">
        <v>1029</v>
      </c>
      <c r="H207" s="86" t="s">
        <v>1057</v>
      </c>
    </row>
    <row r="208" spans="1:8">
      <c r="A208" s="86" t="s">
        <v>600</v>
      </c>
      <c r="B208" s="89" t="s">
        <v>604</v>
      </c>
      <c r="C208" s="87" t="s">
        <v>216</v>
      </c>
      <c r="D208" s="86" t="s">
        <v>463</v>
      </c>
      <c r="E208" s="86" t="s">
        <v>517</v>
      </c>
      <c r="H208" s="86" t="s">
        <v>927</v>
      </c>
    </row>
    <row r="209" spans="1:8">
      <c r="A209" s="92" t="s">
        <v>984</v>
      </c>
      <c r="B209" s="204" t="s">
        <v>983</v>
      </c>
      <c r="C209" s="87" t="s">
        <v>216</v>
      </c>
      <c r="D209" s="86" t="s">
        <v>463</v>
      </c>
      <c r="E209" s="86" t="s">
        <v>517</v>
      </c>
      <c r="F209" s="86" t="s">
        <v>1044</v>
      </c>
      <c r="H209" s="86" t="s">
        <v>1057</v>
      </c>
    </row>
    <row r="210" spans="1:8">
      <c r="A210" s="86" t="s">
        <v>966</v>
      </c>
      <c r="B210" s="204" t="s">
        <v>965</v>
      </c>
      <c r="C210" s="87" t="s">
        <v>216</v>
      </c>
      <c r="D210" s="86" t="s">
        <v>463</v>
      </c>
      <c r="E210" s="86" t="s">
        <v>517</v>
      </c>
      <c r="H210" s="86" t="s">
        <v>1057</v>
      </c>
    </row>
    <row r="211" spans="1:8">
      <c r="A211" s="92" t="s">
        <v>982</v>
      </c>
      <c r="B211" s="204" t="s">
        <v>981</v>
      </c>
      <c r="C211" s="87" t="s">
        <v>216</v>
      </c>
      <c r="D211" s="86" t="s">
        <v>852</v>
      </c>
      <c r="E211" s="86" t="s">
        <v>1043</v>
      </c>
      <c r="H211" s="86" t="s">
        <v>1057</v>
      </c>
    </row>
    <row r="212" spans="1:8">
      <c r="A212" s="86" t="s">
        <v>840</v>
      </c>
      <c r="B212" s="86" t="s">
        <v>839</v>
      </c>
      <c r="C212" s="87" t="s">
        <v>216</v>
      </c>
      <c r="D212" s="86" t="s">
        <v>463</v>
      </c>
      <c r="E212" s="86" t="s">
        <v>464</v>
      </c>
      <c r="H212" s="86" t="s">
        <v>648</v>
      </c>
    </row>
    <row r="213" spans="1:8">
      <c r="A213" s="86" t="s">
        <v>835</v>
      </c>
      <c r="B213" s="86" t="s">
        <v>834</v>
      </c>
      <c r="C213" s="87" t="s">
        <v>216</v>
      </c>
      <c r="D213" s="86" t="s">
        <v>463</v>
      </c>
      <c r="E213" s="86" t="s">
        <v>464</v>
      </c>
      <c r="H213" s="86" t="s">
        <v>648</v>
      </c>
    </row>
    <row r="214" spans="1:8">
      <c r="A214" s="86" t="s">
        <v>556</v>
      </c>
      <c r="B214" s="86" t="s">
        <v>555</v>
      </c>
      <c r="C214" s="87" t="s">
        <v>216</v>
      </c>
      <c r="D214" s="86" t="s">
        <v>463</v>
      </c>
      <c r="E214" s="86" t="s">
        <v>517</v>
      </c>
      <c r="H214" s="86" t="s">
        <v>927</v>
      </c>
    </row>
    <row r="215" spans="1:8">
      <c r="A215" s="86" t="s">
        <v>1013</v>
      </c>
      <c r="B215" s="204" t="s">
        <v>1012</v>
      </c>
      <c r="C215" s="87" t="s">
        <v>216</v>
      </c>
      <c r="D215" s="86" t="s">
        <v>463</v>
      </c>
      <c r="E215" s="86" t="s">
        <v>517</v>
      </c>
      <c r="H215" s="86" t="s">
        <v>1057</v>
      </c>
    </row>
    <row r="216" spans="1:8">
      <c r="A216" s="86" t="s">
        <v>729</v>
      </c>
      <c r="B216" s="86" t="s">
        <v>728</v>
      </c>
      <c r="C216" s="87" t="s">
        <v>216</v>
      </c>
      <c r="D216" s="86" t="s">
        <v>465</v>
      </c>
      <c r="E216" s="86" t="s">
        <v>464</v>
      </c>
      <c r="H216" s="86" t="s">
        <v>648</v>
      </c>
    </row>
    <row r="217" spans="1:8">
      <c r="A217" s="86" t="s">
        <v>729</v>
      </c>
      <c r="B217" s="86" t="s">
        <v>841</v>
      </c>
      <c r="C217" s="87" t="s">
        <v>216</v>
      </c>
      <c r="D217" s="86" t="s">
        <v>463</v>
      </c>
      <c r="E217" s="86" t="s">
        <v>517</v>
      </c>
      <c r="H217" s="86" t="s">
        <v>648</v>
      </c>
    </row>
    <row r="218" spans="1:8">
      <c r="A218" s="86" t="s">
        <v>727</v>
      </c>
      <c r="B218" s="86" t="s">
        <v>726</v>
      </c>
      <c r="C218" s="87" t="s">
        <v>216</v>
      </c>
      <c r="D218" s="86" t="s">
        <v>463</v>
      </c>
      <c r="E218" s="86" t="s">
        <v>517</v>
      </c>
      <c r="H218" s="86" t="s">
        <v>648</v>
      </c>
    </row>
    <row r="219" spans="1:8">
      <c r="A219" s="86" t="s">
        <v>1056</v>
      </c>
      <c r="B219" s="86" t="s">
        <v>1055</v>
      </c>
      <c r="C219" s="87" t="s">
        <v>216</v>
      </c>
      <c r="D219" s="86" t="s">
        <v>463</v>
      </c>
      <c r="E219" s="86" t="s">
        <v>464</v>
      </c>
      <c r="H219" s="86" t="s">
        <v>1034</v>
      </c>
    </row>
    <row r="220" spans="1:8">
      <c r="A220" s="86" t="s">
        <v>988</v>
      </c>
      <c r="B220" s="204" t="s">
        <v>987</v>
      </c>
      <c r="C220" s="87" t="s">
        <v>216</v>
      </c>
      <c r="D220" s="86" t="s">
        <v>465</v>
      </c>
      <c r="E220" s="86" t="s">
        <v>1031</v>
      </c>
      <c r="F220" s="86" t="s">
        <v>1045</v>
      </c>
      <c r="H220" s="86" t="s">
        <v>1057</v>
      </c>
    </row>
    <row r="221" spans="1:8">
      <c r="A221" s="86" t="s">
        <v>795</v>
      </c>
      <c r="B221" s="86" t="s">
        <v>794</v>
      </c>
      <c r="C221" s="87" t="s">
        <v>216</v>
      </c>
      <c r="D221" s="86" t="s">
        <v>463</v>
      </c>
      <c r="E221" s="86" t="s">
        <v>464</v>
      </c>
      <c r="H221" s="86" t="s">
        <v>648</v>
      </c>
    </row>
    <row r="222" spans="1:8">
      <c r="A222" s="86" t="s">
        <v>807</v>
      </c>
      <c r="B222" s="86" t="s">
        <v>806</v>
      </c>
      <c r="C222" s="87" t="s">
        <v>216</v>
      </c>
      <c r="D222" s="86" t="s">
        <v>465</v>
      </c>
      <c r="E222" s="86" t="s">
        <v>294</v>
      </c>
      <c r="F222" s="86" t="s">
        <v>808</v>
      </c>
      <c r="H222" s="86" t="s">
        <v>648</v>
      </c>
    </row>
    <row r="223" spans="1:8">
      <c r="A223" s="86" t="s">
        <v>805</v>
      </c>
      <c r="B223" s="86" t="s">
        <v>804</v>
      </c>
      <c r="C223" s="87" t="s">
        <v>216</v>
      </c>
      <c r="D223" s="86" t="s">
        <v>463</v>
      </c>
      <c r="E223" s="86" t="s">
        <v>464</v>
      </c>
      <c r="H223" s="86" t="s">
        <v>648</v>
      </c>
    </row>
    <row r="224" spans="1:8">
      <c r="A224" s="86" t="s">
        <v>767</v>
      </c>
      <c r="B224" s="86" t="s">
        <v>766</v>
      </c>
      <c r="C224" s="87" t="s">
        <v>216</v>
      </c>
      <c r="D224" s="86" t="s">
        <v>465</v>
      </c>
      <c r="E224" s="86" t="s">
        <v>294</v>
      </c>
      <c r="F224" s="86" t="s">
        <v>768</v>
      </c>
      <c r="H224" s="86" t="s">
        <v>648</v>
      </c>
    </row>
    <row r="225" spans="1:8">
      <c r="A225" s="86" t="s">
        <v>990</v>
      </c>
      <c r="B225" s="204" t="s">
        <v>989</v>
      </c>
      <c r="C225" s="87" t="s">
        <v>216</v>
      </c>
      <c r="D225" s="86" t="s">
        <v>465</v>
      </c>
      <c r="E225" s="86" t="s">
        <v>464</v>
      </c>
      <c r="H225" s="86" t="s">
        <v>1057</v>
      </c>
    </row>
    <row r="226" spans="1:8">
      <c r="A226" s="86" t="s">
        <v>906</v>
      </c>
      <c r="B226" s="86" t="s">
        <v>905</v>
      </c>
      <c r="C226" s="87" t="s">
        <v>216</v>
      </c>
      <c r="D226" s="86" t="s">
        <v>463</v>
      </c>
      <c r="E226" s="86" t="s">
        <v>464</v>
      </c>
      <c r="H226" s="86" t="s">
        <v>648</v>
      </c>
    </row>
    <row r="227" spans="1:8">
      <c r="A227" s="92" t="s">
        <v>945</v>
      </c>
      <c r="B227" s="204" t="s">
        <v>944</v>
      </c>
      <c r="C227" s="87" t="s">
        <v>216</v>
      </c>
      <c r="D227" s="86" t="s">
        <v>463</v>
      </c>
      <c r="E227" s="86" t="s">
        <v>464</v>
      </c>
      <c r="H227" s="86" t="s">
        <v>1057</v>
      </c>
    </row>
    <row r="228" spans="1:8">
      <c r="A228" s="86" t="s">
        <v>515</v>
      </c>
      <c r="B228" s="86" t="s">
        <v>516</v>
      </c>
      <c r="C228" s="87" t="s">
        <v>216</v>
      </c>
      <c r="D228" s="86" t="s">
        <v>463</v>
      </c>
      <c r="E228" s="86" t="s">
        <v>517</v>
      </c>
      <c r="H228" s="86" t="s">
        <v>927</v>
      </c>
    </row>
    <row r="229" spans="1:8">
      <c r="A229" s="86" t="s">
        <v>836</v>
      </c>
      <c r="B229" s="86" t="s">
        <v>1060</v>
      </c>
      <c r="C229" s="87" t="s">
        <v>216</v>
      </c>
      <c r="D229" s="86" t="s">
        <v>463</v>
      </c>
      <c r="E229" s="86" t="s">
        <v>464</v>
      </c>
      <c r="H229" s="86" t="s">
        <v>648</v>
      </c>
    </row>
    <row r="230" spans="1:8">
      <c r="A230" s="86" t="s">
        <v>532</v>
      </c>
      <c r="B230" s="86" t="s">
        <v>531</v>
      </c>
      <c r="C230" s="87" t="s">
        <v>216</v>
      </c>
      <c r="D230" s="86" t="s">
        <v>465</v>
      </c>
      <c r="E230" s="86" t="s">
        <v>294</v>
      </c>
      <c r="H230" s="86" t="s">
        <v>927</v>
      </c>
    </row>
    <row r="231" spans="1:8">
      <c r="A231" s="86" t="s">
        <v>593</v>
      </c>
      <c r="B231" s="86" t="s">
        <v>592</v>
      </c>
      <c r="C231" s="87" t="s">
        <v>216</v>
      </c>
      <c r="D231" s="86" t="s">
        <v>465</v>
      </c>
      <c r="E231" s="86" t="s">
        <v>294</v>
      </c>
      <c r="F231" s="86" t="s">
        <v>594</v>
      </c>
      <c r="H231" s="86" t="s">
        <v>927</v>
      </c>
    </row>
    <row r="232" spans="1:8">
      <c r="A232" s="86" t="s">
        <v>894</v>
      </c>
      <c r="B232" s="86" t="s">
        <v>893</v>
      </c>
      <c r="C232" s="87" t="s">
        <v>216</v>
      </c>
      <c r="D232" s="86" t="s">
        <v>465</v>
      </c>
      <c r="E232" s="86" t="s">
        <v>294</v>
      </c>
      <c r="F232" s="86" t="s">
        <v>895</v>
      </c>
      <c r="H232" s="86" t="s">
        <v>648</v>
      </c>
    </row>
    <row r="233" spans="1:8">
      <c r="A233" s="86" t="s">
        <v>810</v>
      </c>
      <c r="B233" s="86" t="s">
        <v>809</v>
      </c>
      <c r="C233" s="87" t="s">
        <v>216</v>
      </c>
      <c r="D233" s="86" t="s">
        <v>463</v>
      </c>
      <c r="E233" s="86" t="s">
        <v>517</v>
      </c>
      <c r="H233" s="86" t="s">
        <v>648</v>
      </c>
    </row>
    <row r="234" spans="1:8">
      <c r="A234" s="86" t="s">
        <v>968</v>
      </c>
      <c r="B234" s="204" t="s">
        <v>967</v>
      </c>
      <c r="C234" s="87" t="s">
        <v>216</v>
      </c>
      <c r="D234" s="86" t="s">
        <v>465</v>
      </c>
      <c r="E234" s="86" t="s">
        <v>1040</v>
      </c>
      <c r="H234" s="86" t="s">
        <v>1057</v>
      </c>
    </row>
    <row r="235" spans="1:8">
      <c r="A235" s="86" t="s">
        <v>714</v>
      </c>
      <c r="B235" s="86" t="s">
        <v>713</v>
      </c>
      <c r="C235" s="87" t="s">
        <v>216</v>
      </c>
      <c r="D235" s="86" t="s">
        <v>463</v>
      </c>
      <c r="E235" s="86" t="s">
        <v>464</v>
      </c>
      <c r="H235" s="86" t="s">
        <v>648</v>
      </c>
    </row>
    <row r="236" spans="1:8">
      <c r="A236" s="86" t="s">
        <v>959</v>
      </c>
      <c r="B236" s="204" t="s">
        <v>958</v>
      </c>
      <c r="C236" s="87" t="s">
        <v>216</v>
      </c>
      <c r="D236" s="86" t="s">
        <v>463</v>
      </c>
      <c r="E236" s="86" t="s">
        <v>517</v>
      </c>
      <c r="H236" s="86" t="s">
        <v>1057</v>
      </c>
    </row>
    <row r="237" spans="1:8">
      <c r="A237" s="86" t="s">
        <v>797</v>
      </c>
      <c r="B237" s="86" t="s">
        <v>796</v>
      </c>
      <c r="C237" s="87" t="s">
        <v>216</v>
      </c>
      <c r="D237" s="86" t="s">
        <v>852</v>
      </c>
      <c r="E237" s="86" t="s">
        <v>464</v>
      </c>
      <c r="H237" s="86" t="s">
        <v>648</v>
      </c>
    </row>
    <row r="238" spans="1:8">
      <c r="A238" s="86" t="s">
        <v>757</v>
      </c>
      <c r="B238" s="86" t="s">
        <v>756</v>
      </c>
      <c r="C238" s="87" t="s">
        <v>216</v>
      </c>
      <c r="D238" s="86" t="s">
        <v>463</v>
      </c>
      <c r="E238" s="86" t="s">
        <v>481</v>
      </c>
      <c r="H238" s="86" t="s">
        <v>648</v>
      </c>
    </row>
    <row r="239" spans="1:8">
      <c r="A239" s="86" t="s">
        <v>860</v>
      </c>
      <c r="B239" s="86" t="s">
        <v>859</v>
      </c>
      <c r="C239" s="87" t="s">
        <v>216</v>
      </c>
      <c r="D239" s="86" t="s">
        <v>463</v>
      </c>
      <c r="E239" s="86" t="s">
        <v>481</v>
      </c>
      <c r="H239" s="86" t="s">
        <v>648</v>
      </c>
    </row>
    <row r="240" spans="1:8">
      <c r="A240" s="86" t="s">
        <v>814</v>
      </c>
      <c r="B240" s="86" t="s">
        <v>813</v>
      </c>
      <c r="C240" s="87" t="s">
        <v>216</v>
      </c>
      <c r="D240" s="86" t="s">
        <v>463</v>
      </c>
      <c r="E240" s="86" t="s">
        <v>294</v>
      </c>
      <c r="H240" s="86" t="s">
        <v>648</v>
      </c>
    </row>
    <row r="241" spans="1:8">
      <c r="A241" s="86" t="s">
        <v>619</v>
      </c>
      <c r="B241" s="86" t="s">
        <v>653</v>
      </c>
      <c r="C241" s="87" t="s">
        <v>216</v>
      </c>
      <c r="D241" s="86" t="s">
        <v>465</v>
      </c>
      <c r="E241" s="86" t="s">
        <v>294</v>
      </c>
      <c r="F241" s="86" t="s">
        <v>620</v>
      </c>
      <c r="H241" s="86" t="s">
        <v>927</v>
      </c>
    </row>
    <row r="242" spans="1:8">
      <c r="A242" s="86" t="s">
        <v>761</v>
      </c>
      <c r="B242" s="86" t="s">
        <v>760</v>
      </c>
      <c r="C242" s="87" t="s">
        <v>216</v>
      </c>
      <c r="D242" s="86" t="s">
        <v>852</v>
      </c>
      <c r="E242" s="86" t="s">
        <v>464</v>
      </c>
      <c r="H242" s="86" t="s">
        <v>648</v>
      </c>
    </row>
    <row r="243" spans="1:8">
      <c r="A243" s="86" t="s">
        <v>961</v>
      </c>
      <c r="B243" s="204" t="s">
        <v>960</v>
      </c>
      <c r="C243" s="87" t="s">
        <v>216</v>
      </c>
      <c r="D243" s="86" t="s">
        <v>465</v>
      </c>
      <c r="E243" s="86" t="s">
        <v>1031</v>
      </c>
      <c r="H243" s="86" t="s">
        <v>1057</v>
      </c>
    </row>
    <row r="244" spans="1:8">
      <c r="A244" s="86" t="s">
        <v>933</v>
      </c>
      <c r="B244" s="204" t="s">
        <v>932</v>
      </c>
      <c r="C244" s="87" t="s">
        <v>216</v>
      </c>
      <c r="D244" s="86" t="s">
        <v>465</v>
      </c>
      <c r="E244" s="86" t="s">
        <v>829</v>
      </c>
      <c r="H244" s="86" t="s">
        <v>1057</v>
      </c>
    </row>
    <row r="245" spans="1:8">
      <c r="A245" s="86" t="s">
        <v>947</v>
      </c>
      <c r="B245" s="204" t="s">
        <v>946</v>
      </c>
      <c r="C245" s="87" t="s">
        <v>216</v>
      </c>
      <c r="D245" s="86" t="s">
        <v>465</v>
      </c>
      <c r="E245" s="86" t="s">
        <v>1031</v>
      </c>
      <c r="H245" s="86" t="s">
        <v>1057</v>
      </c>
    </row>
    <row r="246" spans="1:8">
      <c r="A246" s="86" t="s">
        <v>1014</v>
      </c>
      <c r="B246" s="204" t="s">
        <v>1015</v>
      </c>
      <c r="C246" s="87" t="s">
        <v>216</v>
      </c>
      <c r="D246" s="86" t="s">
        <v>465</v>
      </c>
      <c r="E246" s="86" t="s">
        <v>1031</v>
      </c>
      <c r="H246" s="86" t="s">
        <v>1057</v>
      </c>
    </row>
    <row r="247" spans="1:8">
      <c r="A247" s="86" t="s">
        <v>602</v>
      </c>
      <c r="B247" s="86" t="s">
        <v>601</v>
      </c>
      <c r="C247" s="87" t="s">
        <v>603</v>
      </c>
      <c r="H247" s="86" t="s">
        <v>927</v>
      </c>
    </row>
    <row r="248" spans="1:8">
      <c r="A248" s="86" t="s">
        <v>779</v>
      </c>
      <c r="B248" s="86" t="s">
        <v>778</v>
      </c>
      <c r="C248" s="87" t="s">
        <v>603</v>
      </c>
      <c r="H248" s="86" t="s">
        <v>648</v>
      </c>
    </row>
    <row r="249" spans="1:8">
      <c r="A249" s="86" t="s">
        <v>1002</v>
      </c>
      <c r="B249" s="204" t="s">
        <v>1001</v>
      </c>
      <c r="C249" s="87" t="s">
        <v>603</v>
      </c>
      <c r="H249" s="86" t="s">
        <v>1057</v>
      </c>
    </row>
    <row r="250" spans="1:8">
      <c r="A250" s="86" t="s">
        <v>824</v>
      </c>
      <c r="B250" s="86" t="s">
        <v>823</v>
      </c>
      <c r="C250" s="87" t="s">
        <v>603</v>
      </c>
      <c r="H250" s="86" t="s">
        <v>648</v>
      </c>
    </row>
    <row r="251" spans="1:8">
      <c r="A251" s="86" t="s">
        <v>1063</v>
      </c>
      <c r="B251" s="86" t="s">
        <v>1062</v>
      </c>
      <c r="C251" s="87" t="s">
        <v>603</v>
      </c>
      <c r="H251" s="86" t="s">
        <v>1057</v>
      </c>
    </row>
    <row r="252" spans="1:8">
      <c r="A252" s="86" t="s">
        <v>1065</v>
      </c>
      <c r="B252" s="86" t="s">
        <v>1064</v>
      </c>
      <c r="C252" s="87" t="s">
        <v>603</v>
      </c>
      <c r="H252" s="86" t="s">
        <v>1057</v>
      </c>
    </row>
    <row r="253" spans="1:8">
      <c r="A253" s="86" t="s">
        <v>1097</v>
      </c>
      <c r="B253" s="168" t="s">
        <v>1096</v>
      </c>
      <c r="C253" s="87" t="s">
        <v>216</v>
      </c>
      <c r="D253" s="86" t="s">
        <v>465</v>
      </c>
      <c r="E253" s="86" t="s">
        <v>1031</v>
      </c>
      <c r="F253" s="94" t="s">
        <v>1098</v>
      </c>
      <c r="H253" s="86" t="s">
        <v>927</v>
      </c>
    </row>
    <row r="254" spans="1:8">
      <c r="A254" s="86" t="s">
        <v>1136</v>
      </c>
      <c r="B254" s="195" t="s">
        <v>1135</v>
      </c>
      <c r="C254" s="87" t="s">
        <v>216</v>
      </c>
      <c r="D254" s="86" t="s">
        <v>463</v>
      </c>
      <c r="E254" s="86" t="s">
        <v>1031</v>
      </c>
      <c r="F254" s="196" t="s">
        <v>1137</v>
      </c>
      <c r="H254" s="86" t="s">
        <v>927</v>
      </c>
    </row>
    <row r="255" spans="1:8">
      <c r="A255" s="86" t="s">
        <v>1243</v>
      </c>
      <c r="B255" s="231" t="s">
        <v>1242</v>
      </c>
      <c r="C255" s="87" t="s">
        <v>216</v>
      </c>
      <c r="D255" s="86" t="s">
        <v>465</v>
      </c>
      <c r="E255" s="86" t="s">
        <v>1031</v>
      </c>
      <c r="F255" s="94"/>
      <c r="H255" s="86" t="s">
        <v>927</v>
      </c>
    </row>
    <row r="256" spans="1:8">
      <c r="A256" s="86" t="s">
        <v>1245</v>
      </c>
      <c r="B256" s="231" t="s">
        <v>1244</v>
      </c>
      <c r="C256" s="87" t="s">
        <v>216</v>
      </c>
      <c r="D256" s="86" t="s">
        <v>463</v>
      </c>
      <c r="E256" s="86" t="s">
        <v>517</v>
      </c>
      <c r="H256" s="86" t="s">
        <v>927</v>
      </c>
    </row>
    <row r="257" spans="1:8">
      <c r="A257" s="86" t="s">
        <v>1247</v>
      </c>
      <c r="B257" s="231" t="s">
        <v>1246</v>
      </c>
      <c r="C257" s="87" t="s">
        <v>216</v>
      </c>
      <c r="D257" s="86" t="s">
        <v>463</v>
      </c>
      <c r="E257" s="86" t="s">
        <v>1031</v>
      </c>
      <c r="H257" s="86" t="s">
        <v>927</v>
      </c>
    </row>
    <row r="258" spans="1:8">
      <c r="A258" s="86" t="s">
        <v>1249</v>
      </c>
      <c r="B258" s="231" t="s">
        <v>1248</v>
      </c>
      <c r="C258" s="87" t="s">
        <v>216</v>
      </c>
      <c r="D258" s="86" t="s">
        <v>465</v>
      </c>
      <c r="E258" s="86" t="s">
        <v>1031</v>
      </c>
      <c r="H258" s="86" t="s">
        <v>927</v>
      </c>
    </row>
    <row r="259" spans="1:8">
      <c r="A259" s="86" t="s">
        <v>1251</v>
      </c>
      <c r="B259" s="231" t="s">
        <v>1250</v>
      </c>
      <c r="C259" s="87" t="s">
        <v>216</v>
      </c>
      <c r="D259" s="86" t="s">
        <v>465</v>
      </c>
      <c r="E259" s="86" t="s">
        <v>1031</v>
      </c>
      <c r="H259" s="86" t="s">
        <v>927</v>
      </c>
    </row>
    <row r="260" spans="1:8">
      <c r="A260" s="86" t="s">
        <v>1253</v>
      </c>
      <c r="B260" s="231" t="s">
        <v>1252</v>
      </c>
      <c r="C260" s="87" t="s">
        <v>216</v>
      </c>
      <c r="D260" s="86" t="s">
        <v>463</v>
      </c>
      <c r="E260" s="86" t="s">
        <v>464</v>
      </c>
      <c r="H260" s="86" t="s">
        <v>927</v>
      </c>
    </row>
    <row r="261" spans="1:8">
      <c r="A261" s="86" t="s">
        <v>1255</v>
      </c>
      <c r="B261" s="231" t="s">
        <v>1254</v>
      </c>
      <c r="C261" s="87" t="s">
        <v>216</v>
      </c>
      <c r="D261" s="86" t="s">
        <v>465</v>
      </c>
      <c r="E261" s="86" t="s">
        <v>1031</v>
      </c>
      <c r="H261" s="86" t="s">
        <v>927</v>
      </c>
    </row>
    <row r="262" spans="1:8">
      <c r="A262" s="86" t="s">
        <v>1257</v>
      </c>
      <c r="B262" s="231" t="s">
        <v>1256</v>
      </c>
      <c r="C262" s="87" t="s">
        <v>216</v>
      </c>
      <c r="D262" s="86" t="s">
        <v>463</v>
      </c>
      <c r="E262" s="86" t="s">
        <v>1031</v>
      </c>
      <c r="H262" s="86" t="s">
        <v>927</v>
      </c>
    </row>
    <row r="263" spans="1:8">
      <c r="A263" s="86" t="s">
        <v>1259</v>
      </c>
      <c r="B263" s="231" t="s">
        <v>1258</v>
      </c>
      <c r="C263" s="87" t="s">
        <v>216</v>
      </c>
      <c r="D263" s="86" t="s">
        <v>465</v>
      </c>
      <c r="E263" s="86" t="s">
        <v>1031</v>
      </c>
      <c r="H263" s="86" t="s">
        <v>927</v>
      </c>
    </row>
    <row r="264" spans="1:8">
      <c r="A264" s="86" t="s">
        <v>589</v>
      </c>
      <c r="B264" s="231" t="s">
        <v>1260</v>
      </c>
      <c r="C264" s="87" t="s">
        <v>216</v>
      </c>
      <c r="D264" s="86" t="s">
        <v>463</v>
      </c>
      <c r="E264" s="86" t="s">
        <v>1031</v>
      </c>
      <c r="H264" s="86" t="s">
        <v>927</v>
      </c>
    </row>
    <row r="265" spans="1:8">
      <c r="A265" s="86" t="s">
        <v>1262</v>
      </c>
      <c r="B265" s="231" t="s">
        <v>1261</v>
      </c>
      <c r="C265" s="87" t="s">
        <v>216</v>
      </c>
      <c r="D265" s="86" t="s">
        <v>852</v>
      </c>
      <c r="E265" s="86" t="s">
        <v>517</v>
      </c>
      <c r="H265" s="86" t="s">
        <v>927</v>
      </c>
    </row>
    <row r="266" spans="1:8">
      <c r="A266" s="86" t="s">
        <v>1264</v>
      </c>
      <c r="B266" s="231" t="s">
        <v>1263</v>
      </c>
      <c r="C266" s="87" t="s">
        <v>216</v>
      </c>
      <c r="D266" s="86" t="s">
        <v>852</v>
      </c>
      <c r="E266" s="86" t="s">
        <v>517</v>
      </c>
      <c r="H266" s="86" t="s">
        <v>927</v>
      </c>
    </row>
    <row r="267" spans="1:8">
      <c r="A267" s="86" t="s">
        <v>1266</v>
      </c>
      <c r="B267" s="231" t="s">
        <v>1265</v>
      </c>
      <c r="C267" s="87" t="s">
        <v>216</v>
      </c>
      <c r="D267" s="86" t="s">
        <v>463</v>
      </c>
      <c r="E267" s="86" t="s">
        <v>1031</v>
      </c>
      <c r="H267" s="86" t="s">
        <v>927</v>
      </c>
    </row>
    <row r="268" spans="1:8">
      <c r="A268" s="86" t="s">
        <v>1268</v>
      </c>
      <c r="B268" s="231" t="s">
        <v>1267</v>
      </c>
      <c r="C268" s="87" t="s">
        <v>216</v>
      </c>
      <c r="D268" s="86" t="s">
        <v>463</v>
      </c>
      <c r="E268" s="86" t="s">
        <v>1031</v>
      </c>
      <c r="H268" s="86" t="s">
        <v>927</v>
      </c>
    </row>
    <row r="269" spans="1:8">
      <c r="A269" s="86" t="s">
        <v>1226</v>
      </c>
      <c r="B269" t="s">
        <v>1269</v>
      </c>
      <c r="C269" s="87" t="s">
        <v>216</v>
      </c>
      <c r="D269" s="86" t="s">
        <v>465</v>
      </c>
      <c r="E269" s="86" t="s">
        <v>1031</v>
      </c>
      <c r="H269" s="86" t="s">
        <v>927</v>
      </c>
    </row>
    <row r="270" spans="1:8" ht="30">
      <c r="A270" s="86" t="s">
        <v>1278</v>
      </c>
      <c r="B270" s="233" t="s">
        <v>1277</v>
      </c>
      <c r="D270" s="86" t="s">
        <v>463</v>
      </c>
    </row>
    <row r="271" spans="1:8">
      <c r="A271" s="86" t="s">
        <v>606</v>
      </c>
      <c r="B271" s="234" t="s">
        <v>1279</v>
      </c>
      <c r="D271" s="86" t="s">
        <v>463</v>
      </c>
      <c r="E271" s="86" t="s">
        <v>464</v>
      </c>
    </row>
    <row r="272" spans="1:8">
      <c r="A272" s="86" t="s">
        <v>1280</v>
      </c>
      <c r="B272" s="234" t="s">
        <v>1281</v>
      </c>
      <c r="D272" s="86" t="s">
        <v>465</v>
      </c>
      <c r="E272" s="86" t="s">
        <v>1031</v>
      </c>
    </row>
  </sheetData>
  <sortState xmlns:xlrd2="http://schemas.microsoft.com/office/spreadsheetml/2017/richdata2" ref="A2:H255">
    <sortCondition descending="1" ref="C2:C255"/>
    <sortCondition ref="A2:A255"/>
    <sortCondition ref="B2:B255"/>
  </sortState>
  <hyperlinks>
    <hyperlink ref="A227" r:id="rId1" display="https://scholar.google.com/citations?user=AXMZQ0cAAAAJ&amp;hl=en&amp;oi=sra" xr:uid="{5520A8C0-9941-6740-B938-7AFA0BA4ADC4}"/>
    <hyperlink ref="A46" r:id="rId2" display="https://scholar.google.com/citations?user=0bxafuoAAAAJ&amp;hl=en&amp;oi=sra" xr:uid="{F77786BD-94F4-544A-9BB1-189F091147A2}"/>
    <hyperlink ref="A72" r:id="rId3" display="https://scholar.google.com/citations?user=0zUQYWIAAAAJ&amp;hl=en&amp;oi=sra" xr:uid="{DD651295-75D8-EF49-958E-A912B4D66FFC}"/>
    <hyperlink ref="A211" r:id="rId4" display="https://scholar.google.com/citations?user=kWsKAfQAAAAJ&amp;hl=en&amp;oi=sra" xr:uid="{1701E4DA-39A0-5240-9E96-D2A93029C196}"/>
    <hyperlink ref="A209" r:id="rId5" display="https://scholar.google.com/citations?user=WRI4-qAAAAAJ&amp;hl=en&amp;oi=sra" xr:uid="{D774D151-0FE1-E946-A00C-1FC959CE9DE4}"/>
    <hyperlink ref="A119" r:id="rId6" display="https://scholar.google.com/citations?user=0GPw3ygAAAAJ&amp;hl=en&amp;oi=sra" xr:uid="{B6654AF7-D763-AC40-B396-618D4C7B0E18}"/>
    <hyperlink ref="A180" r:id="rId7" display="https://scholar.google.com/citations?user=PtIWIjIAAAAJ&amp;hl=en&amp;oi=sra" xr:uid="{42E8B1B2-BC47-7140-86D6-94E00079C594}"/>
    <hyperlink ref="A52" r:id="rId8" display="https://scholar.google.com/citations?user=NGJeGe4AAAAJ&amp;hl=en&amp;oi=sra" xr:uid="{AB8C926B-AA02-A749-8226-3247535AFF61}"/>
    <hyperlink ref="A61" r:id="rId9" display="https://scholar.google.com/citations?user=U68zl48AAAAJ&amp;hl=en&amp;oi=sra" xr:uid="{9BC13ED8-2B41-C948-8F17-4D71334EABFC}"/>
    <hyperlink ref="A71" r:id="rId10" display="https://scholar.google.com/citations?user=0zUQYWIAAAAJ&amp;hl=en&amp;oi=sra" xr:uid="{2B59731B-F26C-D344-BB2B-AE725E16E541}"/>
    <hyperlink ref="A157" r:id="rId11" display="https://scholar.google.com/citations?user=W1sQ9OEAAAAJ&amp;hl=en&amp;oi=sra" xr:uid="{91791F2D-8DBF-7D48-B492-CCC125733348}"/>
    <hyperlink ref="A155" r:id="rId12" display="https://scholar.google.com/citations?user=Rd0lUzQAAAAJ&amp;hl=en&amp;oi=sra" xr:uid="{4A942EE2-5DA7-3142-B862-FC820FD1447B}"/>
    <hyperlink ref="B271" r:id="rId13" display="https://idp.springer.com/authorize/casa?redirect_uri=https://link.springer.com/content/pdf/10.1007/BF00304690.pdf&amp;casa_token=f3BwhRpxAGsAAAAA:0SlADcurI92WT4VuLZjaUNeuk6kl7terWjOIWOUjBX_SEEjD4-Ub3pV17ScL_L06uokcJ78wXJAmpb11_Q" xr:uid="{8440D2B9-3B3E-ED43-AF69-C84E9EE968F0}"/>
    <hyperlink ref="B272" r:id="rId14" display="https://idp.springer.com/authorize/casa?redirect_uri=https://link.springer.com/content/pdf/10.1007/BF00336722.pdf&amp;casa_token=5Lqjue54RJIAAAAA:i_DD37sI6MdAI6OZqka_7Mlk5UCgQrMHsKT5A_jG5P1zuTpvXIauI82mGzAX7z4xGV4bD2Jx3V_tMHaTbg" xr:uid="{F13A3313-B990-7E45-9498-554A29EF8EEF}"/>
  </hyperlink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4C48-A684-314A-BB96-C5B64E42445F}">
  <dimension ref="A1:I28"/>
  <sheetViews>
    <sheetView workbookViewId="0">
      <selection activeCell="I30" sqref="I30"/>
    </sheetView>
  </sheetViews>
  <sheetFormatPr baseColWidth="10" defaultRowHeight="16"/>
  <sheetData>
    <row r="1" spans="1:9">
      <c r="A1" t="s">
        <v>7</v>
      </c>
      <c r="B1" t="s">
        <v>432</v>
      </c>
      <c r="C1" t="s">
        <v>175</v>
      </c>
      <c r="D1" t="s">
        <v>438</v>
      </c>
      <c r="F1" t="s">
        <v>443</v>
      </c>
      <c r="H1" t="s">
        <v>446</v>
      </c>
      <c r="I1">
        <f>(SUM(H2:H7))/(6-1)</f>
        <v>3.5</v>
      </c>
    </row>
    <row r="2" spans="1:9">
      <c r="A2" t="s">
        <v>431</v>
      </c>
      <c r="B2">
        <v>11</v>
      </c>
      <c r="C2">
        <v>1</v>
      </c>
      <c r="D2">
        <v>6</v>
      </c>
      <c r="F2">
        <f>C2-$B$9</f>
        <v>-2.5</v>
      </c>
      <c r="G2">
        <f>B2-$B$10</f>
        <v>-2.1666666666666661</v>
      </c>
      <c r="H2">
        <f>F2*G2</f>
        <v>5.4166666666666652</v>
      </c>
    </row>
    <row r="3" spans="1:9">
      <c r="A3" t="s">
        <v>431</v>
      </c>
      <c r="B3">
        <v>13</v>
      </c>
      <c r="C3">
        <v>2</v>
      </c>
      <c r="D3">
        <v>6</v>
      </c>
      <c r="F3">
        <f t="shared" ref="F3:F7" si="0">C3-$B$9</f>
        <v>-1.5</v>
      </c>
      <c r="G3">
        <f t="shared" ref="G3:G7" si="1">B3-$B$10</f>
        <v>-0.16666666666666607</v>
      </c>
      <c r="H3">
        <f t="shared" ref="H3:H7" si="2">F3*G3</f>
        <v>0.24999999999999911</v>
      </c>
    </row>
    <row r="4" spans="1:9">
      <c r="A4" t="s">
        <v>431</v>
      </c>
      <c r="B4">
        <v>12</v>
      </c>
      <c r="C4">
        <v>3</v>
      </c>
      <c r="D4">
        <v>6</v>
      </c>
      <c r="F4">
        <f t="shared" si="0"/>
        <v>-0.5</v>
      </c>
      <c r="G4">
        <f t="shared" si="1"/>
        <v>-1.1666666666666661</v>
      </c>
      <c r="H4">
        <f t="shared" si="2"/>
        <v>0.58333333333333304</v>
      </c>
    </row>
    <row r="5" spans="1:9">
      <c r="A5" t="s">
        <v>431</v>
      </c>
      <c r="B5">
        <v>11</v>
      </c>
      <c r="C5">
        <v>4</v>
      </c>
      <c r="D5">
        <v>6</v>
      </c>
      <c r="F5">
        <f t="shared" si="0"/>
        <v>0.5</v>
      </c>
      <c r="G5">
        <f t="shared" si="1"/>
        <v>-2.1666666666666661</v>
      </c>
      <c r="H5">
        <f t="shared" si="2"/>
        <v>-1.083333333333333</v>
      </c>
    </row>
    <row r="6" spans="1:9">
      <c r="A6" t="s">
        <v>431</v>
      </c>
      <c r="B6">
        <v>15</v>
      </c>
      <c r="C6">
        <v>5</v>
      </c>
      <c r="D6">
        <v>6</v>
      </c>
      <c r="F6">
        <f t="shared" si="0"/>
        <v>1.5</v>
      </c>
      <c r="G6">
        <f t="shared" si="1"/>
        <v>1.8333333333333339</v>
      </c>
      <c r="H6">
        <f t="shared" si="2"/>
        <v>2.7500000000000009</v>
      </c>
    </row>
    <row r="7" spans="1:9">
      <c r="A7" t="s">
        <v>431</v>
      </c>
      <c r="B7">
        <v>17</v>
      </c>
      <c r="C7">
        <v>6</v>
      </c>
      <c r="D7">
        <v>6</v>
      </c>
      <c r="F7">
        <f t="shared" si="0"/>
        <v>2.5</v>
      </c>
      <c r="G7">
        <f t="shared" si="1"/>
        <v>3.8333333333333339</v>
      </c>
      <c r="H7">
        <f t="shared" si="2"/>
        <v>9.5833333333333357</v>
      </c>
    </row>
    <row r="9" spans="1:9">
      <c r="A9" t="s">
        <v>444</v>
      </c>
      <c r="B9">
        <f>AVERAGE(C2:C7)</f>
        <v>3.5</v>
      </c>
    </row>
    <row r="10" spans="1:9">
      <c r="A10" t="s">
        <v>445</v>
      </c>
      <c r="B10">
        <f>AVERAGE(B2:B7)</f>
        <v>13.166666666666666</v>
      </c>
    </row>
    <row r="12" spans="1:9">
      <c r="A12" t="s">
        <v>434</v>
      </c>
    </row>
    <row r="13" spans="1:9">
      <c r="B13" t="s">
        <v>433</v>
      </c>
      <c r="C13" t="s">
        <v>435</v>
      </c>
      <c r="D13" t="s">
        <v>436</v>
      </c>
      <c r="E13" t="s">
        <v>437</v>
      </c>
    </row>
    <row r="14" spans="1:9">
      <c r="A14" t="s">
        <v>431</v>
      </c>
      <c r="B14">
        <f t="shared" ref="B14:B19" si="3">B2*C2</f>
        <v>11</v>
      </c>
      <c r="C14">
        <f>SUM(B14:B19)</f>
        <v>294</v>
      </c>
      <c r="D14">
        <f>SUM(C2:C7)</f>
        <v>21</v>
      </c>
      <c r="E14">
        <f>SUM(B2:B7)</f>
        <v>79</v>
      </c>
    </row>
    <row r="15" spans="1:9">
      <c r="A15" t="s">
        <v>431</v>
      </c>
      <c r="B15">
        <f t="shared" si="3"/>
        <v>26</v>
      </c>
    </row>
    <row r="16" spans="1:9">
      <c r="A16" t="s">
        <v>431</v>
      </c>
      <c r="B16">
        <f t="shared" si="3"/>
        <v>36</v>
      </c>
    </row>
    <row r="17" spans="1:5">
      <c r="B17">
        <f t="shared" si="3"/>
        <v>44</v>
      </c>
    </row>
    <row r="18" spans="1:5">
      <c r="B18">
        <f t="shared" si="3"/>
        <v>75</v>
      </c>
    </row>
    <row r="19" spans="1:5">
      <c r="B19">
        <f t="shared" si="3"/>
        <v>102</v>
      </c>
    </row>
    <row r="22" spans="1:5">
      <c r="B22" t="s">
        <v>439</v>
      </c>
      <c r="C22" t="s">
        <v>440</v>
      </c>
      <c r="D22" t="s">
        <v>441</v>
      </c>
      <c r="E22" t="s">
        <v>442</v>
      </c>
    </row>
    <row r="23" spans="1:5">
      <c r="B23">
        <f t="shared" ref="B23:B28" si="4">C2^2</f>
        <v>1</v>
      </c>
      <c r="C23">
        <f>SUM(B23:B28)</f>
        <v>91</v>
      </c>
      <c r="D23">
        <f t="shared" ref="D23:D28" si="5">B2^2</f>
        <v>121</v>
      </c>
      <c r="E23">
        <f>SUM(D23:D28)</f>
        <v>1069</v>
      </c>
    </row>
    <row r="24" spans="1:5">
      <c r="B24">
        <f t="shared" si="4"/>
        <v>4</v>
      </c>
      <c r="D24">
        <f t="shared" si="5"/>
        <v>169</v>
      </c>
    </row>
    <row r="25" spans="1:5">
      <c r="B25">
        <f t="shared" si="4"/>
        <v>9</v>
      </c>
      <c r="D25">
        <f t="shared" si="5"/>
        <v>144</v>
      </c>
    </row>
    <row r="26" spans="1:5">
      <c r="B26">
        <f t="shared" si="4"/>
        <v>16</v>
      </c>
      <c r="D26">
        <f t="shared" si="5"/>
        <v>121</v>
      </c>
    </row>
    <row r="27" spans="1:5">
      <c r="A27">
        <f>(6*C14-(D14*E14))/(SQRT((6*C23-(C23^2))*(6*E23-(E23^2))))</f>
        <v>1.1199629483759277E-3</v>
      </c>
      <c r="B27">
        <f t="shared" si="4"/>
        <v>25</v>
      </c>
      <c r="D27">
        <f t="shared" si="5"/>
        <v>225</v>
      </c>
    </row>
    <row r="28" spans="1:5">
      <c r="B28">
        <f t="shared" si="4"/>
        <v>36</v>
      </c>
      <c r="D28">
        <f t="shared" si="5"/>
        <v>289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EDED-5564-034F-9317-29602CAA6F1A}">
  <dimension ref="A1:P9"/>
  <sheetViews>
    <sheetView topLeftCell="D1" workbookViewId="0">
      <selection activeCell="H20" sqref="H20"/>
    </sheetView>
  </sheetViews>
  <sheetFormatPr baseColWidth="10" defaultRowHeight="16"/>
  <cols>
    <col min="2" max="2" width="8.1640625" customWidth="1"/>
    <col min="3" max="3" width="13.83203125" customWidth="1"/>
  </cols>
  <sheetData>
    <row r="1" spans="1:16">
      <c r="B1" s="260" t="s">
        <v>639</v>
      </c>
      <c r="C1" s="260"/>
      <c r="D1" s="260" t="s">
        <v>640</v>
      </c>
      <c r="E1" s="260"/>
      <c r="F1" s="260" t="s">
        <v>641</v>
      </c>
      <c r="G1" s="260"/>
      <c r="H1" s="260" t="s">
        <v>644</v>
      </c>
      <c r="I1" s="260"/>
      <c r="J1" s="260"/>
      <c r="K1" s="260"/>
      <c r="L1" s="260"/>
    </row>
    <row r="2" spans="1:16">
      <c r="A2" t="s">
        <v>7</v>
      </c>
      <c r="B2" t="s">
        <v>634</v>
      </c>
      <c r="C2" t="s">
        <v>636</v>
      </c>
      <c r="D2" t="s">
        <v>637</v>
      </c>
      <c r="E2" t="s">
        <v>638</v>
      </c>
      <c r="F2" t="s">
        <v>642</v>
      </c>
      <c r="G2" t="s">
        <v>643</v>
      </c>
      <c r="H2" t="s">
        <v>645</v>
      </c>
      <c r="I2" t="s">
        <v>646</v>
      </c>
      <c r="J2" t="s">
        <v>637</v>
      </c>
      <c r="K2" t="s">
        <v>647</v>
      </c>
      <c r="M2" t="s">
        <v>632</v>
      </c>
      <c r="N2" t="s">
        <v>633</v>
      </c>
    </row>
    <row r="3" spans="1:16">
      <c r="A3" t="s">
        <v>626</v>
      </c>
      <c r="B3">
        <v>0.1</v>
      </c>
      <c r="C3">
        <v>0.03</v>
      </c>
      <c r="D3">
        <f>1/C3</f>
        <v>33.333333333333336</v>
      </c>
      <c r="E3">
        <f>B3*D3</f>
        <v>3.3333333333333339</v>
      </c>
      <c r="F3">
        <f>(B3^2)*D3</f>
        <v>0.33333333333333343</v>
      </c>
      <c r="G3">
        <f>D3^2</f>
        <v>1111.1111111111113</v>
      </c>
      <c r="H3">
        <v>0.04</v>
      </c>
      <c r="I3">
        <f>C3+H3</f>
        <v>7.0000000000000007E-2</v>
      </c>
      <c r="J3">
        <f>1/(I3)</f>
        <v>14.285714285714285</v>
      </c>
      <c r="K3">
        <f>J3*B3</f>
        <v>1.4285714285714286</v>
      </c>
      <c r="M3">
        <v>0.1</v>
      </c>
      <c r="N3">
        <v>0.17299999999999999</v>
      </c>
      <c r="P3">
        <f t="shared" ref="P3:P8" si="0">1/(C3+0.04)</f>
        <v>14.285714285714285</v>
      </c>
    </row>
    <row r="4" spans="1:16">
      <c r="A4" t="s">
        <v>627</v>
      </c>
      <c r="B4">
        <v>0.3</v>
      </c>
      <c r="C4">
        <v>0.03</v>
      </c>
      <c r="D4">
        <f t="shared" ref="D4:D8" si="1">1/C4</f>
        <v>33.333333333333336</v>
      </c>
      <c r="E4">
        <f t="shared" ref="E4:E8" si="2">B4*D4</f>
        <v>10</v>
      </c>
      <c r="F4">
        <f t="shared" ref="F4:F8" si="3">(B4^2)*D4</f>
        <v>3</v>
      </c>
      <c r="G4">
        <f t="shared" ref="G4:G8" si="4">D4^2</f>
        <v>1111.1111111111113</v>
      </c>
      <c r="H4">
        <v>0.04</v>
      </c>
      <c r="I4">
        <f t="shared" ref="I4:I8" si="5">C4+H4</f>
        <v>7.0000000000000007E-2</v>
      </c>
      <c r="J4">
        <f t="shared" ref="J4:J8" si="6">1/(I4)</f>
        <v>14.285714285714285</v>
      </c>
      <c r="K4">
        <f t="shared" ref="K4:K8" si="7">J4*B4</f>
        <v>4.2857142857142856</v>
      </c>
      <c r="M4">
        <v>0.3</v>
      </c>
      <c r="N4">
        <v>0.17299999999999999</v>
      </c>
      <c r="P4">
        <f t="shared" si="0"/>
        <v>14.285714285714285</v>
      </c>
    </row>
    <row r="5" spans="1:16">
      <c r="A5" t="s">
        <v>628</v>
      </c>
      <c r="B5">
        <v>0.35</v>
      </c>
      <c r="C5">
        <v>0.05</v>
      </c>
      <c r="D5">
        <f t="shared" si="1"/>
        <v>20</v>
      </c>
      <c r="E5">
        <f t="shared" si="2"/>
        <v>7</v>
      </c>
      <c r="F5">
        <f t="shared" si="3"/>
        <v>2.4499999999999997</v>
      </c>
      <c r="G5">
        <f t="shared" si="4"/>
        <v>400</v>
      </c>
      <c r="H5">
        <v>0.04</v>
      </c>
      <c r="I5">
        <f t="shared" si="5"/>
        <v>0.09</v>
      </c>
      <c r="J5">
        <f t="shared" si="6"/>
        <v>11.111111111111111</v>
      </c>
      <c r="K5">
        <f t="shared" si="7"/>
        <v>3.8888888888888884</v>
      </c>
      <c r="M5">
        <v>0.35</v>
      </c>
      <c r="N5">
        <v>0.224</v>
      </c>
      <c r="P5">
        <f t="shared" si="0"/>
        <v>11.111111111111111</v>
      </c>
    </row>
    <row r="6" spans="1:16">
      <c r="A6" t="s">
        <v>629</v>
      </c>
      <c r="B6">
        <v>0.65</v>
      </c>
      <c r="C6">
        <v>0.01</v>
      </c>
      <c r="D6">
        <f t="shared" si="1"/>
        <v>100</v>
      </c>
      <c r="E6">
        <f t="shared" si="2"/>
        <v>65</v>
      </c>
      <c r="F6">
        <f t="shared" si="3"/>
        <v>42.250000000000007</v>
      </c>
      <c r="G6">
        <f t="shared" si="4"/>
        <v>10000</v>
      </c>
      <c r="H6">
        <v>0.04</v>
      </c>
      <c r="I6">
        <f t="shared" si="5"/>
        <v>0.05</v>
      </c>
      <c r="J6">
        <f t="shared" si="6"/>
        <v>20</v>
      </c>
      <c r="K6">
        <f t="shared" si="7"/>
        <v>13</v>
      </c>
      <c r="M6">
        <v>0.65</v>
      </c>
      <c r="N6">
        <v>0.1</v>
      </c>
      <c r="P6">
        <f t="shared" si="0"/>
        <v>20</v>
      </c>
    </row>
    <row r="7" spans="1:16">
      <c r="A7" t="s">
        <v>630</v>
      </c>
      <c r="B7">
        <v>0.45</v>
      </c>
      <c r="C7">
        <v>0.05</v>
      </c>
      <c r="D7">
        <f t="shared" si="1"/>
        <v>20</v>
      </c>
      <c r="E7">
        <f t="shared" si="2"/>
        <v>9</v>
      </c>
      <c r="F7">
        <f t="shared" si="3"/>
        <v>4.0500000000000007</v>
      </c>
      <c r="G7">
        <f t="shared" si="4"/>
        <v>400</v>
      </c>
      <c r="H7">
        <v>0.04</v>
      </c>
      <c r="I7">
        <f t="shared" si="5"/>
        <v>0.09</v>
      </c>
      <c r="J7">
        <f t="shared" si="6"/>
        <v>11.111111111111111</v>
      </c>
      <c r="K7">
        <f t="shared" si="7"/>
        <v>5</v>
      </c>
      <c r="M7">
        <v>0.45</v>
      </c>
      <c r="N7">
        <v>0.224</v>
      </c>
      <c r="P7">
        <f t="shared" si="0"/>
        <v>11.111111111111111</v>
      </c>
    </row>
    <row r="8" spans="1:16">
      <c r="A8" t="s">
        <v>631</v>
      </c>
      <c r="B8">
        <v>0.15</v>
      </c>
      <c r="C8">
        <v>0.02</v>
      </c>
      <c r="D8">
        <f t="shared" si="1"/>
        <v>50</v>
      </c>
      <c r="E8">
        <f t="shared" si="2"/>
        <v>7.5</v>
      </c>
      <c r="F8">
        <f t="shared" si="3"/>
        <v>1.125</v>
      </c>
      <c r="G8">
        <f t="shared" si="4"/>
        <v>2500</v>
      </c>
      <c r="H8">
        <v>0.04</v>
      </c>
      <c r="I8">
        <f t="shared" si="5"/>
        <v>0.06</v>
      </c>
      <c r="J8">
        <f t="shared" si="6"/>
        <v>16.666666666666668</v>
      </c>
      <c r="K8">
        <f t="shared" si="7"/>
        <v>2.5</v>
      </c>
      <c r="M8">
        <v>0.15</v>
      </c>
      <c r="N8">
        <v>0.14099999999999999</v>
      </c>
      <c r="P8">
        <f t="shared" si="0"/>
        <v>16.666666666666668</v>
      </c>
    </row>
    <row r="9" spans="1:16">
      <c r="A9" t="s">
        <v>635</v>
      </c>
      <c r="M9">
        <v>0.34399999999999997</v>
      </c>
      <c r="N9">
        <v>0.107</v>
      </c>
      <c r="P9">
        <f t="shared" ref="P9" si="8">1/(O9+0.04)</f>
        <v>25</v>
      </c>
    </row>
  </sheetData>
  <mergeCells count="4">
    <mergeCell ref="B1:C1"/>
    <mergeCell ref="D1:E1"/>
    <mergeCell ref="F1:G1"/>
    <mergeCell ref="H1:L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587D-E40C-0F4C-82F4-5C54ADBEE933}">
  <dimension ref="A1:M3"/>
  <sheetViews>
    <sheetView workbookViewId="0">
      <selection activeCell="F16" sqref="F16"/>
    </sheetView>
  </sheetViews>
  <sheetFormatPr baseColWidth="10" defaultRowHeight="16"/>
  <sheetData>
    <row r="1" spans="1:13">
      <c r="A1" t="s">
        <v>74</v>
      </c>
      <c r="B1" t="s">
        <v>7</v>
      </c>
      <c r="C1" t="s">
        <v>73</v>
      </c>
      <c r="D1" t="s">
        <v>76</v>
      </c>
      <c r="E1" t="s">
        <v>88</v>
      </c>
      <c r="F1" t="s">
        <v>77</v>
      </c>
      <c r="G1" t="s">
        <v>78</v>
      </c>
      <c r="H1" t="s">
        <v>92</v>
      </c>
      <c r="I1" t="s">
        <v>97</v>
      </c>
      <c r="J1" t="s">
        <v>98</v>
      </c>
      <c r="K1" t="s">
        <v>84</v>
      </c>
      <c r="L1" t="s">
        <v>96</v>
      </c>
      <c r="M1" t="s">
        <v>80</v>
      </c>
    </row>
    <row r="2" spans="1:13">
      <c r="A2" t="s">
        <v>86</v>
      </c>
      <c r="B2" t="s">
        <v>87</v>
      </c>
      <c r="C2" t="s">
        <v>90</v>
      </c>
      <c r="D2">
        <v>19</v>
      </c>
      <c r="E2" t="s">
        <v>89</v>
      </c>
      <c r="F2" t="s">
        <v>91</v>
      </c>
      <c r="G2" t="s">
        <v>94</v>
      </c>
      <c r="H2" t="s">
        <v>93</v>
      </c>
      <c r="I2" t="s">
        <v>100</v>
      </c>
      <c r="J2" t="s">
        <v>99</v>
      </c>
      <c r="K2" t="s">
        <v>103</v>
      </c>
      <c r="L2" t="s">
        <v>102</v>
      </c>
      <c r="M2" t="s">
        <v>101</v>
      </c>
    </row>
    <row r="3" spans="1:13">
      <c r="A3" t="s">
        <v>86</v>
      </c>
      <c r="B3" t="s">
        <v>104</v>
      </c>
      <c r="C3" t="s">
        <v>90</v>
      </c>
      <c r="D3">
        <v>19</v>
      </c>
      <c r="E3" t="s">
        <v>89</v>
      </c>
      <c r="F3" t="s">
        <v>91</v>
      </c>
      <c r="G3" t="s">
        <v>95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F3C8-7BAF-4A43-8FC8-2DEF8476FDE3}">
  <dimension ref="A2:D17"/>
  <sheetViews>
    <sheetView workbookViewId="0">
      <selection activeCell="H25" sqref="H25"/>
    </sheetView>
  </sheetViews>
  <sheetFormatPr baseColWidth="10" defaultRowHeight="16"/>
  <cols>
    <col min="1" max="1" width="12" bestFit="1" customWidth="1"/>
    <col min="2" max="2" width="11" customWidth="1"/>
    <col min="4" max="4" width="18.5" bestFit="1" customWidth="1"/>
  </cols>
  <sheetData>
    <row r="2" spans="1:4">
      <c r="A2" t="s">
        <v>2</v>
      </c>
      <c r="B2" t="s">
        <v>0</v>
      </c>
      <c r="C2" t="s">
        <v>1</v>
      </c>
      <c r="D2" t="s">
        <v>6</v>
      </c>
    </row>
    <row r="3" spans="1:4">
      <c r="A3" t="s">
        <v>3</v>
      </c>
      <c r="B3">
        <v>0.61</v>
      </c>
      <c r="C3">
        <v>1</v>
      </c>
      <c r="D3">
        <v>0.12</v>
      </c>
    </row>
    <row r="4" spans="1:4">
      <c r="A4" t="s">
        <v>3</v>
      </c>
      <c r="B4">
        <v>0.57499999999999996</v>
      </c>
      <c r="C4">
        <v>3</v>
      </c>
      <c r="D4">
        <v>0.1</v>
      </c>
    </row>
    <row r="5" spans="1:4">
      <c r="A5" t="s">
        <v>3</v>
      </c>
      <c r="B5">
        <v>0.5</v>
      </c>
      <c r="C5">
        <v>5</v>
      </c>
      <c r="D5">
        <v>0.09</v>
      </c>
    </row>
    <row r="6" spans="1:4">
      <c r="A6" t="s">
        <v>3</v>
      </c>
      <c r="B6">
        <v>0.55000000000000004</v>
      </c>
      <c r="C6">
        <v>7</v>
      </c>
      <c r="D6">
        <v>0.1</v>
      </c>
    </row>
    <row r="7" spans="1:4">
      <c r="A7" t="s">
        <v>3</v>
      </c>
      <c r="B7">
        <v>0.57999999999999996</v>
      </c>
      <c r="C7">
        <v>9</v>
      </c>
      <c r="D7">
        <v>0.08</v>
      </c>
    </row>
    <row r="8" spans="1:4">
      <c r="A8" t="s">
        <v>3</v>
      </c>
      <c r="B8">
        <v>0.46</v>
      </c>
      <c r="C8">
        <v>11</v>
      </c>
      <c r="D8">
        <v>0.08</v>
      </c>
    </row>
    <row r="9" spans="1:4">
      <c r="A9" t="s">
        <v>4</v>
      </c>
      <c r="B9">
        <v>0.57499999999999996</v>
      </c>
      <c r="C9">
        <v>1</v>
      </c>
      <c r="D9">
        <v>0.09</v>
      </c>
    </row>
    <row r="10" spans="1:4">
      <c r="A10" t="s">
        <v>4</v>
      </c>
      <c r="B10">
        <v>0.62</v>
      </c>
      <c r="C10">
        <v>3</v>
      </c>
      <c r="D10">
        <v>0.1</v>
      </c>
    </row>
    <row r="11" spans="1:4">
      <c r="A11" t="s">
        <v>4</v>
      </c>
      <c r="B11">
        <v>0.62</v>
      </c>
      <c r="C11">
        <v>5</v>
      </c>
      <c r="D11">
        <v>0.12</v>
      </c>
    </row>
    <row r="12" spans="1:4">
      <c r="A12" t="s">
        <v>4</v>
      </c>
      <c r="B12">
        <v>0.55000000000000004</v>
      </c>
      <c r="C12">
        <v>7</v>
      </c>
      <c r="D12">
        <v>0.11</v>
      </c>
    </row>
    <row r="13" spans="1:4">
      <c r="A13" t="s">
        <v>4</v>
      </c>
      <c r="B13">
        <v>0.56999999999999995</v>
      </c>
      <c r="C13">
        <v>9</v>
      </c>
      <c r="D13">
        <v>0.11</v>
      </c>
    </row>
    <row r="14" spans="1:4">
      <c r="A14" t="s">
        <v>5</v>
      </c>
      <c r="B14">
        <v>0.55000000000000004</v>
      </c>
      <c r="C14">
        <v>1</v>
      </c>
      <c r="D14">
        <v>0.09</v>
      </c>
    </row>
    <row r="15" spans="1:4">
      <c r="A15" t="s">
        <v>5</v>
      </c>
      <c r="B15">
        <v>0.68</v>
      </c>
      <c r="C15">
        <v>3</v>
      </c>
      <c r="D15">
        <v>0.13</v>
      </c>
    </row>
    <row r="16" spans="1:4">
      <c r="A16" t="s">
        <v>5</v>
      </c>
      <c r="B16">
        <v>0.56000000000000005</v>
      </c>
      <c r="C16">
        <v>5</v>
      </c>
      <c r="D16">
        <v>0.12</v>
      </c>
    </row>
    <row r="17" spans="1:4">
      <c r="A17" t="s">
        <v>5</v>
      </c>
      <c r="B17">
        <v>0.57999999999999996</v>
      </c>
      <c r="C17">
        <v>7</v>
      </c>
      <c r="D17">
        <v>0.13</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6AA8-8A90-9F48-9517-5951AFC6CA52}">
  <dimension ref="A1:H5"/>
  <sheetViews>
    <sheetView workbookViewId="0">
      <selection activeCell="H18" sqref="H18"/>
    </sheetView>
  </sheetViews>
  <sheetFormatPr baseColWidth="10" defaultRowHeight="16"/>
  <cols>
    <col min="2" max="2" width="18.33203125" customWidth="1"/>
  </cols>
  <sheetData>
    <row r="1" spans="1:8">
      <c r="A1" t="s">
        <v>7</v>
      </c>
      <c r="B1" t="s">
        <v>74</v>
      </c>
      <c r="C1" t="s">
        <v>1167</v>
      </c>
      <c r="E1" t="s">
        <v>1168</v>
      </c>
      <c r="F1" t="s">
        <v>438</v>
      </c>
      <c r="G1" t="s">
        <v>1169</v>
      </c>
      <c r="H1" t="s">
        <v>1170</v>
      </c>
    </row>
    <row r="2" spans="1:8">
      <c r="A2" s="204" t="s">
        <v>201</v>
      </c>
      <c r="B2" s="204" t="s">
        <v>75</v>
      </c>
      <c r="C2" s="205">
        <v>0.77400000000000002</v>
      </c>
      <c r="D2" s="204">
        <f>SQRT(C2)</f>
        <v>0.87977269791691082</v>
      </c>
      <c r="E2" s="204">
        <v>-0.87977269791691104</v>
      </c>
      <c r="F2" s="204">
        <v>5</v>
      </c>
      <c r="G2" s="204">
        <v>100</v>
      </c>
      <c r="H2" s="204" t="s">
        <v>1171</v>
      </c>
    </row>
    <row r="3" spans="1:8">
      <c r="A3" s="204" t="s">
        <v>352</v>
      </c>
      <c r="B3" s="204" t="s">
        <v>75</v>
      </c>
      <c r="C3" s="204">
        <v>0.22869999999999999</v>
      </c>
      <c r="D3" s="204">
        <f t="shared" ref="D3:D5" si="0">SQRT(C3)</f>
        <v>0.47822588804873373</v>
      </c>
      <c r="E3" s="204">
        <v>0.47822588804873373</v>
      </c>
      <c r="F3" s="204">
        <v>5</v>
      </c>
      <c r="G3" s="204">
        <v>16</v>
      </c>
      <c r="H3" s="204" t="s">
        <v>1172</v>
      </c>
    </row>
    <row r="4" spans="1:8">
      <c r="A4" s="204" t="s">
        <v>244</v>
      </c>
      <c r="B4" s="204" t="s">
        <v>75</v>
      </c>
      <c r="C4" s="204">
        <v>0.94830000000000003</v>
      </c>
      <c r="D4" s="204">
        <f t="shared" si="0"/>
        <v>0.97380696239039077</v>
      </c>
      <c r="E4" s="204">
        <v>0.97380696239039077</v>
      </c>
      <c r="F4" s="204">
        <v>6</v>
      </c>
      <c r="G4" s="204">
        <v>15</v>
      </c>
      <c r="H4" s="204" t="s">
        <v>1174</v>
      </c>
    </row>
    <row r="5" spans="1:8">
      <c r="A5" s="204" t="s">
        <v>524</v>
      </c>
      <c r="B5" s="204" t="s">
        <v>75</v>
      </c>
      <c r="C5" s="204">
        <v>0.83330000000000004</v>
      </c>
      <c r="D5" s="204">
        <f t="shared" si="0"/>
        <v>0.91285267157411554</v>
      </c>
      <c r="E5" s="204">
        <v>-0.91285267157411598</v>
      </c>
      <c r="F5" s="204">
        <v>5</v>
      </c>
      <c r="G5" s="204">
        <v>24</v>
      </c>
      <c r="H5" s="204" t="s">
        <v>1175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9ACEC-0B86-154D-A5BE-E62BA78330E0}">
  <dimension ref="A1:H7"/>
  <sheetViews>
    <sheetView workbookViewId="0">
      <selection activeCell="F15" sqref="F15"/>
    </sheetView>
  </sheetViews>
  <sheetFormatPr baseColWidth="10" defaultRowHeight="16"/>
  <sheetData>
    <row r="1" spans="1:8">
      <c r="A1" t="s">
        <v>7</v>
      </c>
      <c r="B1" t="s">
        <v>74</v>
      </c>
      <c r="C1" t="s">
        <v>1167</v>
      </c>
      <c r="E1" t="s">
        <v>1168</v>
      </c>
      <c r="F1" t="s">
        <v>438</v>
      </c>
      <c r="G1" t="s">
        <v>1169</v>
      </c>
      <c r="H1" t="s">
        <v>1170</v>
      </c>
    </row>
    <row r="2" spans="1:8">
      <c r="A2" s="204" t="s">
        <v>276</v>
      </c>
      <c r="B2" s="204" t="s">
        <v>289</v>
      </c>
      <c r="C2" s="204">
        <v>0.50770000000000004</v>
      </c>
      <c r="D2" s="204">
        <f t="shared" ref="D2:D7" si="0">SQRT(C2)</f>
        <v>0.71253070109294236</v>
      </c>
      <c r="E2" s="204">
        <v>0.71253070109294236</v>
      </c>
      <c r="F2" s="204">
        <v>5</v>
      </c>
      <c r="G2" s="204">
        <v>35</v>
      </c>
      <c r="H2" s="204" t="s">
        <v>1173</v>
      </c>
    </row>
    <row r="3" spans="1:8">
      <c r="A3" s="204" t="s">
        <v>276</v>
      </c>
      <c r="B3" s="204" t="s">
        <v>37</v>
      </c>
      <c r="C3" s="204">
        <v>0.4078</v>
      </c>
      <c r="D3" s="204">
        <f t="shared" si="0"/>
        <v>0.6385922016435841</v>
      </c>
      <c r="E3" s="204">
        <v>0.6385922016435841</v>
      </c>
      <c r="F3" s="204">
        <v>5</v>
      </c>
      <c r="G3" s="204">
        <v>70</v>
      </c>
      <c r="H3" s="204" t="s">
        <v>1173</v>
      </c>
    </row>
    <row r="4" spans="1:8">
      <c r="A4" s="204" t="s">
        <v>276</v>
      </c>
      <c r="B4" s="204" t="s">
        <v>287</v>
      </c>
      <c r="C4" s="204">
        <v>0.76139999999999997</v>
      </c>
      <c r="D4" s="204">
        <f t="shared" si="0"/>
        <v>0.87258237433493924</v>
      </c>
      <c r="E4" s="204">
        <v>0.87258237433493924</v>
      </c>
      <c r="F4" s="204">
        <v>5</v>
      </c>
      <c r="G4" s="204">
        <v>40</v>
      </c>
      <c r="H4" s="204" t="s">
        <v>1173</v>
      </c>
    </row>
    <row r="5" spans="1:8">
      <c r="A5" s="204" t="s">
        <v>276</v>
      </c>
      <c r="B5" s="204" t="s">
        <v>288</v>
      </c>
      <c r="C5" s="204">
        <v>0.66930000000000001</v>
      </c>
      <c r="D5" s="204">
        <f t="shared" si="0"/>
        <v>0.81810757238886378</v>
      </c>
      <c r="E5" s="204">
        <v>0.81810757238886378</v>
      </c>
      <c r="F5" s="204">
        <v>5</v>
      </c>
      <c r="G5" s="204">
        <v>35</v>
      </c>
      <c r="H5" s="204" t="s">
        <v>1173</v>
      </c>
    </row>
    <row r="6" spans="1:8">
      <c r="A6" s="204" t="s">
        <v>244</v>
      </c>
      <c r="B6" s="204" t="s">
        <v>22</v>
      </c>
      <c r="C6" s="204">
        <v>0.99380000000000002</v>
      </c>
      <c r="D6" s="204">
        <f t="shared" si="0"/>
        <v>0.99689518004652822</v>
      </c>
      <c r="E6" s="204">
        <v>0.99689518004652822</v>
      </c>
      <c r="F6" s="204">
        <v>6</v>
      </c>
      <c r="G6" s="204">
        <v>15</v>
      </c>
      <c r="H6" s="204" t="s">
        <v>1174</v>
      </c>
    </row>
    <row r="7" spans="1:8">
      <c r="A7" s="204" t="s">
        <v>269</v>
      </c>
      <c r="B7" s="206" t="s">
        <v>1166</v>
      </c>
      <c r="C7" s="204">
        <v>0.27300000000000002</v>
      </c>
      <c r="D7" s="204">
        <f t="shared" si="0"/>
        <v>0.52249401910452531</v>
      </c>
      <c r="E7" s="204">
        <v>0.52249401910452531</v>
      </c>
      <c r="F7" s="204">
        <v>7</v>
      </c>
      <c r="G7" s="204">
        <v>80</v>
      </c>
      <c r="H7" s="204" t="s">
        <v>1176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0363-4FDE-294D-9930-A5C54B44368B}">
  <dimension ref="A1:F23"/>
  <sheetViews>
    <sheetView workbookViewId="0">
      <selection activeCell="C5" sqref="C5"/>
    </sheetView>
  </sheetViews>
  <sheetFormatPr baseColWidth="10" defaultRowHeight="16"/>
  <cols>
    <col min="1" max="1" width="24.5" style="20" customWidth="1"/>
    <col min="2" max="2" width="16.83203125" style="20" bestFit="1" customWidth="1"/>
    <col min="3" max="3" width="23.6640625" style="20" bestFit="1" customWidth="1"/>
    <col min="4" max="4" width="22.5" style="20" bestFit="1" customWidth="1"/>
    <col min="5" max="5" width="20.5" style="20" bestFit="1" customWidth="1"/>
    <col min="6" max="6" width="14.1640625" style="20" bestFit="1" customWidth="1"/>
    <col min="7" max="16384" width="10.83203125" style="20"/>
  </cols>
  <sheetData>
    <row r="1" spans="1:6">
      <c r="A1" s="20" t="s">
        <v>7</v>
      </c>
      <c r="B1" s="20" t="s">
        <v>8</v>
      </c>
      <c r="C1" s="22" t="s">
        <v>33</v>
      </c>
      <c r="D1" s="20" t="s">
        <v>13</v>
      </c>
      <c r="E1" s="20" t="s">
        <v>12</v>
      </c>
      <c r="F1" s="20" t="s">
        <v>9</v>
      </c>
    </row>
    <row r="2" spans="1:6">
      <c r="A2" s="20" t="s">
        <v>34</v>
      </c>
      <c r="B2" s="20" t="s">
        <v>32</v>
      </c>
      <c r="C2" s="22">
        <v>5</v>
      </c>
      <c r="D2" s="20" t="s">
        <v>11</v>
      </c>
      <c r="E2" s="20" t="s">
        <v>14</v>
      </c>
      <c r="F2" s="20" t="s">
        <v>10</v>
      </c>
    </row>
    <row r="3" spans="1:6">
      <c r="A3" s="20" t="s">
        <v>35</v>
      </c>
      <c r="B3" s="20" t="s">
        <v>16</v>
      </c>
      <c r="C3" s="22"/>
      <c r="D3" s="20" t="s">
        <v>15</v>
      </c>
      <c r="E3" s="20" t="s">
        <v>23</v>
      </c>
    </row>
    <row r="4" spans="1:6">
      <c r="A4" s="20" t="s">
        <v>35</v>
      </c>
      <c r="B4" s="20" t="s">
        <v>17</v>
      </c>
      <c r="C4" s="22"/>
      <c r="D4" s="20" t="s">
        <v>15</v>
      </c>
      <c r="E4" s="20" t="s">
        <v>26</v>
      </c>
    </row>
    <row r="5" spans="1:6">
      <c r="A5" s="20" t="s">
        <v>35</v>
      </c>
      <c r="B5" s="20" t="s">
        <v>18</v>
      </c>
      <c r="C5" s="22"/>
      <c r="D5" s="20" t="s">
        <v>30</v>
      </c>
      <c r="E5" s="20" t="s">
        <v>29</v>
      </c>
    </row>
    <row r="6" spans="1:6">
      <c r="A6" s="20" t="s">
        <v>35</v>
      </c>
      <c r="B6" s="20" t="s">
        <v>19</v>
      </c>
      <c r="C6" s="22">
        <v>1.5</v>
      </c>
      <c r="D6" s="20" t="s">
        <v>24</v>
      </c>
      <c r="E6" s="20" t="s">
        <v>23</v>
      </c>
    </row>
    <row r="7" spans="1:6">
      <c r="A7" s="20" t="s">
        <v>44</v>
      </c>
      <c r="B7" s="20" t="s">
        <v>19</v>
      </c>
      <c r="C7" s="22">
        <v>1.5</v>
      </c>
      <c r="D7" s="20" t="s">
        <v>46</v>
      </c>
      <c r="E7" s="20" t="s">
        <v>45</v>
      </c>
    </row>
    <row r="8" spans="1:6">
      <c r="A8" s="20" t="s">
        <v>71</v>
      </c>
      <c r="B8" s="20" t="s">
        <v>20</v>
      </c>
      <c r="C8" s="22">
        <v>0.1</v>
      </c>
      <c r="D8" s="20" t="s">
        <v>24</v>
      </c>
      <c r="E8" s="20" t="s">
        <v>25</v>
      </c>
    </row>
    <row r="9" spans="1:6">
      <c r="A9" s="20" t="s">
        <v>47</v>
      </c>
      <c r="B9" s="20" t="s">
        <v>21</v>
      </c>
      <c r="C9" s="22">
        <v>0.8</v>
      </c>
      <c r="D9" s="20" t="s">
        <v>28</v>
      </c>
      <c r="E9" s="20" t="s">
        <v>27</v>
      </c>
    </row>
    <row r="10" spans="1:6">
      <c r="A10" s="20" t="s">
        <v>36</v>
      </c>
      <c r="B10" s="20" t="s">
        <v>22</v>
      </c>
      <c r="C10" s="22">
        <v>0.7</v>
      </c>
      <c r="D10" s="20" t="s">
        <v>28</v>
      </c>
      <c r="E10" s="20" t="s">
        <v>31</v>
      </c>
    </row>
    <row r="11" spans="1:6">
      <c r="A11" s="20" t="s">
        <v>38</v>
      </c>
      <c r="B11" s="20" t="s">
        <v>37</v>
      </c>
      <c r="C11" s="20">
        <v>1.5</v>
      </c>
    </row>
    <row r="12" spans="1:6">
      <c r="A12" s="20" t="s">
        <v>38</v>
      </c>
      <c r="B12" s="20" t="s">
        <v>39</v>
      </c>
      <c r="C12" s="20">
        <v>8.1999999999999993</v>
      </c>
    </row>
    <row r="13" spans="1:6">
      <c r="A13" s="20" t="s">
        <v>38</v>
      </c>
      <c r="B13" s="20" t="s">
        <v>40</v>
      </c>
      <c r="C13" s="20">
        <v>42.3</v>
      </c>
    </row>
    <row r="14" spans="1:6">
      <c r="A14" s="20" t="s">
        <v>38</v>
      </c>
      <c r="B14" s="20" t="s">
        <v>41</v>
      </c>
      <c r="C14" s="20">
        <v>15</v>
      </c>
    </row>
    <row r="15" spans="1:6">
      <c r="A15" s="20" t="s">
        <v>38</v>
      </c>
      <c r="B15" s="20" t="s">
        <v>42</v>
      </c>
      <c r="C15" s="20">
        <v>4</v>
      </c>
    </row>
    <row r="16" spans="1:6">
      <c r="A16" s="20" t="s">
        <v>38</v>
      </c>
      <c r="B16" s="20" t="s">
        <v>43</v>
      </c>
      <c r="C16" s="20">
        <v>7</v>
      </c>
    </row>
    <row r="17" spans="1:6">
      <c r="A17" s="20" t="s">
        <v>49</v>
      </c>
      <c r="B17" s="20" t="s">
        <v>48</v>
      </c>
      <c r="C17" s="20">
        <v>3.5</v>
      </c>
    </row>
    <row r="18" spans="1:6">
      <c r="A18" s="20" t="s">
        <v>51</v>
      </c>
      <c r="B18" s="20" t="s">
        <v>50</v>
      </c>
      <c r="C18" s="20">
        <v>0.75</v>
      </c>
    </row>
    <row r="19" spans="1:6">
      <c r="A19" s="20" t="s">
        <v>54</v>
      </c>
      <c r="C19" s="20">
        <v>4.5</v>
      </c>
      <c r="D19" s="20" t="s">
        <v>53</v>
      </c>
      <c r="E19" s="20" t="s">
        <v>52</v>
      </c>
    </row>
    <row r="20" spans="1:6">
      <c r="A20" s="20" t="s">
        <v>58</v>
      </c>
      <c r="B20" s="20" t="s">
        <v>57</v>
      </c>
      <c r="D20" s="20" t="s">
        <v>60</v>
      </c>
      <c r="E20" s="20" t="s">
        <v>59</v>
      </c>
    </row>
    <row r="21" spans="1:6">
      <c r="A21" s="20" t="s">
        <v>58</v>
      </c>
      <c r="B21" s="20" t="s">
        <v>61</v>
      </c>
      <c r="C21" s="20">
        <v>0.9</v>
      </c>
      <c r="D21" s="20" t="s">
        <v>63</v>
      </c>
      <c r="E21" s="20" t="s">
        <v>62</v>
      </c>
    </row>
    <row r="22" spans="1:6">
      <c r="A22" s="20" t="s">
        <v>58</v>
      </c>
      <c r="B22" s="20" t="s">
        <v>64</v>
      </c>
      <c r="D22" s="20" t="s">
        <v>66</v>
      </c>
      <c r="E22" s="20" t="s">
        <v>65</v>
      </c>
      <c r="F22" s="20" t="s">
        <v>70</v>
      </c>
    </row>
    <row r="23" spans="1:6">
      <c r="A23" s="20" t="s">
        <v>58</v>
      </c>
      <c r="B23" s="20" t="s">
        <v>67</v>
      </c>
      <c r="C23" s="20">
        <v>2.4</v>
      </c>
      <c r="D23" s="20" t="s">
        <v>69</v>
      </c>
      <c r="E23" s="20" t="s">
        <v>68</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8C5B-AD35-A048-A0B4-ECC6B3E808FF}">
  <dimension ref="A1:F47"/>
  <sheetViews>
    <sheetView zoomScale="81" workbookViewId="0">
      <selection activeCell="A28" sqref="A28"/>
    </sheetView>
  </sheetViews>
  <sheetFormatPr baseColWidth="10" defaultRowHeight="16"/>
  <cols>
    <col min="1" max="1" width="53.5" bestFit="1" customWidth="1"/>
    <col min="2" max="2" width="16.83203125" bestFit="1" customWidth="1"/>
    <col min="3" max="3" width="23.6640625" bestFit="1" customWidth="1"/>
    <col min="4" max="4" width="27.1640625" bestFit="1" customWidth="1"/>
    <col min="5" max="5" width="20.5" bestFit="1" customWidth="1"/>
    <col min="6" max="6" width="22" bestFit="1" customWidth="1"/>
  </cols>
  <sheetData>
    <row r="1" spans="1:6">
      <c r="A1" t="s">
        <v>7</v>
      </c>
      <c r="B1" t="s">
        <v>8</v>
      </c>
      <c r="C1" s="2" t="s">
        <v>33</v>
      </c>
      <c r="D1" t="s">
        <v>13</v>
      </c>
      <c r="E1" t="s">
        <v>12</v>
      </c>
      <c r="F1" t="s">
        <v>9</v>
      </c>
    </row>
    <row r="2" spans="1:6">
      <c r="A2" t="s">
        <v>34</v>
      </c>
      <c r="B2" t="s">
        <v>32</v>
      </c>
      <c r="C2" s="2">
        <v>5</v>
      </c>
      <c r="D2" t="s">
        <v>11</v>
      </c>
      <c r="E2" t="s">
        <v>14</v>
      </c>
      <c r="F2" t="s">
        <v>10</v>
      </c>
    </row>
    <row r="3" spans="1:6">
      <c r="A3" t="s">
        <v>35</v>
      </c>
      <c r="B3" s="1" t="s">
        <v>19</v>
      </c>
      <c r="C3" s="2">
        <v>1.5</v>
      </c>
      <c r="D3" t="s">
        <v>24</v>
      </c>
      <c r="E3" t="s">
        <v>23</v>
      </c>
    </row>
    <row r="4" spans="1:6">
      <c r="A4" t="s">
        <v>44</v>
      </c>
      <c r="B4" s="1" t="s">
        <v>19</v>
      </c>
      <c r="C4" s="2">
        <v>1.5</v>
      </c>
      <c r="D4" t="s">
        <v>46</v>
      </c>
      <c r="E4" t="s">
        <v>45</v>
      </c>
    </row>
    <row r="5" spans="1:6">
      <c r="A5" t="s">
        <v>47</v>
      </c>
      <c r="B5" s="1" t="s">
        <v>21</v>
      </c>
      <c r="C5" s="2">
        <v>0.8</v>
      </c>
      <c r="D5" t="s">
        <v>28</v>
      </c>
      <c r="E5" t="s">
        <v>27</v>
      </c>
    </row>
    <row r="6" spans="1:6">
      <c r="A6" t="s">
        <v>36</v>
      </c>
      <c r="B6" s="1" t="s">
        <v>22</v>
      </c>
      <c r="C6" s="2">
        <v>0.7</v>
      </c>
      <c r="D6" t="s">
        <v>28</v>
      </c>
      <c r="E6" t="s">
        <v>31</v>
      </c>
    </row>
    <row r="11" spans="1:6">
      <c r="C11" s="2" t="s">
        <v>33</v>
      </c>
      <c r="D11" t="s">
        <v>55</v>
      </c>
      <c r="E11" t="s">
        <v>12</v>
      </c>
    </row>
    <row r="12" spans="1:6">
      <c r="C12" s="2">
        <v>1.5</v>
      </c>
      <c r="D12">
        <v>12</v>
      </c>
      <c r="E12" t="s">
        <v>23</v>
      </c>
    </row>
    <row r="13" spans="1:6">
      <c r="C13" s="2">
        <v>0.8</v>
      </c>
      <c r="D13">
        <v>15</v>
      </c>
      <c r="E13" t="s">
        <v>27</v>
      </c>
    </row>
    <row r="14" spans="1:6">
      <c r="C14" s="2">
        <v>0.7</v>
      </c>
      <c r="D14">
        <v>15</v>
      </c>
      <c r="E14" t="s">
        <v>31</v>
      </c>
    </row>
    <row r="15" spans="1:6">
      <c r="C15" s="2">
        <v>0.1</v>
      </c>
      <c r="D15">
        <v>12</v>
      </c>
    </row>
    <row r="19" spans="3:5">
      <c r="C19" s="2" t="s">
        <v>33</v>
      </c>
      <c r="D19" t="s">
        <v>56</v>
      </c>
      <c r="E19" t="s">
        <v>12</v>
      </c>
    </row>
    <row r="20" spans="3:5">
      <c r="C20" s="2">
        <v>5</v>
      </c>
      <c r="D20">
        <v>4.5</v>
      </c>
      <c r="E20" t="s">
        <v>14</v>
      </c>
    </row>
    <row r="21" spans="3:5">
      <c r="C21" s="2">
        <v>1.5</v>
      </c>
      <c r="D21">
        <v>1.6</v>
      </c>
      <c r="E21" t="s">
        <v>45</v>
      </c>
    </row>
    <row r="22" spans="3:5">
      <c r="C22">
        <v>4.5</v>
      </c>
      <c r="D22">
        <v>1.75</v>
      </c>
    </row>
    <row r="23" spans="3:5">
      <c r="C23">
        <v>0.9</v>
      </c>
      <c r="D23">
        <v>1.5</v>
      </c>
    </row>
    <row r="24" spans="3:5">
      <c r="C24">
        <v>2.4</v>
      </c>
      <c r="D24">
        <v>2.5</v>
      </c>
    </row>
    <row r="38" spans="2:4">
      <c r="B38" s="2" t="s">
        <v>33</v>
      </c>
      <c r="C38" t="s">
        <v>72</v>
      </c>
      <c r="D38" t="s">
        <v>12</v>
      </c>
    </row>
    <row r="39" spans="2:4">
      <c r="B39" s="2">
        <v>5</v>
      </c>
      <c r="C39">
        <v>5</v>
      </c>
      <c r="D39" t="s">
        <v>14</v>
      </c>
    </row>
    <row r="40" spans="2:4">
      <c r="B40" s="2">
        <v>1.5</v>
      </c>
      <c r="C40">
        <v>1.2</v>
      </c>
      <c r="D40" t="s">
        <v>23</v>
      </c>
    </row>
    <row r="41" spans="2:4">
      <c r="B41" s="2">
        <v>1.5</v>
      </c>
      <c r="C41">
        <v>1.6</v>
      </c>
      <c r="D41" t="s">
        <v>45</v>
      </c>
    </row>
    <row r="42" spans="2:4">
      <c r="B42" s="2">
        <v>0.1</v>
      </c>
      <c r="C42">
        <v>1.2</v>
      </c>
      <c r="D42" t="s">
        <v>25</v>
      </c>
    </row>
    <row r="43" spans="2:4">
      <c r="B43" s="2">
        <v>0.8</v>
      </c>
      <c r="C43">
        <v>1.5</v>
      </c>
      <c r="D43" t="s">
        <v>27</v>
      </c>
    </row>
    <row r="44" spans="2:4">
      <c r="B44" s="2">
        <v>0.7</v>
      </c>
      <c r="C44">
        <v>1.5</v>
      </c>
      <c r="D44" t="s">
        <v>31</v>
      </c>
    </row>
    <row r="45" spans="2:4">
      <c r="B45">
        <v>4.5</v>
      </c>
      <c r="C45">
        <v>1.75</v>
      </c>
      <c r="D45" t="s">
        <v>52</v>
      </c>
    </row>
    <row r="46" spans="2:4">
      <c r="B46">
        <v>0.9</v>
      </c>
      <c r="C46">
        <v>1.5</v>
      </c>
      <c r="D46" t="s">
        <v>62</v>
      </c>
    </row>
    <row r="47" spans="2:4">
      <c r="B47">
        <v>2.4</v>
      </c>
      <c r="C47">
        <v>2.5</v>
      </c>
      <c r="D47"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Repiration.Photosynthesis</vt:lpstr>
      <vt:lpstr>Studies</vt:lpstr>
      <vt:lpstr>Fits</vt:lpstr>
      <vt:lpstr>biomass conversions</vt:lpstr>
      <vt:lpstr>Meta-analysis_Conversions</vt:lpstr>
      <vt:lpstr>Lipids</vt:lpstr>
      <vt:lpstr>Lipid_material</vt:lpstr>
      <vt:lpstr>Sheet2</vt:lpstr>
      <vt:lpstr>Classic_meta_brooding</vt:lpstr>
      <vt:lpstr>Classic_meta_broadcasting</vt:lpstr>
      <vt:lpstr>Classic_meta_exp_norm_resp</vt:lpstr>
      <vt:lpstr>Classic_meta_quad_norm_resp</vt:lpstr>
      <vt:lpstr>Energy Budget</vt:lpstr>
      <vt:lpstr>References_Notes</vt:lpstr>
      <vt:lpstr>test</vt:lpstr>
      <vt:lpstr>Example</vt:lpstr>
      <vt:lpstr>Symbiont.density</vt:lpstr>
      <vt:lpstr>Size</vt:lpstr>
      <vt:lpstr>Classic_quad_norm_resp_brooding</vt:lpstr>
      <vt:lpstr>Classic_quad_norm_resp_broadcas</vt:lpstr>
      <vt:lpstr>Polyp_diameter</vt:lpstr>
      <vt:lpstr>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2019-10-22T02:51:34Z</dcterms:created>
  <dcterms:modified xsi:type="dcterms:W3CDTF">2020-10-24T07:08:09Z</dcterms:modified>
</cp:coreProperties>
</file>