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Larvae/"/>
    </mc:Choice>
  </mc:AlternateContent>
  <xr:revisionPtr revIDLastSave="0" documentId="13_ncr:1_{8A1F93E5-9830-2A4E-A185-87141088221C}" xr6:coauthVersionLast="45" xr6:coauthVersionMax="45" xr10:uidLastSave="{00000000-0000-0000-0000-000000000000}"/>
  <bookViews>
    <workbookView xWindow="0" yWindow="460" windowWidth="23880" windowHeight="15540" activeTab="2" xr2:uid="{A67B85CE-DADE-F845-99D8-6B048E8DC9A2}"/>
  </bookViews>
  <sheets>
    <sheet name="10_23" sheetId="3" r:id="rId1"/>
    <sheet name="10_23_summary" sheetId="5" r:id="rId2"/>
    <sheet name="10_23_Size" sheetId="4" r:id="rId3"/>
    <sheet name="10_23_Notes" sheetId="2" r:id="rId4"/>
    <sheet name="10_25" sheetId="6" r:id="rId5"/>
    <sheet name="Siz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H49" i="7" s="1"/>
  <c r="G50" i="7"/>
  <c r="G51" i="7"/>
  <c r="G52" i="7"/>
  <c r="G53" i="7"/>
  <c r="G54" i="7"/>
  <c r="G55" i="7"/>
  <c r="G56" i="7"/>
  <c r="G57" i="7"/>
  <c r="G58" i="7"/>
  <c r="G59" i="7"/>
  <c r="H55" i="7" s="1"/>
  <c r="G60" i="7"/>
  <c r="G61" i="7"/>
  <c r="G62" i="7"/>
  <c r="H61" i="7" s="1"/>
  <c r="G63" i="7"/>
  <c r="G64" i="7"/>
  <c r="G65" i="7"/>
  <c r="G66" i="7"/>
  <c r="G67" i="7"/>
  <c r="G68" i="7"/>
  <c r="H67" i="7" s="1"/>
  <c r="G69" i="7"/>
  <c r="G70" i="7"/>
  <c r="G71" i="7"/>
  <c r="G72" i="7"/>
  <c r="G73" i="7"/>
  <c r="H73" i="7" s="1"/>
  <c r="G74" i="7"/>
  <c r="G75" i="7"/>
  <c r="G76" i="7"/>
  <c r="G77" i="7"/>
  <c r="G78" i="7"/>
  <c r="Q19" i="6"/>
  <c r="O19" i="6"/>
  <c r="U19" i="6" s="1"/>
  <c r="Q18" i="6"/>
  <c r="U18" i="6" s="1"/>
  <c r="O18" i="6"/>
  <c r="U17" i="6"/>
  <c r="Q17" i="6"/>
  <c r="O17" i="6"/>
  <c r="U16" i="6"/>
  <c r="T16" i="6" s="1"/>
  <c r="Q16" i="6"/>
  <c r="O16" i="6"/>
  <c r="Q15" i="6"/>
  <c r="O15" i="6"/>
  <c r="H15" i="6"/>
  <c r="Q14" i="6"/>
  <c r="O14" i="6"/>
  <c r="H14" i="6"/>
  <c r="Q13" i="6"/>
  <c r="O13" i="6"/>
  <c r="H13" i="6"/>
  <c r="Q12" i="6"/>
  <c r="O12" i="6"/>
  <c r="H12" i="6"/>
  <c r="Q11" i="6"/>
  <c r="O11" i="6"/>
  <c r="H11" i="6"/>
  <c r="Q10" i="6"/>
  <c r="O10" i="6"/>
  <c r="R10" i="6" s="1"/>
  <c r="S10" i="6" s="1"/>
  <c r="Q9" i="6"/>
  <c r="O9" i="6"/>
  <c r="V9" i="6" s="1"/>
  <c r="Q8" i="6"/>
  <c r="V8" i="6" s="1"/>
  <c r="X8" i="6" s="1"/>
  <c r="O8" i="6"/>
  <c r="Q7" i="6"/>
  <c r="O7" i="6"/>
  <c r="Q6" i="6"/>
  <c r="O6" i="6"/>
  <c r="Q5" i="6"/>
  <c r="O5" i="6"/>
  <c r="V5" i="6" s="1"/>
  <c r="V4" i="6"/>
  <c r="X4" i="6" s="1"/>
  <c r="Q4" i="6"/>
  <c r="O4" i="6"/>
  <c r="Q3" i="6"/>
  <c r="O3" i="6"/>
  <c r="Q2" i="6"/>
  <c r="O2" i="6"/>
  <c r="V2" i="6" s="1"/>
  <c r="T18" i="6" l="1"/>
  <c r="T17" i="6"/>
  <c r="T19" i="6"/>
  <c r="V3" i="6"/>
  <c r="V13" i="6"/>
  <c r="V7" i="6"/>
  <c r="X7" i="6" s="1"/>
  <c r="V12" i="6"/>
  <c r="X12" i="6" s="1"/>
  <c r="R2" i="6"/>
  <c r="S2" i="6" s="1"/>
  <c r="V6" i="6"/>
  <c r="V11" i="6"/>
  <c r="V15" i="6"/>
  <c r="X15" i="6" s="1"/>
  <c r="X3" i="6"/>
  <c r="W3" i="6"/>
  <c r="Y3" i="6" s="1"/>
  <c r="Z3" i="6" s="1"/>
  <c r="X13" i="6"/>
  <c r="W13" i="6"/>
  <c r="Y13" i="6" s="1"/>
  <c r="Z13" i="6" s="1"/>
  <c r="X9" i="6"/>
  <c r="W9" i="6"/>
  <c r="Y9" i="6" s="1"/>
  <c r="Z9" i="6" s="1"/>
  <c r="W12" i="6"/>
  <c r="Y12" i="6" s="1"/>
  <c r="Z12" i="6" s="1"/>
  <c r="X5" i="6"/>
  <c r="W5" i="6"/>
  <c r="Y5" i="6" s="1"/>
  <c r="Z5" i="6" s="1"/>
  <c r="W6" i="6"/>
  <c r="Y6" i="6" s="1"/>
  <c r="Z6" i="6" s="1"/>
  <c r="X6" i="6"/>
  <c r="X11" i="6"/>
  <c r="W11" i="6"/>
  <c r="Y11" i="6" s="1"/>
  <c r="Z11" i="6" s="1"/>
  <c r="V14" i="6"/>
  <c r="W4" i="6"/>
  <c r="Y4" i="6" s="1"/>
  <c r="Z4" i="6" s="1"/>
  <c r="W8" i="6"/>
  <c r="Y8" i="6" s="1"/>
  <c r="Z8" i="6" s="1"/>
  <c r="W15" i="6" l="1"/>
  <c r="Y15" i="6" s="1"/>
  <c r="Z15" i="6" s="1"/>
  <c r="W7" i="6"/>
  <c r="Y7" i="6" s="1"/>
  <c r="Z7" i="6" s="1"/>
  <c r="X14" i="6"/>
  <c r="W14" i="6"/>
  <c r="Y14" i="6" s="1"/>
  <c r="Z14" i="6" s="1"/>
  <c r="D21" i="5"/>
  <c r="D18" i="5"/>
  <c r="D19" i="5"/>
  <c r="D20" i="5"/>
  <c r="D22" i="5"/>
  <c r="D23" i="5"/>
  <c r="D24" i="5"/>
  <c r="D17" i="5"/>
  <c r="C18" i="5"/>
  <c r="C19" i="5"/>
  <c r="C20" i="5"/>
  <c r="C21" i="5"/>
  <c r="C22" i="5"/>
  <c r="C23" i="5"/>
  <c r="C24" i="5"/>
  <c r="C17" i="5"/>
  <c r="S6" i="3"/>
  <c r="T6" i="3"/>
  <c r="U6" i="3"/>
  <c r="S7" i="3"/>
  <c r="T7" i="3" s="1"/>
  <c r="U7" i="3" s="1"/>
  <c r="S8" i="3"/>
  <c r="T8" i="3"/>
  <c r="U8" i="3" s="1"/>
  <c r="S9" i="3"/>
  <c r="T9" i="3"/>
  <c r="U9" i="3"/>
  <c r="S10" i="3"/>
  <c r="T10" i="3"/>
  <c r="U10" i="3"/>
  <c r="S11" i="3"/>
  <c r="T11" i="3" s="1"/>
  <c r="U11" i="3" s="1"/>
  <c r="S12" i="3"/>
  <c r="T12" i="3"/>
  <c r="U12" i="3" s="1"/>
  <c r="S13" i="3"/>
  <c r="T13" i="3"/>
  <c r="U13" i="3"/>
  <c r="S15" i="3"/>
  <c r="T15" i="3" s="1"/>
  <c r="U15" i="3" s="1"/>
  <c r="S17" i="3"/>
  <c r="T17" i="3"/>
  <c r="U17" i="3"/>
  <c r="S18" i="3"/>
  <c r="T18" i="3"/>
  <c r="U18" i="3"/>
  <c r="S20" i="3"/>
  <c r="T20" i="3" s="1"/>
  <c r="U20" i="3" s="1"/>
  <c r="S21" i="3"/>
  <c r="T21" i="3"/>
  <c r="U21" i="3"/>
  <c r="S22" i="3"/>
  <c r="T22" i="3"/>
  <c r="U22" i="3"/>
  <c r="W4" i="3"/>
  <c r="X4" i="3"/>
  <c r="V2" i="3"/>
  <c r="S4" i="3"/>
  <c r="U4" i="3"/>
  <c r="T4" i="3"/>
  <c r="Y4" i="3" l="1"/>
  <c r="Z4" i="3" s="1"/>
  <c r="T5" i="3"/>
  <c r="S5" i="3"/>
  <c r="R3" i="3"/>
  <c r="R2" i="3"/>
  <c r="Q9" i="3"/>
  <c r="Q11" i="3"/>
  <c r="Q12" i="3"/>
  <c r="Q13" i="3"/>
  <c r="Q14" i="3"/>
  <c r="Q15" i="3"/>
  <c r="Q16" i="3"/>
  <c r="Q17" i="3"/>
  <c r="Q18" i="3"/>
  <c r="Q19" i="3"/>
  <c r="Q20" i="3"/>
  <c r="Q21" i="3"/>
  <c r="Q22" i="3"/>
  <c r="Q8" i="3"/>
  <c r="Q7" i="3"/>
  <c r="Q6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3" i="3"/>
  <c r="O4" i="3"/>
  <c r="O5" i="3"/>
  <c r="L22" i="3"/>
  <c r="L21" i="3"/>
  <c r="L20" i="3"/>
  <c r="L18" i="3"/>
  <c r="L17" i="3"/>
  <c r="L15" i="3"/>
  <c r="L13" i="3"/>
  <c r="L12" i="3"/>
  <c r="L11" i="3"/>
  <c r="L10" i="3"/>
  <c r="L9" i="3"/>
  <c r="L8" i="3"/>
  <c r="L7" i="3"/>
  <c r="L6" i="3"/>
  <c r="L5" i="3"/>
  <c r="L4" i="3"/>
  <c r="G48" i="4"/>
  <c r="H41" i="4"/>
  <c r="G41" i="4"/>
  <c r="H48" i="4"/>
  <c r="F48" i="4"/>
  <c r="F49" i="4"/>
  <c r="F50" i="4"/>
  <c r="F51" i="4"/>
  <c r="F52" i="4"/>
  <c r="F53" i="4"/>
  <c r="F47" i="4"/>
  <c r="F41" i="4"/>
  <c r="F42" i="4"/>
  <c r="F43" i="4"/>
  <c r="F44" i="4"/>
  <c r="F45" i="4"/>
  <c r="F46" i="4"/>
  <c r="F34" i="4"/>
  <c r="F35" i="4"/>
  <c r="F36" i="4"/>
  <c r="F37" i="4"/>
  <c r="F38" i="4"/>
  <c r="F39" i="4"/>
  <c r="F40" i="4"/>
  <c r="F27" i="4"/>
  <c r="F28" i="4"/>
  <c r="F29" i="4"/>
  <c r="F30" i="4"/>
  <c r="F31" i="4"/>
  <c r="F32" i="4"/>
  <c r="F33" i="4"/>
  <c r="F22" i="4"/>
  <c r="F23" i="4"/>
  <c r="F24" i="4"/>
  <c r="F25" i="4"/>
  <c r="F26" i="4"/>
  <c r="F16" i="4"/>
  <c r="F17" i="4"/>
  <c r="F18" i="4"/>
  <c r="F19" i="4"/>
  <c r="F20" i="4"/>
  <c r="F21" i="4"/>
  <c r="F11" i="4"/>
  <c r="F12" i="4"/>
  <c r="F13" i="4"/>
  <c r="F14" i="4"/>
  <c r="F15" i="4"/>
  <c r="F7" i="4"/>
  <c r="F8" i="4"/>
  <c r="F9" i="4"/>
  <c r="F10" i="4"/>
  <c r="F3" i="4"/>
  <c r="F4" i="4"/>
  <c r="F5" i="4"/>
  <c r="F6" i="4"/>
  <c r="G34" i="4" l="1"/>
  <c r="H16" i="4"/>
  <c r="G27" i="4"/>
  <c r="H7" i="4"/>
  <c r="G16" i="4"/>
  <c r="G22" i="4"/>
  <c r="H11" i="4"/>
  <c r="H2" i="4"/>
  <c r="G7" i="4"/>
  <c r="G11" i="4"/>
  <c r="H22" i="4"/>
  <c r="H27" i="4"/>
  <c r="H34" i="4"/>
  <c r="G2" i="4"/>
  <c r="Q5" i="3"/>
  <c r="Q4" i="3"/>
  <c r="Q3" i="3"/>
  <c r="S3" i="3" s="1"/>
  <c r="Q2" i="3"/>
  <c r="O2" i="3"/>
  <c r="S2" i="3" l="1"/>
  <c r="U5" i="3"/>
  <c r="W5" i="3" l="1"/>
  <c r="X5" i="3" s="1"/>
  <c r="Y5" i="3" s="1"/>
  <c r="Z5" i="3" s="1"/>
  <c r="AA5" i="3" s="1"/>
  <c r="AA4" i="3" l="1"/>
  <c r="V18" i="6" l="1"/>
  <c r="V16" i="6"/>
  <c r="V17" i="6"/>
  <c r="V19" i="6"/>
  <c r="W17" i="6" l="1"/>
  <c r="Y17" i="6" s="1"/>
  <c r="Z17" i="6" s="1"/>
  <c r="X17" i="6"/>
  <c r="X16" i="6"/>
  <c r="W16" i="6"/>
  <c r="Y16" i="6" s="1"/>
  <c r="Z16" i="6" s="1"/>
  <c r="X19" i="6"/>
  <c r="W19" i="6"/>
  <c r="Y19" i="6" s="1"/>
  <c r="Z19" i="6" s="1"/>
  <c r="X18" i="6"/>
  <c r="W18" i="6"/>
  <c r="Y18" i="6" s="1"/>
  <c r="Z18" i="6" s="1"/>
</calcChain>
</file>

<file path=xl/sharedStrings.xml><?xml version="1.0" encoding="utf-8"?>
<sst xmlns="http://schemas.openxmlformats.org/spreadsheetml/2006/main" count="412" uniqueCount="69">
  <si>
    <t>Genotype</t>
  </si>
  <si>
    <t>D</t>
  </si>
  <si>
    <t>Started dark acclimating genotype D at 6:52 am</t>
  </si>
  <si>
    <t>Started dark acclimating genotype C at 7:58  am</t>
  </si>
  <si>
    <t xml:space="preserve">Temp bath at 27C (ambient). </t>
  </si>
  <si>
    <t>Bubbled 100% for 6 min, heated for 11 min</t>
  </si>
  <si>
    <t>Treatment</t>
  </si>
  <si>
    <t>Notes</t>
  </si>
  <si>
    <t>Vial_ID</t>
  </si>
  <si>
    <t>Temp</t>
  </si>
  <si>
    <t>Number_larvae</t>
  </si>
  <si>
    <t>Actual number larvae I counted after</t>
  </si>
  <si>
    <t>Start_Time</t>
  </si>
  <si>
    <t>End_Time</t>
  </si>
  <si>
    <t>incubation.time (min)</t>
  </si>
  <si>
    <t>volume (mL)</t>
  </si>
  <si>
    <t>o2.start.perc</t>
  </si>
  <si>
    <t>o2.start.actual</t>
  </si>
  <si>
    <t>o2.final.perc</t>
  </si>
  <si>
    <t>o2.final.actual</t>
  </si>
  <si>
    <t>umol/mL/min</t>
  </si>
  <si>
    <t>umol/vial/min</t>
  </si>
  <si>
    <t>umol/larva/min</t>
  </si>
  <si>
    <t>nmol/larva/min</t>
  </si>
  <si>
    <t>Control.avg.umol</t>
  </si>
  <si>
    <t>nmol/mL/min</t>
  </si>
  <si>
    <t>nmol/mL/larva/min</t>
  </si>
  <si>
    <t>log.respiration</t>
  </si>
  <si>
    <t>control</t>
  </si>
  <si>
    <t>Error bars uniformly large because I did control, 3,6,9 and over time they got cold, but they equally got cold.</t>
  </si>
  <si>
    <t xml:space="preserve"> </t>
  </si>
  <si>
    <t>Type</t>
  </si>
  <si>
    <t>small</t>
  </si>
  <si>
    <t>large</t>
  </si>
  <si>
    <t>medium</t>
  </si>
  <si>
    <t>one lost?</t>
  </si>
  <si>
    <t>spikey</t>
  </si>
  <si>
    <t>fluctuating a lot</t>
  </si>
  <si>
    <t>1 larva outside, only waited 2 min to equilibrate (all others around 6-7 min) Stock water at 92% at this point &lt;- temp thing?</t>
  </si>
  <si>
    <t>larvae on side?</t>
  </si>
  <si>
    <t>bubble in it</t>
  </si>
  <si>
    <t>one on side?</t>
  </si>
  <si>
    <t>ID</t>
  </si>
  <si>
    <t>#</t>
  </si>
  <si>
    <t>max</t>
  </si>
  <si>
    <t>min</t>
  </si>
  <si>
    <t>Size</t>
  </si>
  <si>
    <t>type</t>
  </si>
  <si>
    <t>coral</t>
  </si>
  <si>
    <t>Date</t>
  </si>
  <si>
    <t>Category</t>
  </si>
  <si>
    <t>Log_size</t>
  </si>
  <si>
    <t>Control.avg.vial</t>
  </si>
  <si>
    <t>Graphing purposes</t>
  </si>
  <si>
    <t>raw_umol/vial/min</t>
  </si>
  <si>
    <t>log_resp</t>
  </si>
  <si>
    <t>C</t>
  </si>
  <si>
    <t>medium-large</t>
  </si>
  <si>
    <t>medium-small</t>
  </si>
  <si>
    <t>Bad data because vial was not temp regulated</t>
  </si>
  <si>
    <t>E&amp;B&amp;C</t>
  </si>
  <si>
    <t>larvae</t>
  </si>
  <si>
    <t>These larvae were 2-3 days old</t>
  </si>
  <si>
    <t>controls are funky</t>
  </si>
  <si>
    <t>Avg</t>
  </si>
  <si>
    <t>volume</t>
  </si>
  <si>
    <t>max.mm.2</t>
  </si>
  <si>
    <t>max.mm.1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</si>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</sst>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Helvetica"/>
      <family val="2"/>
    </font>
    <font>
      <sz val="11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20" fontId="0" fillId="0" borderId="1" xfId="0" applyNumberFormat="1" applyFill="1" applyBorder="1"/>
    <xf numFmtId="0" fontId="1" fillId="0" borderId="1" xfId="0" applyFont="1" applyFill="1" applyBorder="1"/>
    <xf numFmtId="0" fontId="2" fillId="0" borderId="1" xfId="0" applyFont="1" applyFill="1" applyBorder="1"/>
    <xf numFmtId="20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2" fontId="0" fillId="0" borderId="0" xfId="0" applyNumberFormat="1"/>
    <xf numFmtId="1" fontId="3" fillId="0" borderId="0" xfId="0" applyNumberFormat="1" applyFont="1"/>
    <xf numFmtId="20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0" fontId="1" fillId="0" borderId="0" xfId="0" applyFont="1"/>
    <xf numFmtId="0" fontId="3" fillId="0" borderId="0" xfId="0" applyFont="1"/>
    <xf numFmtId="1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4" fillId="4" borderId="0" xfId="0" applyFont="1" applyFill="1"/>
    <xf numFmtId="1" fontId="4" fillId="4" borderId="0" xfId="0" applyNumberFormat="1" applyFont="1" applyFill="1"/>
    <xf numFmtId="20" fontId="4" fillId="0" borderId="0" xfId="0" applyNumberFormat="1" applyFont="1"/>
    <xf numFmtId="2" fontId="4" fillId="0" borderId="0" xfId="0" applyNumberFormat="1" applyFont="1"/>
    <xf numFmtId="0" fontId="4" fillId="3" borderId="0" xfId="0" applyFont="1" applyFill="1"/>
    <xf numFmtId="2" fontId="4" fillId="4" borderId="0" xfId="0" applyNumberFormat="1" applyFont="1" applyFill="1"/>
    <xf numFmtId="165" fontId="4" fillId="0" borderId="0" xfId="0" applyNumberFormat="1" applyFont="1"/>
    <xf numFmtId="165" fontId="4" fillId="4" borderId="0" xfId="0" applyNumberFormat="1" applyFont="1" applyFill="1"/>
    <xf numFmtId="14" fontId="4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20" fontId="4" fillId="5" borderId="0" xfId="0" applyNumberFormat="1" applyFont="1" applyFill="1"/>
    <xf numFmtId="2" fontId="4" fillId="5" borderId="0" xfId="0" applyNumberFormat="1" applyFont="1" applyFill="1"/>
    <xf numFmtId="165" fontId="4" fillId="5" borderId="0" xfId="0" applyNumberFormat="1" applyFont="1" applyFill="1"/>
    <xf numFmtId="166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84601924759402E-3"/>
                  <c:y val="-0.178016550014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'10_23_summary'!$C$7:$C$14</c:f>
              <c:numCache>
                <c:formatCode>General</c:formatCode>
                <c:ptCount val="8"/>
                <c:pt idx="0">
                  <c:v>1.0102136379946667</c:v>
                </c:pt>
                <c:pt idx="1">
                  <c:v>0.89855080012799993</c:v>
                </c:pt>
                <c:pt idx="2">
                  <c:v>1.0045920273333331</c:v>
                </c:pt>
                <c:pt idx="3">
                  <c:v>1.6373013401219048</c:v>
                </c:pt>
                <c:pt idx="4">
                  <c:v>1.2233808217333333</c:v>
                </c:pt>
                <c:pt idx="5">
                  <c:v>1.2572538138622222</c:v>
                </c:pt>
                <c:pt idx="6">
                  <c:v>1.0362108440647619</c:v>
                </c:pt>
                <c:pt idx="7">
                  <c:v>1.6772474361555554</c:v>
                </c:pt>
              </c:numCache>
            </c:numRef>
          </c:xVal>
          <c:yVal>
            <c:numRef>
              <c:f>'10_23_summary'!$D$7:$D$14</c:f>
              <c:numCache>
                <c:formatCode>0.0000</c:formatCode>
                <c:ptCount val="8"/>
                <c:pt idx="0">
                  <c:v>6.795431331953071E-2</c:v>
                </c:pt>
                <c:pt idx="1">
                  <c:v>0.10862213186813185</c:v>
                </c:pt>
                <c:pt idx="2">
                  <c:v>0.11373624608967681</c:v>
                </c:pt>
                <c:pt idx="3">
                  <c:v>0.14345760714285721</c:v>
                </c:pt>
                <c:pt idx="4">
                  <c:v>0.15084472222222217</c:v>
                </c:pt>
                <c:pt idx="5">
                  <c:v>0.10982273109243693</c:v>
                </c:pt>
                <c:pt idx="6">
                  <c:v>9.6453065998329202E-2</c:v>
                </c:pt>
                <c:pt idx="7">
                  <c:v>0.10223876887340302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B-9B46-8D96-37B5ED67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36287"/>
        <c:axId val="1494637967"/>
      </c:scatterChart>
      <c:valAx>
        <c:axId val="14946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37967"/>
        <c:crosses val="autoZero"/>
        <c:crossBetween val="midCat"/>
      </c:valAx>
      <c:valAx>
        <c:axId val="14946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79790026246719E-2"/>
                  <c:y val="-0.21470508894721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'10_23_summary'!$C$17:$C$24</c:f>
              <c:numCache>
                <c:formatCode>General</c:formatCode>
                <c:ptCount val="8"/>
                <c:pt idx="0">
                  <c:v>4.413227238939975E-3</c:v>
                </c:pt>
                <c:pt idx="1">
                  <c:v>-4.6457364752438578E-2</c:v>
                </c:pt>
                <c:pt idx="2">
                  <c:v>1.9897271792153671E-3</c:v>
                </c:pt>
                <c:pt idx="3">
                  <c:v>0.2141286172911373</c:v>
                </c:pt>
                <c:pt idx="4">
                  <c:v>8.756166801999013E-2</c:v>
                </c:pt>
                <c:pt idx="5">
                  <c:v>9.9422961721324712E-2</c:v>
                </c:pt>
                <c:pt idx="6">
                  <c:v>1.5448132916210116E-2</c:v>
                </c:pt>
                <c:pt idx="7">
                  <c:v>0.22459713668483</c:v>
                </c:pt>
              </c:numCache>
            </c:numRef>
          </c:xVal>
          <c:yVal>
            <c:numRef>
              <c:f>'10_23_summary'!$D$17:$D$24</c:f>
              <c:numCache>
                <c:formatCode>0.0000</c:formatCode>
                <c:ptCount val="8"/>
                <c:pt idx="0">
                  <c:v>-1.167782971728861</c:v>
                </c:pt>
                <c:pt idx="1">
                  <c:v>-0.96408167779564602</c:v>
                </c:pt>
                <c:pt idx="2">
                  <c:v>-0.94410110991049989</c:v>
                </c:pt>
                <c:pt idx="3">
                  <c:v>-0.84327641742446247</c:v>
                </c:pt>
                <c:pt idx="4">
                  <c:v>-0.82146988038367952</c:v>
                </c:pt>
                <c:pt idx="5">
                  <c:v>-0.95930776037507814</c:v>
                </c:pt>
                <c:pt idx="6">
                  <c:v>-1.0156839626806209</c:v>
                </c:pt>
                <c:pt idx="7">
                  <c:v>-0.99038438878961432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C-1745-9938-230F26A3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76239"/>
        <c:axId val="1688296847"/>
      </c:scatterChart>
      <c:valAx>
        <c:axId val="16891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96847"/>
        <c:crosses val="autoZero"/>
        <c:crossBetween val="midCat"/>
      </c:valAx>
      <c:valAx>
        <c:axId val="16882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8</xdr:row>
      <xdr:rowOff>38100</xdr:rowOff>
    </xdr:from>
    <xdr:to>
      <xdr:col>12</xdr:col>
      <xdr:colOff>793750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A32B9-9BB2-3742-B174-184EF93C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24</xdr:row>
      <xdr:rowOff>177800</xdr:rowOff>
    </xdr:from>
    <xdr:to>
      <xdr:col>9</xdr:col>
      <xdr:colOff>215900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D565D-4153-524E-BCAA-4C4360FE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piration_siz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iration"/>
      <sheetName val="Size"/>
    </sheetNames>
    <sheetDataSet>
      <sheetData sheetId="0">
        <row r="12">
          <cell r="S12">
            <v>8.2323196405649507E-5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72F2-C07A-6D43-8ADD-E3ECA6A11BE0}">
  <dimension ref="A1:AB24"/>
  <sheetViews>
    <sheetView topLeftCell="B1" workbookViewId="0">
      <selection activeCell="F11" sqref="F11"/>
    </sheetView>
  </sheetViews>
  <sheetFormatPr baseColWidth="10" defaultRowHeight="16"/>
  <cols>
    <col min="1" max="17" width="10.83203125" style="1"/>
    <col min="18" max="18" width="14" style="1" customWidth="1"/>
    <col min="19" max="19" width="12.83203125" style="1" bestFit="1" customWidth="1"/>
    <col min="20" max="20" width="12.1640625" style="1" bestFit="1" customWidth="1"/>
    <col min="21" max="21" width="10.83203125" style="1"/>
    <col min="22" max="22" width="12.1640625" style="1" bestFit="1" customWidth="1"/>
    <col min="23" max="23" width="10.83203125" style="1"/>
    <col min="24" max="24" width="12.1640625" style="1" bestFit="1" customWidth="1"/>
    <col min="25" max="16384" width="10.83203125" style="1"/>
  </cols>
  <sheetData>
    <row r="1" spans="1:28">
      <c r="A1" s="1" t="s">
        <v>6</v>
      </c>
      <c r="B1" s="1" t="s">
        <v>7</v>
      </c>
      <c r="C1" s="1" t="s">
        <v>0</v>
      </c>
      <c r="D1" s="1" t="s">
        <v>8</v>
      </c>
      <c r="E1" s="1" t="s">
        <v>31</v>
      </c>
      <c r="F1" s="1" t="s">
        <v>46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22</v>
      </c>
      <c r="X1" s="1" t="s">
        <v>20</v>
      </c>
      <c r="Y1" s="1" t="s">
        <v>25</v>
      </c>
      <c r="Z1" s="1" t="s">
        <v>26</v>
      </c>
      <c r="AA1" s="1" t="s">
        <v>27</v>
      </c>
      <c r="AB1" s="1" t="s">
        <v>7</v>
      </c>
    </row>
    <row r="2" spans="1:28" s="2" customFormat="1">
      <c r="A2" s="2" t="s">
        <v>28</v>
      </c>
      <c r="B2" s="3"/>
      <c r="C2" s="3" t="s">
        <v>1</v>
      </c>
      <c r="E2" s="2" t="s">
        <v>28</v>
      </c>
      <c r="G2" s="3">
        <v>27</v>
      </c>
      <c r="H2" s="4">
        <v>0</v>
      </c>
      <c r="I2" s="2">
        <v>0</v>
      </c>
      <c r="J2" s="5"/>
      <c r="K2" s="5"/>
      <c r="L2" s="3">
        <v>1</v>
      </c>
      <c r="M2" s="3">
        <v>2</v>
      </c>
      <c r="N2" s="3">
        <v>95.92</v>
      </c>
      <c r="O2" s="3">
        <f>(N2/100)*211.3</f>
        <v>202.67896000000002</v>
      </c>
      <c r="P2" s="3">
        <v>95.92</v>
      </c>
      <c r="Q2" s="3">
        <f>(P2/100)*211.3</f>
        <v>202.67896000000002</v>
      </c>
      <c r="R2" s="3">
        <f>(O2-Q2)/(1000*L2)</f>
        <v>0</v>
      </c>
      <c r="S2" s="2">
        <f>R2*M2</f>
        <v>0</v>
      </c>
      <c r="V2" s="3">
        <f>AVERAGE(R2:R3)</f>
        <v>0</v>
      </c>
      <c r="AB2" s="6" t="s">
        <v>29</v>
      </c>
    </row>
    <row r="3" spans="1:28" s="2" customFormat="1" ht="23">
      <c r="A3" s="2" t="s">
        <v>28</v>
      </c>
      <c r="B3" s="3"/>
      <c r="C3" s="3" t="s">
        <v>1</v>
      </c>
      <c r="E3" s="2" t="s">
        <v>28</v>
      </c>
      <c r="G3" s="3">
        <v>27</v>
      </c>
      <c r="H3" s="4">
        <v>0</v>
      </c>
      <c r="I3" s="2">
        <v>0</v>
      </c>
      <c r="J3" s="5"/>
      <c r="K3" s="5"/>
      <c r="L3" s="3">
        <v>1</v>
      </c>
      <c r="M3" s="3">
        <v>2</v>
      </c>
      <c r="N3" s="3">
        <v>95.92</v>
      </c>
      <c r="O3" s="3">
        <f t="shared" ref="O3:O24" si="0">(N3/100)*211.3</f>
        <v>202.67896000000002</v>
      </c>
      <c r="P3" s="3">
        <v>95.92</v>
      </c>
      <c r="Q3" s="3">
        <f t="shared" ref="Q3:Q22" si="1">(P3/100)*211.3</f>
        <v>202.67896000000002</v>
      </c>
      <c r="R3" s="3">
        <f>(O3-Q3)/(1000*L3)</f>
        <v>0</v>
      </c>
      <c r="S3" s="2">
        <f>R3*M3</f>
        <v>0</v>
      </c>
      <c r="W3" s="7"/>
      <c r="X3" s="7"/>
      <c r="Y3" s="7"/>
      <c r="Z3" s="7"/>
    </row>
    <row r="4" spans="1:28" s="2" customFormat="1">
      <c r="A4" s="2" t="s">
        <v>48</v>
      </c>
      <c r="B4" s="3"/>
      <c r="C4" s="3" t="s">
        <v>1</v>
      </c>
      <c r="D4" s="2">
        <v>4</v>
      </c>
      <c r="E4" s="2" t="s">
        <v>32</v>
      </c>
      <c r="G4" s="3">
        <v>27</v>
      </c>
      <c r="H4" s="4">
        <v>7</v>
      </c>
      <c r="I4" s="2">
        <v>7</v>
      </c>
      <c r="J4" s="5">
        <v>0.3888888888888889</v>
      </c>
      <c r="K4" s="5">
        <v>0.46319444444444446</v>
      </c>
      <c r="L4" s="3">
        <f>120-13</f>
        <v>107</v>
      </c>
      <c r="M4" s="3">
        <v>2</v>
      </c>
      <c r="N4" s="3">
        <v>95.92</v>
      </c>
      <c r="O4" s="3">
        <f t="shared" si="0"/>
        <v>202.67896000000002</v>
      </c>
      <c r="P4" s="3">
        <v>75.36</v>
      </c>
      <c r="Q4" s="3">
        <f t="shared" si="1"/>
        <v>159.23568000000003</v>
      </c>
      <c r="S4" s="2">
        <f>((M4*(O4-Q4))/(1000*L4))</f>
        <v>8.1202392523364462E-4</v>
      </c>
      <c r="T4" s="2">
        <f>S4/H4</f>
        <v>1.1600341789052066E-4</v>
      </c>
      <c r="U4" s="2">
        <f>T4*1000</f>
        <v>0.11600341789052065</v>
      </c>
      <c r="V4" s="2" t="s">
        <v>30</v>
      </c>
      <c r="W4" s="1">
        <f>T4-(M4*$V$2)</f>
        <v>1.1600341789052066E-4</v>
      </c>
      <c r="X4" s="1">
        <f>W4/M4</f>
        <v>5.8001708945260328E-5</v>
      </c>
      <c r="Y4" s="1">
        <f>X4*1000</f>
        <v>5.8001708945260327E-2</v>
      </c>
      <c r="Z4" s="1">
        <f>Y4/H4</f>
        <v>8.2859584207514748E-3</v>
      </c>
      <c r="AA4" s="1">
        <f>LOG(Z4)</f>
        <v>-2.0816572503381718</v>
      </c>
    </row>
    <row r="5" spans="1:28" s="2" customFormat="1">
      <c r="A5" s="2" t="s">
        <v>48</v>
      </c>
      <c r="B5" s="3"/>
      <c r="C5" s="3" t="s">
        <v>1</v>
      </c>
      <c r="D5" s="2">
        <v>33</v>
      </c>
      <c r="E5" s="2" t="s">
        <v>32</v>
      </c>
      <c r="G5" s="3">
        <v>27</v>
      </c>
      <c r="H5" s="4">
        <v>7</v>
      </c>
      <c r="I5" s="2">
        <v>7</v>
      </c>
      <c r="J5" s="5">
        <v>0.3888888888888889</v>
      </c>
      <c r="K5" s="5">
        <v>0.47500000000000003</v>
      </c>
      <c r="L5" s="3">
        <f>120+4</f>
        <v>124</v>
      </c>
      <c r="M5" s="3">
        <v>2</v>
      </c>
      <c r="N5" s="3">
        <v>95.92</v>
      </c>
      <c r="O5" s="3">
        <f t="shared" si="0"/>
        <v>202.67896000000002</v>
      </c>
      <c r="P5" s="3">
        <v>75.239999999999995</v>
      </c>
      <c r="Q5" s="3">
        <f t="shared" si="1"/>
        <v>158.98212000000001</v>
      </c>
      <c r="S5" s="2">
        <f>((M5*(O5-Q5))/(1000*L5))</f>
        <v>7.0478774193548398E-4</v>
      </c>
      <c r="T5" s="2">
        <f>S5/H5</f>
        <v>1.0068396313364057E-4</v>
      </c>
      <c r="U5" s="2">
        <f>T5*1000</f>
        <v>0.10068396313364057</v>
      </c>
      <c r="W5" s="1">
        <f>T5-(M5*$V$2)</f>
        <v>1.0068396313364057E-4</v>
      </c>
      <c r="X5" s="1">
        <f>W5/M5</f>
        <v>5.0341981566820287E-5</v>
      </c>
      <c r="Y5" s="1">
        <f t="shared" ref="Y5" si="2">X5*1000</f>
        <v>5.0341981566820286E-2</v>
      </c>
      <c r="Z5" s="1">
        <f>Y5/H5</f>
        <v>7.1917116524028981E-3</v>
      </c>
      <c r="AA5" s="1">
        <f t="shared" ref="AA5" si="3">LOG(Z5)</f>
        <v>-2.1431677337165302</v>
      </c>
    </row>
    <row r="6" spans="1:28">
      <c r="A6" s="2" t="s">
        <v>48</v>
      </c>
      <c r="B6" s="1" t="s">
        <v>35</v>
      </c>
      <c r="C6" s="3" t="s">
        <v>1</v>
      </c>
      <c r="D6" s="1">
        <v>31</v>
      </c>
      <c r="E6" s="9" t="s">
        <v>32</v>
      </c>
      <c r="F6" s="9">
        <v>1.0102136379946667</v>
      </c>
      <c r="G6" s="3">
        <v>27</v>
      </c>
      <c r="H6" s="4">
        <v>7</v>
      </c>
      <c r="I6" s="2">
        <v>7</v>
      </c>
      <c r="J6" s="8">
        <v>0.38958333333333334</v>
      </c>
      <c r="K6" s="8">
        <v>0.53333333333333333</v>
      </c>
      <c r="L6" s="1">
        <f>180+27</f>
        <v>207</v>
      </c>
      <c r="M6" s="3">
        <v>2</v>
      </c>
      <c r="N6" s="3">
        <v>95.92</v>
      </c>
      <c r="O6" s="3">
        <f t="shared" si="0"/>
        <v>202.67896000000002</v>
      </c>
      <c r="P6" s="10">
        <v>72.62</v>
      </c>
      <c r="Q6" s="10">
        <f t="shared" si="1"/>
        <v>153.44606000000002</v>
      </c>
      <c r="S6" s="2">
        <f t="shared" ref="S6:S22" si="4">((M6*(O6-Q6))/(1000*L6))</f>
        <v>4.7568019323671496E-4</v>
      </c>
      <c r="T6" s="2">
        <f t="shared" ref="T6:T22" si="5">S6/H6</f>
        <v>6.7954313319530714E-5</v>
      </c>
      <c r="U6" s="2">
        <f t="shared" ref="U6:U22" si="6">T6*1000</f>
        <v>6.795431331953071E-2</v>
      </c>
    </row>
    <row r="7" spans="1:28">
      <c r="A7" s="2" t="s">
        <v>48</v>
      </c>
      <c r="C7" s="3" t="s">
        <v>1</v>
      </c>
      <c r="D7" s="9">
        <v>22</v>
      </c>
      <c r="E7" s="9" t="s">
        <v>32</v>
      </c>
      <c r="F7" s="9">
        <v>0.89855080012799993</v>
      </c>
      <c r="G7" s="3">
        <v>27</v>
      </c>
      <c r="H7" s="4">
        <v>7</v>
      </c>
      <c r="I7" s="2">
        <v>7</v>
      </c>
      <c r="J7" s="8">
        <v>0.39097222222222222</v>
      </c>
      <c r="K7" s="8">
        <v>0.48125000000000001</v>
      </c>
      <c r="L7" s="1">
        <f>120+10</f>
        <v>130</v>
      </c>
      <c r="M7" s="3">
        <v>2</v>
      </c>
      <c r="N7" s="3">
        <v>95.92</v>
      </c>
      <c r="O7" s="3">
        <f t="shared" si="0"/>
        <v>202.67896000000002</v>
      </c>
      <c r="P7" s="10">
        <v>72.53</v>
      </c>
      <c r="Q7" s="10">
        <f t="shared" si="1"/>
        <v>153.25589000000002</v>
      </c>
      <c r="S7" s="2">
        <f t="shared" si="4"/>
        <v>7.6035492307692304E-4</v>
      </c>
      <c r="T7" s="2">
        <f t="shared" si="5"/>
        <v>1.0862213186813186E-4</v>
      </c>
      <c r="U7" s="2">
        <f t="shared" si="6"/>
        <v>0.10862213186813185</v>
      </c>
    </row>
    <row r="8" spans="1:28">
      <c r="A8" s="2" t="s">
        <v>48</v>
      </c>
      <c r="C8" s="3" t="s">
        <v>1</v>
      </c>
      <c r="D8" s="9">
        <v>6</v>
      </c>
      <c r="E8" s="9" t="s">
        <v>32</v>
      </c>
      <c r="F8" s="9">
        <v>1.0045920273333331</v>
      </c>
      <c r="G8" s="3">
        <v>27</v>
      </c>
      <c r="H8" s="4">
        <v>7</v>
      </c>
      <c r="I8" s="2">
        <v>7</v>
      </c>
      <c r="J8" s="8">
        <v>0.39097222222222222</v>
      </c>
      <c r="K8" s="8">
        <v>0.48680555555555555</v>
      </c>
      <c r="L8" s="1">
        <f>120+17</f>
        <v>137</v>
      </c>
      <c r="M8" s="3">
        <v>2</v>
      </c>
      <c r="N8" s="3">
        <v>95.92</v>
      </c>
      <c r="O8" s="3">
        <f t="shared" si="0"/>
        <v>202.67896000000002</v>
      </c>
      <c r="P8" s="10">
        <v>70.11</v>
      </c>
      <c r="Q8" s="10">
        <f t="shared" si="1"/>
        <v>148.14242999999999</v>
      </c>
      <c r="S8" s="2">
        <f t="shared" si="4"/>
        <v>7.9615372262773767E-4</v>
      </c>
      <c r="T8" s="2">
        <f t="shared" si="5"/>
        <v>1.137362460896768E-4</v>
      </c>
      <c r="U8" s="2">
        <f t="shared" si="6"/>
        <v>0.11373624608967681</v>
      </c>
    </row>
    <row r="9" spans="1:28">
      <c r="A9" s="2" t="s">
        <v>48</v>
      </c>
      <c r="B9" s="1" t="s">
        <v>36</v>
      </c>
      <c r="C9" s="3" t="s">
        <v>1</v>
      </c>
      <c r="D9" s="9">
        <v>16</v>
      </c>
      <c r="E9" s="9" t="s">
        <v>32</v>
      </c>
      <c r="F9" s="9"/>
      <c r="G9" s="3">
        <v>27</v>
      </c>
      <c r="H9" s="4">
        <v>7</v>
      </c>
      <c r="I9" s="2">
        <v>7</v>
      </c>
      <c r="J9" s="8">
        <v>0.39166666666666666</v>
      </c>
      <c r="K9" s="8">
        <v>0.54722222222222217</v>
      </c>
      <c r="L9" s="1">
        <f>180+36+8</f>
        <v>224</v>
      </c>
      <c r="M9" s="3">
        <v>2</v>
      </c>
      <c r="N9" s="3">
        <v>95.92</v>
      </c>
      <c r="O9" s="3">
        <f t="shared" si="0"/>
        <v>202.67896000000002</v>
      </c>
      <c r="P9" s="1">
        <v>65.209999999999994</v>
      </c>
      <c r="Q9" s="10">
        <f t="shared" si="1"/>
        <v>137.78872999999999</v>
      </c>
      <c r="S9" s="2">
        <f t="shared" si="4"/>
        <v>5.7937705357142882E-4</v>
      </c>
      <c r="T9" s="2">
        <f t="shared" si="5"/>
        <v>8.2768150510204117E-5</v>
      </c>
      <c r="U9" s="2">
        <f t="shared" si="6"/>
        <v>8.2768150510204114E-2</v>
      </c>
    </row>
    <row r="10" spans="1:28">
      <c r="A10" s="2" t="s">
        <v>48</v>
      </c>
      <c r="B10" s="1" t="s">
        <v>37</v>
      </c>
      <c r="C10" s="3" t="s">
        <v>1</v>
      </c>
      <c r="D10" s="9">
        <v>3</v>
      </c>
      <c r="E10" s="9" t="s">
        <v>32</v>
      </c>
      <c r="F10" s="9"/>
      <c r="G10" s="3">
        <v>27</v>
      </c>
      <c r="H10" s="4">
        <v>7</v>
      </c>
      <c r="I10" s="2">
        <v>7</v>
      </c>
      <c r="J10" s="8">
        <v>0.39166666666666666</v>
      </c>
      <c r="K10" s="8">
        <v>0.4993055555555555</v>
      </c>
      <c r="L10" s="1">
        <f>120+35</f>
        <v>155</v>
      </c>
      <c r="M10" s="3">
        <v>2</v>
      </c>
      <c r="N10" s="3">
        <v>95.92</v>
      </c>
      <c r="O10" s="3">
        <f t="shared" si="0"/>
        <v>202.67896000000002</v>
      </c>
      <c r="Q10" s="10"/>
      <c r="S10" s="2">
        <f t="shared" si="4"/>
        <v>2.6152123870967743E-3</v>
      </c>
      <c r="T10" s="2">
        <f t="shared" si="5"/>
        <v>3.7360176958525348E-4</v>
      </c>
      <c r="U10" s="2">
        <f t="shared" si="6"/>
        <v>0.37360176958525348</v>
      </c>
    </row>
    <row r="11" spans="1:28">
      <c r="A11" s="2" t="s">
        <v>48</v>
      </c>
      <c r="C11" s="3" t="s">
        <v>1</v>
      </c>
      <c r="D11" s="9">
        <v>23</v>
      </c>
      <c r="E11" s="9" t="s">
        <v>33</v>
      </c>
      <c r="F11" s="9">
        <v>1.6373013401219048</v>
      </c>
      <c r="G11" s="3">
        <v>27</v>
      </c>
      <c r="H11" s="4">
        <v>7</v>
      </c>
      <c r="I11" s="2">
        <v>7</v>
      </c>
      <c r="J11" s="8">
        <v>0.39999999999999997</v>
      </c>
      <c r="K11" s="8">
        <v>0.45555555555555555</v>
      </c>
      <c r="L11" s="1">
        <f>60+20</f>
        <v>80</v>
      </c>
      <c r="M11" s="3">
        <v>2</v>
      </c>
      <c r="N11" s="3">
        <v>95.92</v>
      </c>
      <c r="O11" s="3">
        <f t="shared" si="0"/>
        <v>202.67896000000002</v>
      </c>
      <c r="P11" s="10">
        <v>76.91</v>
      </c>
      <c r="Q11" s="10">
        <f t="shared" si="1"/>
        <v>162.51083</v>
      </c>
      <c r="S11" s="2">
        <f t="shared" si="4"/>
        <v>1.0042032500000005E-3</v>
      </c>
      <c r="T11" s="2">
        <f t="shared" si="5"/>
        <v>1.4345760714285722E-4</v>
      </c>
      <c r="U11" s="2">
        <f t="shared" si="6"/>
        <v>0.14345760714285721</v>
      </c>
    </row>
    <row r="12" spans="1:28">
      <c r="A12" s="2" t="s">
        <v>48</v>
      </c>
      <c r="C12" s="3" t="s">
        <v>1</v>
      </c>
      <c r="D12" s="9">
        <v>2</v>
      </c>
      <c r="E12" s="9" t="s">
        <v>33</v>
      </c>
      <c r="F12" s="9">
        <v>1.2233808217333333</v>
      </c>
      <c r="G12" s="3">
        <v>27</v>
      </c>
      <c r="H12" s="4">
        <v>7</v>
      </c>
      <c r="I12" s="2">
        <v>7</v>
      </c>
      <c r="J12" s="8">
        <v>0.40069444444444446</v>
      </c>
      <c r="K12" s="8">
        <v>0.45069444444444445</v>
      </c>
      <c r="L12" s="1">
        <f>60+12</f>
        <v>72</v>
      </c>
      <c r="M12" s="3">
        <v>2</v>
      </c>
      <c r="N12" s="3">
        <v>95.92</v>
      </c>
      <c r="O12" s="3">
        <f t="shared" si="0"/>
        <v>202.67896000000002</v>
      </c>
      <c r="P12" s="10">
        <v>77.930000000000007</v>
      </c>
      <c r="Q12" s="10">
        <f t="shared" si="1"/>
        <v>164.66609000000003</v>
      </c>
      <c r="S12" s="2">
        <f t="shared" si="4"/>
        <v>1.0559130555555553E-3</v>
      </c>
      <c r="T12" s="2">
        <f t="shared" si="5"/>
        <v>1.5084472222222218E-4</v>
      </c>
      <c r="U12" s="2">
        <f t="shared" si="6"/>
        <v>0.15084472222222217</v>
      </c>
    </row>
    <row r="13" spans="1:28">
      <c r="A13" s="2" t="s">
        <v>48</v>
      </c>
      <c r="C13" s="3" t="s">
        <v>1</v>
      </c>
      <c r="D13" s="9">
        <v>30</v>
      </c>
      <c r="E13" s="9" t="s">
        <v>33</v>
      </c>
      <c r="F13" s="9"/>
      <c r="G13" s="3">
        <v>27</v>
      </c>
      <c r="H13" s="4">
        <v>7</v>
      </c>
      <c r="I13" s="2">
        <v>7</v>
      </c>
      <c r="J13" s="8">
        <v>0.40069444444444446</v>
      </c>
      <c r="K13" s="8">
        <v>0.4465277777777778</v>
      </c>
      <c r="L13" s="1">
        <f>60+6</f>
        <v>66</v>
      </c>
      <c r="M13" s="3">
        <v>2</v>
      </c>
      <c r="N13" s="3">
        <v>95.92</v>
      </c>
      <c r="O13" s="3">
        <f t="shared" si="0"/>
        <v>202.67896000000002</v>
      </c>
      <c r="P13" s="10">
        <v>78.98</v>
      </c>
      <c r="Q13" s="10">
        <f t="shared" si="1"/>
        <v>166.88474000000002</v>
      </c>
      <c r="S13" s="2">
        <f t="shared" si="4"/>
        <v>1.0846733333333331E-3</v>
      </c>
      <c r="T13" s="2">
        <f t="shared" si="5"/>
        <v>1.5495333333333331E-4</v>
      </c>
      <c r="U13" s="2">
        <f t="shared" si="6"/>
        <v>0.1549533333333333</v>
      </c>
    </row>
    <row r="14" spans="1:28">
      <c r="A14" s="2" t="s">
        <v>48</v>
      </c>
      <c r="B14" s="1" t="s">
        <v>38</v>
      </c>
      <c r="C14" s="3" t="s">
        <v>1</v>
      </c>
      <c r="D14" s="9">
        <v>28</v>
      </c>
      <c r="E14" s="9" t="s">
        <v>33</v>
      </c>
      <c r="F14" s="9">
        <v>1.8587412591000001</v>
      </c>
      <c r="G14" s="3">
        <v>27</v>
      </c>
      <c r="H14" s="4">
        <v>7</v>
      </c>
      <c r="I14" s="2">
        <v>7</v>
      </c>
      <c r="J14" s="8">
        <v>0.40138888888888885</v>
      </c>
      <c r="M14" s="3">
        <v>2</v>
      </c>
      <c r="N14" s="3">
        <v>95.92</v>
      </c>
      <c r="O14" s="3">
        <f t="shared" si="0"/>
        <v>202.67896000000002</v>
      </c>
      <c r="P14" s="10">
        <v>80.84</v>
      </c>
      <c r="Q14" s="10">
        <f t="shared" si="1"/>
        <v>170.81492</v>
      </c>
      <c r="S14" s="2"/>
      <c r="T14" s="2"/>
      <c r="U14" s="2"/>
    </row>
    <row r="15" spans="1:28">
      <c r="A15" s="2" t="s">
        <v>48</v>
      </c>
      <c r="C15" s="3" t="s">
        <v>1</v>
      </c>
      <c r="D15" s="9">
        <v>21</v>
      </c>
      <c r="E15" s="9" t="s">
        <v>34</v>
      </c>
      <c r="F15" s="9"/>
      <c r="G15" s="3">
        <v>27</v>
      </c>
      <c r="H15" s="4">
        <v>7</v>
      </c>
      <c r="I15" s="2">
        <v>7</v>
      </c>
      <c r="J15" s="8">
        <v>0.41666666666666669</v>
      </c>
      <c r="K15" s="8">
        <v>0.46875</v>
      </c>
      <c r="L15" s="1">
        <f>60+15</f>
        <v>75</v>
      </c>
      <c r="M15" s="3">
        <v>2</v>
      </c>
      <c r="N15" s="3">
        <v>95.92</v>
      </c>
      <c r="O15" s="3">
        <f t="shared" si="0"/>
        <v>202.67896000000002</v>
      </c>
      <c r="P15" s="10">
        <v>76.33</v>
      </c>
      <c r="Q15" s="10">
        <f t="shared" si="1"/>
        <v>161.28529</v>
      </c>
      <c r="S15" s="2">
        <f t="shared" si="4"/>
        <v>1.1038312000000003E-3</v>
      </c>
      <c r="T15" s="2">
        <f t="shared" si="5"/>
        <v>1.5769017142857147E-4</v>
      </c>
      <c r="U15" s="2">
        <f t="shared" si="6"/>
        <v>0.15769017142857147</v>
      </c>
    </row>
    <row r="16" spans="1:28">
      <c r="A16" s="2" t="s">
        <v>48</v>
      </c>
      <c r="C16" s="3" t="s">
        <v>1</v>
      </c>
      <c r="D16" s="9">
        <v>18</v>
      </c>
      <c r="E16" s="9" t="s">
        <v>34</v>
      </c>
      <c r="F16" s="9"/>
      <c r="G16" s="3">
        <v>27</v>
      </c>
      <c r="H16" s="4">
        <v>7</v>
      </c>
      <c r="I16" s="2">
        <v>7</v>
      </c>
      <c r="J16" s="8">
        <v>0.41736111111111113</v>
      </c>
      <c r="M16" s="3">
        <v>2</v>
      </c>
      <c r="N16" s="3">
        <v>95.92</v>
      </c>
      <c r="O16" s="3">
        <f t="shared" si="0"/>
        <v>202.67896000000002</v>
      </c>
      <c r="Q16" s="10">
        <f t="shared" si="1"/>
        <v>0</v>
      </c>
      <c r="S16" s="2"/>
      <c r="T16" s="2"/>
      <c r="U16" s="2"/>
    </row>
    <row r="17" spans="1:21">
      <c r="A17" s="2" t="s">
        <v>48</v>
      </c>
      <c r="C17" s="3" t="s">
        <v>1</v>
      </c>
      <c r="D17" s="9">
        <v>7</v>
      </c>
      <c r="E17" s="9" t="s">
        <v>34</v>
      </c>
      <c r="F17" s="9">
        <v>1.2572538138622222</v>
      </c>
      <c r="G17" s="3">
        <v>27</v>
      </c>
      <c r="H17" s="4">
        <v>7</v>
      </c>
      <c r="I17" s="2">
        <v>7</v>
      </c>
      <c r="J17" s="8">
        <v>0.41736111111111113</v>
      </c>
      <c r="K17" s="8">
        <v>0.51180555555555551</v>
      </c>
      <c r="L17" s="1">
        <f>120+16</f>
        <v>136</v>
      </c>
      <c r="M17" s="3">
        <v>2</v>
      </c>
      <c r="N17" s="3">
        <v>95.92</v>
      </c>
      <c r="O17" s="3">
        <f t="shared" si="0"/>
        <v>202.67896000000002</v>
      </c>
      <c r="P17" s="10">
        <v>71.180000000000007</v>
      </c>
      <c r="Q17" s="10">
        <f t="shared" si="1"/>
        <v>150.40334000000004</v>
      </c>
      <c r="S17" s="2">
        <f t="shared" si="4"/>
        <v>7.6875911764705848E-4</v>
      </c>
      <c r="T17" s="2">
        <f t="shared" si="5"/>
        <v>1.0982273109243692E-4</v>
      </c>
      <c r="U17" s="2">
        <f t="shared" si="6"/>
        <v>0.10982273109243693</v>
      </c>
    </row>
    <row r="18" spans="1:21">
      <c r="A18" s="2" t="s">
        <v>48</v>
      </c>
      <c r="B18" s="1" t="s">
        <v>37</v>
      </c>
      <c r="C18" s="3" t="s">
        <v>1</v>
      </c>
      <c r="D18" s="9">
        <v>12</v>
      </c>
      <c r="E18" s="9" t="s">
        <v>34</v>
      </c>
      <c r="F18" s="9"/>
      <c r="G18" s="3">
        <v>27</v>
      </c>
      <c r="H18" s="4">
        <v>7</v>
      </c>
      <c r="I18" s="2">
        <v>7</v>
      </c>
      <c r="J18" s="8">
        <v>0.41805555555555557</v>
      </c>
      <c r="K18" s="8">
        <v>0.52777777777777779</v>
      </c>
      <c r="L18" s="1">
        <f>120+38</f>
        <v>158</v>
      </c>
      <c r="M18" s="3">
        <v>2</v>
      </c>
      <c r="N18" s="3">
        <v>95.92</v>
      </c>
      <c r="O18" s="3">
        <f t="shared" si="0"/>
        <v>202.67896000000002</v>
      </c>
      <c r="P18" s="10">
        <v>71.510000000000005</v>
      </c>
      <c r="Q18" s="10">
        <f t="shared" si="1"/>
        <v>151.10063000000002</v>
      </c>
      <c r="S18" s="2">
        <f t="shared" si="4"/>
        <v>6.5289025316455686E-4</v>
      </c>
      <c r="T18" s="2">
        <f t="shared" si="5"/>
        <v>9.3270036166365265E-5</v>
      </c>
      <c r="U18" s="2">
        <f t="shared" si="6"/>
        <v>9.3270036166365269E-2</v>
      </c>
    </row>
    <row r="19" spans="1:21">
      <c r="A19" s="2" t="s">
        <v>48</v>
      </c>
      <c r="B19" s="1" t="s">
        <v>39</v>
      </c>
      <c r="C19" s="3" t="s">
        <v>1</v>
      </c>
      <c r="D19" s="9">
        <v>26</v>
      </c>
      <c r="E19" s="9" t="s">
        <v>34</v>
      </c>
      <c r="F19" s="9"/>
      <c r="G19" s="3">
        <v>27</v>
      </c>
      <c r="H19" s="4">
        <v>7</v>
      </c>
      <c r="I19" s="2">
        <v>7</v>
      </c>
      <c r="J19" s="8">
        <v>0.41875000000000001</v>
      </c>
      <c r="M19" s="3">
        <v>2</v>
      </c>
      <c r="N19" s="3">
        <v>95.92</v>
      </c>
      <c r="O19" s="3">
        <f t="shared" si="0"/>
        <v>202.67896000000002</v>
      </c>
      <c r="Q19" s="10">
        <f t="shared" si="1"/>
        <v>0</v>
      </c>
      <c r="S19" s="2"/>
      <c r="T19" s="2"/>
      <c r="U19" s="2"/>
    </row>
    <row r="20" spans="1:21">
      <c r="A20" s="2" t="s">
        <v>48</v>
      </c>
      <c r="B20" s="1" t="s">
        <v>40</v>
      </c>
      <c r="C20" s="3" t="s">
        <v>1</v>
      </c>
      <c r="D20" s="9">
        <v>8</v>
      </c>
      <c r="E20" s="9" t="s">
        <v>34</v>
      </c>
      <c r="F20" s="9"/>
      <c r="G20" s="3">
        <v>27</v>
      </c>
      <c r="H20" s="4">
        <v>7</v>
      </c>
      <c r="I20" s="2">
        <v>7</v>
      </c>
      <c r="J20" s="8">
        <v>0.41944444444444445</v>
      </c>
      <c r="K20" s="8">
        <v>0.49305555555555558</v>
      </c>
      <c r="L20" s="1">
        <f>60+46</f>
        <v>106</v>
      </c>
      <c r="M20" s="3">
        <v>2</v>
      </c>
      <c r="N20" s="3">
        <v>95.92</v>
      </c>
      <c r="O20" s="3">
        <f t="shared" si="0"/>
        <v>202.67896000000002</v>
      </c>
      <c r="P20" s="10">
        <v>46.83</v>
      </c>
      <c r="Q20" s="10">
        <f t="shared" si="1"/>
        <v>98.951790000000003</v>
      </c>
      <c r="S20" s="2">
        <f t="shared" si="4"/>
        <v>1.95711641509434E-3</v>
      </c>
      <c r="T20" s="2">
        <f t="shared" si="5"/>
        <v>2.7958805929919142E-4</v>
      </c>
      <c r="U20" s="2">
        <f t="shared" si="6"/>
        <v>0.27958805929919139</v>
      </c>
    </row>
    <row r="21" spans="1:21">
      <c r="A21" s="2" t="s">
        <v>48</v>
      </c>
      <c r="B21" s="1" t="s">
        <v>37</v>
      </c>
      <c r="C21" s="3" t="s">
        <v>1</v>
      </c>
      <c r="D21" s="9">
        <v>15</v>
      </c>
      <c r="E21" s="9" t="s">
        <v>34</v>
      </c>
      <c r="F21" s="9">
        <v>1.0362108440647619</v>
      </c>
      <c r="G21" s="3">
        <v>27</v>
      </c>
      <c r="H21" s="4">
        <v>7</v>
      </c>
      <c r="I21" s="2">
        <v>7</v>
      </c>
      <c r="J21" s="8">
        <v>0.4201388888888889</v>
      </c>
      <c r="K21" s="8">
        <v>0.53888888888888886</v>
      </c>
      <c r="L21" s="1">
        <f>120+51</f>
        <v>171</v>
      </c>
      <c r="M21" s="3">
        <v>2</v>
      </c>
      <c r="N21" s="3">
        <v>95.92</v>
      </c>
      <c r="O21" s="3">
        <f t="shared" si="0"/>
        <v>202.67896000000002</v>
      </c>
      <c r="P21" s="10">
        <v>68.599999999999994</v>
      </c>
      <c r="Q21" s="10">
        <f t="shared" si="1"/>
        <v>144.95179999999999</v>
      </c>
      <c r="S21" s="2">
        <f t="shared" si="4"/>
        <v>6.751714619883044E-4</v>
      </c>
      <c r="T21" s="2">
        <f t="shared" si="5"/>
        <v>9.6453065998329204E-5</v>
      </c>
      <c r="U21" s="2">
        <f t="shared" si="6"/>
        <v>9.6453065998329202E-2</v>
      </c>
    </row>
    <row r="22" spans="1:21">
      <c r="A22" s="2" t="s">
        <v>48</v>
      </c>
      <c r="C22" s="3" t="s">
        <v>1</v>
      </c>
      <c r="D22" s="9">
        <v>13</v>
      </c>
      <c r="E22" s="9" t="s">
        <v>34</v>
      </c>
      <c r="F22" s="9">
        <v>1.6772474361555554</v>
      </c>
      <c r="G22" s="3">
        <v>27</v>
      </c>
      <c r="H22" s="4">
        <v>7</v>
      </c>
      <c r="I22" s="2">
        <v>7</v>
      </c>
      <c r="J22" s="8">
        <v>0.4201388888888889</v>
      </c>
      <c r="K22" s="8">
        <v>0.50555555555555554</v>
      </c>
      <c r="L22" s="1">
        <f>120+3</f>
        <v>123</v>
      </c>
      <c r="M22" s="3">
        <v>2</v>
      </c>
      <c r="N22" s="3">
        <v>95.92</v>
      </c>
      <c r="O22" s="3">
        <f t="shared" si="0"/>
        <v>202.67896000000002</v>
      </c>
      <c r="P22" s="10">
        <v>75.09</v>
      </c>
      <c r="Q22" s="10">
        <f t="shared" si="1"/>
        <v>158.66517000000002</v>
      </c>
      <c r="S22" s="2">
        <f t="shared" si="4"/>
        <v>7.1567138211382113E-4</v>
      </c>
      <c r="T22" s="2">
        <f t="shared" si="5"/>
        <v>1.0223876887340302E-4</v>
      </c>
      <c r="U22" s="2">
        <f t="shared" si="6"/>
        <v>0.10223876887340302</v>
      </c>
    </row>
    <row r="23" spans="1:21">
      <c r="A23" s="2" t="s">
        <v>48</v>
      </c>
      <c r="C23" s="3" t="s">
        <v>1</v>
      </c>
      <c r="D23" s="9">
        <v>25</v>
      </c>
      <c r="E23" s="9" t="s">
        <v>34</v>
      </c>
      <c r="F23" s="9"/>
      <c r="G23" s="3">
        <v>27</v>
      </c>
      <c r="H23" s="4">
        <v>7</v>
      </c>
      <c r="I23" s="2">
        <v>7</v>
      </c>
      <c r="J23" s="8">
        <v>0.42083333333333334</v>
      </c>
      <c r="M23" s="3">
        <v>2</v>
      </c>
      <c r="N23" s="3">
        <v>95.92</v>
      </c>
      <c r="O23" s="3">
        <f t="shared" si="0"/>
        <v>202.67896000000002</v>
      </c>
      <c r="Q23" s="10"/>
    </row>
    <row r="24" spans="1:21">
      <c r="A24" s="2" t="s">
        <v>48</v>
      </c>
      <c r="B24" s="1" t="s">
        <v>41</v>
      </c>
      <c r="C24" s="3" t="s">
        <v>1</v>
      </c>
      <c r="D24" s="9">
        <v>17</v>
      </c>
      <c r="E24" s="9" t="s">
        <v>34</v>
      </c>
      <c r="F24" s="9"/>
      <c r="G24" s="3">
        <v>27</v>
      </c>
      <c r="H24" s="4">
        <v>7</v>
      </c>
      <c r="I24" s="2">
        <v>7</v>
      </c>
      <c r="J24" s="8">
        <v>0.42152777777777778</v>
      </c>
      <c r="M24" s="3">
        <v>2</v>
      </c>
      <c r="N24" s="3">
        <v>95.92</v>
      </c>
      <c r="O24" s="3">
        <f t="shared" si="0"/>
        <v>202.67896000000002</v>
      </c>
      <c r="Q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58BF-815D-8740-91BA-7F68086D141D}">
  <dimension ref="C7:R27"/>
  <sheetViews>
    <sheetView workbookViewId="0">
      <selection activeCell="K27" sqref="K27"/>
    </sheetView>
  </sheetViews>
  <sheetFormatPr baseColWidth="10" defaultRowHeight="16"/>
  <cols>
    <col min="4" max="4" width="8.83203125" customWidth="1"/>
  </cols>
  <sheetData>
    <row r="7" spans="3:18">
      <c r="C7" s="9">
        <v>1.0102136379946667</v>
      </c>
      <c r="D7" s="11">
        <v>6.795431331953071E-2</v>
      </c>
      <c r="E7" s="4"/>
      <c r="F7" s="2"/>
      <c r="G7" s="8"/>
      <c r="H7" s="8"/>
      <c r="I7" s="1"/>
      <c r="J7" s="3"/>
      <c r="K7" s="3"/>
      <c r="L7" s="3"/>
      <c r="M7" s="10"/>
      <c r="N7" s="10"/>
      <c r="O7" s="1"/>
      <c r="P7" s="2"/>
      <c r="Q7" s="2"/>
      <c r="R7" s="2"/>
    </row>
    <row r="8" spans="3:18">
      <c r="C8" s="9">
        <v>0.89855080012799993</v>
      </c>
      <c r="D8" s="11">
        <v>0.10862213186813185</v>
      </c>
      <c r="E8" s="4"/>
      <c r="F8" s="2"/>
      <c r="G8" s="8"/>
      <c r="H8" s="8"/>
      <c r="I8" s="1"/>
      <c r="J8" s="3"/>
      <c r="K8" s="3"/>
      <c r="L8" s="3"/>
      <c r="M8" s="10"/>
      <c r="N8" s="10"/>
      <c r="O8" s="1"/>
      <c r="P8" s="2"/>
      <c r="Q8" s="2"/>
      <c r="R8" s="2"/>
    </row>
    <row r="9" spans="3:18">
      <c r="C9" s="9">
        <v>1.0045920273333331</v>
      </c>
      <c r="D9" s="11">
        <v>0.11373624608967681</v>
      </c>
      <c r="E9" s="4"/>
      <c r="F9" s="2"/>
      <c r="G9" s="8"/>
      <c r="H9" s="8"/>
      <c r="I9" s="1"/>
      <c r="J9" s="3"/>
      <c r="K9" s="3"/>
      <c r="L9" s="3"/>
      <c r="M9" s="10"/>
      <c r="N9" s="10"/>
      <c r="O9" s="1"/>
      <c r="P9" s="2"/>
      <c r="Q9" s="2"/>
      <c r="R9" s="2"/>
    </row>
    <row r="10" spans="3:18">
      <c r="C10" s="9">
        <v>1.6373013401219048</v>
      </c>
      <c r="D10" s="11">
        <v>0.14345760714285721</v>
      </c>
      <c r="E10" s="4"/>
      <c r="F10" s="2"/>
      <c r="G10" s="8"/>
      <c r="H10" s="8"/>
      <c r="I10" s="1"/>
      <c r="J10" s="3"/>
      <c r="K10" s="3"/>
      <c r="L10" s="3"/>
      <c r="M10" s="1"/>
      <c r="N10" s="10"/>
      <c r="O10" s="1"/>
      <c r="P10" s="2"/>
      <c r="Q10" s="2"/>
      <c r="R10" s="2"/>
    </row>
    <row r="11" spans="3:18">
      <c r="C11" s="9">
        <v>1.2233808217333333</v>
      </c>
      <c r="D11" s="11">
        <v>0.15084472222222217</v>
      </c>
      <c r="E11" s="4"/>
      <c r="F11" s="2"/>
      <c r="G11" s="8"/>
      <c r="H11" s="8"/>
      <c r="I11" s="1"/>
      <c r="J11" s="3"/>
      <c r="K11" s="3"/>
      <c r="L11" s="3"/>
      <c r="M11" s="1"/>
      <c r="N11" s="10"/>
      <c r="O11" s="1"/>
      <c r="P11" s="2"/>
      <c r="Q11" s="2"/>
      <c r="R11" s="2"/>
    </row>
    <row r="12" spans="3:18">
      <c r="C12" s="9">
        <v>1.2572538138622222</v>
      </c>
      <c r="D12" s="11">
        <v>0.10982273109243693</v>
      </c>
      <c r="E12" s="4"/>
      <c r="F12" s="2"/>
      <c r="G12" s="8"/>
      <c r="H12" s="8"/>
      <c r="I12" s="1"/>
      <c r="J12" s="3"/>
      <c r="K12" s="3"/>
      <c r="L12" s="3"/>
      <c r="M12" s="10"/>
      <c r="N12" s="10"/>
      <c r="O12" s="1"/>
      <c r="P12" s="2"/>
      <c r="Q12" s="2"/>
      <c r="R12" s="2"/>
    </row>
    <row r="13" spans="3:18">
      <c r="C13" s="9">
        <v>1.0362108440647619</v>
      </c>
      <c r="D13" s="11">
        <v>9.6453065998329202E-2</v>
      </c>
      <c r="E13" s="4"/>
      <c r="F13" s="2"/>
      <c r="G13" s="8"/>
      <c r="H13" s="8"/>
      <c r="I13" s="1"/>
      <c r="J13" s="3"/>
      <c r="K13" s="3"/>
      <c r="L13" s="3"/>
      <c r="M13" s="10"/>
      <c r="N13" s="10"/>
      <c r="O13" s="1"/>
      <c r="P13" s="2"/>
      <c r="Q13" s="2"/>
      <c r="R13" s="2"/>
    </row>
    <row r="14" spans="3:18">
      <c r="C14" s="9">
        <v>1.6772474361555554</v>
      </c>
      <c r="D14" s="11">
        <v>0.10223876887340302</v>
      </c>
      <c r="E14" s="4"/>
      <c r="F14" s="2"/>
      <c r="G14" s="8"/>
      <c r="H14" s="8"/>
      <c r="I14" s="1"/>
      <c r="J14" s="3"/>
      <c r="K14" s="3"/>
      <c r="L14" s="3"/>
      <c r="M14" s="10"/>
      <c r="N14" s="10"/>
      <c r="O14" s="1"/>
      <c r="P14" s="2"/>
      <c r="Q14" s="2"/>
      <c r="R14" s="2"/>
    </row>
    <row r="15" spans="3:18">
      <c r="C15" s="9"/>
      <c r="D15" s="11"/>
      <c r="E15" s="4"/>
      <c r="F15" s="2"/>
      <c r="G15" s="8"/>
      <c r="H15" s="1"/>
      <c r="I15" s="1"/>
      <c r="J15" s="3"/>
      <c r="K15" s="3"/>
      <c r="L15" s="3"/>
      <c r="M15" s="10"/>
      <c r="N15" s="10"/>
      <c r="O15" s="1"/>
      <c r="P15" s="2"/>
      <c r="Q15" s="2"/>
      <c r="R15" s="2"/>
    </row>
    <row r="16" spans="3:18">
      <c r="C16" s="9"/>
      <c r="D16" s="11"/>
      <c r="E16" s="4"/>
      <c r="F16" s="2"/>
      <c r="G16" s="8"/>
      <c r="H16" s="8"/>
      <c r="I16" s="1"/>
      <c r="J16" s="3"/>
      <c r="K16" s="3"/>
      <c r="L16" s="3"/>
      <c r="M16" s="10"/>
      <c r="N16" s="10"/>
      <c r="O16" s="1"/>
      <c r="P16" s="2"/>
      <c r="Q16" s="2"/>
      <c r="R16" s="2"/>
    </row>
    <row r="17" spans="3:18">
      <c r="C17" s="9">
        <f>LOG(C7)</f>
        <v>4.413227238939975E-3</v>
      </c>
      <c r="D17" s="11">
        <f>LOG(D7)</f>
        <v>-1.167782971728861</v>
      </c>
      <c r="E17" s="4"/>
      <c r="F17" s="2"/>
      <c r="G17" s="8"/>
      <c r="H17" s="1"/>
      <c r="I17" s="1"/>
      <c r="J17" s="3"/>
      <c r="K17" s="3"/>
      <c r="L17" s="3"/>
      <c r="M17" s="1"/>
      <c r="N17" s="10"/>
      <c r="O17" s="1"/>
      <c r="P17" s="2"/>
      <c r="Q17" s="2"/>
      <c r="R17" s="2"/>
    </row>
    <row r="18" spans="3:18">
      <c r="C18" s="9">
        <f t="shared" ref="C18:D24" si="0">LOG(C8)</f>
        <v>-4.6457364752438578E-2</v>
      </c>
      <c r="D18" s="11">
        <f t="shared" si="0"/>
        <v>-0.96408167779564602</v>
      </c>
      <c r="E18" s="4"/>
      <c r="F18" s="2"/>
      <c r="G18" s="8"/>
      <c r="H18" s="8"/>
      <c r="I18" s="1"/>
      <c r="J18" s="3"/>
      <c r="K18" s="3"/>
      <c r="L18" s="3"/>
      <c r="M18" s="10"/>
      <c r="N18" s="10"/>
      <c r="O18" s="1"/>
      <c r="P18" s="2"/>
      <c r="Q18" s="2"/>
      <c r="R18" s="2"/>
    </row>
    <row r="19" spans="3:18">
      <c r="C19" s="9">
        <f t="shared" si="0"/>
        <v>1.9897271792153671E-3</v>
      </c>
      <c r="D19" s="11">
        <f t="shared" si="0"/>
        <v>-0.94410110991049989</v>
      </c>
      <c r="E19" s="4"/>
      <c r="F19" s="2"/>
      <c r="G19" s="8"/>
      <c r="H19" s="8"/>
      <c r="I19" s="1"/>
      <c r="J19" s="3"/>
      <c r="K19" s="3"/>
      <c r="L19" s="3"/>
      <c r="M19" s="10"/>
      <c r="N19" s="10"/>
      <c r="O19" s="1"/>
      <c r="P19" s="2"/>
      <c r="Q19" s="2"/>
      <c r="R19" s="2"/>
    </row>
    <row r="20" spans="3:18">
      <c r="C20" s="9">
        <f t="shared" si="0"/>
        <v>0.2141286172911373</v>
      </c>
      <c r="D20" s="11">
        <f t="shared" si="0"/>
        <v>-0.84327641742446247</v>
      </c>
      <c r="E20" s="4"/>
      <c r="F20" s="2"/>
      <c r="G20" s="8"/>
      <c r="H20" s="1"/>
      <c r="I20" s="1"/>
      <c r="J20" s="3"/>
      <c r="K20" s="3"/>
      <c r="L20" s="3"/>
      <c r="M20" s="1"/>
      <c r="N20" s="10"/>
      <c r="O20" s="1"/>
      <c r="P20" s="2"/>
      <c r="Q20" s="2"/>
      <c r="R20" s="2"/>
    </row>
    <row r="21" spans="3:18">
      <c r="C21" s="9">
        <f t="shared" si="0"/>
        <v>8.756166801999013E-2</v>
      </c>
      <c r="D21" s="11">
        <f>LOG(D11)</f>
        <v>-0.82146988038367952</v>
      </c>
      <c r="E21" s="4"/>
      <c r="F21" s="2"/>
      <c r="G21" s="8"/>
      <c r="H21" s="8"/>
      <c r="I21" s="1"/>
      <c r="J21" s="3"/>
      <c r="K21" s="3"/>
      <c r="L21" s="3"/>
      <c r="M21" s="10"/>
      <c r="N21" s="10"/>
      <c r="O21" s="1"/>
      <c r="P21" s="2"/>
      <c r="Q21" s="2"/>
      <c r="R21" s="2"/>
    </row>
    <row r="22" spans="3:18">
      <c r="C22" s="9">
        <f t="shared" si="0"/>
        <v>9.9422961721324712E-2</v>
      </c>
      <c r="D22" s="11">
        <f t="shared" si="0"/>
        <v>-0.95930776037507814</v>
      </c>
      <c r="E22" s="4"/>
      <c r="F22" s="2"/>
      <c r="G22" s="8"/>
      <c r="H22" s="8"/>
      <c r="I22" s="1"/>
      <c r="J22" s="3"/>
      <c r="K22" s="3"/>
      <c r="L22" s="3"/>
      <c r="M22" s="10"/>
      <c r="N22" s="10"/>
      <c r="O22" s="1"/>
      <c r="P22" s="2"/>
      <c r="Q22" s="2"/>
      <c r="R22" s="2"/>
    </row>
    <row r="23" spans="3:18">
      <c r="C23" s="9">
        <f t="shared" si="0"/>
        <v>1.5448132916210116E-2</v>
      </c>
      <c r="D23" s="11">
        <f t="shared" si="0"/>
        <v>-1.0156839626806209</v>
      </c>
      <c r="E23" s="4"/>
      <c r="F23" s="2"/>
      <c r="G23" s="8"/>
      <c r="H23" s="8"/>
      <c r="I23" s="1"/>
      <c r="J23" s="3"/>
      <c r="K23" s="3"/>
      <c r="L23" s="3"/>
      <c r="M23" s="10"/>
      <c r="N23" s="10"/>
      <c r="O23" s="1"/>
      <c r="P23" s="2"/>
      <c r="Q23" s="2"/>
      <c r="R23" s="2"/>
    </row>
    <row r="24" spans="3:18">
      <c r="C24" s="9">
        <f t="shared" si="0"/>
        <v>0.22459713668483</v>
      </c>
      <c r="D24" s="11">
        <f t="shared" si="0"/>
        <v>-0.99038438878961432</v>
      </c>
    </row>
    <row r="25" spans="3:18">
      <c r="C25" s="9"/>
      <c r="D25" s="12"/>
    </row>
    <row r="26" spans="3:18">
      <c r="C26" s="9"/>
      <c r="D26" s="12"/>
    </row>
    <row r="27" spans="3:18">
      <c r="C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8CB3-8D75-6F4B-8B1B-0C971363D925}">
  <dimension ref="A1:H53"/>
  <sheetViews>
    <sheetView tabSelected="1" workbookViewId="0">
      <selection activeCell="F3" sqref="F3"/>
    </sheetView>
  </sheetViews>
  <sheetFormatPr baseColWidth="10" defaultRowHeight="16"/>
  <sheetData>
    <row r="1" spans="1:8">
      <c r="A1" t="s">
        <v>42</v>
      </c>
      <c r="B1" t="s">
        <v>47</v>
      </c>
      <c r="C1" t="s">
        <v>43</v>
      </c>
      <c r="D1" t="s">
        <v>44</v>
      </c>
      <c r="E1" t="s">
        <v>45</v>
      </c>
      <c r="F1" t="s">
        <v>46</v>
      </c>
    </row>
    <row r="2" spans="1:8">
      <c r="A2">
        <v>31</v>
      </c>
      <c r="B2" t="s">
        <v>32</v>
      </c>
      <c r="C2">
        <v>1</v>
      </c>
      <c r="D2">
        <v>0.90500000000000003</v>
      </c>
      <c r="E2">
        <v>0.70599999999999996</v>
      </c>
      <c r="F2">
        <f>(4/3)*3.14*D2*E2^2</f>
        <v>1.8885407749333332</v>
      </c>
      <c r="G2">
        <f>AVERAGE(F2:F6)</f>
        <v>1.0102136379946667</v>
      </c>
      <c r="H2">
        <f>_xlfn.STDEV.S(F2:F6)</f>
        <v>0.54544684338705762</v>
      </c>
    </row>
    <row r="3" spans="1:8">
      <c r="A3">
        <v>31</v>
      </c>
      <c r="B3" t="s">
        <v>32</v>
      </c>
      <c r="C3">
        <v>2</v>
      </c>
      <c r="D3">
        <v>0.60599999999999998</v>
      </c>
      <c r="E3">
        <v>0.43</v>
      </c>
      <c r="F3">
        <f t="shared" ref="F3:F53" si="0">(4/3)*3.14*D3*E3^2</f>
        <v>0.46911348799999991</v>
      </c>
    </row>
    <row r="4" spans="1:8">
      <c r="A4">
        <v>31</v>
      </c>
      <c r="B4" t="s">
        <v>32</v>
      </c>
      <c r="C4">
        <v>3</v>
      </c>
      <c r="D4">
        <v>0.69099999999999995</v>
      </c>
      <c r="E4">
        <v>0.57399999999999995</v>
      </c>
      <c r="F4">
        <f t="shared" si="0"/>
        <v>0.95316967498666638</v>
      </c>
    </row>
    <row r="5" spans="1:8">
      <c r="A5">
        <v>31</v>
      </c>
      <c r="B5" t="s">
        <v>32</v>
      </c>
      <c r="C5">
        <v>4</v>
      </c>
      <c r="D5">
        <v>0.52400000000000002</v>
      </c>
      <c r="E5">
        <v>0.55100000000000005</v>
      </c>
      <c r="F5">
        <f t="shared" si="0"/>
        <v>0.66604392181333349</v>
      </c>
    </row>
    <row r="6" spans="1:8">
      <c r="A6">
        <v>31</v>
      </c>
      <c r="B6" t="s">
        <v>32</v>
      </c>
      <c r="C6">
        <v>5</v>
      </c>
      <c r="D6">
        <v>0.76800000000000002</v>
      </c>
      <c r="E6">
        <v>0.57799999999999996</v>
      </c>
      <c r="F6">
        <f t="shared" si="0"/>
        <v>1.0742003302399998</v>
      </c>
    </row>
    <row r="7" spans="1:8">
      <c r="A7">
        <v>28</v>
      </c>
      <c r="B7" t="s">
        <v>33</v>
      </c>
      <c r="C7">
        <v>1</v>
      </c>
      <c r="D7">
        <v>0.54300000000000004</v>
      </c>
      <c r="E7">
        <v>1.1359999999999999</v>
      </c>
      <c r="F7">
        <f t="shared" si="0"/>
        <v>2.93376198656</v>
      </c>
      <c r="G7">
        <f>AVERAGE(F7:F10)</f>
        <v>1.8587412591000001</v>
      </c>
      <c r="H7">
        <f>_xlfn.STDEV.S(F7:F10)</f>
        <v>0.79580124109737116</v>
      </c>
    </row>
    <row r="8" spans="1:8">
      <c r="A8">
        <v>28</v>
      </c>
      <c r="B8" t="s">
        <v>33</v>
      </c>
      <c r="C8">
        <v>2</v>
      </c>
      <c r="D8">
        <v>0.55200000000000005</v>
      </c>
      <c r="E8">
        <v>0.83</v>
      </c>
      <c r="F8">
        <f t="shared" si="0"/>
        <v>1.5920754560000001</v>
      </c>
    </row>
    <row r="9" spans="1:8">
      <c r="A9">
        <v>28</v>
      </c>
      <c r="B9" t="s">
        <v>33</v>
      </c>
      <c r="C9">
        <v>3</v>
      </c>
      <c r="D9">
        <v>1.0329999999999999</v>
      </c>
      <c r="E9">
        <v>0.49</v>
      </c>
      <c r="F9">
        <f t="shared" si="0"/>
        <v>1.0383908826666666</v>
      </c>
    </row>
    <row r="10" spans="1:8">
      <c r="A10">
        <v>28</v>
      </c>
      <c r="B10" t="s">
        <v>33</v>
      </c>
      <c r="C10">
        <v>4</v>
      </c>
      <c r="D10">
        <v>0.61699999999999999</v>
      </c>
      <c r="E10">
        <v>0.85099999999999998</v>
      </c>
      <c r="F10">
        <f t="shared" si="0"/>
        <v>1.8707367111733333</v>
      </c>
    </row>
    <row r="11" spans="1:8">
      <c r="A11">
        <v>22</v>
      </c>
      <c r="B11" t="s">
        <v>32</v>
      </c>
      <c r="C11">
        <v>1</v>
      </c>
      <c r="D11">
        <v>0.72899999999999998</v>
      </c>
      <c r="E11">
        <v>0.433</v>
      </c>
      <c r="F11">
        <f t="shared" si="0"/>
        <v>0.57223142711999986</v>
      </c>
      <c r="G11">
        <f>AVERAGE(F11:F15)</f>
        <v>0.89855080012799993</v>
      </c>
      <c r="H11">
        <f>_xlfn.STDEV.S(F11:F15)</f>
        <v>0.34728284940466603</v>
      </c>
    </row>
    <row r="12" spans="1:8">
      <c r="A12">
        <v>22</v>
      </c>
      <c r="B12" t="s">
        <v>32</v>
      </c>
      <c r="C12">
        <v>2</v>
      </c>
      <c r="D12">
        <v>0.71299999999999997</v>
      </c>
      <c r="E12">
        <v>0.69299999999999995</v>
      </c>
      <c r="F12">
        <f t="shared" si="0"/>
        <v>1.4335880882399996</v>
      </c>
    </row>
    <row r="13" spans="1:8">
      <c r="A13">
        <v>22</v>
      </c>
      <c r="B13" t="s">
        <v>32</v>
      </c>
      <c r="C13">
        <v>3</v>
      </c>
      <c r="D13">
        <v>0.32300000000000001</v>
      </c>
      <c r="E13">
        <v>0.68200000000000005</v>
      </c>
      <c r="F13">
        <f t="shared" si="0"/>
        <v>0.62898408437333342</v>
      </c>
    </row>
    <row r="14" spans="1:8">
      <c r="A14">
        <v>22</v>
      </c>
      <c r="B14" t="s">
        <v>32</v>
      </c>
      <c r="C14">
        <v>4</v>
      </c>
      <c r="D14">
        <v>0.54400000000000004</v>
      </c>
      <c r="E14">
        <v>0.60799999999999998</v>
      </c>
      <c r="F14">
        <f t="shared" si="0"/>
        <v>0.84192701098666667</v>
      </c>
    </row>
    <row r="15" spans="1:8">
      <c r="A15">
        <v>22</v>
      </c>
      <c r="B15" t="s">
        <v>32</v>
      </c>
      <c r="C15">
        <v>5</v>
      </c>
      <c r="D15">
        <v>0.71399999999999997</v>
      </c>
      <c r="E15">
        <v>0.58299999999999996</v>
      </c>
      <c r="F15">
        <f t="shared" si="0"/>
        <v>1.0160233899199997</v>
      </c>
    </row>
    <row r="16" spans="1:8">
      <c r="A16">
        <v>7</v>
      </c>
      <c r="B16" t="s">
        <v>34</v>
      </c>
      <c r="C16">
        <v>1</v>
      </c>
      <c r="D16">
        <v>0.45100000000000001</v>
      </c>
      <c r="E16">
        <v>1.0449999999999999</v>
      </c>
      <c r="F16">
        <f t="shared" si="0"/>
        <v>2.0619470446666663</v>
      </c>
      <c r="G16">
        <f>AVERAGE(F16:F21)</f>
        <v>1.2572538138622222</v>
      </c>
      <c r="H16">
        <f>_xlfn.STDEV.S(F16:F21)</f>
        <v>0.42205158047915553</v>
      </c>
    </row>
    <row r="17" spans="1:8">
      <c r="A17">
        <v>7</v>
      </c>
      <c r="B17" t="s">
        <v>34</v>
      </c>
      <c r="C17">
        <v>2</v>
      </c>
      <c r="D17">
        <v>0.66400000000000003</v>
      </c>
      <c r="E17">
        <v>0.63</v>
      </c>
      <c r="F17">
        <f t="shared" si="0"/>
        <v>1.1033608320000001</v>
      </c>
    </row>
    <row r="18" spans="1:8">
      <c r="A18">
        <v>7</v>
      </c>
      <c r="B18" t="s">
        <v>34</v>
      </c>
      <c r="C18">
        <v>3</v>
      </c>
      <c r="D18">
        <v>0.40500000000000003</v>
      </c>
      <c r="E18">
        <v>0.86</v>
      </c>
      <c r="F18">
        <f t="shared" si="0"/>
        <v>1.2540657599999998</v>
      </c>
    </row>
    <row r="19" spans="1:8">
      <c r="A19">
        <v>7</v>
      </c>
      <c r="B19" t="s">
        <v>34</v>
      </c>
      <c r="C19">
        <v>4</v>
      </c>
      <c r="D19">
        <v>0.66700000000000004</v>
      </c>
      <c r="E19">
        <v>0.67400000000000004</v>
      </c>
      <c r="F19">
        <f t="shared" si="0"/>
        <v>1.2685687585066669</v>
      </c>
    </row>
    <row r="20" spans="1:8">
      <c r="A20">
        <v>7</v>
      </c>
      <c r="B20" t="s">
        <v>34</v>
      </c>
      <c r="C20">
        <v>5</v>
      </c>
      <c r="D20">
        <v>0.51900000000000002</v>
      </c>
      <c r="E20">
        <v>0.66500000000000004</v>
      </c>
      <c r="F20">
        <f t="shared" si="0"/>
        <v>0.96090185800000016</v>
      </c>
    </row>
    <row r="21" spans="1:8">
      <c r="A21">
        <v>7</v>
      </c>
      <c r="B21" t="s">
        <v>34</v>
      </c>
      <c r="C21">
        <v>6</v>
      </c>
      <c r="D21">
        <v>0.56499999999999995</v>
      </c>
      <c r="E21">
        <v>0.61499999999999999</v>
      </c>
      <c r="F21">
        <f t="shared" si="0"/>
        <v>0.89467862999999981</v>
      </c>
    </row>
    <row r="22" spans="1:8" s="13" customFormat="1">
      <c r="A22" s="13">
        <v>6</v>
      </c>
      <c r="B22" s="13" t="s">
        <v>32</v>
      </c>
      <c r="C22" s="13">
        <v>1</v>
      </c>
      <c r="D22" s="13">
        <v>0.68700000000000006</v>
      </c>
      <c r="E22" s="13">
        <v>0.52500000000000002</v>
      </c>
      <c r="F22" s="13">
        <f t="shared" si="0"/>
        <v>0.79276365000000004</v>
      </c>
      <c r="G22" s="13">
        <f>AVERAGE(F22:F26)</f>
        <v>1.0045920273333331</v>
      </c>
      <c r="H22" s="13">
        <f>_xlfn.STDEV.S(F22:F26)</f>
        <v>0.16761819097824282</v>
      </c>
    </row>
    <row r="23" spans="1:8" s="13" customFormat="1">
      <c r="A23" s="13">
        <v>6</v>
      </c>
      <c r="B23" s="13" t="s">
        <v>32</v>
      </c>
      <c r="C23" s="13">
        <v>2</v>
      </c>
      <c r="D23" s="13">
        <v>0.72899999999999998</v>
      </c>
      <c r="E23" s="13">
        <v>0.61899999999999999</v>
      </c>
      <c r="F23" s="13">
        <f t="shared" si="0"/>
        <v>1.1694380248799998</v>
      </c>
    </row>
    <row r="24" spans="1:8" s="13" customFormat="1">
      <c r="A24" s="13">
        <v>6</v>
      </c>
      <c r="B24" s="13" t="s">
        <v>32</v>
      </c>
      <c r="C24" s="13">
        <v>3</v>
      </c>
      <c r="D24" s="13">
        <v>0.67300000000000004</v>
      </c>
      <c r="E24" s="13">
        <v>0.60799999999999998</v>
      </c>
      <c r="F24" s="13">
        <f t="shared" si="0"/>
        <v>1.0415751441066667</v>
      </c>
    </row>
    <row r="25" spans="1:8" s="13" customFormat="1">
      <c r="A25" s="13">
        <v>6</v>
      </c>
      <c r="B25" s="13" t="s">
        <v>32</v>
      </c>
      <c r="C25" s="13">
        <v>4</v>
      </c>
      <c r="D25" s="13">
        <v>0.80200000000000005</v>
      </c>
      <c r="E25" s="13">
        <v>0.58499999999999996</v>
      </c>
      <c r="F25" s="13">
        <f t="shared" si="0"/>
        <v>1.1490911639999999</v>
      </c>
    </row>
    <row r="26" spans="1:8" s="13" customFormat="1">
      <c r="A26" s="13">
        <v>6</v>
      </c>
      <c r="B26" s="13" t="s">
        <v>32</v>
      </c>
      <c r="C26" s="13">
        <v>5</v>
      </c>
      <c r="D26" s="13">
        <v>0.59099999999999997</v>
      </c>
      <c r="E26" s="13">
        <v>0.59299999999999997</v>
      </c>
      <c r="F26" s="13">
        <f t="shared" si="0"/>
        <v>0.87009215367999981</v>
      </c>
    </row>
    <row r="27" spans="1:8" s="13" customFormat="1">
      <c r="A27" s="13">
        <v>15</v>
      </c>
      <c r="B27" s="13" t="s">
        <v>34</v>
      </c>
      <c r="C27" s="13">
        <v>1</v>
      </c>
      <c r="D27" s="13">
        <v>0.63500000000000001</v>
      </c>
      <c r="E27" s="13">
        <v>0.76300000000000001</v>
      </c>
      <c r="F27" s="13">
        <f t="shared" si="0"/>
        <v>1.5477156921333335</v>
      </c>
      <c r="G27" s="13">
        <f>AVERAGE(F27:F33)</f>
        <v>1.0362108440647619</v>
      </c>
      <c r="H27" s="13">
        <f>_xlfn.STDEV.S(F27:F33)</f>
        <v>0.3439328634946115</v>
      </c>
    </row>
    <row r="28" spans="1:8" s="13" customFormat="1">
      <c r="A28" s="13">
        <v>15</v>
      </c>
      <c r="B28" s="13" t="s">
        <v>34</v>
      </c>
      <c r="C28" s="13">
        <v>2</v>
      </c>
      <c r="D28" s="13">
        <v>0.71899999999999997</v>
      </c>
      <c r="E28" s="13">
        <v>0.373</v>
      </c>
      <c r="F28" s="13">
        <f t="shared" si="0"/>
        <v>0.41880797085333332</v>
      </c>
    </row>
    <row r="29" spans="1:8" s="13" customFormat="1">
      <c r="A29" s="13">
        <v>15</v>
      </c>
      <c r="B29" s="13" t="s">
        <v>34</v>
      </c>
      <c r="C29" s="13">
        <v>3</v>
      </c>
      <c r="D29" s="13">
        <v>0.65300000000000002</v>
      </c>
      <c r="E29" s="13">
        <v>0.60899999999999999</v>
      </c>
      <c r="F29" s="13">
        <f t="shared" si="0"/>
        <v>1.0139490933599999</v>
      </c>
    </row>
    <row r="30" spans="1:8" s="13" customFormat="1">
      <c r="A30" s="13">
        <v>15</v>
      </c>
      <c r="B30" s="13" t="s">
        <v>34</v>
      </c>
      <c r="C30" s="13">
        <v>4</v>
      </c>
      <c r="D30" s="13">
        <v>0.63700000000000001</v>
      </c>
      <c r="E30" s="13">
        <v>0.59899999999999998</v>
      </c>
      <c r="F30" s="13">
        <f t="shared" si="0"/>
        <v>0.95688877890666668</v>
      </c>
    </row>
    <row r="31" spans="1:8" s="13" customFormat="1">
      <c r="A31" s="13">
        <v>15</v>
      </c>
      <c r="B31" s="13" t="s">
        <v>34</v>
      </c>
      <c r="C31" s="13">
        <v>5</v>
      </c>
      <c r="D31" s="13">
        <v>0.81599999999999995</v>
      </c>
      <c r="E31" s="13">
        <v>0.52800000000000002</v>
      </c>
      <c r="F31" s="13">
        <f t="shared" si="0"/>
        <v>0.95241535488000006</v>
      </c>
    </row>
    <row r="32" spans="1:8" s="13" customFormat="1">
      <c r="A32" s="13">
        <v>15</v>
      </c>
      <c r="B32" s="13" t="s">
        <v>34</v>
      </c>
      <c r="C32" s="13">
        <v>6</v>
      </c>
      <c r="D32" s="13">
        <v>0.65400000000000003</v>
      </c>
      <c r="E32" s="13">
        <v>0.67700000000000005</v>
      </c>
      <c r="F32" s="13">
        <f t="shared" si="0"/>
        <v>1.2549414683200002</v>
      </c>
    </row>
    <row r="33" spans="1:8" s="13" customFormat="1">
      <c r="A33" s="13">
        <v>15</v>
      </c>
      <c r="B33" s="13" t="s">
        <v>34</v>
      </c>
      <c r="C33" s="13">
        <v>7</v>
      </c>
      <c r="D33" s="13">
        <v>0.80100000000000005</v>
      </c>
      <c r="E33" s="13">
        <v>0.57499999999999996</v>
      </c>
      <c r="F33" s="13">
        <f t="shared" si="0"/>
        <v>1.1087575499999998</v>
      </c>
    </row>
    <row r="34" spans="1:8" s="13" customFormat="1">
      <c r="A34" s="13">
        <v>2</v>
      </c>
      <c r="B34" s="13" t="s">
        <v>33</v>
      </c>
      <c r="C34" s="13">
        <v>1</v>
      </c>
      <c r="D34" s="13">
        <v>0.75</v>
      </c>
      <c r="E34" s="13">
        <v>0.59899999999999998</v>
      </c>
      <c r="F34" s="13">
        <f t="shared" si="0"/>
        <v>1.1266351399999999</v>
      </c>
      <c r="G34" s="13">
        <f>AVERAGE(F34:F40)</f>
        <v>1.2233808217333333</v>
      </c>
      <c r="H34" s="13">
        <f>_xlfn.STDEV.S(F34:F40)</f>
        <v>0.28386803401318578</v>
      </c>
    </row>
    <row r="35" spans="1:8" s="13" customFormat="1">
      <c r="A35" s="13">
        <v>2</v>
      </c>
      <c r="B35" s="13" t="s">
        <v>33</v>
      </c>
      <c r="C35" s="13">
        <v>2</v>
      </c>
      <c r="D35" s="13">
        <v>0.496</v>
      </c>
      <c r="E35" s="13">
        <v>0.59299999999999997</v>
      </c>
      <c r="F35" s="13">
        <f t="shared" si="0"/>
        <v>0.73022962474666664</v>
      </c>
    </row>
    <row r="36" spans="1:8" s="13" customFormat="1">
      <c r="A36" s="13">
        <v>2</v>
      </c>
      <c r="B36" s="13" t="s">
        <v>33</v>
      </c>
      <c r="C36" s="13">
        <v>3</v>
      </c>
      <c r="D36" s="13">
        <v>0.63700000000000001</v>
      </c>
      <c r="E36" s="13">
        <v>0.71199999999999997</v>
      </c>
      <c r="F36" s="13">
        <f t="shared" si="0"/>
        <v>1.3519723332266667</v>
      </c>
    </row>
    <row r="37" spans="1:8" s="13" customFormat="1">
      <c r="A37" s="13">
        <v>2</v>
      </c>
      <c r="B37" s="13" t="s">
        <v>33</v>
      </c>
      <c r="C37" s="13">
        <v>4</v>
      </c>
      <c r="D37" s="13">
        <v>0.66600000000000004</v>
      </c>
      <c r="E37" s="13">
        <v>0.63700000000000001</v>
      </c>
      <c r="F37" s="13">
        <f t="shared" si="0"/>
        <v>1.13141381808</v>
      </c>
    </row>
    <row r="38" spans="1:8" s="13" customFormat="1">
      <c r="A38" s="13">
        <v>2</v>
      </c>
      <c r="B38" s="13" t="s">
        <v>33</v>
      </c>
      <c r="C38" s="13">
        <v>5</v>
      </c>
      <c r="D38" s="13">
        <v>0.85299999999999998</v>
      </c>
      <c r="E38" s="13">
        <v>0.66900000000000004</v>
      </c>
      <c r="F38" s="13">
        <f t="shared" si="0"/>
        <v>1.59834177816</v>
      </c>
    </row>
    <row r="39" spans="1:8" s="13" customFormat="1">
      <c r="A39" s="13">
        <v>2</v>
      </c>
      <c r="B39" s="13" t="s">
        <v>33</v>
      </c>
      <c r="C39" s="13">
        <v>6</v>
      </c>
      <c r="D39" s="13">
        <v>0.58599999999999997</v>
      </c>
      <c r="E39" s="13">
        <v>0.77400000000000002</v>
      </c>
      <c r="F39" s="13">
        <f t="shared" si="0"/>
        <v>1.4697650707200001</v>
      </c>
    </row>
    <row r="40" spans="1:8" s="13" customFormat="1">
      <c r="A40" s="13">
        <v>2</v>
      </c>
      <c r="B40" s="13" t="s">
        <v>33</v>
      </c>
      <c r="C40" s="13">
        <v>7</v>
      </c>
      <c r="D40" s="13">
        <v>0.51500000000000001</v>
      </c>
      <c r="E40" s="13">
        <v>0.73199999999999998</v>
      </c>
      <c r="F40" s="13">
        <f t="shared" si="0"/>
        <v>1.1553079872000001</v>
      </c>
    </row>
    <row r="41" spans="1:8">
      <c r="A41">
        <v>23</v>
      </c>
      <c r="B41" t="s">
        <v>33</v>
      </c>
      <c r="C41">
        <v>1</v>
      </c>
      <c r="D41">
        <v>0.65200000000000002</v>
      </c>
      <c r="E41">
        <v>0.69</v>
      </c>
      <c r="F41">
        <f t="shared" si="0"/>
        <v>1.2996133439999997</v>
      </c>
      <c r="G41">
        <f>AVERAGE(F41:F47)</f>
        <v>1.6373013401219048</v>
      </c>
      <c r="H41">
        <f>_xlfn.STDEV.S(F41:F47)</f>
        <v>0.47294312738993205</v>
      </c>
    </row>
    <row r="42" spans="1:8">
      <c r="A42">
        <v>23</v>
      </c>
      <c r="B42" t="s">
        <v>33</v>
      </c>
      <c r="C42">
        <v>2</v>
      </c>
      <c r="D42">
        <v>0.82299999999999995</v>
      </c>
      <c r="E42">
        <v>0.82399999999999995</v>
      </c>
      <c r="F42">
        <f t="shared" si="0"/>
        <v>2.339497811626666</v>
      </c>
    </row>
    <row r="43" spans="1:8">
      <c r="A43">
        <v>23</v>
      </c>
      <c r="B43" t="s">
        <v>33</v>
      </c>
      <c r="C43">
        <v>3</v>
      </c>
      <c r="D43">
        <v>0.71299999999999997</v>
      </c>
      <c r="E43">
        <v>0.746</v>
      </c>
      <c r="F43">
        <f t="shared" si="0"/>
        <v>1.6612522014933331</v>
      </c>
    </row>
    <row r="44" spans="1:8">
      <c r="A44">
        <v>23</v>
      </c>
      <c r="B44" t="s">
        <v>33</v>
      </c>
      <c r="C44">
        <v>4</v>
      </c>
      <c r="D44">
        <v>0.68500000000000005</v>
      </c>
      <c r="E44">
        <v>0.70599999999999996</v>
      </c>
      <c r="F44">
        <f t="shared" si="0"/>
        <v>1.4294479898666665</v>
      </c>
    </row>
    <row r="45" spans="1:8">
      <c r="A45">
        <v>23</v>
      </c>
      <c r="B45" t="s">
        <v>33</v>
      </c>
      <c r="C45">
        <v>5</v>
      </c>
      <c r="D45">
        <v>0.58299999999999996</v>
      </c>
      <c r="E45">
        <v>0.74299999999999999</v>
      </c>
      <c r="F45">
        <f t="shared" si="0"/>
        <v>1.3474559205066665</v>
      </c>
    </row>
    <row r="46" spans="1:8">
      <c r="A46">
        <v>23</v>
      </c>
      <c r="B46" t="s">
        <v>33</v>
      </c>
      <c r="C46">
        <v>6</v>
      </c>
      <c r="D46">
        <v>0.66900000000000004</v>
      </c>
      <c r="E46">
        <v>0.63900000000000001</v>
      </c>
      <c r="F46">
        <f t="shared" si="0"/>
        <v>1.14365812248</v>
      </c>
    </row>
    <row r="47" spans="1:8">
      <c r="A47">
        <v>23</v>
      </c>
      <c r="B47" t="s">
        <v>33</v>
      </c>
      <c r="C47">
        <v>7</v>
      </c>
      <c r="D47">
        <v>0.67400000000000004</v>
      </c>
      <c r="E47">
        <v>0.89100000000000001</v>
      </c>
      <c r="F47">
        <f t="shared" si="0"/>
        <v>2.2401839908800003</v>
      </c>
    </row>
    <row r="48" spans="1:8">
      <c r="A48">
        <v>13</v>
      </c>
      <c r="B48" t="s">
        <v>34</v>
      </c>
      <c r="C48">
        <v>1</v>
      </c>
      <c r="D48">
        <v>0.67300000000000004</v>
      </c>
      <c r="E48">
        <v>0.86699999999999999</v>
      </c>
      <c r="F48">
        <f t="shared" si="0"/>
        <v>2.1179789714399999</v>
      </c>
      <c r="G48">
        <f>AVERAGE(F48:F53)</f>
        <v>1.6772474361555554</v>
      </c>
      <c r="H48">
        <f>_xlfn.STDEV.S(F48:F53)</f>
        <v>0.54178897930399661</v>
      </c>
    </row>
    <row r="49" spans="1:6">
      <c r="A49">
        <v>13</v>
      </c>
      <c r="B49" t="s">
        <v>34</v>
      </c>
      <c r="C49">
        <v>2</v>
      </c>
      <c r="D49">
        <v>0.54</v>
      </c>
      <c r="E49">
        <v>0.73399999999999999</v>
      </c>
      <c r="F49">
        <f t="shared" si="0"/>
        <v>1.2180195648000001</v>
      </c>
    </row>
    <row r="50" spans="1:6">
      <c r="A50">
        <v>13</v>
      </c>
      <c r="B50" t="s">
        <v>34</v>
      </c>
      <c r="C50">
        <v>3</v>
      </c>
      <c r="D50">
        <v>0.64</v>
      </c>
      <c r="E50">
        <v>0.72699999999999998</v>
      </c>
      <c r="F50">
        <f t="shared" si="0"/>
        <v>1.4161758378666662</v>
      </c>
    </row>
    <row r="51" spans="1:6">
      <c r="A51">
        <v>13</v>
      </c>
      <c r="B51" t="s">
        <v>34</v>
      </c>
      <c r="C51">
        <v>4</v>
      </c>
      <c r="D51">
        <v>0.83199999999999996</v>
      </c>
      <c r="E51">
        <v>0.80300000000000005</v>
      </c>
      <c r="F51">
        <f t="shared" si="0"/>
        <v>2.2460674884266667</v>
      </c>
    </row>
    <row r="52" spans="1:6">
      <c r="A52">
        <v>13</v>
      </c>
      <c r="B52" t="s">
        <v>34</v>
      </c>
      <c r="C52">
        <v>5</v>
      </c>
      <c r="D52">
        <v>0.63</v>
      </c>
      <c r="E52">
        <v>0.60699999999999998</v>
      </c>
      <c r="F52">
        <f t="shared" si="0"/>
        <v>0.97182108239999987</v>
      </c>
    </row>
    <row r="53" spans="1:6">
      <c r="A53">
        <v>13</v>
      </c>
      <c r="B53" t="s">
        <v>34</v>
      </c>
      <c r="C53">
        <v>6</v>
      </c>
      <c r="D53">
        <v>0.68400000000000005</v>
      </c>
      <c r="E53">
        <v>0.85499999999999998</v>
      </c>
      <c r="F53">
        <f t="shared" si="0"/>
        <v>2.0934216719999998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2D5B-6A7B-1047-9935-B04B073B24ED}">
  <dimension ref="A1:A4"/>
  <sheetViews>
    <sheetView workbookViewId="0">
      <selection activeCell="D10" sqref="D10"/>
    </sheetView>
  </sheetViews>
  <sheetFormatPr baseColWidth="10" defaultRowHeight="16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1196-D564-0248-A3AF-F2BC83F70CF8}">
  <dimension ref="A1:AB19"/>
  <sheetViews>
    <sheetView topLeftCell="V1" workbookViewId="0">
      <selection activeCell="E19" sqref="E19"/>
    </sheetView>
  </sheetViews>
  <sheetFormatPr baseColWidth="10" defaultRowHeight="16"/>
  <sheetData>
    <row r="1" spans="1:28">
      <c r="A1" t="s">
        <v>49</v>
      </c>
      <c r="B1" t="s">
        <v>9</v>
      </c>
      <c r="C1" t="s">
        <v>0</v>
      </c>
      <c r="D1" t="s">
        <v>42</v>
      </c>
      <c r="E1" t="s">
        <v>7</v>
      </c>
      <c r="F1" t="s">
        <v>50</v>
      </c>
      <c r="G1" t="s">
        <v>46</v>
      </c>
      <c r="H1" t="s">
        <v>51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s="14" t="s">
        <v>16</v>
      </c>
      <c r="O1" t="s">
        <v>17</v>
      </c>
      <c r="P1" s="14" t="s">
        <v>18</v>
      </c>
      <c r="Q1" t="s">
        <v>19</v>
      </c>
      <c r="R1" t="s">
        <v>20</v>
      </c>
      <c r="S1" t="s">
        <v>52</v>
      </c>
      <c r="T1" t="s">
        <v>53</v>
      </c>
      <c r="U1" t="s">
        <v>54</v>
      </c>
      <c r="V1" t="s">
        <v>21</v>
      </c>
      <c r="W1" t="s">
        <v>22</v>
      </c>
      <c r="X1" t="s">
        <v>20</v>
      </c>
      <c r="Y1" s="14" t="s">
        <v>23</v>
      </c>
      <c r="Z1" t="s">
        <v>55</v>
      </c>
    </row>
    <row r="2" spans="1:28">
      <c r="A2" s="15">
        <v>44129</v>
      </c>
      <c r="B2" s="16">
        <v>27</v>
      </c>
      <c r="C2" t="s">
        <v>56</v>
      </c>
      <c r="D2">
        <v>30</v>
      </c>
      <c r="E2" t="s">
        <v>59</v>
      </c>
      <c r="F2" t="s">
        <v>28</v>
      </c>
      <c r="I2" s="17">
        <v>0</v>
      </c>
      <c r="J2" s="18">
        <v>0.40277777777777773</v>
      </c>
      <c r="K2" s="18">
        <v>0.44722222222222219</v>
      </c>
      <c r="L2">
        <v>64</v>
      </c>
      <c r="M2" s="16">
        <v>2</v>
      </c>
      <c r="N2" s="19">
        <v>89.05</v>
      </c>
      <c r="O2" s="16">
        <f>(N2/100)*204.3</f>
        <v>181.92914999999999</v>
      </c>
      <c r="P2" s="19">
        <v>78.900000000000006</v>
      </c>
      <c r="Q2" s="16">
        <f>(P2/100)*204.3</f>
        <v>161.1927</v>
      </c>
      <c r="R2" s="20">
        <f>(O2-Q2)/(1000*L2)</f>
        <v>3.2400703124999984E-4</v>
      </c>
      <c r="S2" s="20">
        <f>AVERAGE(R2)*M2</f>
        <v>6.4801406249999968E-4</v>
      </c>
      <c r="T2" s="20"/>
      <c r="U2" s="20"/>
      <c r="V2" s="20">
        <f>((M2*(O2-Q2))/(1000*L2))</f>
        <v>6.4801406249999968E-4</v>
      </c>
      <c r="Y2" s="14"/>
    </row>
    <row r="3" spans="1:28">
      <c r="A3" s="15">
        <v>44129</v>
      </c>
      <c r="B3" s="16">
        <v>27</v>
      </c>
      <c r="C3" t="s">
        <v>56</v>
      </c>
      <c r="D3">
        <v>3</v>
      </c>
      <c r="E3" t="s">
        <v>59</v>
      </c>
      <c r="F3" t="s">
        <v>57</v>
      </c>
      <c r="I3" s="17">
        <v>6</v>
      </c>
      <c r="J3" s="18">
        <v>0.4055555555555555</v>
      </c>
      <c r="K3" s="18">
        <v>0.42291666666666666</v>
      </c>
      <c r="L3" s="16">
        <v>25</v>
      </c>
      <c r="M3" s="16">
        <v>2</v>
      </c>
      <c r="N3" s="19">
        <v>89.05</v>
      </c>
      <c r="O3" s="16">
        <f t="shared" ref="O3:O13" si="0">(N3/100)*204.3</f>
        <v>181.92914999999999</v>
      </c>
      <c r="P3" s="19">
        <v>78.89</v>
      </c>
      <c r="Q3" s="16">
        <f t="shared" ref="Q3:Q13" si="1">(P3/100)*204.3</f>
        <v>161.17227000000003</v>
      </c>
      <c r="R3" s="16"/>
      <c r="S3" s="16"/>
      <c r="T3" s="16"/>
      <c r="U3" s="16"/>
      <c r="V3" s="20">
        <f>((M3*(O3-Q3))/(1000*L3))</f>
        <v>1.6605503999999973E-3</v>
      </c>
      <c r="W3">
        <f t="shared" ref="W3:W9" si="2">V3/I3</f>
        <v>2.7675839999999954E-4</v>
      </c>
      <c r="X3">
        <f t="shared" ref="X3:X9" si="3">V3/M3</f>
        <v>8.3027519999999866E-4</v>
      </c>
      <c r="Y3" s="14">
        <f>W3*1000</f>
        <v>0.27675839999999952</v>
      </c>
      <c r="Z3">
        <f>LOG(Y3+1)</f>
        <v>0.10610872383061043</v>
      </c>
      <c r="AB3" s="21"/>
    </row>
    <row r="4" spans="1:28">
      <c r="A4" s="15">
        <v>44129</v>
      </c>
      <c r="B4" s="16">
        <v>27</v>
      </c>
      <c r="C4" t="s">
        <v>56</v>
      </c>
      <c r="D4">
        <v>32</v>
      </c>
      <c r="E4" t="s">
        <v>59</v>
      </c>
      <c r="F4" t="s">
        <v>57</v>
      </c>
      <c r="I4" s="22">
        <v>3</v>
      </c>
      <c r="J4" s="18">
        <v>0.40486111111111112</v>
      </c>
      <c r="K4" s="18">
        <v>0.4291666666666667</v>
      </c>
      <c r="L4">
        <v>35</v>
      </c>
      <c r="M4">
        <v>2</v>
      </c>
      <c r="N4" s="19">
        <v>89.05</v>
      </c>
      <c r="O4" s="16">
        <f t="shared" si="0"/>
        <v>181.92914999999999</v>
      </c>
      <c r="P4" s="14">
        <v>79.5</v>
      </c>
      <c r="Q4" s="16">
        <f t="shared" si="1"/>
        <v>162.41850000000002</v>
      </c>
      <c r="R4" s="16"/>
      <c r="S4" s="16"/>
      <c r="T4" s="16"/>
      <c r="U4" s="16"/>
      <c r="V4" s="20">
        <f t="shared" ref="V4:V9" si="4">((M4*(O4-Q4))/(1000*L4))</f>
        <v>1.114894285714284E-3</v>
      </c>
      <c r="W4">
        <f t="shared" si="2"/>
        <v>3.71631428571428E-4</v>
      </c>
      <c r="X4">
        <f t="shared" si="3"/>
        <v>5.57447142857142E-4</v>
      </c>
      <c r="Y4" s="14">
        <f t="shared" ref="Y4:Y9" si="5">W4*1000</f>
        <v>0.371631428571428</v>
      </c>
      <c r="Z4">
        <f t="shared" ref="Z4:Z15" si="6">LOG(Y4+1)</f>
        <v>0.13723742766685632</v>
      </c>
    </row>
    <row r="5" spans="1:28">
      <c r="A5" s="15">
        <v>44129</v>
      </c>
      <c r="B5" s="16">
        <v>27</v>
      </c>
      <c r="C5" t="s">
        <v>56</v>
      </c>
      <c r="D5">
        <v>15</v>
      </c>
      <c r="E5" t="s">
        <v>59</v>
      </c>
      <c r="F5" t="s">
        <v>57</v>
      </c>
      <c r="I5" s="17">
        <v>6</v>
      </c>
      <c r="J5" s="18">
        <v>0.41736111111111113</v>
      </c>
      <c r="K5" s="18">
        <v>0.43611111111111112</v>
      </c>
      <c r="L5">
        <v>27</v>
      </c>
      <c r="M5" s="16">
        <v>2</v>
      </c>
      <c r="N5" s="19">
        <v>87.62</v>
      </c>
      <c r="O5" s="16">
        <f t="shared" si="0"/>
        <v>179.00766000000002</v>
      </c>
      <c r="P5" s="19">
        <v>76.5</v>
      </c>
      <c r="Q5" s="16">
        <f t="shared" si="1"/>
        <v>156.2895</v>
      </c>
      <c r="V5" s="20">
        <f t="shared" si="4"/>
        <v>1.6828266666666675E-3</v>
      </c>
      <c r="W5">
        <f t="shared" si="2"/>
        <v>2.8047111111111127E-4</v>
      </c>
      <c r="X5">
        <f t="shared" si="3"/>
        <v>8.4141333333333376E-4</v>
      </c>
      <c r="Y5" s="14">
        <f t="shared" si="5"/>
        <v>0.28047111111111128</v>
      </c>
      <c r="Z5">
        <f t="shared" si="6"/>
        <v>0.1073697847360683</v>
      </c>
    </row>
    <row r="6" spans="1:28">
      <c r="A6" s="15">
        <v>44129</v>
      </c>
      <c r="B6" s="16">
        <v>27</v>
      </c>
      <c r="C6" t="s">
        <v>56</v>
      </c>
      <c r="D6">
        <v>31</v>
      </c>
      <c r="E6" t="s">
        <v>59</v>
      </c>
      <c r="F6" t="s">
        <v>57</v>
      </c>
      <c r="I6" s="17">
        <v>4</v>
      </c>
      <c r="J6" s="18">
        <v>0.41736111111111113</v>
      </c>
      <c r="K6" s="18">
        <v>0.44166666666666665</v>
      </c>
      <c r="L6">
        <v>35</v>
      </c>
      <c r="M6" s="16">
        <v>2</v>
      </c>
      <c r="N6" s="19">
        <v>87.62</v>
      </c>
      <c r="O6" s="16">
        <f t="shared" si="0"/>
        <v>179.00766000000002</v>
      </c>
      <c r="P6" s="19">
        <v>75.75</v>
      </c>
      <c r="Q6" s="16">
        <f t="shared" si="1"/>
        <v>154.75725</v>
      </c>
      <c r="V6" s="20">
        <f t="shared" si="4"/>
        <v>1.3857377142857152E-3</v>
      </c>
      <c r="W6">
        <f t="shared" si="2"/>
        <v>3.4643442857142879E-4</v>
      </c>
      <c r="X6">
        <f t="shared" si="3"/>
        <v>6.9286885714285758E-4</v>
      </c>
      <c r="Y6" s="14">
        <f t="shared" si="5"/>
        <v>0.34643442857142881</v>
      </c>
      <c r="Z6">
        <f t="shared" si="6"/>
        <v>0.12918520809805956</v>
      </c>
    </row>
    <row r="7" spans="1:28">
      <c r="A7" s="15">
        <v>44129</v>
      </c>
      <c r="B7" s="16">
        <v>27</v>
      </c>
      <c r="C7" t="s">
        <v>56</v>
      </c>
      <c r="D7">
        <v>20</v>
      </c>
      <c r="E7" t="s">
        <v>59</v>
      </c>
      <c r="F7" t="s">
        <v>57</v>
      </c>
      <c r="I7" s="17">
        <v>6</v>
      </c>
      <c r="J7" s="18">
        <v>0.45763888888888887</v>
      </c>
      <c r="K7" s="18">
        <v>0.47361111111111115</v>
      </c>
      <c r="L7">
        <v>23</v>
      </c>
      <c r="M7" s="16">
        <v>2</v>
      </c>
      <c r="N7" s="19">
        <v>86.8</v>
      </c>
      <c r="O7" s="16">
        <f t="shared" si="0"/>
        <v>177.33240000000001</v>
      </c>
      <c r="P7" s="14">
        <v>76.459999999999994</v>
      </c>
      <c r="Q7" s="16">
        <f t="shared" si="1"/>
        <v>156.20777999999999</v>
      </c>
      <c r="V7" s="20">
        <f t="shared" si="4"/>
        <v>1.8369234782608715E-3</v>
      </c>
      <c r="W7">
        <f t="shared" si="2"/>
        <v>3.0615391304347859E-4</v>
      </c>
      <c r="X7">
        <f t="shared" si="3"/>
        <v>9.1846173913043576E-4</v>
      </c>
      <c r="Y7" s="14">
        <f t="shared" si="5"/>
        <v>0.30615391304347861</v>
      </c>
      <c r="Z7">
        <f t="shared" si="6"/>
        <v>0.11599435584181374</v>
      </c>
    </row>
    <row r="8" spans="1:28">
      <c r="A8" s="15">
        <v>44129</v>
      </c>
      <c r="B8" s="16">
        <v>27</v>
      </c>
      <c r="C8" t="s">
        <v>56</v>
      </c>
      <c r="D8">
        <v>49</v>
      </c>
      <c r="E8" t="s">
        <v>59</v>
      </c>
      <c r="F8" t="s">
        <v>57</v>
      </c>
      <c r="I8" s="17">
        <v>2</v>
      </c>
      <c r="J8" s="18">
        <v>0.45763888888888887</v>
      </c>
      <c r="K8" s="18">
        <v>0.47916666666666669</v>
      </c>
      <c r="L8">
        <v>31</v>
      </c>
      <c r="M8" s="16">
        <v>2</v>
      </c>
      <c r="N8" s="19">
        <v>86.8</v>
      </c>
      <c r="O8" s="16">
        <f t="shared" si="0"/>
        <v>177.33240000000001</v>
      </c>
      <c r="P8" s="19">
        <v>78.430000000000007</v>
      </c>
      <c r="Q8" s="16">
        <f t="shared" si="1"/>
        <v>160.23249000000004</v>
      </c>
      <c r="V8" s="20">
        <f t="shared" si="4"/>
        <v>1.1032199999999979E-3</v>
      </c>
      <c r="W8">
        <f t="shared" si="2"/>
        <v>5.5160999999999893E-4</v>
      </c>
      <c r="X8">
        <f t="shared" si="3"/>
        <v>5.5160999999999893E-4</v>
      </c>
      <c r="Y8" s="14">
        <f t="shared" si="5"/>
        <v>0.55160999999999893</v>
      </c>
      <c r="Z8">
        <f t="shared" si="6"/>
        <v>0.19078256992958081</v>
      </c>
    </row>
    <row r="9" spans="1:28">
      <c r="A9" s="15">
        <v>44129</v>
      </c>
      <c r="B9" s="16">
        <v>27</v>
      </c>
      <c r="C9" t="s">
        <v>56</v>
      </c>
      <c r="D9">
        <v>35</v>
      </c>
      <c r="E9" t="s">
        <v>59</v>
      </c>
      <c r="F9" t="s">
        <v>57</v>
      </c>
      <c r="I9" s="17">
        <v>1</v>
      </c>
      <c r="J9" s="18">
        <v>0.45763888888888887</v>
      </c>
      <c r="K9" s="18">
        <v>0.4861111111111111</v>
      </c>
      <c r="L9">
        <v>41</v>
      </c>
      <c r="M9" s="16">
        <v>2</v>
      </c>
      <c r="N9" s="19">
        <v>86.8</v>
      </c>
      <c r="O9" s="16">
        <f t="shared" si="0"/>
        <v>177.33240000000001</v>
      </c>
      <c r="P9" s="14">
        <v>74.150000000000006</v>
      </c>
      <c r="Q9" s="16">
        <f t="shared" si="1"/>
        <v>151.48845000000003</v>
      </c>
      <c r="V9" s="20">
        <f t="shared" si="4"/>
        <v>1.2606804878048769E-3</v>
      </c>
      <c r="W9">
        <f t="shared" si="2"/>
        <v>1.2606804878048769E-3</v>
      </c>
      <c r="X9">
        <f t="shared" si="3"/>
        <v>6.3034024390243846E-4</v>
      </c>
      <c r="Y9" s="14">
        <f t="shared" si="5"/>
        <v>1.260680487804877</v>
      </c>
      <c r="Z9">
        <f t="shared" si="6"/>
        <v>0.35423918587975239</v>
      </c>
    </row>
    <row r="10" spans="1:28">
      <c r="A10" s="15">
        <v>44129</v>
      </c>
      <c r="B10" s="16">
        <v>27</v>
      </c>
      <c r="C10" t="s">
        <v>56</v>
      </c>
      <c r="D10">
        <v>12</v>
      </c>
      <c r="E10" t="s">
        <v>59</v>
      </c>
      <c r="F10" t="s">
        <v>28</v>
      </c>
      <c r="I10" s="23">
        <v>6</v>
      </c>
      <c r="J10" s="18">
        <v>4.5833333333333337E-2</v>
      </c>
      <c r="K10" s="18">
        <v>6.1805555555555558E-2</v>
      </c>
      <c r="L10">
        <v>23</v>
      </c>
      <c r="M10" s="16">
        <v>2</v>
      </c>
      <c r="N10" s="19">
        <v>96.88</v>
      </c>
      <c r="O10" s="16">
        <f>(N10/100)*204.3</f>
        <v>197.92584000000002</v>
      </c>
      <c r="P10" s="19">
        <v>85.72</v>
      </c>
      <c r="Q10" s="16">
        <f>(P10/100)*204.3</f>
        <v>175.12595999999999</v>
      </c>
      <c r="R10" s="20">
        <f>(O10-Q10)/(1000*L10)</f>
        <v>9.9129913043478402E-4</v>
      </c>
      <c r="S10" s="20">
        <f>AVERAGE(R10)*M10</f>
        <v>1.982598260869568E-3</v>
      </c>
      <c r="T10" s="20"/>
      <c r="U10" s="20"/>
      <c r="Y10" s="14"/>
    </row>
    <row r="11" spans="1:28">
      <c r="A11" s="15">
        <v>44129</v>
      </c>
      <c r="B11" s="16">
        <v>27</v>
      </c>
      <c r="C11" t="s">
        <v>56</v>
      </c>
      <c r="D11">
        <v>8</v>
      </c>
      <c r="E11" t="s">
        <v>59</v>
      </c>
      <c r="F11" t="s">
        <v>32</v>
      </c>
      <c r="G11">
        <v>0.46740208403111111</v>
      </c>
      <c r="H11">
        <f>LOG(G11+1)</f>
        <v>0.16654913153211007</v>
      </c>
      <c r="I11" s="23">
        <v>6</v>
      </c>
      <c r="J11" s="18">
        <v>0.52222222222222225</v>
      </c>
      <c r="K11" s="18">
        <v>0.53402777777777777</v>
      </c>
      <c r="L11">
        <v>17</v>
      </c>
      <c r="M11" s="16">
        <v>2</v>
      </c>
      <c r="N11" s="19">
        <v>97.06</v>
      </c>
      <c r="O11" s="16">
        <f t="shared" si="0"/>
        <v>198.29358000000002</v>
      </c>
      <c r="P11" s="19">
        <v>89.03</v>
      </c>
      <c r="Q11" s="16">
        <f t="shared" si="1"/>
        <v>181.88829000000001</v>
      </c>
      <c r="V11" s="20">
        <f>((M11*(O11-Q11))/(1000*L11))-$S$10</f>
        <v>-5.2564143222508242E-5</v>
      </c>
      <c r="W11">
        <f t="shared" ref="W11:W19" si="7">V11/I11</f>
        <v>-8.7606905370847064E-6</v>
      </c>
      <c r="X11">
        <f t="shared" ref="X11:X19" si="8">V11/M11</f>
        <v>-2.6282071611254121E-5</v>
      </c>
      <c r="Y11" s="14">
        <f t="shared" ref="Y11:Y15" si="9">W11*1000</f>
        <v>-8.7606905370847064E-3</v>
      </c>
      <c r="Z11">
        <f t="shared" si="6"/>
        <v>-3.82148352432814E-3</v>
      </c>
    </row>
    <row r="12" spans="1:28">
      <c r="A12" s="15">
        <v>44129</v>
      </c>
      <c r="B12" s="16">
        <v>27</v>
      </c>
      <c r="C12" t="s">
        <v>56</v>
      </c>
      <c r="D12">
        <v>7</v>
      </c>
      <c r="E12" t="s">
        <v>59</v>
      </c>
      <c r="F12" t="s">
        <v>33</v>
      </c>
      <c r="G12">
        <v>1.7260783890666664</v>
      </c>
      <c r="H12">
        <f t="shared" ref="H12:H15" si="10">LOG(G12+1)</f>
        <v>0.43553833992478058</v>
      </c>
      <c r="I12" s="23">
        <v>6</v>
      </c>
      <c r="J12" s="18">
        <v>0.53055555555555556</v>
      </c>
      <c r="K12" s="18">
        <v>4.5138888888888888E-2</v>
      </c>
      <c r="L12">
        <v>21</v>
      </c>
      <c r="M12" s="16">
        <v>2</v>
      </c>
      <c r="N12" s="19">
        <v>97.06</v>
      </c>
      <c r="O12" s="16">
        <f t="shared" si="0"/>
        <v>198.29358000000002</v>
      </c>
      <c r="P12" s="19">
        <v>85.84</v>
      </c>
      <c r="Q12" s="16">
        <f t="shared" si="1"/>
        <v>175.37112000000002</v>
      </c>
      <c r="V12" s="20">
        <f t="shared" ref="V12:V14" si="11">((M12*(O12-Q12))/(1000*L12))-$S$10</f>
        <v>2.0049316770186058E-4</v>
      </c>
      <c r="W12">
        <f t="shared" si="7"/>
        <v>3.3415527950310095E-5</v>
      </c>
      <c r="X12">
        <f t="shared" si="8"/>
        <v>1.0024658385093029E-4</v>
      </c>
      <c r="Y12" s="14">
        <f t="shared" si="9"/>
        <v>3.3415527950310095E-2</v>
      </c>
      <c r="Z12">
        <f t="shared" si="6"/>
        <v>1.4274982903923681E-2</v>
      </c>
    </row>
    <row r="13" spans="1:28">
      <c r="A13" s="15">
        <v>44129</v>
      </c>
      <c r="B13" s="16">
        <v>27</v>
      </c>
      <c r="C13" t="s">
        <v>56</v>
      </c>
      <c r="D13">
        <v>16</v>
      </c>
      <c r="E13" t="s">
        <v>59</v>
      </c>
      <c r="F13" t="s">
        <v>58</v>
      </c>
      <c r="G13">
        <v>0.94409982685333338</v>
      </c>
      <c r="H13">
        <f t="shared" si="10"/>
        <v>0.28871856158739506</v>
      </c>
      <c r="I13" s="23">
        <v>6</v>
      </c>
      <c r="J13" s="18">
        <v>0.54097222222222219</v>
      </c>
      <c r="K13" s="18">
        <v>5.4166666666666669E-2</v>
      </c>
      <c r="L13">
        <v>19</v>
      </c>
      <c r="M13" s="16">
        <v>2</v>
      </c>
      <c r="N13" s="19">
        <v>96.88</v>
      </c>
      <c r="O13" s="16">
        <f t="shared" si="0"/>
        <v>197.92584000000002</v>
      </c>
      <c r="P13" s="19">
        <v>84.4</v>
      </c>
      <c r="Q13" s="16">
        <f t="shared" si="1"/>
        <v>172.42920000000004</v>
      </c>
      <c r="V13" s="20">
        <f t="shared" si="11"/>
        <v>7.0125858123569343E-4</v>
      </c>
      <c r="W13">
        <f t="shared" si="7"/>
        <v>1.1687643020594891E-4</v>
      </c>
      <c r="X13">
        <f t="shared" si="8"/>
        <v>3.5062929061784672E-4</v>
      </c>
      <c r="Y13" s="14">
        <f t="shared" si="9"/>
        <v>0.1168764302059489</v>
      </c>
      <c r="Z13">
        <f t="shared" si="6"/>
        <v>4.8005125981922143E-2</v>
      </c>
    </row>
    <row r="14" spans="1:28">
      <c r="A14" s="15">
        <v>44129</v>
      </c>
      <c r="B14" s="16">
        <v>27</v>
      </c>
      <c r="C14" t="s">
        <v>56</v>
      </c>
      <c r="D14">
        <v>47</v>
      </c>
      <c r="E14" t="s">
        <v>59</v>
      </c>
      <c r="F14" t="s">
        <v>58</v>
      </c>
      <c r="G14">
        <v>1.1159858118577779</v>
      </c>
      <c r="H14">
        <f t="shared" si="10"/>
        <v>0.3255127513345405</v>
      </c>
      <c r="I14" s="23">
        <v>6</v>
      </c>
      <c r="J14" s="18">
        <v>5.7638888888888885E-2</v>
      </c>
      <c r="K14" s="18">
        <v>7.1527777777777787E-2</v>
      </c>
      <c r="L14">
        <v>20</v>
      </c>
      <c r="M14" s="16">
        <v>2</v>
      </c>
      <c r="N14" s="19">
        <v>96.26</v>
      </c>
      <c r="O14" s="16">
        <f t="shared" ref="O14:O19" si="12">(N14/100)*204.3</f>
        <v>196.65918000000002</v>
      </c>
      <c r="P14" s="19">
        <v>85.51</v>
      </c>
      <c r="Q14" s="16">
        <f t="shared" ref="Q14:Q19" si="13">(P14/100)*204.3</f>
        <v>174.69693000000004</v>
      </c>
      <c r="V14" s="20">
        <f t="shared" si="11"/>
        <v>2.1362673913043022E-4</v>
      </c>
      <c r="W14">
        <f t="shared" si="7"/>
        <v>3.5604456521738367E-5</v>
      </c>
      <c r="X14">
        <f t="shared" si="8"/>
        <v>1.0681336956521511E-4</v>
      </c>
      <c r="Y14" s="14">
        <f t="shared" si="9"/>
        <v>3.5604456521738367E-2</v>
      </c>
      <c r="Z14">
        <f t="shared" si="6"/>
        <v>1.5193910668430262E-2</v>
      </c>
    </row>
    <row r="15" spans="1:28">
      <c r="A15" s="15">
        <v>44129</v>
      </c>
      <c r="B15" s="16">
        <v>27</v>
      </c>
      <c r="C15" t="s">
        <v>56</v>
      </c>
      <c r="D15">
        <v>24</v>
      </c>
      <c r="E15" t="s">
        <v>59</v>
      </c>
      <c r="F15" t="s">
        <v>33</v>
      </c>
      <c r="G15">
        <v>1.5218023739244444</v>
      </c>
      <c r="H15">
        <f t="shared" si="10"/>
        <v>0.40171104921682332</v>
      </c>
      <c r="I15" s="23">
        <v>6</v>
      </c>
      <c r="J15" s="18">
        <v>6.458333333333334E-2</v>
      </c>
      <c r="K15" s="18">
        <v>7.8472222222222221E-2</v>
      </c>
      <c r="L15">
        <v>20</v>
      </c>
      <c r="M15" s="16">
        <v>2</v>
      </c>
      <c r="N15" s="19">
        <v>96.26</v>
      </c>
      <c r="O15" s="16">
        <f t="shared" si="12"/>
        <v>196.65918000000002</v>
      </c>
      <c r="P15" s="19">
        <v>83.12</v>
      </c>
      <c r="Q15" s="16">
        <f t="shared" si="13"/>
        <v>169.81416000000002</v>
      </c>
      <c r="V15" s="20">
        <f>((M15*(O15-Q15))/(1000*L15))-$S$10</f>
        <v>7.0190373913043246E-4</v>
      </c>
      <c r="W15">
        <f t="shared" si="7"/>
        <v>1.1698395652173874E-4</v>
      </c>
      <c r="X15">
        <f t="shared" si="8"/>
        <v>3.5095186956521623E-4</v>
      </c>
      <c r="Y15" s="14">
        <f t="shared" si="9"/>
        <v>0.11698395652173874</v>
      </c>
      <c r="Z15">
        <f t="shared" si="6"/>
        <v>4.8046935296345253E-2</v>
      </c>
    </row>
    <row r="16" spans="1:28" s="25" customFormat="1" ht="15">
      <c r="A16" s="24">
        <v>44131</v>
      </c>
      <c r="C16" s="25" t="s">
        <v>60</v>
      </c>
      <c r="D16" s="26">
        <v>16</v>
      </c>
      <c r="E16" s="25" t="s">
        <v>62</v>
      </c>
      <c r="F16" s="26" t="s">
        <v>61</v>
      </c>
      <c r="G16" s="26">
        <v>7</v>
      </c>
      <c r="I16" s="27">
        <v>7</v>
      </c>
      <c r="J16" s="28">
        <v>0.34652777777777777</v>
      </c>
      <c r="K16" s="28">
        <v>0.41666666666666669</v>
      </c>
      <c r="L16" s="26">
        <v>101</v>
      </c>
      <c r="M16" s="29">
        <v>2</v>
      </c>
      <c r="N16" s="30">
        <v>96.77</v>
      </c>
      <c r="O16" s="29">
        <f t="shared" si="12"/>
        <v>197.70111</v>
      </c>
      <c r="P16" s="30">
        <v>79.06</v>
      </c>
      <c r="Q16" s="31">
        <f t="shared" si="13"/>
        <v>161.51957999999999</v>
      </c>
      <c r="T16" s="32">
        <f>U16-(AVERAGE($U$18:$U$19))</f>
        <v>1.15279796744828E-3</v>
      </c>
      <c r="U16" s="33">
        <f>((M16*(O16-Q16))/(1000*L16))</f>
        <v>7.1646594059405957E-4</v>
      </c>
      <c r="V16" s="33">
        <f>((M16*(O16-Q16))/(1000*L16))-[1]Respiration!$S$12</f>
        <v>6.3414274418841009E-4</v>
      </c>
      <c r="W16" s="26">
        <f t="shared" si="7"/>
        <v>9.0591820598344294E-5</v>
      </c>
      <c r="X16" s="26">
        <f t="shared" si="8"/>
        <v>3.1707137209420504E-4</v>
      </c>
      <c r="Y16" s="30">
        <f>W16*1000</f>
        <v>9.0591820598344294E-2</v>
      </c>
      <c r="Z16" s="26">
        <f>LOG(Y16+1)</f>
        <v>3.7662236169136172E-2</v>
      </c>
    </row>
    <row r="17" spans="1:26" s="25" customFormat="1" ht="15">
      <c r="A17" s="24">
        <v>44131</v>
      </c>
      <c r="C17" s="25" t="s">
        <v>60</v>
      </c>
      <c r="D17" s="26">
        <v>8</v>
      </c>
      <c r="E17" s="25" t="s">
        <v>62</v>
      </c>
      <c r="F17" s="26" t="s">
        <v>61</v>
      </c>
      <c r="G17" s="26">
        <v>7</v>
      </c>
      <c r="I17" s="27">
        <v>7</v>
      </c>
      <c r="J17" s="28">
        <v>0.34722222222222227</v>
      </c>
      <c r="K17" s="28">
        <v>0.40902777777777777</v>
      </c>
      <c r="L17" s="26">
        <v>89</v>
      </c>
      <c r="M17" s="29">
        <v>2</v>
      </c>
      <c r="N17" s="30">
        <v>96.77</v>
      </c>
      <c r="O17" s="29">
        <f t="shared" si="12"/>
        <v>197.70111</v>
      </c>
      <c r="P17" s="30">
        <v>86.35</v>
      </c>
      <c r="Q17" s="31">
        <f t="shared" si="13"/>
        <v>176.41305</v>
      </c>
      <c r="T17" s="32">
        <f>U17-(AVERAGE($U$18:$U$19))</f>
        <v>9.1471539764073737E-4</v>
      </c>
      <c r="U17" s="33">
        <f>((M17*(O17-Q17))/(1000*L17))</f>
        <v>4.7838337078651686E-4</v>
      </c>
      <c r="V17" s="33">
        <f>((M17*(O17-Q17))/(1000*L17))-[1]Respiration!$S$12</f>
        <v>3.9606017438086733E-4</v>
      </c>
      <c r="W17" s="26">
        <f t="shared" si="7"/>
        <v>5.6580024911552473E-5</v>
      </c>
      <c r="X17" s="26">
        <f t="shared" si="8"/>
        <v>1.9803008719043366E-4</v>
      </c>
      <c r="Y17" s="30">
        <f>W17*1000</f>
        <v>5.6580024911552472E-2</v>
      </c>
      <c r="Z17" s="26">
        <f>LOG(Y17+1)</f>
        <v>2.3902395909229549E-2</v>
      </c>
    </row>
    <row r="18" spans="1:26" s="35" customFormat="1" ht="15">
      <c r="A18" s="34">
        <v>44131</v>
      </c>
      <c r="C18" s="25" t="s">
        <v>60</v>
      </c>
      <c r="D18" s="35">
        <v>43</v>
      </c>
      <c r="E18" s="35" t="s">
        <v>63</v>
      </c>
      <c r="F18" s="35" t="s">
        <v>28</v>
      </c>
      <c r="G18" s="35">
        <v>0</v>
      </c>
      <c r="I18" s="36">
        <v>0</v>
      </c>
      <c r="J18" s="37">
        <v>0.34791666666666665</v>
      </c>
      <c r="K18" s="37">
        <v>0.41875000000000001</v>
      </c>
      <c r="L18" s="35">
        <v>102</v>
      </c>
      <c r="M18" s="38">
        <v>2</v>
      </c>
      <c r="N18" s="35">
        <v>96.77</v>
      </c>
      <c r="O18" s="38">
        <f t="shared" si="12"/>
        <v>197.70111</v>
      </c>
      <c r="P18" s="35">
        <v>107.39</v>
      </c>
      <c r="Q18" s="38">
        <f t="shared" si="13"/>
        <v>219.39777000000004</v>
      </c>
      <c r="T18" s="32">
        <f>U18-(AVERAGE($U$18:$U$19))</f>
        <v>1.0907320971866811E-5</v>
      </c>
      <c r="U18" s="39">
        <f>((M18*(O18-Q18))/(1000*L18))</f>
        <v>-4.2542470588235364E-4</v>
      </c>
      <c r="V18" s="39">
        <f>((M18*(O18-Q18))/(1000*L18))-[1]Respiration!$S$12</f>
        <v>-5.0774790228800312E-4</v>
      </c>
      <c r="W18" s="35" t="e">
        <f t="shared" si="7"/>
        <v>#DIV/0!</v>
      </c>
      <c r="X18" s="35">
        <f t="shared" si="8"/>
        <v>-2.5387395114400156E-4</v>
      </c>
      <c r="Y18" s="35" t="e">
        <f>W18*1000</f>
        <v>#DIV/0!</v>
      </c>
      <c r="Z18" s="35" t="e">
        <f>LOG(Y18+1)</f>
        <v>#DIV/0!</v>
      </c>
    </row>
    <row r="19" spans="1:26" s="35" customFormat="1" ht="15">
      <c r="A19" s="34">
        <v>44131</v>
      </c>
      <c r="C19" s="25" t="s">
        <v>60</v>
      </c>
      <c r="D19" s="35">
        <v>17</v>
      </c>
      <c r="E19" s="35" t="s">
        <v>63</v>
      </c>
      <c r="F19" s="35" t="s">
        <v>28</v>
      </c>
      <c r="G19" s="35">
        <v>0</v>
      </c>
      <c r="I19" s="36">
        <v>0</v>
      </c>
      <c r="J19" s="37">
        <v>0.34791666666666665</v>
      </c>
      <c r="K19" s="37">
        <v>0.41180555555555554</v>
      </c>
      <c r="L19" s="35">
        <v>92</v>
      </c>
      <c r="M19" s="38">
        <v>2</v>
      </c>
      <c r="N19" s="35">
        <v>96.77</v>
      </c>
      <c r="O19" s="38">
        <f t="shared" si="12"/>
        <v>197.70111</v>
      </c>
      <c r="P19" s="35">
        <v>106.84</v>
      </c>
      <c r="Q19" s="38">
        <f t="shared" si="13"/>
        <v>218.27412000000001</v>
      </c>
      <c r="T19" s="32">
        <f>U19-(AVERAGE($U$18:$U$19))</f>
        <v>-1.0907320971866757E-5</v>
      </c>
      <c r="U19" s="39">
        <f>((M19*(O19-Q19))/(1000*L19))</f>
        <v>-4.4723934782608721E-4</v>
      </c>
      <c r="V19" s="39">
        <f>((M19*(O19-Q19))/(1000*L19))-[1]Respiration!$S$12</f>
        <v>-5.2956254423173674E-4</v>
      </c>
      <c r="W19" s="35" t="e">
        <f t="shared" si="7"/>
        <v>#DIV/0!</v>
      </c>
      <c r="X19" s="35">
        <f t="shared" si="8"/>
        <v>-2.6478127211586837E-4</v>
      </c>
      <c r="Y19" s="35" t="e">
        <f>W19*1000</f>
        <v>#DIV/0!</v>
      </c>
      <c r="Z19" s="35" t="e">
        <f>LOG(Y19+1)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C81F-9489-B945-9404-2788D8351239}">
  <dimension ref="A1:M78"/>
  <sheetViews>
    <sheetView workbookViewId="0">
      <selection sqref="A1:XFD1"/>
    </sheetView>
  </sheetViews>
  <sheetFormatPr baseColWidth="10" defaultRowHeight="16"/>
  <cols>
    <col min="2" max="2" width="24.6640625" customWidth="1"/>
    <col min="3" max="3" width="15.33203125" customWidth="1"/>
    <col min="5" max="6" width="10.83203125" style="40"/>
    <col min="8" max="8" width="17.1640625" customWidth="1"/>
  </cols>
  <sheetData>
    <row r="1" spans="1:13" ht="17">
      <c r="A1" s="45" t="s">
        <v>42</v>
      </c>
      <c r="B1" s="43" t="s">
        <v>68</v>
      </c>
      <c r="C1" s="43" t="s">
        <v>49</v>
      </c>
      <c r="D1" s="43" t="s">
        <v>0</v>
      </c>
      <c r="E1" s="44" t="s">
        <v>67</v>
      </c>
      <c r="F1" s="44" t="s">
        <v>66</v>
      </c>
      <c r="G1" s="43" t="s">
        <v>65</v>
      </c>
      <c r="H1" s="43" t="s">
        <v>64</v>
      </c>
    </row>
    <row r="2" spans="1:13">
      <c r="A2">
        <v>27</v>
      </c>
      <c r="B2" t="s">
        <v>32</v>
      </c>
      <c r="C2" s="15">
        <v>44128</v>
      </c>
      <c r="D2" t="s">
        <v>1</v>
      </c>
      <c r="E2">
        <v>0.54600000000000004</v>
      </c>
      <c r="F2">
        <v>0.45</v>
      </c>
      <c r="G2">
        <f t="shared" ref="G2:G33" si="0">(4/3)*3.14*E2*F2^2</f>
        <v>0.4628988</v>
      </c>
      <c r="L2" s="40"/>
      <c r="M2" s="40"/>
    </row>
    <row r="3" spans="1:13">
      <c r="A3">
        <v>27</v>
      </c>
      <c r="B3" t="s">
        <v>32</v>
      </c>
      <c r="C3" s="15">
        <v>44128</v>
      </c>
      <c r="D3" t="s">
        <v>1</v>
      </c>
      <c r="E3">
        <v>0.60199999999999998</v>
      </c>
      <c r="F3">
        <v>0.46800000000000003</v>
      </c>
      <c r="G3">
        <f t="shared" si="0"/>
        <v>0.55202224895999996</v>
      </c>
      <c r="L3" s="40"/>
      <c r="M3" s="40"/>
    </row>
    <row r="4" spans="1:13">
      <c r="A4">
        <v>27</v>
      </c>
      <c r="B4" t="s">
        <v>32</v>
      </c>
      <c r="C4" s="15">
        <v>44128</v>
      </c>
      <c r="D4" t="s">
        <v>1</v>
      </c>
      <c r="E4">
        <v>0.51500000000000001</v>
      </c>
      <c r="F4">
        <v>0.3</v>
      </c>
      <c r="G4">
        <f t="shared" si="0"/>
        <v>0.194052</v>
      </c>
      <c r="L4" s="40"/>
      <c r="M4" s="40"/>
    </row>
    <row r="5" spans="1:13">
      <c r="A5">
        <v>27</v>
      </c>
      <c r="B5" t="s">
        <v>32</v>
      </c>
      <c r="C5" s="15">
        <v>44128</v>
      </c>
      <c r="D5" t="s">
        <v>1</v>
      </c>
      <c r="E5">
        <v>0.47499999999999998</v>
      </c>
      <c r="F5">
        <v>0.33200000000000002</v>
      </c>
      <c r="G5">
        <f t="shared" si="0"/>
        <v>0.2191987946666667</v>
      </c>
      <c r="L5" s="40"/>
      <c r="M5" s="40"/>
    </row>
    <row r="6" spans="1:13">
      <c r="A6">
        <v>27</v>
      </c>
      <c r="B6" t="s">
        <v>32</v>
      </c>
      <c r="C6" s="15">
        <v>44128</v>
      </c>
      <c r="D6" t="s">
        <v>1</v>
      </c>
      <c r="E6">
        <v>0.57599999999999996</v>
      </c>
      <c r="F6">
        <v>0.56999999999999995</v>
      </c>
      <c r="G6">
        <f t="shared" si="0"/>
        <v>0.78350284799999992</v>
      </c>
      <c r="L6" s="40"/>
      <c r="M6" s="40"/>
    </row>
    <row r="7" spans="1:13">
      <c r="A7">
        <v>27</v>
      </c>
      <c r="B7" t="s">
        <v>32</v>
      </c>
      <c r="C7" s="15">
        <v>44128</v>
      </c>
      <c r="D7" t="s">
        <v>1</v>
      </c>
      <c r="E7">
        <v>0.73799999999999999</v>
      </c>
      <c r="F7">
        <v>0.73399999999999999</v>
      </c>
      <c r="G7">
        <f t="shared" si="0"/>
        <v>1.66462673856</v>
      </c>
      <c r="I7" s="42"/>
    </row>
    <row r="8" spans="1:13">
      <c r="A8">
        <v>19</v>
      </c>
      <c r="B8" t="s">
        <v>33</v>
      </c>
      <c r="C8" s="15">
        <v>44128</v>
      </c>
      <c r="D8" t="s">
        <v>1</v>
      </c>
      <c r="E8">
        <v>0.81699999999999995</v>
      </c>
      <c r="F8">
        <v>0.75</v>
      </c>
      <c r="G8">
        <f t="shared" si="0"/>
        <v>1.9240349999999999</v>
      </c>
    </row>
    <row r="9" spans="1:13">
      <c r="A9">
        <v>19</v>
      </c>
      <c r="B9" t="s">
        <v>33</v>
      </c>
      <c r="C9" s="15">
        <v>44128</v>
      </c>
      <c r="D9" t="s">
        <v>1</v>
      </c>
      <c r="E9">
        <v>0.78</v>
      </c>
      <c r="F9">
        <v>0.76900000000000002</v>
      </c>
      <c r="G9">
        <f t="shared" si="0"/>
        <v>1.9311484816000002</v>
      </c>
    </row>
    <row r="10" spans="1:13">
      <c r="A10">
        <v>19</v>
      </c>
      <c r="B10" t="s">
        <v>33</v>
      </c>
      <c r="C10" s="15">
        <v>44128</v>
      </c>
      <c r="D10" t="s">
        <v>1</v>
      </c>
      <c r="E10">
        <v>0.78600000000000003</v>
      </c>
      <c r="F10">
        <v>0.625</v>
      </c>
      <c r="G10">
        <f t="shared" si="0"/>
        <v>1.2854375</v>
      </c>
    </row>
    <row r="11" spans="1:13">
      <c r="A11">
        <v>19</v>
      </c>
      <c r="B11" t="s">
        <v>33</v>
      </c>
      <c r="C11" s="15">
        <v>44128</v>
      </c>
      <c r="D11" t="s">
        <v>1</v>
      </c>
      <c r="E11">
        <v>0.70199999999999996</v>
      </c>
      <c r="F11">
        <v>0.47699999999999998</v>
      </c>
      <c r="G11">
        <f t="shared" si="0"/>
        <v>0.66871683215999989</v>
      </c>
    </row>
    <row r="12" spans="1:13">
      <c r="A12">
        <v>19</v>
      </c>
      <c r="B12" t="s">
        <v>33</v>
      </c>
      <c r="C12" s="15">
        <v>44128</v>
      </c>
      <c r="D12" t="s">
        <v>1</v>
      </c>
      <c r="E12">
        <v>0.71</v>
      </c>
      <c r="F12">
        <v>0.57299999999999995</v>
      </c>
      <c r="G12">
        <f t="shared" si="0"/>
        <v>0.97596889679999976</v>
      </c>
    </row>
    <row r="13" spans="1:13">
      <c r="A13">
        <v>19</v>
      </c>
      <c r="B13" t="s">
        <v>33</v>
      </c>
      <c r="C13" s="15">
        <v>44128</v>
      </c>
      <c r="D13" t="s">
        <v>1</v>
      </c>
      <c r="E13">
        <v>0.63700000000000001</v>
      </c>
      <c r="F13">
        <v>0.67400000000000004</v>
      </c>
      <c r="G13">
        <f t="shared" si="0"/>
        <v>1.2115116929066669</v>
      </c>
    </row>
    <row r="14" spans="1:13">
      <c r="A14">
        <v>11</v>
      </c>
      <c r="B14" t="s">
        <v>33</v>
      </c>
      <c r="C14" s="15">
        <v>44128</v>
      </c>
      <c r="D14" t="s">
        <v>1</v>
      </c>
      <c r="E14">
        <v>0.78</v>
      </c>
      <c r="F14">
        <v>0.61099999999999999</v>
      </c>
      <c r="G14">
        <f t="shared" si="0"/>
        <v>1.2191170575999999</v>
      </c>
    </row>
    <row r="15" spans="1:13">
      <c r="A15">
        <v>11</v>
      </c>
      <c r="B15" t="s">
        <v>33</v>
      </c>
      <c r="C15" s="15">
        <v>44128</v>
      </c>
      <c r="D15" t="s">
        <v>1</v>
      </c>
      <c r="E15">
        <v>0.51400000000000001</v>
      </c>
      <c r="F15">
        <v>0.53200000000000003</v>
      </c>
      <c r="G15">
        <f t="shared" si="0"/>
        <v>0.60905255338666675</v>
      </c>
    </row>
    <row r="16" spans="1:13">
      <c r="A16">
        <v>11</v>
      </c>
      <c r="B16" t="s">
        <v>33</v>
      </c>
      <c r="C16" s="15">
        <v>44128</v>
      </c>
      <c r="D16" t="s">
        <v>1</v>
      </c>
      <c r="E16">
        <v>0.78500000000000003</v>
      </c>
      <c r="F16">
        <v>0.51700000000000002</v>
      </c>
      <c r="G16">
        <f t="shared" si="0"/>
        <v>0.8784542081333333</v>
      </c>
    </row>
    <row r="17" spans="1:7">
      <c r="A17">
        <v>11</v>
      </c>
      <c r="B17" t="s">
        <v>33</v>
      </c>
      <c r="C17" s="15">
        <v>44128</v>
      </c>
      <c r="D17" t="s">
        <v>1</v>
      </c>
      <c r="E17">
        <v>0.85499999999999998</v>
      </c>
      <c r="F17">
        <v>0.45500000000000002</v>
      </c>
      <c r="G17">
        <f t="shared" si="0"/>
        <v>0.74106669000000003</v>
      </c>
    </row>
    <row r="18" spans="1:7">
      <c r="A18">
        <v>11</v>
      </c>
      <c r="B18" t="s">
        <v>33</v>
      </c>
      <c r="C18" s="15">
        <v>44128</v>
      </c>
      <c r="D18" t="s">
        <v>1</v>
      </c>
      <c r="E18">
        <v>0.77</v>
      </c>
      <c r="F18">
        <v>0.65900000000000003</v>
      </c>
      <c r="G18">
        <f t="shared" si="0"/>
        <v>1.4000061357333333</v>
      </c>
    </row>
    <row r="19" spans="1:7">
      <c r="A19">
        <v>11</v>
      </c>
      <c r="B19" t="s">
        <v>33</v>
      </c>
      <c r="C19" s="15">
        <v>44128</v>
      </c>
      <c r="D19" t="s">
        <v>1</v>
      </c>
      <c r="E19">
        <v>0.76300000000000001</v>
      </c>
      <c r="F19">
        <v>0.56200000000000006</v>
      </c>
      <c r="G19">
        <f t="shared" si="0"/>
        <v>1.0089404961066668</v>
      </c>
    </row>
    <row r="20" spans="1:7">
      <c r="A20">
        <v>32</v>
      </c>
      <c r="B20" t="s">
        <v>32</v>
      </c>
      <c r="C20" s="15">
        <v>44128</v>
      </c>
      <c r="D20" t="s">
        <v>1</v>
      </c>
      <c r="E20">
        <v>1.0740000000000001</v>
      </c>
      <c r="F20">
        <v>0.36299999999999999</v>
      </c>
      <c r="G20">
        <f t="shared" si="0"/>
        <v>0.59249667311999998</v>
      </c>
    </row>
    <row r="21" spans="1:7">
      <c r="A21">
        <v>32</v>
      </c>
      <c r="B21" t="s">
        <v>32</v>
      </c>
      <c r="C21" s="15">
        <v>44128</v>
      </c>
      <c r="D21" t="s">
        <v>1</v>
      </c>
      <c r="E21">
        <v>0.61</v>
      </c>
      <c r="F21">
        <v>0.47499999999999998</v>
      </c>
      <c r="G21">
        <f t="shared" si="0"/>
        <v>0.57621616666666664</v>
      </c>
    </row>
    <row r="22" spans="1:7">
      <c r="A22">
        <v>32</v>
      </c>
      <c r="B22" t="s">
        <v>32</v>
      </c>
      <c r="C22" s="15">
        <v>44128</v>
      </c>
      <c r="D22" t="s">
        <v>1</v>
      </c>
      <c r="E22">
        <v>0.76900000000000002</v>
      </c>
      <c r="F22">
        <v>0.36899999999999999</v>
      </c>
      <c r="G22">
        <f t="shared" si="0"/>
        <v>0.43837669367999998</v>
      </c>
    </row>
    <row r="23" spans="1:7">
      <c r="A23">
        <v>32</v>
      </c>
      <c r="B23" t="s">
        <v>32</v>
      </c>
      <c r="C23" s="15">
        <v>44128</v>
      </c>
      <c r="D23" t="s">
        <v>1</v>
      </c>
      <c r="E23">
        <v>0.66900000000000004</v>
      </c>
      <c r="F23">
        <v>0.53700000000000003</v>
      </c>
      <c r="G23">
        <f t="shared" si="0"/>
        <v>0.80768696472000023</v>
      </c>
    </row>
    <row r="24" spans="1:7">
      <c r="A24">
        <v>32</v>
      </c>
      <c r="B24" t="s">
        <v>32</v>
      </c>
      <c r="C24" s="15">
        <v>44128</v>
      </c>
      <c r="D24" t="s">
        <v>1</v>
      </c>
      <c r="E24">
        <v>0.82099999999999995</v>
      </c>
      <c r="F24">
        <v>0.28899999999999998</v>
      </c>
      <c r="G24">
        <f t="shared" si="0"/>
        <v>0.28708283565333326</v>
      </c>
    </row>
    <row r="25" spans="1:7">
      <c r="A25">
        <v>51</v>
      </c>
      <c r="B25" t="s">
        <v>57</v>
      </c>
      <c r="C25" s="15">
        <v>44128</v>
      </c>
      <c r="D25" t="s">
        <v>1</v>
      </c>
      <c r="E25">
        <v>0.69499999999999995</v>
      </c>
      <c r="F25">
        <v>0.74199999999999999</v>
      </c>
      <c r="G25">
        <f t="shared" si="0"/>
        <v>1.6019944229333329</v>
      </c>
    </row>
    <row r="26" spans="1:7">
      <c r="A26">
        <v>51</v>
      </c>
      <c r="B26" t="s">
        <v>57</v>
      </c>
      <c r="C26" s="15">
        <v>44128</v>
      </c>
      <c r="D26" t="s">
        <v>1</v>
      </c>
      <c r="E26">
        <v>0.81200000000000006</v>
      </c>
      <c r="F26">
        <v>0.44800000000000001</v>
      </c>
      <c r="G26">
        <f t="shared" si="0"/>
        <v>0.68230796629333346</v>
      </c>
    </row>
    <row r="27" spans="1:7">
      <c r="A27">
        <v>51</v>
      </c>
      <c r="B27" t="s">
        <v>57</v>
      </c>
      <c r="C27" s="15">
        <v>44128</v>
      </c>
      <c r="D27" t="s">
        <v>1</v>
      </c>
      <c r="E27">
        <v>0.79400000000000004</v>
      </c>
      <c r="F27">
        <v>0.77800000000000002</v>
      </c>
      <c r="G27">
        <f t="shared" si="0"/>
        <v>2.0120931432533333</v>
      </c>
    </row>
    <row r="28" spans="1:7">
      <c r="A28">
        <v>51</v>
      </c>
      <c r="B28" t="s">
        <v>57</v>
      </c>
      <c r="C28" s="15">
        <v>44128</v>
      </c>
      <c r="D28" t="s">
        <v>1</v>
      </c>
      <c r="E28">
        <v>0.63900000000000001</v>
      </c>
      <c r="F28">
        <v>0.64400000000000002</v>
      </c>
      <c r="G28">
        <f t="shared" si="0"/>
        <v>1.10953492608</v>
      </c>
    </row>
    <row r="29" spans="1:7">
      <c r="A29">
        <v>51</v>
      </c>
      <c r="B29" t="s">
        <v>57</v>
      </c>
      <c r="C29" s="15">
        <v>44128</v>
      </c>
      <c r="D29" t="s">
        <v>1</v>
      </c>
      <c r="E29">
        <v>0.94099999999999995</v>
      </c>
      <c r="F29">
        <v>0.79500000000000004</v>
      </c>
      <c r="G29">
        <f t="shared" si="0"/>
        <v>2.4899593979999999</v>
      </c>
    </row>
    <row r="30" spans="1:7">
      <c r="A30">
        <v>51</v>
      </c>
      <c r="B30" t="s">
        <v>57</v>
      </c>
      <c r="C30" s="15">
        <v>44128</v>
      </c>
      <c r="D30" t="s">
        <v>1</v>
      </c>
      <c r="E30">
        <v>0.626</v>
      </c>
      <c r="F30">
        <v>0.67200000000000004</v>
      </c>
      <c r="G30">
        <f t="shared" si="0"/>
        <v>1.18353543168</v>
      </c>
    </row>
    <row r="31" spans="1:7">
      <c r="A31">
        <v>49</v>
      </c>
      <c r="B31" t="s">
        <v>58</v>
      </c>
      <c r="C31" s="15">
        <v>44128</v>
      </c>
      <c r="D31" t="s">
        <v>1</v>
      </c>
      <c r="E31">
        <v>0.53400000000000003</v>
      </c>
      <c r="F31">
        <v>0.55400000000000005</v>
      </c>
      <c r="G31">
        <f t="shared" si="0"/>
        <v>0.68616596288000009</v>
      </c>
    </row>
    <row r="32" spans="1:7">
      <c r="A32">
        <v>49</v>
      </c>
      <c r="B32" t="s">
        <v>58</v>
      </c>
      <c r="C32" s="15">
        <v>44128</v>
      </c>
      <c r="D32" t="s">
        <v>1</v>
      </c>
      <c r="E32">
        <v>0.56899999999999995</v>
      </c>
      <c r="F32">
        <v>0.61099999999999999</v>
      </c>
      <c r="G32">
        <f t="shared" si="0"/>
        <v>0.88933026381333313</v>
      </c>
    </row>
    <row r="33" spans="1:7">
      <c r="A33">
        <v>49</v>
      </c>
      <c r="B33" t="s">
        <v>58</v>
      </c>
      <c r="C33" s="15">
        <v>44128</v>
      </c>
      <c r="D33" t="s">
        <v>1</v>
      </c>
      <c r="E33">
        <v>0.55500000000000005</v>
      </c>
      <c r="F33">
        <v>0.52600000000000002</v>
      </c>
      <c r="G33">
        <f t="shared" si="0"/>
        <v>0.64288435360000018</v>
      </c>
    </row>
    <row r="34" spans="1:7">
      <c r="A34">
        <v>49</v>
      </c>
      <c r="B34" t="s">
        <v>58</v>
      </c>
      <c r="C34" s="15">
        <v>44128</v>
      </c>
      <c r="D34" t="s">
        <v>1</v>
      </c>
      <c r="E34">
        <v>0.53400000000000003</v>
      </c>
      <c r="F34">
        <v>0.48599999999999999</v>
      </c>
      <c r="G34">
        <f t="shared" ref="G34:G65" si="1">(4/3)*3.14*E34*F34^2</f>
        <v>0.52805867328</v>
      </c>
    </row>
    <row r="35" spans="1:7">
      <c r="A35">
        <v>49</v>
      </c>
      <c r="B35" t="s">
        <v>58</v>
      </c>
      <c r="C35" s="15">
        <v>44128</v>
      </c>
      <c r="D35" t="s">
        <v>1</v>
      </c>
      <c r="E35">
        <v>0.56200000000000006</v>
      </c>
      <c r="F35">
        <v>0.56799999999999995</v>
      </c>
      <c r="G35">
        <f t="shared" si="1"/>
        <v>0.75910416042666662</v>
      </c>
    </row>
    <row r="36" spans="1:7">
      <c r="A36">
        <v>49</v>
      </c>
      <c r="B36" t="s">
        <v>58</v>
      </c>
      <c r="C36" s="15">
        <v>44128</v>
      </c>
      <c r="D36" t="s">
        <v>1</v>
      </c>
      <c r="E36">
        <v>0.505</v>
      </c>
      <c r="F36">
        <v>0.54800000000000004</v>
      </c>
      <c r="G36">
        <f t="shared" si="1"/>
        <v>0.6349227370666668</v>
      </c>
    </row>
    <row r="37" spans="1:7">
      <c r="A37">
        <v>35</v>
      </c>
      <c r="B37" t="s">
        <v>33</v>
      </c>
      <c r="C37" s="15">
        <v>44128</v>
      </c>
      <c r="D37" t="s">
        <v>1</v>
      </c>
      <c r="E37">
        <v>0.749</v>
      </c>
      <c r="F37">
        <v>0.55700000000000005</v>
      </c>
      <c r="G37">
        <f t="shared" si="1"/>
        <v>0.97288295085333343</v>
      </c>
    </row>
    <row r="38" spans="1:7">
      <c r="A38">
        <v>35</v>
      </c>
      <c r="B38" t="s">
        <v>33</v>
      </c>
      <c r="C38" s="15">
        <v>44128</v>
      </c>
      <c r="D38" t="s">
        <v>1</v>
      </c>
      <c r="E38">
        <v>0.65900000000000003</v>
      </c>
      <c r="F38">
        <v>0.77</v>
      </c>
      <c r="G38">
        <f t="shared" si="1"/>
        <v>1.6358190053333332</v>
      </c>
    </row>
    <row r="39" spans="1:7">
      <c r="A39">
        <v>35</v>
      </c>
      <c r="B39" t="s">
        <v>33</v>
      </c>
      <c r="C39" s="15">
        <v>44128</v>
      </c>
      <c r="D39" t="s">
        <v>1</v>
      </c>
      <c r="E39">
        <v>0.64500000000000002</v>
      </c>
      <c r="F39">
        <v>0.64500000000000002</v>
      </c>
      <c r="G39">
        <f t="shared" si="1"/>
        <v>1.1234339100000001</v>
      </c>
    </row>
    <row r="40" spans="1:7">
      <c r="A40">
        <v>35</v>
      </c>
      <c r="B40" t="s">
        <v>33</v>
      </c>
      <c r="C40" s="15">
        <v>44128</v>
      </c>
      <c r="D40" t="s">
        <v>1</v>
      </c>
      <c r="E40">
        <v>0.66100000000000003</v>
      </c>
      <c r="F40">
        <v>0.63800000000000001</v>
      </c>
      <c r="G40">
        <f t="shared" si="1"/>
        <v>1.1264481383466669</v>
      </c>
    </row>
    <row r="41" spans="1:7">
      <c r="A41">
        <v>35</v>
      </c>
      <c r="B41" t="s">
        <v>33</v>
      </c>
      <c r="C41" s="15">
        <v>44128</v>
      </c>
      <c r="D41" t="s">
        <v>1</v>
      </c>
      <c r="E41">
        <v>0.70399999999999996</v>
      </c>
      <c r="F41">
        <v>0.56200000000000006</v>
      </c>
      <c r="G41">
        <f t="shared" si="1"/>
        <v>0.93092281685333345</v>
      </c>
    </row>
    <row r="42" spans="1:7">
      <c r="A42">
        <v>35</v>
      </c>
      <c r="B42" t="s">
        <v>33</v>
      </c>
      <c r="C42" s="15">
        <v>44128</v>
      </c>
      <c r="D42" t="s">
        <v>1</v>
      </c>
      <c r="E42">
        <v>0.70099999999999996</v>
      </c>
      <c r="F42">
        <v>0.63300000000000001</v>
      </c>
      <c r="G42">
        <f t="shared" si="1"/>
        <v>1.1759634472799998</v>
      </c>
    </row>
    <row r="43" spans="1:7">
      <c r="A43">
        <v>51</v>
      </c>
      <c r="B43" t="s">
        <v>57</v>
      </c>
      <c r="C43" s="15">
        <v>44128</v>
      </c>
      <c r="D43" t="s">
        <v>1</v>
      </c>
      <c r="E43">
        <v>0.745</v>
      </c>
      <c r="F43">
        <v>0.432</v>
      </c>
      <c r="G43">
        <f t="shared" si="1"/>
        <v>0.58209269759999993</v>
      </c>
    </row>
    <row r="44" spans="1:7">
      <c r="A44">
        <v>51</v>
      </c>
      <c r="B44" t="s">
        <v>57</v>
      </c>
      <c r="C44" s="15">
        <v>44128</v>
      </c>
      <c r="D44" t="s">
        <v>1</v>
      </c>
      <c r="E44">
        <v>0.82599999999999996</v>
      </c>
      <c r="F44">
        <v>0.45800000000000002</v>
      </c>
      <c r="G44">
        <f t="shared" si="1"/>
        <v>0.72540306794666665</v>
      </c>
    </row>
    <row r="45" spans="1:7">
      <c r="A45">
        <v>51</v>
      </c>
      <c r="B45" t="s">
        <v>57</v>
      </c>
      <c r="C45" s="15">
        <v>44128</v>
      </c>
      <c r="D45" t="s">
        <v>1</v>
      </c>
      <c r="E45">
        <v>0.72299999999999998</v>
      </c>
      <c r="F45">
        <v>0.48899999999999999</v>
      </c>
      <c r="G45">
        <f t="shared" si="1"/>
        <v>0.72380970215999996</v>
      </c>
    </row>
    <row r="46" spans="1:7">
      <c r="A46">
        <v>51</v>
      </c>
      <c r="B46" t="s">
        <v>57</v>
      </c>
      <c r="C46" s="15">
        <v>44128</v>
      </c>
      <c r="D46" t="s">
        <v>1</v>
      </c>
      <c r="E46">
        <v>0.45600000000000002</v>
      </c>
      <c r="F46">
        <v>0.52</v>
      </c>
      <c r="G46">
        <f t="shared" si="1"/>
        <v>0.51622604800000005</v>
      </c>
    </row>
    <row r="47" spans="1:7">
      <c r="A47">
        <v>51</v>
      </c>
      <c r="B47" t="s">
        <v>57</v>
      </c>
      <c r="C47" s="15">
        <v>44128</v>
      </c>
      <c r="D47" t="s">
        <v>1</v>
      </c>
      <c r="E47">
        <v>0.63100000000000001</v>
      </c>
      <c r="F47">
        <v>0.64700000000000002</v>
      </c>
      <c r="G47">
        <f t="shared" si="1"/>
        <v>1.1058756747466667</v>
      </c>
    </row>
    <row r="48" spans="1:7">
      <c r="A48">
        <v>51</v>
      </c>
      <c r="B48" t="s">
        <v>57</v>
      </c>
      <c r="C48" s="15">
        <v>44128</v>
      </c>
      <c r="D48" t="s">
        <v>1</v>
      </c>
      <c r="E48">
        <v>0.76</v>
      </c>
      <c r="F48">
        <v>0.72499999999999998</v>
      </c>
      <c r="G48">
        <f t="shared" si="1"/>
        <v>1.6724686666666666</v>
      </c>
    </row>
    <row r="49" spans="1:9">
      <c r="A49">
        <v>47</v>
      </c>
      <c r="B49" t="s">
        <v>58</v>
      </c>
      <c r="C49" s="15">
        <v>44129</v>
      </c>
      <c r="D49" t="s">
        <v>56</v>
      </c>
      <c r="E49">
        <v>0.86899999999999999</v>
      </c>
      <c r="F49">
        <v>0.64500000000000002</v>
      </c>
      <c r="G49">
        <f t="shared" si="1"/>
        <v>1.5135877020000001</v>
      </c>
      <c r="H49">
        <f>AVERAGE(G49:G54)</f>
        <v>1.1159858118577779</v>
      </c>
    </row>
    <row r="50" spans="1:9">
      <c r="A50">
        <v>47</v>
      </c>
      <c r="B50" t="s">
        <v>58</v>
      </c>
      <c r="C50" s="15">
        <v>44129</v>
      </c>
      <c r="D50" t="s">
        <v>56</v>
      </c>
      <c r="E50">
        <v>0.75700000000000001</v>
      </c>
      <c r="F50">
        <v>0.75900000000000001</v>
      </c>
      <c r="G50">
        <f t="shared" si="1"/>
        <v>1.8257773538400002</v>
      </c>
    </row>
    <row r="51" spans="1:9">
      <c r="A51">
        <v>47</v>
      </c>
      <c r="B51" t="s">
        <v>58</v>
      </c>
      <c r="C51" s="15">
        <v>44129</v>
      </c>
      <c r="D51" t="s">
        <v>56</v>
      </c>
      <c r="E51">
        <v>0.64100000000000001</v>
      </c>
      <c r="F51">
        <v>0.66800000000000004</v>
      </c>
      <c r="G51">
        <f t="shared" si="1"/>
        <v>1.1975105250133335</v>
      </c>
    </row>
    <row r="52" spans="1:9">
      <c r="A52">
        <v>47</v>
      </c>
      <c r="B52" t="s">
        <v>58</v>
      </c>
      <c r="C52" s="15">
        <v>44129</v>
      </c>
      <c r="D52" t="s">
        <v>56</v>
      </c>
      <c r="E52">
        <v>0.58499999999999996</v>
      </c>
      <c r="F52">
        <v>0.45900000000000002</v>
      </c>
      <c r="G52">
        <f t="shared" si="1"/>
        <v>0.51599990519999994</v>
      </c>
    </row>
    <row r="53" spans="1:9">
      <c r="A53">
        <v>47</v>
      </c>
      <c r="B53" t="s">
        <v>58</v>
      </c>
      <c r="C53" s="15">
        <v>44129</v>
      </c>
      <c r="D53" t="s">
        <v>56</v>
      </c>
      <c r="E53">
        <v>0.63500000000000001</v>
      </c>
      <c r="F53">
        <v>0.54700000000000004</v>
      </c>
      <c r="G53">
        <f t="shared" si="1"/>
        <v>0.79545710013333348</v>
      </c>
    </row>
    <row r="54" spans="1:9">
      <c r="A54">
        <v>47</v>
      </c>
      <c r="B54" t="s">
        <v>58</v>
      </c>
      <c r="C54" s="15">
        <v>44129</v>
      </c>
      <c r="D54" t="s">
        <v>56</v>
      </c>
      <c r="E54">
        <v>0.71799999999999997</v>
      </c>
      <c r="F54">
        <v>0.53100000000000003</v>
      </c>
      <c r="G54">
        <f t="shared" si="1"/>
        <v>0.84758228495999999</v>
      </c>
    </row>
    <row r="55" spans="1:9">
      <c r="A55">
        <v>16</v>
      </c>
      <c r="B55" t="s">
        <v>58</v>
      </c>
      <c r="C55" s="15">
        <v>44129</v>
      </c>
      <c r="D55" t="s">
        <v>56</v>
      </c>
      <c r="E55">
        <v>0.80800000000000005</v>
      </c>
      <c r="F55">
        <v>0.47799999999999998</v>
      </c>
      <c r="G55">
        <f t="shared" si="1"/>
        <v>0.77292176810666668</v>
      </c>
      <c r="H55">
        <f>AVERAGE(G55:G60)</f>
        <v>0.94409982685333338</v>
      </c>
    </row>
    <row r="56" spans="1:9">
      <c r="A56">
        <v>16</v>
      </c>
      <c r="B56" t="s">
        <v>58</v>
      </c>
      <c r="C56" s="15">
        <v>44129</v>
      </c>
      <c r="D56" t="s">
        <v>56</v>
      </c>
      <c r="E56">
        <v>0.66900000000000004</v>
      </c>
      <c r="F56">
        <v>0.61299999999999999</v>
      </c>
      <c r="G56">
        <f t="shared" si="1"/>
        <v>1.05248387672</v>
      </c>
    </row>
    <row r="57" spans="1:9">
      <c r="A57">
        <v>16</v>
      </c>
      <c r="B57" t="s">
        <v>58</v>
      </c>
      <c r="C57" s="15">
        <v>44129</v>
      </c>
      <c r="D57" t="s">
        <v>56</v>
      </c>
      <c r="E57">
        <v>0.58399999999999996</v>
      </c>
      <c r="F57">
        <v>0.49</v>
      </c>
      <c r="G57">
        <f t="shared" si="1"/>
        <v>0.58704770133333328</v>
      </c>
      <c r="I57" s="41"/>
    </row>
    <row r="58" spans="1:9">
      <c r="A58">
        <v>16</v>
      </c>
      <c r="B58" t="s">
        <v>58</v>
      </c>
      <c r="C58" s="15">
        <v>44129</v>
      </c>
      <c r="D58" t="s">
        <v>56</v>
      </c>
      <c r="E58">
        <v>0.59199999999999997</v>
      </c>
      <c r="F58">
        <v>0.61299999999999999</v>
      </c>
      <c r="G58">
        <f t="shared" si="1"/>
        <v>0.93134597162666655</v>
      </c>
      <c r="I58" s="41"/>
    </row>
    <row r="59" spans="1:9">
      <c r="A59">
        <v>16</v>
      </c>
      <c r="B59" t="s">
        <v>58</v>
      </c>
      <c r="C59" s="15">
        <v>44129</v>
      </c>
      <c r="D59" t="s">
        <v>56</v>
      </c>
      <c r="E59">
        <v>0.66100000000000003</v>
      </c>
      <c r="F59">
        <v>0.64</v>
      </c>
      <c r="G59">
        <f t="shared" si="1"/>
        <v>1.1335215786666668</v>
      </c>
      <c r="I59" s="41"/>
    </row>
    <row r="60" spans="1:9">
      <c r="A60">
        <v>16</v>
      </c>
      <c r="B60" t="s">
        <v>58</v>
      </c>
      <c r="C60" s="15">
        <v>44129</v>
      </c>
      <c r="D60" t="s">
        <v>56</v>
      </c>
      <c r="E60">
        <v>0.66100000000000003</v>
      </c>
      <c r="F60">
        <v>0.65500000000000003</v>
      </c>
      <c r="G60">
        <f t="shared" si="1"/>
        <v>1.187278064666667</v>
      </c>
    </row>
    <row r="61" spans="1:9">
      <c r="A61">
        <v>24</v>
      </c>
      <c r="B61" t="s">
        <v>33</v>
      </c>
      <c r="C61" s="15">
        <v>44129</v>
      </c>
      <c r="D61" t="s">
        <v>56</v>
      </c>
      <c r="E61">
        <v>1.4379999999999999</v>
      </c>
      <c r="F61">
        <v>0.48799999999999999</v>
      </c>
      <c r="G61">
        <f t="shared" si="1"/>
        <v>1.4337284881066665</v>
      </c>
      <c r="H61">
        <f>AVERAGE(G61:G66)</f>
        <v>1.5218023739244444</v>
      </c>
    </row>
    <row r="62" spans="1:9">
      <c r="A62">
        <v>24</v>
      </c>
      <c r="B62" t="s">
        <v>33</v>
      </c>
      <c r="C62" s="15">
        <v>44129</v>
      </c>
      <c r="D62" t="s">
        <v>56</v>
      </c>
      <c r="E62">
        <v>0.99299999999999999</v>
      </c>
      <c r="F62">
        <v>0.60199999999999998</v>
      </c>
      <c r="G62">
        <f t="shared" si="1"/>
        <v>1.5066438934399997</v>
      </c>
    </row>
    <row r="63" spans="1:9">
      <c r="A63">
        <v>24</v>
      </c>
      <c r="B63" t="s">
        <v>33</v>
      </c>
      <c r="C63" s="15">
        <v>44129</v>
      </c>
      <c r="D63" t="s">
        <v>56</v>
      </c>
      <c r="E63">
        <v>1.74</v>
      </c>
      <c r="F63">
        <v>0.45300000000000001</v>
      </c>
      <c r="G63">
        <f t="shared" si="1"/>
        <v>1.4949065232000001</v>
      </c>
    </row>
    <row r="64" spans="1:9">
      <c r="A64">
        <v>24</v>
      </c>
      <c r="B64" t="s">
        <v>33</v>
      </c>
      <c r="C64" s="15">
        <v>44129</v>
      </c>
      <c r="D64" t="s">
        <v>56</v>
      </c>
      <c r="E64">
        <v>1.2869999999999999</v>
      </c>
      <c r="F64">
        <v>0.58099999999999996</v>
      </c>
      <c r="G64">
        <f t="shared" si="1"/>
        <v>1.8188596826399996</v>
      </c>
    </row>
    <row r="65" spans="1:8">
      <c r="A65">
        <v>24</v>
      </c>
      <c r="B65" t="s">
        <v>33</v>
      </c>
      <c r="C65" s="15">
        <v>44129</v>
      </c>
      <c r="D65" t="s">
        <v>56</v>
      </c>
      <c r="E65">
        <v>0.85799999999999998</v>
      </c>
      <c r="F65">
        <v>0.505</v>
      </c>
      <c r="G65">
        <f t="shared" si="1"/>
        <v>0.91609060399999998</v>
      </c>
    </row>
    <row r="66" spans="1:8">
      <c r="A66">
        <v>24</v>
      </c>
      <c r="B66" t="s">
        <v>33</v>
      </c>
      <c r="C66" s="15">
        <v>44129</v>
      </c>
      <c r="D66" t="s">
        <v>56</v>
      </c>
      <c r="E66">
        <v>1.0369999999999999</v>
      </c>
      <c r="F66">
        <v>0.67200000000000004</v>
      </c>
      <c r="G66">
        <f t="shared" ref="G66:G78" si="2">(4/3)*3.14*E66*F66^2</f>
        <v>1.9605850521599999</v>
      </c>
    </row>
    <row r="67" spans="1:8">
      <c r="A67">
        <v>8</v>
      </c>
      <c r="B67" t="s">
        <v>32</v>
      </c>
      <c r="C67" s="15">
        <v>44129</v>
      </c>
      <c r="D67" t="s">
        <v>56</v>
      </c>
      <c r="E67">
        <v>0.88900000000000001</v>
      </c>
      <c r="F67">
        <v>0.35699999999999998</v>
      </c>
      <c r="G67">
        <f t="shared" si="2"/>
        <v>0.47435838071999992</v>
      </c>
      <c r="H67">
        <f>AVERAGE(G67:G72)</f>
        <v>0.46740208403111111</v>
      </c>
    </row>
    <row r="68" spans="1:8">
      <c r="A68">
        <v>8</v>
      </c>
      <c r="B68" t="s">
        <v>32</v>
      </c>
      <c r="C68" s="15">
        <v>44129</v>
      </c>
      <c r="D68" t="s">
        <v>56</v>
      </c>
      <c r="E68">
        <v>0.74299999999999999</v>
      </c>
      <c r="F68">
        <v>0.30199999999999999</v>
      </c>
      <c r="G68">
        <f t="shared" si="2"/>
        <v>0.28370767477333331</v>
      </c>
    </row>
    <row r="69" spans="1:8">
      <c r="A69">
        <v>8</v>
      </c>
      <c r="B69" t="s">
        <v>32</v>
      </c>
      <c r="C69" s="15">
        <v>44129</v>
      </c>
      <c r="D69" t="s">
        <v>56</v>
      </c>
      <c r="E69">
        <v>0.626</v>
      </c>
      <c r="F69">
        <v>0.36799999999999999</v>
      </c>
      <c r="G69">
        <f t="shared" si="2"/>
        <v>0.35492644181333327</v>
      </c>
    </row>
    <row r="70" spans="1:8">
      <c r="A70">
        <v>8</v>
      </c>
      <c r="B70" t="s">
        <v>32</v>
      </c>
      <c r="C70" s="15">
        <v>44129</v>
      </c>
      <c r="D70" t="s">
        <v>56</v>
      </c>
      <c r="E70">
        <v>0.83199999999999996</v>
      </c>
      <c r="F70">
        <v>0.45400000000000001</v>
      </c>
      <c r="G70">
        <f t="shared" si="2"/>
        <v>0.71796523690666669</v>
      </c>
    </row>
    <row r="71" spans="1:8">
      <c r="A71">
        <v>8</v>
      </c>
      <c r="B71" t="s">
        <v>32</v>
      </c>
      <c r="C71" s="15">
        <v>44129</v>
      </c>
      <c r="D71" t="s">
        <v>56</v>
      </c>
      <c r="E71">
        <v>0.51800000000000002</v>
      </c>
      <c r="F71">
        <v>0.45500000000000002</v>
      </c>
      <c r="G71">
        <f t="shared" si="2"/>
        <v>0.44897373733333334</v>
      </c>
    </row>
    <row r="72" spans="1:8">
      <c r="A72">
        <v>8</v>
      </c>
      <c r="B72" t="s">
        <v>32</v>
      </c>
      <c r="C72" s="15">
        <v>44129</v>
      </c>
      <c r="D72" t="s">
        <v>56</v>
      </c>
      <c r="E72">
        <v>0.65300000000000002</v>
      </c>
      <c r="F72">
        <v>0.438</v>
      </c>
      <c r="G72">
        <f t="shared" si="2"/>
        <v>0.52448103264000001</v>
      </c>
    </row>
    <row r="73" spans="1:8">
      <c r="A73">
        <v>7</v>
      </c>
      <c r="B73" t="s">
        <v>33</v>
      </c>
      <c r="C73" s="15">
        <v>44129</v>
      </c>
      <c r="D73" t="s">
        <v>56</v>
      </c>
      <c r="E73">
        <v>1.0049999999999999</v>
      </c>
      <c r="F73">
        <v>0.745</v>
      </c>
      <c r="G73">
        <f t="shared" si="2"/>
        <v>2.3353231899999995</v>
      </c>
      <c r="H73">
        <f>AVERAGE(G73:G78)</f>
        <v>1.7260783890666664</v>
      </c>
    </row>
    <row r="74" spans="1:8">
      <c r="A74">
        <v>7</v>
      </c>
      <c r="B74" t="s">
        <v>33</v>
      </c>
      <c r="C74" s="15">
        <v>44129</v>
      </c>
      <c r="D74" t="s">
        <v>56</v>
      </c>
      <c r="E74">
        <v>1.234</v>
      </c>
      <c r="F74">
        <v>0.58699999999999997</v>
      </c>
      <c r="G74">
        <f t="shared" si="2"/>
        <v>1.7801629045866665</v>
      </c>
    </row>
    <row r="75" spans="1:8">
      <c r="A75">
        <v>7</v>
      </c>
      <c r="B75" t="s">
        <v>33</v>
      </c>
      <c r="C75" s="15">
        <v>44129</v>
      </c>
      <c r="D75" t="s">
        <v>56</v>
      </c>
      <c r="E75">
        <v>1.0720000000000001</v>
      </c>
      <c r="F75">
        <v>0.58199999999999996</v>
      </c>
      <c r="G75">
        <f t="shared" si="2"/>
        <v>1.52022944256</v>
      </c>
    </row>
    <row r="76" spans="1:8">
      <c r="A76">
        <v>7</v>
      </c>
      <c r="B76" t="s">
        <v>33</v>
      </c>
      <c r="C76" s="15">
        <v>44129</v>
      </c>
      <c r="D76" t="s">
        <v>56</v>
      </c>
      <c r="E76">
        <v>0.84799999999999998</v>
      </c>
      <c r="F76">
        <v>0.66700000000000004</v>
      </c>
      <c r="G76">
        <f t="shared" si="2"/>
        <v>1.5794864507733335</v>
      </c>
    </row>
    <row r="77" spans="1:8">
      <c r="A77">
        <v>7</v>
      </c>
      <c r="B77" t="s">
        <v>33</v>
      </c>
      <c r="C77" s="15">
        <v>44129</v>
      </c>
      <c r="D77" t="s">
        <v>56</v>
      </c>
      <c r="E77">
        <v>1.2</v>
      </c>
      <c r="F77">
        <v>0.53500000000000003</v>
      </c>
      <c r="G77">
        <f t="shared" si="2"/>
        <v>1.4379944</v>
      </c>
    </row>
    <row r="78" spans="1:8">
      <c r="A78">
        <v>7</v>
      </c>
      <c r="B78" t="s">
        <v>33</v>
      </c>
      <c r="C78" s="15">
        <v>44129</v>
      </c>
      <c r="D78" t="s">
        <v>56</v>
      </c>
      <c r="E78">
        <v>0.90900000000000003</v>
      </c>
      <c r="F78">
        <v>0.66900000000000004</v>
      </c>
      <c r="G78">
        <f t="shared" si="2"/>
        <v>1.7032739464800002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10_23</vt:lpstr>
      <vt:lpstr>10_23_summary</vt:lpstr>
      <vt:lpstr>10_23_Size</vt:lpstr>
      <vt:lpstr>10_23_Notes</vt:lpstr>
      <vt:lpstr>10_25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2020-10-24T04:47:55Z</dcterms:created>
  <dcterms:modified xsi:type="dcterms:W3CDTF">2020-10-31T21:55:07Z</dcterms:modified>
</cp:coreProperties>
</file>