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D:\Desktop\"/>
    </mc:Choice>
  </mc:AlternateContent>
  <xr:revisionPtr revIDLastSave="0" documentId="13_ncr:1_{4712C8AC-813E-4E06-A0E5-41E35B669A84}" xr6:coauthVersionLast="47" xr6:coauthVersionMax="47" xr10:uidLastSave="{00000000-0000-0000-0000-000000000000}"/>
  <bookViews>
    <workbookView xWindow="-120" yWindow="-120" windowWidth="29040" windowHeight="15720" tabRatio="878" activeTab="2" xr2:uid="{00000000-000D-0000-FFFF-FFFF00000000}"/>
  </bookViews>
  <sheets>
    <sheet name="统计" sheetId="15" r:id="rId1"/>
    <sheet name="结果" sheetId="20" r:id="rId2"/>
    <sheet name="概率" sheetId="8" r:id="rId3"/>
    <sheet name="卡牌" sheetId="2" r:id="rId4"/>
    <sheet name="卡牌详情" sheetId="26" state="hidden" r:id="rId5"/>
    <sheet name="新卡抽卡分析" sheetId="31" state="hidden" r:id="rId6"/>
    <sheet name="决斗环境" sheetId="33" state="hidden" r:id="rId7"/>
    <sheet name="神奇动物调查" sheetId="37" state="hidden" r:id="rId8"/>
    <sheet name="计算器（废除）" sheetId="18" state="hidden" r:id="rId9"/>
    <sheet name="卢娜回响生物" sheetId="40" r:id="rId10"/>
    <sheet name="卡牌分析" sheetId="43" r:id="rId11"/>
    <sheet name="回响分析" sheetId="44" r:id="rId12"/>
    <sheet name="隐藏数据" sheetId="21" state="hidden" r:id="rId13"/>
    <sheet name="升级速度" sheetId="25" state="hidden" r:id="rId14"/>
    <sheet name="更新日志" sheetId="6" r:id="rId15"/>
    <sheet name="230818" sheetId="45" r:id="rId16"/>
    <sheet name="230531" sheetId="42" r:id="rId17"/>
    <sheet name="230505" sheetId="41" r:id="rId18"/>
    <sheet name="230307" sheetId="39" r:id="rId19"/>
    <sheet name="230210" sheetId="38" r:id="rId20"/>
    <sheet name="230118" sheetId="36" r:id="rId21"/>
    <sheet name="221221(perfect)" sheetId="35" r:id="rId22"/>
    <sheet name="221215" sheetId="34" r:id="rId23"/>
    <sheet name="221129" sheetId="32" r:id="rId24"/>
    <sheet name="221117" sheetId="30" r:id="rId25"/>
    <sheet name="221026(new++)" sheetId="29" r:id="rId26"/>
    <sheet name="220909(new+)" sheetId="23" r:id="rId27"/>
    <sheet name="220925" sheetId="24" state="hidden" r:id="rId28"/>
    <sheet name="220814（new）" sheetId="22" state="hidden" r:id="rId29"/>
    <sheet name="220810" sheetId="19" state="hidden" r:id="rId30"/>
    <sheet name="220721" sheetId="17" state="hidden" r:id="rId31"/>
    <sheet name="220513" sheetId="16" state="hidden" r:id="rId32"/>
    <sheet name="220413" sheetId="12" state="hidden" r:id="rId33"/>
    <sheet name="220208" sheetId="11" state="hidden" r:id="rId34"/>
    <sheet name="220130" sheetId="10" state="hidden" r:id="rId35"/>
    <sheet name="220126" sheetId="9" state="hidden" r:id="rId36"/>
    <sheet name="211230" sheetId="3" r:id="rId37"/>
  </sheets>
  <definedNames>
    <definedName name="_xlnm._FilterDatabase" localSheetId="4" hidden="1">卡牌详情!$A$9:$G$234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8" i="2" l="1"/>
  <c r="E3" i="20"/>
  <c r="E4" i="20"/>
  <c r="E5" i="20"/>
  <c r="E6" i="20"/>
  <c r="E2" i="20"/>
  <c r="B11" i="20"/>
  <c r="G15" i="20" s="1"/>
  <c r="I7" i="20"/>
  <c r="B9" i="8"/>
  <c r="B15" i="8"/>
  <c r="H6" i="20"/>
  <c r="H5" i="20"/>
  <c r="H4" i="20"/>
  <c r="H3" i="20"/>
  <c r="H2" i="20"/>
  <c r="G6" i="20"/>
  <c r="G5" i="20"/>
  <c r="G4" i="20"/>
  <c r="G3" i="20"/>
  <c r="G2" i="20"/>
  <c r="V66" i="21"/>
  <c r="U50" i="21"/>
  <c r="U51" i="21"/>
  <c r="U52" i="21"/>
  <c r="U53" i="21"/>
  <c r="U54" i="21"/>
  <c r="U55" i="21"/>
  <c r="U56" i="21"/>
  <c r="U57" i="21"/>
  <c r="U58" i="21"/>
  <c r="U59" i="21"/>
  <c r="U66" i="21" s="1"/>
  <c r="U60" i="21"/>
  <c r="U61" i="21"/>
  <c r="U62" i="21"/>
  <c r="U63" i="21"/>
  <c r="U64" i="21"/>
  <c r="U65" i="21"/>
  <c r="U49" i="21"/>
  <c r="T52" i="21"/>
  <c r="T53" i="21"/>
  <c r="T54" i="21"/>
  <c r="T55" i="21"/>
  <c r="T56" i="21"/>
  <c r="T57" i="21"/>
  <c r="T58" i="21"/>
  <c r="T59" i="21"/>
  <c r="T66" i="21" s="1"/>
  <c r="T60" i="21"/>
  <c r="T61" i="21"/>
  <c r="T62" i="21"/>
  <c r="T63" i="21"/>
  <c r="T64" i="21"/>
  <c r="T65" i="21"/>
  <c r="T51" i="21"/>
  <c r="R66" i="21"/>
  <c r="S66" i="21"/>
  <c r="S55" i="21"/>
  <c r="S56" i="21"/>
  <c r="S57" i="21"/>
  <c r="S58" i="21"/>
  <c r="S59" i="21"/>
  <c r="S60" i="21"/>
  <c r="S61" i="21"/>
  <c r="S62" i="21"/>
  <c r="S63" i="21"/>
  <c r="S64" i="21"/>
  <c r="S65" i="21"/>
  <c r="S54" i="21"/>
  <c r="Q66" i="21"/>
  <c r="R58" i="21"/>
  <c r="R59" i="21"/>
  <c r="R60" i="21"/>
  <c r="R61" i="21"/>
  <c r="R62" i="21"/>
  <c r="R63" i="21"/>
  <c r="R64" i="21"/>
  <c r="R65" i="21"/>
  <c r="R57" i="21"/>
  <c r="Q57" i="21"/>
  <c r="Q59" i="21"/>
  <c r="Q60" i="21"/>
  <c r="Q61" i="21"/>
  <c r="Q62" i="21"/>
  <c r="Q63" i="21"/>
  <c r="Q64" i="21"/>
  <c r="Q65" i="21"/>
  <c r="Q58" i="21"/>
  <c r="O65" i="21"/>
  <c r="O64" i="21"/>
  <c r="O63" i="21"/>
  <c r="O62" i="21"/>
  <c r="O61" i="21"/>
  <c r="O60" i="21"/>
  <c r="O59" i="21"/>
  <c r="O58" i="21"/>
  <c r="O57" i="21"/>
  <c r="O56" i="21"/>
  <c r="O55" i="21"/>
  <c r="O54" i="21"/>
  <c r="O53" i="21"/>
  <c r="O52" i="21"/>
  <c r="O51" i="21"/>
  <c r="O50" i="21"/>
  <c r="O49" i="21"/>
  <c r="N65" i="21"/>
  <c r="N64" i="21"/>
  <c r="N63" i="21"/>
  <c r="N62" i="21"/>
  <c r="N61" i="21"/>
  <c r="N60" i="21"/>
  <c r="N59" i="21"/>
  <c r="N58" i="21"/>
  <c r="N57" i="21"/>
  <c r="N56" i="21"/>
  <c r="N55" i="21"/>
  <c r="N54" i="21"/>
  <c r="N53" i="21"/>
  <c r="N52" i="21"/>
  <c r="N51" i="21"/>
  <c r="M65" i="21"/>
  <c r="M64" i="21"/>
  <c r="M63" i="21"/>
  <c r="M62" i="21"/>
  <c r="M61" i="21"/>
  <c r="M60" i="21"/>
  <c r="M59" i="21"/>
  <c r="M58" i="21"/>
  <c r="M57" i="21"/>
  <c r="M56" i="21"/>
  <c r="M55" i="21"/>
  <c r="M54" i="21"/>
  <c r="K65" i="21"/>
  <c r="K64" i="21"/>
  <c r="K63" i="21"/>
  <c r="K62" i="21"/>
  <c r="K61" i="21"/>
  <c r="K60" i="21"/>
  <c r="K59" i="21"/>
  <c r="K58" i="21"/>
  <c r="K57" i="21"/>
  <c r="L65" i="21"/>
  <c r="L64" i="21"/>
  <c r="L63" i="21"/>
  <c r="L62" i="21"/>
  <c r="L61" i="21"/>
  <c r="L60" i="21"/>
  <c r="L59" i="21"/>
  <c r="L58" i="21"/>
  <c r="L57" i="21"/>
  <c r="B2" i="20"/>
  <c r="H52" i="21"/>
  <c r="H53" i="21"/>
  <c r="H54" i="21"/>
  <c r="H55" i="21"/>
  <c r="H56" i="21"/>
  <c r="H57" i="21"/>
  <c r="H58" i="21"/>
  <c r="H59" i="21"/>
  <c r="H60" i="21"/>
  <c r="H61" i="21"/>
  <c r="H62" i="21"/>
  <c r="H63" i="21"/>
  <c r="H64" i="21"/>
  <c r="H65" i="21"/>
  <c r="H51" i="21"/>
  <c r="F53" i="21"/>
  <c r="F54" i="21"/>
  <c r="F55" i="21"/>
  <c r="F56" i="21"/>
  <c r="F57" i="21"/>
  <c r="F58" i="21"/>
  <c r="F59" i="21"/>
  <c r="F60" i="21"/>
  <c r="F61" i="21"/>
  <c r="F62" i="21"/>
  <c r="F63" i="21"/>
  <c r="F52" i="21"/>
  <c r="D53" i="21"/>
  <c r="D54" i="21"/>
  <c r="D55" i="21"/>
  <c r="D56" i="21"/>
  <c r="D57" i="21"/>
  <c r="D58" i="21"/>
  <c r="D59" i="21"/>
  <c r="D60" i="21"/>
  <c r="D52" i="21"/>
  <c r="V7" i="2"/>
  <c r="I4" i="15"/>
  <c r="E4" i="15"/>
  <c r="Q4" i="15"/>
  <c r="Q5" i="15"/>
  <c r="Q6" i="15"/>
  <c r="Q7" i="15"/>
  <c r="Q8" i="15"/>
  <c r="Q9" i="15"/>
  <c r="Q10" i="15"/>
  <c r="Q11" i="15"/>
  <c r="Q12" i="15"/>
  <c r="Q13" i="15"/>
  <c r="Q14" i="15"/>
  <c r="Q15" i="15"/>
  <c r="Q3" i="15"/>
  <c r="M4" i="15"/>
  <c r="M5" i="15"/>
  <c r="M6" i="15"/>
  <c r="M7" i="15"/>
  <c r="M8" i="15"/>
  <c r="M9" i="15"/>
  <c r="M10" i="15"/>
  <c r="M11" i="15"/>
  <c r="M12" i="15"/>
  <c r="M13" i="15"/>
  <c r="M14" i="15"/>
  <c r="M15" i="15"/>
  <c r="M16" i="15"/>
  <c r="M17" i="15"/>
  <c r="M18" i="15"/>
  <c r="M19" i="15"/>
  <c r="M20" i="15"/>
  <c r="M21" i="15"/>
  <c r="M23" i="15"/>
  <c r="M22" i="15"/>
  <c r="M24" i="15"/>
  <c r="M25" i="15"/>
  <c r="M26" i="15"/>
  <c r="M3" i="15"/>
  <c r="I3"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 i="15"/>
  <c r="F2" i="20" s="1"/>
  <c r="T6" i="2"/>
  <c r="V6" i="2" s="1"/>
  <c r="F15" i="8"/>
  <c r="E15" i="8"/>
  <c r="D15" i="8"/>
  <c r="D13" i="8"/>
  <c r="B13" i="8"/>
  <c r="E9" i="8"/>
  <c r="F9" i="8"/>
  <c r="D9" i="8"/>
  <c r="B7" i="8"/>
  <c r="E3" i="8"/>
  <c r="F3" i="8"/>
  <c r="D3" i="8"/>
  <c r="G2" i="8"/>
  <c r="G6" i="8"/>
  <c r="B3" i="20"/>
  <c r="B4" i="20"/>
  <c r="B5" i="20"/>
  <c r="B6" i="20"/>
  <c r="T2" i="2"/>
  <c r="V2" i="2" s="1"/>
  <c r="T3" i="2"/>
  <c r="T4" i="2"/>
  <c r="T5" i="2"/>
  <c r="C7" i="20"/>
  <c r="I4" i="20"/>
  <c r="C3" i="20"/>
  <c r="C2" i="20"/>
  <c r="P3" i="21"/>
  <c r="E48" i="8"/>
  <c r="E49" i="8"/>
  <c r="E28" i="8"/>
  <c r="F28" i="8"/>
  <c r="F31" i="8"/>
  <c r="K8" i="18"/>
  <c r="K19" i="18"/>
  <c r="K6" i="18"/>
  <c r="K7" i="18"/>
  <c r="K9" i="18"/>
  <c r="K10" i="18"/>
  <c r="K11" i="18"/>
  <c r="K12" i="18"/>
  <c r="K13" i="18"/>
  <c r="K14" i="18"/>
  <c r="K15" i="18"/>
  <c r="K16" i="18"/>
  <c r="K17" i="18"/>
  <c r="K18" i="18"/>
  <c r="K5" i="18"/>
  <c r="K4" i="18"/>
  <c r="F37" i="8"/>
  <c r="F60" i="8"/>
  <c r="B26" i="8" s="1"/>
  <c r="F33" i="8"/>
  <c r="F35" i="8"/>
  <c r="F48" i="8"/>
  <c r="F56" i="8"/>
  <c r="F51" i="8"/>
  <c r="F46" i="8"/>
  <c r="F42" i="8"/>
  <c r="F43" i="8"/>
  <c r="F44" i="8"/>
  <c r="F45" i="8"/>
  <c r="F47" i="8"/>
  <c r="F49" i="8"/>
  <c r="F50" i="8"/>
  <c r="F52" i="8"/>
  <c r="F53" i="8"/>
  <c r="F54" i="8"/>
  <c r="F55" i="8"/>
  <c r="F57" i="8"/>
  <c r="F58" i="8"/>
  <c r="F59" i="8"/>
  <c r="F41" i="8"/>
  <c r="F40" i="8"/>
  <c r="F39" i="8"/>
  <c r="F38" i="8"/>
  <c r="F36" i="8"/>
  <c r="F34" i="8"/>
  <c r="F32" i="8"/>
  <c r="E32" i="8"/>
  <c r="E33" i="8"/>
  <c r="E34" i="8"/>
  <c r="E35" i="8"/>
  <c r="E36" i="8"/>
  <c r="E37" i="8"/>
  <c r="E38" i="8"/>
  <c r="E39" i="8"/>
  <c r="E40" i="8"/>
  <c r="E41" i="8"/>
  <c r="E42" i="8"/>
  <c r="E43" i="8"/>
  <c r="E44" i="8"/>
  <c r="E45" i="8"/>
  <c r="E46" i="8"/>
  <c r="E47" i="8"/>
  <c r="E50" i="8"/>
  <c r="E51" i="8"/>
  <c r="E52" i="8"/>
  <c r="E53" i="8"/>
  <c r="E54" i="8"/>
  <c r="E55" i="8"/>
  <c r="E56" i="8"/>
  <c r="E57" i="8"/>
  <c r="E58" i="8"/>
  <c r="E59" i="8"/>
  <c r="E60" i="8"/>
  <c r="E31" i="8"/>
  <c r="I2" i="20"/>
  <c r="C3" i="25"/>
  <c r="C4" i="25"/>
  <c r="C13" i="25"/>
  <c r="R4" i="21"/>
  <c r="R3" i="21"/>
  <c r="T3" i="21"/>
  <c r="T6" i="21" s="1"/>
  <c r="S3" i="21"/>
  <c r="S6" i="21" s="1"/>
  <c r="Q2" i="21"/>
  <c r="P2" i="21"/>
  <c r="U2" i="21" s="1"/>
  <c r="G3" i="26"/>
  <c r="C6" i="20"/>
  <c r="C5" i="20"/>
  <c r="C4" i="20"/>
  <c r="G13" i="20" l="1"/>
  <c r="G14" i="20"/>
  <c r="G12" i="20"/>
  <c r="F6" i="20"/>
  <c r="F3" i="20"/>
  <c r="F4" i="20"/>
  <c r="F5" i="20"/>
  <c r="D5" i="20"/>
  <c r="G3" i="8"/>
  <c r="G9" i="8"/>
  <c r="G12" i="8"/>
  <c r="G15" i="8"/>
  <c r="D2" i="20"/>
  <c r="Q3" i="21"/>
  <c r="U3" i="21" s="1"/>
  <c r="P4" i="21"/>
  <c r="P6" i="21" s="1"/>
  <c r="F61" i="8"/>
  <c r="G31" i="8" s="1"/>
  <c r="Q33" i="21" s="1"/>
  <c r="R6" i="21"/>
  <c r="E3" i="26"/>
  <c r="C3" i="26"/>
  <c r="F3" i="26"/>
  <c r="D3" i="26"/>
  <c r="B3" i="26"/>
  <c r="C12" i="25"/>
  <c r="C5" i="25"/>
  <c r="C6" i="25"/>
  <c r="C7" i="25"/>
  <c r="C8" i="25"/>
  <c r="C9" i="25"/>
  <c r="C10" i="25"/>
  <c r="C11" i="25"/>
  <c r="H19" i="18"/>
  <c r="B6" i="21"/>
  <c r="C6" i="21" s="1"/>
  <c r="F6" i="21" s="1"/>
  <c r="B5" i="21"/>
  <c r="C5" i="21" s="1"/>
  <c r="F5" i="21" s="1"/>
  <c r="B4" i="21"/>
  <c r="D4" i="21" s="1"/>
  <c r="B3" i="21"/>
  <c r="C3" i="21" s="1"/>
  <c r="B2" i="21"/>
  <c r="C2" i="21" s="1"/>
  <c r="B18" i="8"/>
  <c r="C18" i="8"/>
  <c r="E21" i="8"/>
  <c r="D6" i="20" l="1"/>
  <c r="Q6" i="21"/>
  <c r="Q37" i="21"/>
  <c r="O35" i="21"/>
  <c r="P40" i="21"/>
  <c r="P33" i="21"/>
  <c r="P38" i="21"/>
  <c r="P34" i="21"/>
  <c r="Q40" i="21"/>
  <c r="Q39" i="21"/>
  <c r="O36" i="21"/>
  <c r="Q25" i="21"/>
  <c r="Q17" i="21"/>
  <c r="P13" i="21"/>
  <c r="P21" i="21"/>
  <c r="P29" i="21"/>
  <c r="O15" i="21"/>
  <c r="O23" i="21"/>
  <c r="O31" i="21"/>
  <c r="Q18" i="21"/>
  <c r="O38" i="21"/>
  <c r="Q32" i="21"/>
  <c r="Q24" i="21"/>
  <c r="Q16" i="21"/>
  <c r="P14" i="21"/>
  <c r="P22" i="21"/>
  <c r="P30" i="21"/>
  <c r="O16" i="21"/>
  <c r="O24" i="21"/>
  <c r="O32" i="21"/>
  <c r="P20" i="21"/>
  <c r="O30" i="21"/>
  <c r="Q31" i="21"/>
  <c r="Q23" i="21"/>
  <c r="Q15" i="21"/>
  <c r="P15" i="21"/>
  <c r="P23" i="21"/>
  <c r="P31" i="21"/>
  <c r="O17" i="21"/>
  <c r="O25" i="21"/>
  <c r="O11" i="21"/>
  <c r="P12" i="21"/>
  <c r="O22" i="21"/>
  <c r="Q30" i="21"/>
  <c r="Q22" i="21"/>
  <c r="Q14" i="21"/>
  <c r="P16" i="21"/>
  <c r="P24" i="21"/>
  <c r="P32" i="21"/>
  <c r="O18" i="21"/>
  <c r="O26" i="21"/>
  <c r="P28" i="21"/>
  <c r="Q29" i="21"/>
  <c r="Q21" i="21"/>
  <c r="Q13" i="21"/>
  <c r="P17" i="21"/>
  <c r="P25" i="21"/>
  <c r="P11" i="21"/>
  <c r="O19" i="21"/>
  <c r="O27" i="21"/>
  <c r="Q28" i="21"/>
  <c r="Q20" i="21"/>
  <c r="Q12" i="21"/>
  <c r="P18" i="21"/>
  <c r="P26" i="21"/>
  <c r="O12" i="21"/>
  <c r="O20" i="21"/>
  <c r="O28" i="21"/>
  <c r="Q34" i="21"/>
  <c r="P36" i="21"/>
  <c r="Q27" i="21"/>
  <c r="Q19" i="21"/>
  <c r="Q11" i="21"/>
  <c r="P19" i="21"/>
  <c r="P27" i="21"/>
  <c r="O13" i="21"/>
  <c r="O21" i="21"/>
  <c r="O29" i="21"/>
  <c r="Q26" i="21"/>
  <c r="O14" i="21"/>
  <c r="P39" i="21"/>
  <c r="Q35" i="21"/>
  <c r="O39" i="21"/>
  <c r="O33" i="21"/>
  <c r="P35" i="21"/>
  <c r="P37" i="21"/>
  <c r="O34" i="21"/>
  <c r="O40" i="21"/>
  <c r="Q38" i="21"/>
  <c r="O37" i="21"/>
  <c r="Q36" i="21"/>
  <c r="U6" i="21"/>
  <c r="D2" i="21"/>
  <c r="F2" i="21" s="1"/>
  <c r="B7" i="21"/>
  <c r="C4" i="21"/>
  <c r="F4" i="21" s="1"/>
  <c r="H7" i="20"/>
  <c r="G7" i="20"/>
  <c r="B19" i="8"/>
  <c r="R35" i="12"/>
  <c r="E9" i="12"/>
  <c r="E6" i="12"/>
  <c r="E7" i="12"/>
  <c r="E8" i="12"/>
  <c r="E10" i="12"/>
  <c r="E11" i="12"/>
  <c r="E12" i="12"/>
  <c r="E13" i="12"/>
  <c r="E14" i="12"/>
  <c r="E15" i="12"/>
  <c r="E16" i="12"/>
  <c r="E17" i="12"/>
  <c r="E18" i="12"/>
  <c r="E19" i="12"/>
  <c r="E20" i="12"/>
  <c r="E21" i="12"/>
  <c r="E22" i="12"/>
  <c r="O35" i="12"/>
  <c r="N35" i="12"/>
  <c r="K35" i="12"/>
  <c r="J35" i="12"/>
  <c r="J36" i="12" s="1"/>
  <c r="F35" i="12"/>
  <c r="F36" i="12" s="1"/>
  <c r="B35" i="12"/>
  <c r="B36" i="12" s="1"/>
  <c r="I34" i="12"/>
  <c r="I33" i="12"/>
  <c r="I32" i="12"/>
  <c r="I31" i="12"/>
  <c r="I30" i="12"/>
  <c r="I29" i="12"/>
  <c r="I28" i="12"/>
  <c r="I27" i="12"/>
  <c r="M26" i="12"/>
  <c r="I26" i="12"/>
  <c r="M25" i="12"/>
  <c r="I25" i="12"/>
  <c r="M24" i="12"/>
  <c r="I24" i="12"/>
  <c r="M23" i="12"/>
  <c r="I23" i="12"/>
  <c r="M22" i="12"/>
  <c r="I22" i="12"/>
  <c r="M21" i="12"/>
  <c r="I21" i="12"/>
  <c r="M20" i="12"/>
  <c r="I20" i="12"/>
  <c r="M19" i="12"/>
  <c r="I19" i="12"/>
  <c r="M18" i="12"/>
  <c r="I18" i="12"/>
  <c r="M17" i="12"/>
  <c r="I17" i="12"/>
  <c r="M16" i="12"/>
  <c r="I16" i="12"/>
  <c r="M15" i="12"/>
  <c r="I15" i="12"/>
  <c r="Q14" i="12"/>
  <c r="M14" i="12"/>
  <c r="I14" i="12"/>
  <c r="Q13" i="12"/>
  <c r="M13" i="12"/>
  <c r="I13" i="12"/>
  <c r="Q12" i="12"/>
  <c r="M12" i="12"/>
  <c r="I12" i="12"/>
  <c r="Q11" i="12"/>
  <c r="M11" i="12"/>
  <c r="I11" i="12"/>
  <c r="Q10" i="12"/>
  <c r="M10" i="12"/>
  <c r="I10" i="12"/>
  <c r="Q9" i="12"/>
  <c r="M9" i="12"/>
  <c r="I9" i="12"/>
  <c r="Q8" i="12"/>
  <c r="M8" i="12"/>
  <c r="I8" i="12"/>
  <c r="T7" i="12"/>
  <c r="Q7" i="12"/>
  <c r="M7" i="12"/>
  <c r="I7" i="12"/>
  <c r="Q6" i="12"/>
  <c r="M6" i="12"/>
  <c r="I6" i="12"/>
  <c r="Q5" i="12"/>
  <c r="M5" i="12"/>
  <c r="I5" i="12"/>
  <c r="E5" i="12"/>
  <c r="Q4" i="12"/>
  <c r="M4" i="12"/>
  <c r="I4" i="12"/>
  <c r="E4" i="12"/>
  <c r="Q3" i="12"/>
  <c r="M3" i="12"/>
  <c r="I3" i="12"/>
  <c r="E3" i="12"/>
  <c r="E14" i="3"/>
  <c r="E13" i="3"/>
  <c r="E12" i="3"/>
  <c r="E11" i="3"/>
  <c r="E10" i="3"/>
  <c r="E9" i="3"/>
  <c r="E8" i="3"/>
  <c r="E7" i="3"/>
  <c r="E6" i="3"/>
  <c r="E21" i="3"/>
  <c r="E20" i="3"/>
  <c r="E19" i="3"/>
  <c r="E18" i="3"/>
  <c r="E17" i="3"/>
  <c r="E16" i="3"/>
  <c r="E15" i="3"/>
  <c r="E6" i="10"/>
  <c r="E7" i="10"/>
  <c r="E8" i="10"/>
  <c r="E9" i="10"/>
  <c r="E10" i="10"/>
  <c r="E11" i="10"/>
  <c r="E12" i="10"/>
  <c r="E13" i="10"/>
  <c r="E14" i="10"/>
  <c r="E15" i="10"/>
  <c r="E16" i="10"/>
  <c r="E17" i="10"/>
  <c r="E18" i="10"/>
  <c r="E19" i="10"/>
  <c r="E20" i="10"/>
  <c r="Q14" i="11"/>
  <c r="Q7" i="11"/>
  <c r="Q8" i="11"/>
  <c r="Q9" i="11"/>
  <c r="Q10" i="11"/>
  <c r="Q11" i="11"/>
  <c r="Q12" i="11"/>
  <c r="Q13" i="11"/>
  <c r="Q6" i="11"/>
  <c r="R35" i="3"/>
  <c r="R35" i="10"/>
  <c r="R35" i="11"/>
  <c r="N35" i="11"/>
  <c r="J35" i="11"/>
  <c r="J36" i="11" s="1"/>
  <c r="B35" i="11"/>
  <c r="C35" i="11" s="1"/>
  <c r="F35" i="11"/>
  <c r="F36" i="11" s="1"/>
  <c r="F35" i="10"/>
  <c r="F36" i="10" s="1"/>
  <c r="O35" i="11"/>
  <c r="K35" i="11"/>
  <c r="I34" i="11"/>
  <c r="I33" i="11"/>
  <c r="I32" i="11"/>
  <c r="I31" i="11"/>
  <c r="I30" i="11"/>
  <c r="I29" i="11"/>
  <c r="I28" i="11"/>
  <c r="I27" i="11"/>
  <c r="M26" i="11"/>
  <c r="I26" i="11"/>
  <c r="M25" i="11"/>
  <c r="I25" i="11"/>
  <c r="M24" i="11"/>
  <c r="I24" i="11"/>
  <c r="M23" i="11"/>
  <c r="I23" i="11"/>
  <c r="M22" i="11"/>
  <c r="I22" i="11"/>
  <c r="M21" i="11"/>
  <c r="I21" i="11"/>
  <c r="M20" i="11"/>
  <c r="I20" i="11"/>
  <c r="E20" i="11"/>
  <c r="M19" i="11"/>
  <c r="I19" i="11"/>
  <c r="E19" i="11"/>
  <c r="M18" i="11"/>
  <c r="I18" i="11"/>
  <c r="E18" i="11"/>
  <c r="M17" i="11"/>
  <c r="I17" i="11"/>
  <c r="E17" i="11"/>
  <c r="M16" i="11"/>
  <c r="I16" i="11"/>
  <c r="E16" i="11"/>
  <c r="M15" i="11"/>
  <c r="I15" i="11"/>
  <c r="E15" i="11"/>
  <c r="M14" i="11"/>
  <c r="I14" i="11"/>
  <c r="E13" i="11"/>
  <c r="M13" i="11"/>
  <c r="I13" i="11"/>
  <c r="E14" i="11"/>
  <c r="M12" i="11"/>
  <c r="I12" i="11"/>
  <c r="E12" i="11"/>
  <c r="M11" i="11"/>
  <c r="I11" i="11"/>
  <c r="E8" i="11"/>
  <c r="M10" i="11"/>
  <c r="I10" i="11"/>
  <c r="E9" i="11"/>
  <c r="M9" i="11"/>
  <c r="I9" i="11"/>
  <c r="E11" i="11"/>
  <c r="M8" i="11"/>
  <c r="I8" i="11"/>
  <c r="E7" i="11"/>
  <c r="T7" i="11"/>
  <c r="M7" i="11"/>
  <c r="I7" i="11"/>
  <c r="E10" i="11"/>
  <c r="M6" i="11"/>
  <c r="I6" i="11"/>
  <c r="E5" i="11"/>
  <c r="Q5" i="11"/>
  <c r="M5" i="11"/>
  <c r="I5" i="11"/>
  <c r="E6" i="11"/>
  <c r="Q4" i="11"/>
  <c r="M4" i="11"/>
  <c r="I4" i="11"/>
  <c r="E4" i="11"/>
  <c r="Q3" i="11"/>
  <c r="M3" i="11"/>
  <c r="I3" i="11"/>
  <c r="E3" i="11"/>
  <c r="T7" i="10"/>
  <c r="T7" i="9"/>
  <c r="O35" i="10"/>
  <c r="N35" i="10"/>
  <c r="K35" i="10"/>
  <c r="J35" i="10"/>
  <c r="J36" i="10" s="1"/>
  <c r="B35" i="10"/>
  <c r="C35" i="10" s="1"/>
  <c r="I13" i="10"/>
  <c r="I34" i="10"/>
  <c r="I33" i="10"/>
  <c r="I32" i="10"/>
  <c r="I31" i="10"/>
  <c r="I30" i="10"/>
  <c r="I29" i="10"/>
  <c r="I28" i="10"/>
  <c r="M26" i="10"/>
  <c r="I23" i="10"/>
  <c r="M25" i="10"/>
  <c r="I22" i="10"/>
  <c r="M24" i="10"/>
  <c r="I25" i="10"/>
  <c r="M20" i="10"/>
  <c r="I24" i="10"/>
  <c r="M19" i="10"/>
  <c r="I21" i="10"/>
  <c r="M21" i="10"/>
  <c r="I20" i="10"/>
  <c r="M18" i="10"/>
  <c r="I18" i="10"/>
  <c r="M15" i="10"/>
  <c r="I19" i="10"/>
  <c r="M13" i="10"/>
  <c r="I15" i="10"/>
  <c r="M17" i="10"/>
  <c r="I14" i="10"/>
  <c r="M16" i="10"/>
  <c r="I17" i="10"/>
  <c r="M14" i="10"/>
  <c r="I16" i="10"/>
  <c r="Q14" i="10"/>
  <c r="M12" i="10"/>
  <c r="I12" i="10"/>
  <c r="Q12" i="10"/>
  <c r="M7" i="10"/>
  <c r="I11" i="10"/>
  <c r="Q11" i="10"/>
  <c r="M23" i="10"/>
  <c r="I27" i="10"/>
  <c r="Q10" i="10"/>
  <c r="M11" i="10"/>
  <c r="I26" i="10"/>
  <c r="Q9" i="10"/>
  <c r="M10" i="10"/>
  <c r="I10" i="10"/>
  <c r="Q8" i="10"/>
  <c r="M6" i="10"/>
  <c r="I9" i="10"/>
  <c r="Q7" i="10"/>
  <c r="M22" i="10"/>
  <c r="I6" i="10"/>
  <c r="Q4" i="10"/>
  <c r="M9" i="10"/>
  <c r="I5" i="10"/>
  <c r="Q3" i="10"/>
  <c r="M8" i="10"/>
  <c r="I8" i="10"/>
  <c r="Q6" i="10"/>
  <c r="M5" i="10"/>
  <c r="I7" i="10"/>
  <c r="E5" i="10"/>
  <c r="Q5" i="10"/>
  <c r="M4" i="10"/>
  <c r="I4" i="10"/>
  <c r="E4" i="10"/>
  <c r="Q13" i="10"/>
  <c r="M3" i="10"/>
  <c r="I3" i="10"/>
  <c r="E3" i="10"/>
  <c r="T7" i="3"/>
  <c r="O35" i="9"/>
  <c r="K35" i="9"/>
  <c r="I34" i="9"/>
  <c r="F21" i="8"/>
  <c r="D21" i="8"/>
  <c r="F35" i="9"/>
  <c r="B35" i="9"/>
  <c r="C35" i="9" s="1"/>
  <c r="N35" i="9"/>
  <c r="J35" i="9"/>
  <c r="J36" i="9" s="1"/>
  <c r="I33" i="9"/>
  <c r="I32" i="9"/>
  <c r="I31" i="9"/>
  <c r="I30" i="9"/>
  <c r="I29" i="9"/>
  <c r="I28" i="9"/>
  <c r="I27" i="9"/>
  <c r="M26" i="9"/>
  <c r="I26" i="9"/>
  <c r="M25" i="9"/>
  <c r="I25" i="9"/>
  <c r="M24" i="9"/>
  <c r="I24" i="9"/>
  <c r="M23" i="9"/>
  <c r="I23" i="9"/>
  <c r="M22" i="9"/>
  <c r="I22" i="9"/>
  <c r="M21" i="9"/>
  <c r="I21" i="9"/>
  <c r="M20" i="9"/>
  <c r="I20" i="9"/>
  <c r="E20" i="9"/>
  <c r="M19" i="9"/>
  <c r="I19" i="9"/>
  <c r="E19" i="9"/>
  <c r="M18" i="9"/>
  <c r="I18" i="9"/>
  <c r="E18" i="9"/>
  <c r="M17" i="9"/>
  <c r="I17" i="9"/>
  <c r="E17" i="9"/>
  <c r="M16" i="9"/>
  <c r="I16" i="9"/>
  <c r="E16" i="9"/>
  <c r="M15" i="9"/>
  <c r="I15" i="9"/>
  <c r="E15" i="9"/>
  <c r="Q14" i="9"/>
  <c r="M14" i="9"/>
  <c r="I14" i="9"/>
  <c r="E14" i="9"/>
  <c r="Q13" i="9"/>
  <c r="M13" i="9"/>
  <c r="I13" i="9"/>
  <c r="E13" i="9"/>
  <c r="Q12" i="9"/>
  <c r="M12" i="9"/>
  <c r="I12" i="9"/>
  <c r="E12" i="9"/>
  <c r="Q11" i="9"/>
  <c r="M11" i="9"/>
  <c r="I11" i="9"/>
  <c r="E11" i="9"/>
  <c r="Q10" i="9"/>
  <c r="M10" i="9"/>
  <c r="I10" i="9"/>
  <c r="E10" i="9"/>
  <c r="Q9" i="9"/>
  <c r="M9" i="9"/>
  <c r="I9" i="9"/>
  <c r="E9" i="9"/>
  <c r="Q8" i="9"/>
  <c r="M8" i="9"/>
  <c r="I8" i="9"/>
  <c r="E8" i="9"/>
  <c r="Q7" i="9"/>
  <c r="M7" i="9"/>
  <c r="I7" i="9"/>
  <c r="E7" i="9"/>
  <c r="Q6" i="9"/>
  <c r="M6" i="9"/>
  <c r="I6" i="9"/>
  <c r="E6" i="9"/>
  <c r="Q5" i="9"/>
  <c r="M5" i="9"/>
  <c r="I5" i="9"/>
  <c r="E5" i="9"/>
  <c r="Q4" i="9"/>
  <c r="M4" i="9"/>
  <c r="I4" i="9"/>
  <c r="E4" i="9"/>
  <c r="Q3" i="9"/>
  <c r="M3" i="9"/>
  <c r="I3" i="9"/>
  <c r="E3" i="9"/>
  <c r="U7" i="2"/>
  <c r="B7" i="20" s="1"/>
  <c r="V4" i="2"/>
  <c r="V3" i="2"/>
  <c r="V5" i="2"/>
  <c r="G25" i="8"/>
  <c r="F35" i="3"/>
  <c r="F36" i="3" s="1"/>
  <c r="E5" i="3"/>
  <c r="O35" i="3"/>
  <c r="B36" i="3"/>
  <c r="J35" i="3"/>
  <c r="J36" i="3" s="1"/>
  <c r="N35" i="3"/>
  <c r="Q4" i="3"/>
  <c r="Q5" i="3"/>
  <c r="Q6" i="3"/>
  <c r="Q7" i="3"/>
  <c r="Q8" i="3"/>
  <c r="Q9" i="3"/>
  <c r="Q10" i="3"/>
  <c r="Q11" i="3"/>
  <c r="Q12" i="3"/>
  <c r="Q13" i="3"/>
  <c r="Q14" i="3"/>
  <c r="Q3" i="3"/>
  <c r="M4" i="3"/>
  <c r="M5" i="3"/>
  <c r="M6" i="3"/>
  <c r="M7" i="3"/>
  <c r="M8" i="3"/>
  <c r="M9" i="3"/>
  <c r="M10" i="3"/>
  <c r="M11" i="3"/>
  <c r="M12" i="3"/>
  <c r="M13" i="3"/>
  <c r="M14" i="3"/>
  <c r="M15" i="3"/>
  <c r="M16" i="3"/>
  <c r="M17" i="3"/>
  <c r="M18" i="3"/>
  <c r="M19" i="3"/>
  <c r="M20" i="3"/>
  <c r="M21" i="3"/>
  <c r="M22" i="3"/>
  <c r="M23" i="3"/>
  <c r="M24" i="3"/>
  <c r="M25" i="3"/>
  <c r="M26" i="3"/>
  <c r="M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 i="3"/>
  <c r="K35" i="3"/>
  <c r="D3" i="20" l="1"/>
  <c r="D4" i="20"/>
  <c r="B61" i="8"/>
  <c r="B24" i="8" s="1"/>
  <c r="E35" i="10"/>
  <c r="B39" i="10" s="1"/>
  <c r="C61" i="8"/>
  <c r="C24" i="8" s="1"/>
  <c r="C28" i="8" s="1"/>
  <c r="D61" i="8"/>
  <c r="I35" i="3"/>
  <c r="U17" i="3" s="1"/>
  <c r="U19" i="3" s="1"/>
  <c r="R35" i="9"/>
  <c r="F3" i="21"/>
  <c r="F7" i="21" s="1"/>
  <c r="C7" i="21"/>
  <c r="G18" i="8"/>
  <c r="B10" i="18"/>
  <c r="B9" i="18"/>
  <c r="C21" i="8"/>
  <c r="R36" i="12"/>
  <c r="V7" i="12"/>
  <c r="Q35" i="12"/>
  <c r="N39" i="12" s="1"/>
  <c r="M35" i="12"/>
  <c r="J39" i="12" s="1"/>
  <c r="I35" i="12"/>
  <c r="U17" i="12" s="1"/>
  <c r="U19" i="12" s="1"/>
  <c r="E35" i="12"/>
  <c r="E36" i="12" s="1"/>
  <c r="B37" i="12" s="1"/>
  <c r="B38" i="12" s="1"/>
  <c r="C35" i="12"/>
  <c r="G35" i="12"/>
  <c r="S35" i="12"/>
  <c r="E35" i="3"/>
  <c r="R36" i="10"/>
  <c r="R36" i="11"/>
  <c r="V7" i="11"/>
  <c r="S35" i="11"/>
  <c r="Q35" i="11"/>
  <c r="N39" i="11" s="1"/>
  <c r="M35" i="11"/>
  <c r="J39" i="11" s="1"/>
  <c r="I35" i="11"/>
  <c r="I36" i="11" s="1"/>
  <c r="F37" i="11" s="1"/>
  <c r="F38" i="11" s="1"/>
  <c r="E35" i="11"/>
  <c r="B39" i="11" s="1"/>
  <c r="B36" i="11"/>
  <c r="G35" i="11"/>
  <c r="V7" i="9"/>
  <c r="V7" i="10"/>
  <c r="Q35" i="10"/>
  <c r="Q36" i="10" s="1"/>
  <c r="M35" i="10"/>
  <c r="J39" i="10" s="1"/>
  <c r="I35" i="10"/>
  <c r="F39" i="10" s="1"/>
  <c r="S35" i="10"/>
  <c r="B36" i="10"/>
  <c r="G35" i="10"/>
  <c r="E35" i="9"/>
  <c r="E36" i="9" s="1"/>
  <c r="B37" i="9" s="1"/>
  <c r="B38" i="9" s="1"/>
  <c r="B36" i="9"/>
  <c r="F36" i="9"/>
  <c r="Q35" i="9"/>
  <c r="Q36" i="9" s="1"/>
  <c r="I35" i="9"/>
  <c r="I36" i="9" s="1"/>
  <c r="F37" i="9" s="1"/>
  <c r="F38" i="9" s="1"/>
  <c r="M35" i="9"/>
  <c r="M36" i="9" s="1"/>
  <c r="J37" i="9" s="1"/>
  <c r="J38" i="9" s="1"/>
  <c r="G35" i="9"/>
  <c r="G35" i="3"/>
  <c r="C35" i="3"/>
  <c r="V7" i="3"/>
  <c r="M35" i="3"/>
  <c r="Q35" i="3"/>
  <c r="Q36" i="3" s="1"/>
  <c r="B15" i="20" l="1"/>
  <c r="B14" i="20"/>
  <c r="B12" i="20"/>
  <c r="B13" i="20"/>
  <c r="E36" i="10"/>
  <c r="B37" i="10" s="1"/>
  <c r="B38" i="10" s="1"/>
  <c r="B28" i="8"/>
  <c r="D24" i="8"/>
  <c r="K5" i="21"/>
  <c r="K6" i="21"/>
  <c r="F7" i="20"/>
  <c r="B7" i="18"/>
  <c r="E7" i="18" s="1"/>
  <c r="K4" i="21"/>
  <c r="K3" i="21"/>
  <c r="D9" i="18"/>
  <c r="E9" i="18"/>
  <c r="D10" i="18"/>
  <c r="E10" i="18"/>
  <c r="B21" i="8"/>
  <c r="Q36" i="12"/>
  <c r="M36" i="12"/>
  <c r="F39" i="12"/>
  <c r="I36" i="12"/>
  <c r="B39" i="12"/>
  <c r="Q36" i="11"/>
  <c r="M36" i="11"/>
  <c r="J37" i="11" s="1"/>
  <c r="J38" i="11" s="1"/>
  <c r="U17" i="11"/>
  <c r="U19" i="11" s="1"/>
  <c r="F39" i="11"/>
  <c r="E36" i="11"/>
  <c r="B37" i="11" s="1"/>
  <c r="B38" i="11" s="1"/>
  <c r="N39" i="10"/>
  <c r="M36" i="10"/>
  <c r="J37" i="10" s="1"/>
  <c r="J38" i="10" s="1"/>
  <c r="U17" i="10"/>
  <c r="U19" i="10" s="1"/>
  <c r="I36" i="10"/>
  <c r="N37" i="10"/>
  <c r="N38" i="10" s="1"/>
  <c r="B39" i="9"/>
  <c r="N39" i="9"/>
  <c r="U17" i="9"/>
  <c r="U19" i="9" s="1"/>
  <c r="F39" i="9"/>
  <c r="J39" i="9"/>
  <c r="N37" i="9"/>
  <c r="N38" i="9" s="1"/>
  <c r="S36" i="9"/>
  <c r="R36" i="9"/>
  <c r="S35" i="9"/>
  <c r="R36" i="3"/>
  <c r="S35" i="3"/>
  <c r="B39" i="3"/>
  <c r="N37" i="3"/>
  <c r="F39" i="3"/>
  <c r="I36" i="3"/>
  <c r="F37" i="3" s="1"/>
  <c r="F38" i="3" s="1"/>
  <c r="E36" i="3"/>
  <c r="B37" i="3" s="1"/>
  <c r="B38" i="3" s="1"/>
  <c r="J39" i="3"/>
  <c r="M36" i="3"/>
  <c r="N39" i="3"/>
  <c r="G11" i="20" l="1"/>
  <c r="B6" i="18"/>
  <c r="G24" i="8"/>
  <c r="D28" i="8"/>
  <c r="K2" i="21"/>
  <c r="C12" i="20"/>
  <c r="D7" i="18"/>
  <c r="J37" i="12"/>
  <c r="J38" i="12" s="1"/>
  <c r="S36" i="12"/>
  <c r="G21" i="8"/>
  <c r="N37" i="12"/>
  <c r="N38" i="12" s="1"/>
  <c r="N37" i="11"/>
  <c r="N38" i="11" s="1"/>
  <c r="S36" i="11"/>
  <c r="F37" i="12"/>
  <c r="F38" i="12" s="1"/>
  <c r="J37" i="3"/>
  <c r="J38" i="3" s="1"/>
  <c r="S36" i="3"/>
  <c r="F37" i="10"/>
  <c r="F38" i="10" s="1"/>
  <c r="S36" i="10"/>
  <c r="N38" i="3"/>
  <c r="G28" i="8" l="1"/>
  <c r="B8" i="18"/>
  <c r="B11" i="18" s="1"/>
  <c r="C6" i="18" s="1"/>
  <c r="C13" i="20"/>
  <c r="C11" i="20"/>
  <c r="D6" i="18"/>
  <c r="D11" i="20" l="1"/>
  <c r="E11" i="20"/>
  <c r="E11" i="18"/>
  <c r="D8" i="18"/>
  <c r="E8" i="18"/>
  <c r="D11" i="18"/>
  <c r="C8" i="18"/>
  <c r="C15" i="20"/>
  <c r="D15" i="20" s="1"/>
  <c r="C14" i="20"/>
  <c r="D12" i="20"/>
  <c r="D13" i="20"/>
  <c r="D14" i="20" l="1"/>
  <c r="D16" i="20" s="1"/>
  <c r="E14" i="20"/>
  <c r="E13" i="20"/>
  <c r="C16" i="20"/>
  <c r="B16" i="20" s="1"/>
  <c r="I6" i="20" s="1"/>
  <c r="E12" i="20"/>
  <c r="E15" i="20"/>
  <c r="C7" i="18" l="1"/>
  <c r="C10" i="18"/>
  <c r="C9" i="18"/>
  <c r="C11"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D2" authorId="0" shapeId="0" xr:uid="{CB4F9237-98C4-402F-B5D0-59E5ED7617E7}">
      <text>
        <r>
          <rPr>
            <b/>
            <sz val="9"/>
            <color indexed="81"/>
            <rFont val="宋体"/>
            <family val="3"/>
            <charset val="134"/>
          </rPr>
          <t>nine0426:</t>
        </r>
        <r>
          <rPr>
            <sz val="9"/>
            <color indexed="81"/>
            <rFont val="宋体"/>
            <family val="3"/>
            <charset val="134"/>
          </rPr>
          <t xml:space="preserve">
卡牌进度条上的卡牌</t>
        </r>
      </text>
    </comment>
    <comment ref="S12" authorId="0" shapeId="0" xr:uid="{F477E1C3-FB8A-4A6D-B6E5-AD8F8C1189F6}">
      <text>
        <r>
          <rPr>
            <b/>
            <sz val="9"/>
            <color indexed="81"/>
            <rFont val="宋体"/>
            <family val="3"/>
            <charset val="134"/>
          </rPr>
          <t>nine0426:</t>
        </r>
        <r>
          <rPr>
            <sz val="9"/>
            <color indexed="81"/>
            <rFont val="宋体"/>
            <family val="3"/>
            <charset val="134"/>
          </rPr>
          <t xml:space="preserve">
签到功能处显示的天数</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3C64DA9C-4393-4AC4-8BCD-AA3F0594B39A}">
      <text>
        <r>
          <rPr>
            <b/>
            <sz val="9"/>
            <color indexed="81"/>
            <rFont val="宋体"/>
            <family val="3"/>
            <charset val="134"/>
          </rPr>
          <t>nine0426:</t>
        </r>
        <r>
          <rPr>
            <sz val="9"/>
            <color indexed="81"/>
            <rFont val="宋体"/>
            <family val="3"/>
            <charset val="134"/>
          </rPr>
          <t xml:space="preserve">
不计入未获得卡牌</t>
        </r>
      </text>
    </comment>
    <comment ref="D1" authorId="0" shapeId="0" xr:uid="{7AA425C8-A53D-4586-8812-8C4C47DC1B5D}">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07FE2A47-5FC7-43CC-A839-21EFAC5325EC}">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C2404E9-055B-4E78-B3D8-559114688448}">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848B4998-5EF3-4EF5-B322-2C59EE5C3E75}">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47D7C605-D4AD-4E2D-9864-6A6DE716B4BF}">
      <text>
        <r>
          <rPr>
            <b/>
            <sz val="9"/>
            <color indexed="81"/>
            <rFont val="宋体"/>
            <family val="3"/>
            <charset val="134"/>
          </rPr>
          <t>nine0426:</t>
        </r>
        <r>
          <rPr>
            <sz val="9"/>
            <color indexed="81"/>
            <rFont val="宋体"/>
            <family val="3"/>
            <charset val="134"/>
          </rPr>
          <t xml:space="preserve">
达到满收集还需要的通行证</t>
        </r>
      </text>
    </comment>
    <comment ref="I1" authorId="0" shapeId="0" xr:uid="{74B7571D-E4B5-40B2-B2FE-9484C38CB55F}">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37ED0AE7-244D-4AE4-B3F8-8291402C0BE4}">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CFDD85D4-C2D0-4B22-A087-6FB0EF5E71B5}">
      <text>
        <r>
          <rPr>
            <b/>
            <sz val="9"/>
            <color indexed="81"/>
            <rFont val="宋体"/>
            <family val="3"/>
            <charset val="134"/>
          </rPr>
          <t>nine0426:
不包括昔日重现·罗恩，阿瓦达，摧心咒</t>
        </r>
      </text>
    </comment>
    <comment ref="M3" authorId="0" shapeId="0" xr:uid="{909BCCB3-5DED-4337-AC7B-46C4BC7C45F6}">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80D4D214-02DE-40E4-93DC-264CAFB8DB7D}">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D16A0248-40E8-4205-8ADC-FBF5BF4D1E28}">
      <text>
        <r>
          <rPr>
            <b/>
            <sz val="9"/>
            <color indexed="81"/>
            <rFont val="宋体"/>
            <family val="3"/>
            <charset val="134"/>
          </rPr>
          <t>nine0426:
（每种品质卡至少拥有一张时可用）</t>
        </r>
        <r>
          <rPr>
            <sz val="9"/>
            <color indexed="81"/>
            <rFont val="宋体"/>
            <family val="3"/>
            <charset val="134"/>
          </rPr>
          <t xml:space="preserve">
卡牌价值，按卡牌名称数均分，变动原因为该品质卡获得难度，总价值初始为10000，当某品质卡达到98%收集并填写收集天数表后，其价值清零，但仍算入持有总价值比</t>
        </r>
      </text>
    </comment>
    <comment ref="B10" authorId="0" shapeId="0" xr:uid="{78D4F7C2-AF50-45E9-9AF4-CEB3698EA872}">
      <text>
        <r>
          <rPr>
            <b/>
            <sz val="9"/>
            <color indexed="81"/>
            <rFont val="宋体"/>
            <family val="3"/>
            <charset val="134"/>
          </rPr>
          <t>nine0426:</t>
        </r>
        <r>
          <rPr>
            <sz val="9"/>
            <color indexed="81"/>
            <rFont val="宋体"/>
            <family val="3"/>
            <charset val="134"/>
          </rPr>
          <t xml:space="preserve">
期望价值</t>
        </r>
      </text>
    </comment>
    <comment ref="D10" authorId="0" shapeId="0" xr:uid="{4C349D02-D0D4-478C-BDDA-7D2FC9D8C1E9}">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990F39DD-3F80-42FF-87D6-FE51FD6BBADB}">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1C8F86DC-D0F6-4AA5-A7DC-FC34286F55A8}">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856D2848-3FFB-4BB1-8368-F1B2AB27CC75}">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70A52ED2-5C45-4044-A0E4-B28FE56FF13F}">
      <text>
        <r>
          <rPr>
            <b/>
            <sz val="9"/>
            <color indexed="81"/>
            <rFont val="宋体"/>
            <family val="3"/>
            <charset val="134"/>
          </rPr>
          <t>nine0426:</t>
        </r>
        <r>
          <rPr>
            <sz val="9"/>
            <color indexed="81"/>
            <rFont val="宋体"/>
            <family val="3"/>
            <charset val="134"/>
          </rPr>
          <t xml:space="preserve">
不计入未获得卡牌</t>
        </r>
      </text>
    </comment>
    <comment ref="D1" authorId="0" shapeId="0" xr:uid="{9F741D8B-FF45-48A7-A031-C4E494C01EBA}">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12FA15B5-19AC-450F-83B6-A8AAD4F6F83D}">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70D7800-A366-4E8D-B0A5-656DBE7184E3}">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3A10CEB8-32B7-4687-AF09-C73F486C0C02}">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296C3A97-701E-4C4C-9324-BBDE069D99F1}">
      <text>
        <r>
          <rPr>
            <b/>
            <sz val="9"/>
            <color indexed="81"/>
            <rFont val="宋体"/>
            <family val="3"/>
            <charset val="134"/>
          </rPr>
          <t>nine0426:</t>
        </r>
        <r>
          <rPr>
            <sz val="9"/>
            <color indexed="81"/>
            <rFont val="宋体"/>
            <family val="3"/>
            <charset val="134"/>
          </rPr>
          <t xml:space="preserve">
达到满收集还需要的通行证</t>
        </r>
      </text>
    </comment>
    <comment ref="I1" authorId="0" shapeId="0" xr:uid="{43887879-3F16-4F00-BD7D-8799B62DC209}">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F6B66C46-3F73-4FD9-AB4D-E41E5192BC08}">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E7F18D66-2C9A-439F-92F2-C16F0B7E4940}">
      <text>
        <r>
          <rPr>
            <b/>
            <sz val="9"/>
            <color indexed="81"/>
            <rFont val="宋体"/>
            <family val="3"/>
            <charset val="134"/>
          </rPr>
          <t>nine0426:
不包括昔日重现·罗恩，阿瓦达，摧心咒</t>
        </r>
      </text>
    </comment>
    <comment ref="M3" authorId="0" shapeId="0" xr:uid="{4485FE6C-C9FA-4B2B-8C75-ACCC11334B6A}">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5230F01E-63B3-4850-9DBB-FDD56CA0EC4F}">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01421819-EE36-4166-84FF-0C44FD6DF892}">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B10" authorId="0" shapeId="0" xr:uid="{D1EC51CD-CCAB-4FCA-BB49-892FD2E3B06F}">
      <text>
        <r>
          <rPr>
            <b/>
            <sz val="9"/>
            <color indexed="81"/>
            <rFont val="宋体"/>
            <family val="3"/>
            <charset val="134"/>
          </rPr>
          <t>nine0426:</t>
        </r>
        <r>
          <rPr>
            <sz val="9"/>
            <color indexed="81"/>
            <rFont val="宋体"/>
            <family val="3"/>
            <charset val="134"/>
          </rPr>
          <t xml:space="preserve">
期望价值</t>
        </r>
      </text>
    </comment>
    <comment ref="D10" authorId="0" shapeId="0" xr:uid="{725A806A-5DA9-45C5-82A4-42F9933CED33}">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13D13E02-0261-426E-96E8-8EDCFEF862B3}">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878C1747-AE32-4357-8F94-1277E0996880}">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7ABF29A6-9653-4426-8F84-C4855012EA65}">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8BA27FB9-C0A7-4EF7-83CA-D7DC0D87A403}">
      <text>
        <r>
          <rPr>
            <b/>
            <sz val="9"/>
            <color indexed="81"/>
            <rFont val="宋体"/>
            <family val="3"/>
            <charset val="134"/>
          </rPr>
          <t>nine0426:</t>
        </r>
        <r>
          <rPr>
            <sz val="9"/>
            <color indexed="81"/>
            <rFont val="宋体"/>
            <family val="3"/>
            <charset val="134"/>
          </rPr>
          <t xml:space="preserve">
不计入未获得卡牌</t>
        </r>
      </text>
    </comment>
    <comment ref="D1" authorId="0" shapeId="0" xr:uid="{31717114-9617-4A09-BCEA-C224DC4AFC89}">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B3B47C28-978A-4DCE-B5B1-5A194B9C074F}">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DB9C7CB1-7C85-4729-8A9B-BFB83913B79B}">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0E9509B3-A845-432D-ADEF-9AAC5B03DF2D}">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0DECADD5-25E3-4E9F-8011-0D225CCB43CA}">
      <text>
        <r>
          <rPr>
            <b/>
            <sz val="9"/>
            <color indexed="81"/>
            <rFont val="宋体"/>
            <family val="3"/>
            <charset val="134"/>
          </rPr>
          <t>nine0426:</t>
        </r>
        <r>
          <rPr>
            <sz val="9"/>
            <color indexed="81"/>
            <rFont val="宋体"/>
            <family val="3"/>
            <charset val="134"/>
          </rPr>
          <t xml:space="preserve">
达到满收集还需要的通行证</t>
        </r>
      </text>
    </comment>
    <comment ref="I1" authorId="0" shapeId="0" xr:uid="{891FF882-2E2E-47B8-8A17-E87C82C5C35E}">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549BFEE4-C6D9-4B5E-BC65-139427483DF0}">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C889EE58-ED6D-4450-8B54-75422E3FB3A5}">
      <text>
        <r>
          <rPr>
            <b/>
            <sz val="9"/>
            <color indexed="81"/>
            <rFont val="宋体"/>
            <family val="3"/>
            <charset val="134"/>
          </rPr>
          <t>nine0426:
不包括昔日重现·罗恩，阿瓦达，摧心咒</t>
        </r>
      </text>
    </comment>
    <comment ref="M3" authorId="0" shapeId="0" xr:uid="{61CE64C1-0E08-4777-8AFC-F65484D936DA}">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4E3C5867-DDC2-441A-801B-5861D3522CAF}">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54520D97-F341-439D-B1CF-3A8A7F524810}">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B10" authorId="0" shapeId="0" xr:uid="{B562E55D-8145-45BF-8E59-6C66928C199B}">
      <text>
        <r>
          <rPr>
            <b/>
            <sz val="9"/>
            <color indexed="81"/>
            <rFont val="宋体"/>
            <family val="3"/>
            <charset val="134"/>
          </rPr>
          <t>nine0426:</t>
        </r>
        <r>
          <rPr>
            <sz val="9"/>
            <color indexed="81"/>
            <rFont val="宋体"/>
            <family val="3"/>
            <charset val="134"/>
          </rPr>
          <t xml:space="preserve">
期望价值</t>
        </r>
      </text>
    </comment>
    <comment ref="D10" authorId="0" shapeId="0" xr:uid="{C3616E4E-5CD2-4960-8FC7-9A7820EF8E3C}">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08D75741-F217-427F-A246-6E1DB5778DBA}">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FCC82407-2BBE-4C02-80DB-A81F4116DE0F}">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2ECCE18F-C15E-4264-9BDE-AD2C3BBFB146}">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B5094FD0-174B-4093-A207-889EEF934CBD}">
      <text>
        <r>
          <rPr>
            <b/>
            <sz val="9"/>
            <color indexed="81"/>
            <rFont val="宋体"/>
            <family val="3"/>
            <charset val="134"/>
          </rPr>
          <t>nine0426:</t>
        </r>
        <r>
          <rPr>
            <sz val="9"/>
            <color indexed="81"/>
            <rFont val="宋体"/>
            <family val="3"/>
            <charset val="134"/>
          </rPr>
          <t xml:space="preserve">
不计入未获得卡牌</t>
        </r>
      </text>
    </comment>
    <comment ref="D1" authorId="0" shapeId="0" xr:uid="{273D3A1D-9465-49D9-A81C-FF641DA2C234}">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C56E9038-49DB-476F-8A61-FBC61AD5BEE2}">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F5ECD77-6634-4A34-926F-6F642A22CB01}">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8C7883BD-3F21-4A31-99AE-F9F5470EA248}">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6454DA62-20F7-4456-AB66-1F96932ED18A}">
      <text>
        <r>
          <rPr>
            <b/>
            <sz val="9"/>
            <color indexed="81"/>
            <rFont val="宋体"/>
            <family val="3"/>
            <charset val="134"/>
          </rPr>
          <t>nine0426:</t>
        </r>
        <r>
          <rPr>
            <sz val="9"/>
            <color indexed="81"/>
            <rFont val="宋体"/>
            <family val="3"/>
            <charset val="134"/>
          </rPr>
          <t xml:space="preserve">
达到满收集所需要的通行证</t>
        </r>
      </text>
    </comment>
    <comment ref="I1" authorId="0" shapeId="0" xr:uid="{3FF5E55F-D87C-4FC2-A329-AB7492563776}">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16D50A67-853A-4DB3-8AC3-9296DA97D513}">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559D89FD-BE6F-4253-AD7F-6107F405D4BA}">
      <text>
        <r>
          <rPr>
            <b/>
            <sz val="9"/>
            <color indexed="81"/>
            <rFont val="宋体"/>
            <family val="3"/>
            <charset val="134"/>
          </rPr>
          <t>nine0426:
不包括昔日重现·罗恩，阿瓦达，摧心咒</t>
        </r>
      </text>
    </comment>
    <comment ref="M3" authorId="0" shapeId="0" xr:uid="{AE71B31F-2CED-418C-9797-5380F82DE090}">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AFF7E2F7-C978-46E2-8199-318AE5C61CC3}">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38A87E09-E30B-4E31-B075-CAF5FF5541C4}">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D10" authorId="0" shapeId="0" xr:uid="{CAA61015-D906-49C0-88A3-5E64DAA3192A}">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A6A754E0-FADC-4398-8D14-7BC16D91ABFA}">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F1504CE8-5065-475F-94AE-82E2F4E5728E}">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5A1AEB77-173F-4FA0-8137-9A7FB97CBFB5}">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2D5B3C18-C531-4959-A4B8-BBAD31848FCA}">
      <text>
        <r>
          <rPr>
            <b/>
            <sz val="9"/>
            <color indexed="81"/>
            <rFont val="宋体"/>
            <family val="3"/>
            <charset val="134"/>
          </rPr>
          <t>nine0426:</t>
        </r>
        <r>
          <rPr>
            <sz val="9"/>
            <color indexed="81"/>
            <rFont val="宋体"/>
            <family val="3"/>
            <charset val="134"/>
          </rPr>
          <t xml:space="preserve">
不计入未获得卡牌</t>
        </r>
      </text>
    </comment>
    <comment ref="D1" authorId="0" shapeId="0" xr:uid="{35CEEA26-EB24-4BD8-A86E-46597ACAD47A}">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7B0F6D16-65ED-425D-A696-90505E083007}">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4B4635DD-C018-45E6-88F3-E9D40166E495}">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E185EA77-EC3E-4BAB-900B-2EF501029EDA}">
      <text>
        <r>
          <rPr>
            <b/>
            <sz val="9"/>
            <color indexed="81"/>
            <rFont val="宋体"/>
            <family val="3"/>
            <charset val="134"/>
          </rPr>
          <t>nine0426:</t>
        </r>
        <r>
          <rPr>
            <sz val="9"/>
            <color indexed="81"/>
            <rFont val="宋体"/>
            <family val="3"/>
            <charset val="134"/>
          </rPr>
          <t xml:space="preserve">
达到满收集所需要的通行证</t>
        </r>
      </text>
    </comment>
    <comment ref="I1" authorId="0" shapeId="0" xr:uid="{B288F4BF-5984-48AF-8492-9DD48ACEEB81}">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3910F08C-FA71-42AE-A476-0EF05CAE143C}">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4C06401D-5BD2-4CCC-860F-7FA2C83EEBFE}">
      <text>
        <r>
          <rPr>
            <b/>
            <sz val="9"/>
            <color indexed="81"/>
            <rFont val="宋体"/>
            <family val="3"/>
            <charset val="134"/>
          </rPr>
          <t>nine0426:
不包括昔日重现·罗恩，阿瓦达，摧心咒</t>
        </r>
      </text>
    </comment>
    <comment ref="M3" authorId="0" shapeId="0" xr:uid="{4CE96674-581F-4986-8A91-1B64CB36C3F1}">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DBFAF3B3-196C-4A65-9DA4-6DB62B5B7B26}">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C9006460-FC0C-424D-B768-6B729CBEE17C}">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价值按卡牌数均分，变动原因为该品质卡获得难度，总价值初始为10000，当某品质卡达到98%收集并填写收集天数表后，其价值清零</t>
        </r>
      </text>
    </comment>
    <comment ref="D11" authorId="0" shapeId="0" xr:uid="{F86CF5EE-C213-4FDE-99DE-C14ABA021AF3}">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1" authorId="0" shapeId="0" xr:uid="{8C556460-4D4A-45C5-91D0-907555ED83E0}">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2" authorId="0" shapeId="0" xr:uid="{95815B54-C5CE-444E-8A71-36D934A0A258}">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7" authorId="0" shapeId="0" xr:uid="{CB1646D1-ABCF-44A7-95B4-D5F39416C480}">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62738751-B0A2-48B9-918D-B57F3CE8968C}">
      <text>
        <r>
          <rPr>
            <b/>
            <sz val="9"/>
            <color indexed="81"/>
            <rFont val="宋体"/>
            <family val="3"/>
            <charset val="134"/>
          </rPr>
          <t>nine0426:</t>
        </r>
        <r>
          <rPr>
            <sz val="9"/>
            <color indexed="81"/>
            <rFont val="宋体"/>
            <family val="3"/>
            <charset val="134"/>
          </rPr>
          <t xml:space="preserve">
不计入未获得卡牌</t>
        </r>
      </text>
    </comment>
    <comment ref="D1" authorId="0" shapeId="0" xr:uid="{ABEF2B71-6F46-4E1B-99B5-D96694D853E1}">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58C2CD85-02F9-4416-BBED-51CDDE4AF98D}">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851357C0-AB74-45EA-ADF4-923E89D7D58B}">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33FD8D5D-C9FB-4F10-B0CF-436C68FA7F19}">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7FC39F46-93CA-46A7-B6BC-954D02117795}">
      <text>
        <r>
          <rPr>
            <b/>
            <sz val="9"/>
            <color indexed="81"/>
            <rFont val="宋体"/>
            <family val="3"/>
            <charset val="134"/>
          </rPr>
          <t>nine0426:</t>
        </r>
        <r>
          <rPr>
            <sz val="9"/>
            <color indexed="81"/>
            <rFont val="宋体"/>
            <family val="3"/>
            <charset val="134"/>
          </rPr>
          <t xml:space="preserve">
每个月获得的奇迹之沙
（数值偏小）</t>
        </r>
      </text>
    </comment>
    <comment ref="A2" authorId="0" shapeId="0" xr:uid="{93A5EE9A-4ABD-4692-82BD-EA1F8E63F967}">
      <text>
        <r>
          <rPr>
            <b/>
            <sz val="9"/>
            <color indexed="81"/>
            <rFont val="宋体"/>
            <family val="3"/>
            <charset val="134"/>
          </rPr>
          <t>nine0426:
不包括昔日重现·罗恩，阿瓦达，摧心咒</t>
        </r>
      </text>
    </comment>
    <comment ref="L3" authorId="0" shapeId="0" xr:uid="{21447E4E-CA41-48F4-8D13-6D82F459B374}">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C918F518-C969-4731-98C7-A3F94491C7B8}">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4AB65CBD-25F6-4EE2-ABF6-49B15DE9796A}">
      <text>
        <r>
          <rPr>
            <b/>
            <sz val="9"/>
            <color indexed="81"/>
            <rFont val="宋体"/>
            <family val="3"/>
            <charset val="134"/>
          </rPr>
          <t>nine0426:
（每种品质卡至少拥有一张时可用）</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58EFE682-5571-421F-8362-73154703AD23}">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1" authorId="0" shapeId="0" xr:uid="{29008580-0873-4C16-B37A-EBE7D3A6884B}">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2" authorId="0" shapeId="0" xr:uid="{34496167-A063-4AF2-A784-F8F8CFD27B50}">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B17" authorId="0" shapeId="0" xr:uid="{D9F7AC45-D639-49A5-9ECE-03419856604F}">
      <text>
        <r>
          <rPr>
            <b/>
            <sz val="9"/>
            <color indexed="81"/>
            <rFont val="宋体"/>
            <family val="3"/>
            <charset val="134"/>
          </rPr>
          <t>nine0426:</t>
        </r>
        <r>
          <rPr>
            <sz val="9"/>
            <color indexed="81"/>
            <rFont val="宋体"/>
            <family val="3"/>
            <charset val="134"/>
          </rPr>
          <t xml:space="preserve">
</t>
        </r>
        <r>
          <rPr>
            <b/>
            <sz val="9"/>
            <color indexed="81"/>
            <rFont val="宋体"/>
            <family val="3"/>
            <charset val="134"/>
          </rPr>
          <t>获取累积15张传说及以上卡牌后价值下降</t>
        </r>
      </text>
    </comment>
    <comment ref="C17" authorId="0" shapeId="0" xr:uid="{D20E02EE-2690-4881-A24E-7CD5852B6FBA}">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F18E0AB3-7514-411D-A686-2D3D8B99215A}">
      <text>
        <r>
          <rPr>
            <b/>
            <sz val="9"/>
            <color indexed="81"/>
            <rFont val="宋体"/>
            <family val="3"/>
            <charset val="134"/>
          </rPr>
          <t>nine0426:</t>
        </r>
        <r>
          <rPr>
            <sz val="9"/>
            <color indexed="81"/>
            <rFont val="宋体"/>
            <family val="3"/>
            <charset val="134"/>
          </rPr>
          <t xml:space="preserve">
不计入未获得卡牌的等级</t>
        </r>
      </text>
    </comment>
    <comment ref="D1" authorId="0" shapeId="0" xr:uid="{E0F35290-B41D-4B4D-8424-629932DE7742}">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08CFCF2C-15B4-41C2-BCEC-417E9116431A}">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D1C86687-7935-402B-9297-7FB75F475B84}">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116E66DB-55A9-457B-BEEC-A6AA7FCEA3E7}">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D780390E-9B84-4CDB-8364-20C54D2CA836}">
      <text>
        <r>
          <rPr>
            <b/>
            <sz val="9"/>
            <color indexed="81"/>
            <rFont val="宋体"/>
            <family val="3"/>
            <charset val="134"/>
          </rPr>
          <t>nine0426:</t>
        </r>
        <r>
          <rPr>
            <sz val="9"/>
            <color indexed="81"/>
            <rFont val="宋体"/>
            <family val="3"/>
            <charset val="134"/>
          </rPr>
          <t xml:space="preserve">
每个月获得的奇迹之沙
（数值偏小）</t>
        </r>
      </text>
    </comment>
    <comment ref="A2" authorId="0" shapeId="0" xr:uid="{3FA83CCD-4BF9-4FC7-9D66-43F565E0C1A6}">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L3" authorId="0" shapeId="0" xr:uid="{648F750E-ACE7-47F0-A540-1912FAB57AC0}">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1D507D6F-D249-4C34-90A9-B34D87BCF7C5}">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83260334-B9E7-481A-92BB-E6C8F84FB3DB}">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BBCBA7BC-9C0E-4C2E-BDD6-02BD89C2AEF5}">
      <text>
        <r>
          <rPr>
            <b/>
            <sz val="9"/>
            <color indexed="81"/>
            <rFont val="宋体"/>
            <family val="3"/>
            <charset val="134"/>
          </rPr>
          <t>nine0426:</t>
        </r>
        <r>
          <rPr>
            <sz val="9"/>
            <color indexed="81"/>
            <rFont val="宋体"/>
            <family val="3"/>
            <charset val="134"/>
          </rPr>
          <t xml:space="preserve">
清零的价值比不显示</t>
        </r>
      </text>
    </comment>
    <comment ref="E11" authorId="0" shapeId="0" xr:uid="{D66ADF5F-BA9D-47F9-8364-351452608010}">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E78F5554-9C10-4FD9-8E7C-26C82B2F3127}">
      <text>
        <r>
          <rPr>
            <b/>
            <sz val="9"/>
            <color indexed="81"/>
            <rFont val="宋体"/>
            <family val="3"/>
            <charset val="134"/>
          </rPr>
          <t>nine0426:</t>
        </r>
        <r>
          <rPr>
            <sz val="9"/>
            <color indexed="81"/>
            <rFont val="宋体"/>
            <family val="3"/>
            <charset val="134"/>
          </rPr>
          <t xml:space="preserve">
不计入未获得卡牌的等级</t>
        </r>
      </text>
    </comment>
    <comment ref="D1" authorId="0" shapeId="0" xr:uid="{43439738-055D-4225-9EA2-378E5558D0BD}">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9CD1F4EC-5DB3-4345-A3CE-563C51AA0E2B}">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8C537226-1588-4F58-946C-9376F4FA8C7C}">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90ED0473-20EE-454D-987F-5A3FDC96483E}">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0FA09082-72B2-4B17-A32A-AFD8B5D1C4C7}">
      <text>
        <r>
          <rPr>
            <b/>
            <sz val="9"/>
            <color indexed="81"/>
            <rFont val="宋体"/>
            <family val="3"/>
            <charset val="134"/>
          </rPr>
          <t>nine0426:</t>
        </r>
        <r>
          <rPr>
            <sz val="9"/>
            <color indexed="81"/>
            <rFont val="宋体"/>
            <family val="3"/>
            <charset val="134"/>
          </rPr>
          <t xml:space="preserve">
每个月获得的奇迹之沙
（数值偏小）</t>
        </r>
      </text>
    </comment>
    <comment ref="L3" authorId="0" shapeId="0" xr:uid="{697F1467-52E2-4FAB-BFA0-8F50EE11CEBD}">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F1E844E7-2B94-451B-B3FB-E72EB661FC75}">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A772EAD9-515C-409E-8930-C826EFE185C9}">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8CE83B0B-99E3-4379-9F41-E60D8D3A1AD6}">
      <text>
        <r>
          <rPr>
            <b/>
            <sz val="9"/>
            <color indexed="81"/>
            <rFont val="宋体"/>
            <family val="3"/>
            <charset val="134"/>
          </rPr>
          <t>nine0426:</t>
        </r>
        <r>
          <rPr>
            <sz val="9"/>
            <color indexed="81"/>
            <rFont val="宋体"/>
            <family val="3"/>
            <charset val="134"/>
          </rPr>
          <t xml:space="preserve">
清零的价值比不显示</t>
        </r>
      </text>
    </comment>
    <comment ref="E11" authorId="0" shapeId="0" xr:uid="{FA36ED70-4D36-428F-B9D0-413004BAC7AA}">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457725E4-8E7F-4125-A4D1-E4F043D2630D}">
      <text>
        <r>
          <rPr>
            <b/>
            <sz val="9"/>
            <color indexed="81"/>
            <rFont val="宋体"/>
            <family val="3"/>
            <charset val="134"/>
          </rPr>
          <t>nine0426:</t>
        </r>
        <r>
          <rPr>
            <sz val="9"/>
            <color indexed="81"/>
            <rFont val="宋体"/>
            <family val="3"/>
            <charset val="134"/>
          </rPr>
          <t xml:space="preserve">
不计入未获得卡牌的等级</t>
        </r>
      </text>
    </comment>
    <comment ref="E1" authorId="0" shapeId="0" xr:uid="{1B13B969-D9AC-4C9A-8D12-A6A7285A9AA4}">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61325BE4-10F2-43A0-937D-6FE21BA2F254}">
      <text>
        <r>
          <rPr>
            <b/>
            <sz val="9"/>
            <color indexed="81"/>
            <rFont val="宋体"/>
            <family val="3"/>
            <charset val="134"/>
          </rPr>
          <t>nine0426:</t>
        </r>
        <r>
          <rPr>
            <sz val="9"/>
            <color indexed="81"/>
            <rFont val="宋体"/>
            <family val="3"/>
            <charset val="134"/>
          </rPr>
          <t xml:space="preserve">
所有该品质卡满级需要的时间
（满级卡牌数越多越准确）
（数值偏大）</t>
        </r>
      </text>
    </comment>
    <comment ref="H1" authorId="0" shapeId="0" xr:uid="{FB77CCB3-61CA-449E-9835-F4824D0A5C17}">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801DEF34-E662-4C5F-80B9-ED6B73FB36EC}">
      <text>
        <r>
          <rPr>
            <b/>
            <sz val="9"/>
            <color indexed="81"/>
            <rFont val="宋体"/>
            <family val="3"/>
            <charset val="134"/>
          </rPr>
          <t>nine0426:</t>
        </r>
        <r>
          <rPr>
            <sz val="9"/>
            <color indexed="81"/>
            <rFont val="宋体"/>
            <family val="3"/>
            <charset val="134"/>
          </rPr>
          <t xml:space="preserve">
该品质卡价值与总价值的比值</t>
        </r>
        <r>
          <rPr>
            <sz val="9"/>
            <color indexed="81"/>
            <rFont val="宋体"/>
            <family val="3"/>
            <charset val="134"/>
          </rPr>
          <t>，总价值初始为10000，当某品质卡全部满级时，其价值清零</t>
        </r>
      </text>
    </comment>
    <comment ref="L1" authorId="0" shapeId="0" xr:uid="{F796D30C-2D89-45D7-96C4-C334503C2205}">
      <text>
        <r>
          <rPr>
            <b/>
            <sz val="9"/>
            <color indexed="81"/>
            <rFont val="宋体"/>
            <family val="3"/>
            <charset val="134"/>
          </rPr>
          <t>nine0426:</t>
        </r>
        <r>
          <rPr>
            <sz val="9"/>
            <color indexed="81"/>
            <rFont val="宋体"/>
            <family val="3"/>
            <charset val="134"/>
          </rPr>
          <t xml:space="preserve">
每个月获得的奇迹之沙
（数值偏小）</t>
        </r>
      </text>
    </comment>
    <comment ref="M3" authorId="0" shapeId="0" xr:uid="{E0D17697-9B92-40D4-B7E4-50FB9066FCD5}">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K7" authorId="0" shapeId="0" xr:uid="{5C0C3CBE-9DDF-474E-B697-C24849D786FB}">
      <text>
        <r>
          <rPr>
            <b/>
            <sz val="9"/>
            <color indexed="81"/>
            <rFont val="宋体"/>
            <family val="3"/>
            <charset val="134"/>
          </rPr>
          <t>nine0426:</t>
        </r>
        <r>
          <rPr>
            <sz val="9"/>
            <color indexed="81"/>
            <rFont val="宋体"/>
            <family val="3"/>
            <charset val="134"/>
          </rPr>
          <t xml:space="preserve">
该品质卡价值与总价值的比值，</t>
        </r>
        <r>
          <rPr>
            <b/>
            <sz val="9"/>
            <color indexed="81"/>
            <rFont val="宋体"/>
            <family val="3"/>
            <charset val="134"/>
          </rPr>
          <t>反映目前未满的卡牌收集程度</t>
        </r>
        <r>
          <rPr>
            <sz val="9"/>
            <color indexed="81"/>
            <rFont val="宋体"/>
            <family val="3"/>
            <charset val="134"/>
          </rPr>
          <t>，总价值初始为10000，当某品质卡全部满级时，其价值清零</t>
        </r>
      </text>
    </comment>
    <comment ref="A10" authorId="0" shapeId="0" xr:uid="{49145C46-0FE8-482C-BE7E-D68484C0697D}">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E11" authorId="0" shapeId="0" xr:uid="{E190F652-BCB9-4929-BA48-25EA0B83D6FD}">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7E1D0814-D39B-4967-ACA8-B527B36ECCDF}">
      <text>
        <r>
          <rPr>
            <b/>
            <sz val="9"/>
            <color indexed="81"/>
            <rFont val="宋体"/>
            <family val="3"/>
            <charset val="134"/>
          </rPr>
          <t>nine0426:</t>
        </r>
        <r>
          <rPr>
            <sz val="9"/>
            <color indexed="81"/>
            <rFont val="宋体"/>
            <family val="3"/>
            <charset val="134"/>
          </rPr>
          <t xml:space="preserve">
不计入未获得卡牌的等级</t>
        </r>
      </text>
    </comment>
    <comment ref="E1" authorId="0" shapeId="0" xr:uid="{2AB3CD13-9F82-4D36-88DD-7DC0FEFDB775}">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8950ED9B-BE07-4538-97F7-8F9E08C8D6FE}">
      <text>
        <r>
          <rPr>
            <b/>
            <sz val="9"/>
            <color indexed="81"/>
            <rFont val="宋体"/>
            <family val="3"/>
            <charset val="134"/>
          </rPr>
          <t>nine0426:</t>
        </r>
        <r>
          <rPr>
            <sz val="9"/>
            <color indexed="81"/>
            <rFont val="宋体"/>
            <family val="3"/>
            <charset val="134"/>
          </rPr>
          <t xml:space="preserve">
所有该品质卡满级需要的时间
（满级卡牌数越多越准确）
（数值偏大）</t>
        </r>
      </text>
    </comment>
    <comment ref="H1" authorId="0" shapeId="0" xr:uid="{049A95EB-9DF3-4E5A-88A9-DE87D5A188E5}">
      <text>
        <r>
          <rPr>
            <b/>
            <sz val="9"/>
            <color indexed="81"/>
            <rFont val="宋体"/>
            <family val="3"/>
            <charset val="134"/>
          </rPr>
          <t>nine0426:</t>
        </r>
        <r>
          <rPr>
            <sz val="9"/>
            <color indexed="81"/>
            <rFont val="宋体"/>
            <family val="3"/>
            <charset val="134"/>
          </rPr>
          <t xml:space="preserve">
平均每天获得的卡牌总数
</t>
        </r>
      </text>
    </comment>
    <comment ref="K1" authorId="0" shapeId="0" xr:uid="{10A81F6B-605E-4901-A501-0B44BA86C573}">
      <text>
        <r>
          <rPr>
            <b/>
            <sz val="9"/>
            <color indexed="81"/>
            <rFont val="宋体"/>
            <family val="3"/>
            <charset val="134"/>
          </rPr>
          <t>nine0426:</t>
        </r>
        <r>
          <rPr>
            <sz val="9"/>
            <color indexed="81"/>
            <rFont val="宋体"/>
            <family val="3"/>
            <charset val="134"/>
          </rPr>
          <t xml:space="preserve">
每个月获得的奇迹之沙
（数值偏小）</t>
        </r>
      </text>
    </comment>
    <comment ref="L3" authorId="0" shapeId="0" xr:uid="{F9297084-D144-4AE7-9237-6E5910C0F657}">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L5" authorId="0" shapeId="0" xr:uid="{9D325DD3-A357-4526-84DF-407A960A6955}">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10" authorId="0" shapeId="0" xr:uid="{4CCBEB3B-1156-4161-AF61-7E607529B014}">
      <text>
        <r>
          <rPr>
            <b/>
            <sz val="9"/>
            <color indexed="81"/>
            <rFont val="宋体"/>
            <family val="3"/>
            <charset val="134"/>
          </rPr>
          <t>nine0426:</t>
        </r>
        <r>
          <rPr>
            <sz val="9"/>
            <color indexed="81"/>
            <rFont val="宋体"/>
            <family val="3"/>
            <charset val="134"/>
          </rPr>
          <t xml:space="preserve">
价值按卡牌数均分，变动原因为该品质卡获得难度，总价值初始为10000，当某品质卡全部满级时，其价值清零</t>
        </r>
      </text>
    </comment>
    <comment ref="D11" authorId="0" shapeId="0" xr:uid="{0A166F83-79A9-451D-BA4B-7445A8565737}">
      <text>
        <r>
          <rPr>
            <b/>
            <sz val="9"/>
            <color indexed="81"/>
            <rFont val="宋体"/>
            <family val="3"/>
            <charset val="134"/>
          </rPr>
          <t>nine0426:</t>
        </r>
        <r>
          <rPr>
            <sz val="9"/>
            <color indexed="81"/>
            <rFont val="宋体"/>
            <family val="3"/>
            <charset val="134"/>
          </rPr>
          <t xml:space="preserve">
清零的价值比不显示</t>
        </r>
      </text>
    </comment>
    <comment ref="E11" authorId="0" shapeId="0" xr:uid="{31223F77-9FD7-4D25-9A6F-7AA6BC8054D4}">
      <text>
        <r>
          <rPr>
            <b/>
            <sz val="9"/>
            <color indexed="81"/>
            <rFont val="宋体"/>
            <family val="3"/>
            <charset val="134"/>
          </rPr>
          <t>nine0426:</t>
        </r>
        <r>
          <rPr>
            <sz val="9"/>
            <color indexed="81"/>
            <rFont val="宋体"/>
            <family val="3"/>
            <charset val="134"/>
          </rPr>
          <t xml:space="preserve">
偶然获得时的总价值增量，可视为真价值</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8B9659FE-630F-44E1-A319-5BC28AE64F31}">
      <text>
        <r>
          <rPr>
            <b/>
            <sz val="9"/>
            <color indexed="81"/>
            <rFont val="宋体"/>
            <family val="3"/>
            <charset val="134"/>
          </rPr>
          <t>nine0426:</t>
        </r>
        <r>
          <rPr>
            <sz val="9"/>
            <color indexed="81"/>
            <rFont val="宋体"/>
            <family val="3"/>
            <charset val="134"/>
          </rPr>
          <t xml:space="preserve">
不计入未获得卡牌</t>
        </r>
      </text>
    </comment>
    <comment ref="D1" authorId="0" shapeId="0" xr:uid="{D8310935-B522-4933-80DC-598AFBA7DF8D}">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6CBA589B-5556-41BD-838D-9618CF5A460B}">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7422E5D-581D-403F-B729-A64D3DB56496}">
      <text>
        <r>
          <rPr>
            <b/>
            <sz val="9"/>
            <color indexed="81"/>
            <rFont val="宋体"/>
            <family val="3"/>
            <charset val="134"/>
          </rPr>
          <t>nine0426:</t>
        </r>
        <r>
          <rPr>
            <sz val="9"/>
            <color indexed="81"/>
            <rFont val="宋体"/>
            <family val="3"/>
            <charset val="134"/>
          </rPr>
          <t xml:space="preserve">
收集满即为满级卡牌，不升级的也计入</t>
        </r>
      </text>
    </comment>
    <comment ref="A2" authorId="0" shapeId="0" xr:uid="{6BD91135-759D-4D84-BF90-601294D6E9A3}">
      <text>
        <r>
          <rPr>
            <b/>
            <sz val="9"/>
            <color indexed="81"/>
            <rFont val="宋体"/>
            <family val="3"/>
            <charset val="134"/>
          </rPr>
          <t>nine0426:
不包括昔日重现·罗恩，阿瓦达，摧心咒</t>
        </r>
      </text>
    </comment>
    <comment ref="I3" authorId="0" shapeId="0" xr:uid="{53366BCA-8666-42B3-BC6C-E410CEBDED24}">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I5" authorId="0" shapeId="0" xr:uid="{1151C573-255D-4E7B-B33E-AA6094BEB69B}">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C89DFB0E-BBF9-4513-BCB1-C67691A150AB}">
      <text>
        <r>
          <rPr>
            <b/>
            <sz val="9"/>
            <color indexed="81"/>
            <rFont val="宋体"/>
            <family val="3"/>
            <charset val="134"/>
          </rPr>
          <t>nine0426:        仅供参考
（每种品质卡至少拥有一张时可用）</t>
        </r>
        <r>
          <rPr>
            <sz val="9"/>
            <color indexed="81"/>
            <rFont val="宋体"/>
            <family val="3"/>
            <charset val="134"/>
          </rPr>
          <t xml:space="preserve">
卡牌价值，按卡牌名称数均分，变动原因为该品质卡获得难度，总价值初始为10000，当某品质卡达到98%收集并填写收集天数表后，其价值清零，但仍算入持有总价值比</t>
        </r>
      </text>
    </comment>
    <comment ref="B10" authorId="0" shapeId="0" xr:uid="{4A736AFD-9799-40C1-918A-FA4D7E477F1D}">
      <text>
        <r>
          <rPr>
            <b/>
            <sz val="9"/>
            <color indexed="81"/>
            <rFont val="宋体"/>
            <family val="3"/>
            <charset val="134"/>
          </rPr>
          <t>nine0426:</t>
        </r>
        <r>
          <rPr>
            <sz val="9"/>
            <color indexed="81"/>
            <rFont val="宋体"/>
            <family val="3"/>
            <charset val="134"/>
          </rPr>
          <t xml:space="preserve">
期望价值</t>
        </r>
      </text>
    </comment>
    <comment ref="D10" authorId="0" shapeId="0" xr:uid="{C8012CF6-8385-47A2-8FA8-AD06325BD88A}">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C64E7BA2-2E11-462F-AA83-AB9E521CCFB0}">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G10" authorId="0" shapeId="0" xr:uid="{0711A1E9-8E51-40C4-8478-95296DBE89C7}">
      <text>
        <r>
          <rPr>
            <b/>
            <sz val="9"/>
            <color indexed="81"/>
            <rFont val="宋体"/>
            <family val="3"/>
            <charset val="134"/>
          </rPr>
          <t>nine0426:</t>
        </r>
        <r>
          <rPr>
            <sz val="9"/>
            <color indexed="81"/>
            <rFont val="宋体"/>
            <family val="3"/>
            <charset val="134"/>
          </rPr>
          <t xml:space="preserve">
仅供参考</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E1" authorId="0" shapeId="0" xr:uid="{F3A439E8-FCD2-43F2-8CD6-BE4AD088AA9D}">
      <text>
        <r>
          <rPr>
            <b/>
            <sz val="9"/>
            <color indexed="81"/>
            <rFont val="宋体"/>
            <family val="3"/>
            <charset val="134"/>
          </rPr>
          <t>nine0426:</t>
        </r>
        <r>
          <rPr>
            <sz val="9"/>
            <color indexed="81"/>
            <rFont val="宋体"/>
            <family val="3"/>
            <charset val="134"/>
          </rPr>
          <t xml:space="preserve">
卡牌总数与满级卡牌总数的比值</t>
        </r>
      </text>
    </comment>
    <comment ref="G1" authorId="0" shapeId="0" xr:uid="{35FB5CB3-DE18-43EF-944D-8765079D54EF}">
      <text>
        <r>
          <rPr>
            <b/>
            <sz val="9"/>
            <color indexed="81"/>
            <rFont val="宋体"/>
            <family val="3"/>
            <charset val="134"/>
          </rPr>
          <t>nine0426:</t>
        </r>
        <r>
          <rPr>
            <sz val="9"/>
            <color indexed="81"/>
            <rFont val="宋体"/>
            <family val="3"/>
            <charset val="134"/>
          </rPr>
          <t xml:space="preserve">
所有该品质卡满级需要的时间
（满级卡牌数越多越准确）
（数值偏小）</t>
        </r>
      </text>
    </comment>
    <comment ref="H1" authorId="0" shapeId="0" xr:uid="{4E16727F-C6CD-47A1-A7F0-D5DBACFCBB91}">
      <text>
        <r>
          <rPr>
            <b/>
            <sz val="9"/>
            <color indexed="81"/>
            <rFont val="宋体"/>
            <family val="3"/>
            <charset val="134"/>
          </rPr>
          <t>nine0426:</t>
        </r>
        <r>
          <rPr>
            <sz val="9"/>
            <color indexed="81"/>
            <rFont val="宋体"/>
            <family val="3"/>
            <charset val="134"/>
          </rPr>
          <t xml:space="preserve">
平均每天获得的卡牌总数</t>
        </r>
      </text>
    </comment>
    <comment ref="I1" authorId="0" shapeId="0" xr:uid="{C4A66447-ADB3-48DC-A596-D598226F75D7}">
      <text>
        <r>
          <rPr>
            <b/>
            <sz val="9"/>
            <color indexed="81"/>
            <rFont val="宋体"/>
            <family val="3"/>
            <charset val="134"/>
          </rPr>
          <t>nine0426:</t>
        </r>
        <r>
          <rPr>
            <sz val="9"/>
            <color indexed="81"/>
            <rFont val="宋体"/>
            <family val="3"/>
            <charset val="134"/>
          </rPr>
          <t xml:space="preserve">
若该品质魔咒全部满级，更新新卡时新卡达到满级需要的时间
（已计入通过</t>
        </r>
        <r>
          <rPr>
            <b/>
            <u/>
            <sz val="9"/>
            <color indexed="81"/>
            <rFont val="宋体"/>
            <family val="3"/>
            <charset val="134"/>
          </rPr>
          <t>魔咒互换</t>
        </r>
        <r>
          <rPr>
            <sz val="9"/>
            <color indexed="81"/>
            <rFont val="宋体"/>
            <family val="3"/>
            <charset val="134"/>
          </rPr>
          <t xml:space="preserve">获得的新卡）
（数值偏大）
</t>
        </r>
        <r>
          <rPr>
            <b/>
            <sz val="9"/>
            <color indexed="81"/>
            <rFont val="宋体"/>
            <family val="3"/>
            <charset val="134"/>
          </rPr>
          <t>新卡一次性满级需要的图书馆通行证：
普通卡 400张    稀有卡 235张
史诗卡 285张    传说卡 440张</t>
        </r>
      </text>
    </comment>
    <comment ref="L1" authorId="0" shapeId="0" xr:uid="{268F6E0B-7961-43E5-B280-3AC1D5527D26}">
      <text>
        <r>
          <rPr>
            <b/>
            <sz val="9"/>
            <color indexed="81"/>
            <rFont val="宋体"/>
            <family val="3"/>
            <charset val="134"/>
          </rPr>
          <t>nine0426:</t>
        </r>
        <r>
          <rPr>
            <sz val="9"/>
            <color indexed="81"/>
            <rFont val="宋体"/>
            <family val="3"/>
            <charset val="134"/>
          </rPr>
          <t xml:space="preserve">
价值按卡牌数均分，变动原因为该品质卡获得难度，总价值始终为10000</t>
        </r>
      </text>
    </comment>
    <comment ref="M1" authorId="0" shapeId="0" xr:uid="{CF8569DB-48AB-41D2-9504-3157D62B0115}">
      <text>
        <r>
          <rPr>
            <b/>
            <sz val="9"/>
            <color indexed="81"/>
            <rFont val="宋体"/>
            <family val="3"/>
            <charset val="134"/>
          </rPr>
          <t>nine0426:</t>
        </r>
        <r>
          <rPr>
            <sz val="9"/>
            <color indexed="81"/>
            <rFont val="宋体"/>
            <family val="3"/>
            <charset val="134"/>
          </rPr>
          <t xml:space="preserve">
每个月获得的奇迹之沙
（数值偏小）</t>
        </r>
      </text>
    </comment>
    <comment ref="N1" authorId="0" shapeId="0" xr:uid="{51BA66F9-4E66-4592-98A0-47DFEF344B36}">
      <text>
        <r>
          <rPr>
            <b/>
            <sz val="9"/>
            <color indexed="81"/>
            <rFont val="宋体"/>
            <family val="3"/>
            <charset val="134"/>
          </rPr>
          <t>nine0426:</t>
        </r>
        <r>
          <rPr>
            <sz val="9"/>
            <color indexed="81"/>
            <rFont val="宋体"/>
            <family val="3"/>
            <charset val="134"/>
          </rPr>
          <t xml:space="preserve">
准确性低，以紫卡收集程度为参照</t>
        </r>
      </text>
    </comment>
    <comment ref="O1" authorId="0" shapeId="0" xr:uid="{64750107-BFB0-40FA-8364-07DEEC8DA761}">
      <text>
        <r>
          <rPr>
            <b/>
            <sz val="9"/>
            <color indexed="81"/>
            <rFont val="宋体"/>
            <family val="3"/>
            <charset val="134"/>
          </rPr>
          <t>nine0426:</t>
        </r>
        <r>
          <rPr>
            <sz val="9"/>
            <color indexed="81"/>
            <rFont val="宋体"/>
            <family val="3"/>
            <charset val="134"/>
          </rPr>
          <t xml:space="preserve">
判断肝度氪度的一个相对值</t>
        </r>
      </text>
    </comment>
    <comment ref="N3" authorId="0" shapeId="0" xr:uid="{F3A60459-F372-428B-8CB3-A1EFD6AA2F53}">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A10" authorId="0" shapeId="0" xr:uid="{7CE6AD2B-543F-413B-91F7-9F1030E1F9F4}">
      <text>
        <r>
          <rPr>
            <b/>
            <sz val="9"/>
            <color indexed="81"/>
            <rFont val="宋体"/>
            <family val="3"/>
            <charset val="134"/>
          </rPr>
          <t>nine0426:</t>
        </r>
        <r>
          <rPr>
            <sz val="9"/>
            <color indexed="81"/>
            <rFont val="宋体"/>
            <family val="3"/>
            <charset val="134"/>
          </rPr>
          <t xml:space="preserve">
价值按卡牌数均分，变动原因为该品质卡获得难度，总价值始终为10000</t>
        </r>
      </text>
    </comment>
    <comment ref="E11" authorId="0" shapeId="0" xr:uid="{4E661F38-C79C-4098-82E5-BAD267ABAE06}">
      <text>
        <r>
          <rPr>
            <sz val="9"/>
            <color indexed="81"/>
            <rFont val="宋体"/>
            <family val="3"/>
            <charset val="134"/>
          </rPr>
          <t>偶然获得一次增加的总价值</t>
        </r>
      </text>
    </comment>
    <comment ref="B21" authorId="0" shapeId="0" xr:uid="{61E93F23-26DD-4B2D-A6A1-0BAC49D731A7}">
      <text>
        <r>
          <rPr>
            <b/>
            <sz val="9"/>
            <color indexed="81"/>
            <rFont val="宋体"/>
            <family val="3"/>
            <charset val="134"/>
          </rPr>
          <t>nine0426:</t>
        </r>
        <r>
          <rPr>
            <sz val="9"/>
            <color indexed="81"/>
            <rFont val="宋体"/>
            <family val="3"/>
            <charset val="134"/>
          </rPr>
          <t xml:space="preserve">
设定升级卡牌需要花费的金币总价值为10000，以此为根据进行划分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V8" authorId="0" shapeId="0" xr:uid="{1B6C682A-516F-4260-979F-8BE7474889F1}">
      <text>
        <r>
          <rPr>
            <b/>
            <sz val="9"/>
            <color indexed="81"/>
            <rFont val="宋体"/>
            <family val="3"/>
            <charset val="134"/>
          </rPr>
          <t>nine0426:</t>
        </r>
        <r>
          <rPr>
            <sz val="9"/>
            <color indexed="81"/>
            <rFont val="宋体"/>
            <family val="3"/>
            <charset val="134"/>
          </rPr>
          <t xml:space="preserve">
魔法书100级经验为565790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A2" authorId="0" shapeId="0" xr:uid="{5FB4C7B2-7152-4A1E-BF73-8526D540F2DA}">
      <text>
        <r>
          <rPr>
            <b/>
            <sz val="9"/>
            <color indexed="81"/>
            <rFont val="宋体"/>
            <family val="3"/>
            <charset val="134"/>
          </rPr>
          <t>nine0426:</t>
        </r>
        <r>
          <rPr>
            <sz val="9"/>
            <color indexed="81"/>
            <rFont val="宋体"/>
            <family val="3"/>
            <charset val="134"/>
          </rPr>
          <t xml:space="preserve">
在此输入，可使用简称或别称
</t>
        </r>
      </text>
    </comment>
    <comment ref="E2" authorId="0" shapeId="0" xr:uid="{2EA4BEF0-40F0-4347-A730-96A1ECCE3E4B}">
      <text>
        <r>
          <rPr>
            <b/>
            <sz val="9"/>
            <color indexed="81"/>
            <rFont val="宋体"/>
            <family val="3"/>
            <charset val="134"/>
          </rPr>
          <t>nine0426:</t>
        </r>
        <r>
          <rPr>
            <sz val="9"/>
            <color indexed="81"/>
            <rFont val="宋体"/>
            <family val="3"/>
            <charset val="134"/>
          </rPr>
          <t xml:space="preserve">
回响的契合度，跟</t>
        </r>
        <r>
          <rPr>
            <b/>
            <sz val="9"/>
            <color indexed="81"/>
            <rFont val="宋体"/>
            <family val="3"/>
            <charset val="134"/>
          </rPr>
          <t>回想机制，卡牌强度，克制关系</t>
        </r>
        <r>
          <rPr>
            <sz val="9"/>
            <color indexed="81"/>
            <rFont val="宋体"/>
            <family val="3"/>
            <charset val="134"/>
          </rPr>
          <t>有关</t>
        </r>
      </text>
    </comment>
    <comment ref="F2" authorId="0" shapeId="0" xr:uid="{1DD3ED51-30FC-472C-B42E-BF1B9B9B1512}">
      <text>
        <r>
          <rPr>
            <b/>
            <sz val="9"/>
            <color indexed="81"/>
            <rFont val="宋体"/>
            <family val="3"/>
            <charset val="134"/>
          </rPr>
          <t>nine0426:
根据决斗场实际收益</t>
        </r>
        <r>
          <rPr>
            <sz val="9"/>
            <color indexed="81"/>
            <rFont val="宋体"/>
            <family val="3"/>
            <charset val="134"/>
          </rPr>
          <t>综合得出</t>
        </r>
      </text>
    </comment>
    <comment ref="G2" authorId="0" shapeId="0" xr:uid="{3E6297BC-9520-4843-A0F2-F036288F2A88}">
      <text>
        <r>
          <rPr>
            <b/>
            <sz val="9"/>
            <color indexed="81"/>
            <rFont val="宋体"/>
            <family val="3"/>
            <charset val="134"/>
          </rPr>
          <t>nine0426:</t>
        </r>
        <r>
          <rPr>
            <sz val="9"/>
            <color indexed="81"/>
            <rFont val="宋体"/>
            <family val="3"/>
            <charset val="134"/>
          </rPr>
          <t xml:space="preserve">
与游戏内介绍相同
咒术卡增加</t>
        </r>
        <r>
          <rPr>
            <b/>
            <sz val="9"/>
            <color indexed="81"/>
            <rFont val="宋体"/>
            <family val="3"/>
            <charset val="134"/>
          </rPr>
          <t>斩杀能力</t>
        </r>
        <r>
          <rPr>
            <sz val="9"/>
            <color indexed="81"/>
            <rFont val="宋体"/>
            <family val="3"/>
            <charset val="134"/>
          </rPr>
          <t>，</t>
        </r>
        <r>
          <rPr>
            <b/>
            <sz val="9"/>
            <color indexed="81"/>
            <rFont val="宋体"/>
            <family val="3"/>
            <charset val="134"/>
          </rPr>
          <t>解场能力</t>
        </r>
        <r>
          <rPr>
            <sz val="9"/>
            <color indexed="81"/>
            <rFont val="宋体"/>
            <family val="3"/>
            <charset val="134"/>
          </rPr>
          <t xml:space="preserve">
召唤卡增加</t>
        </r>
        <r>
          <rPr>
            <b/>
            <sz val="9"/>
            <color indexed="81"/>
            <rFont val="宋体"/>
            <family val="3"/>
            <charset val="134"/>
          </rPr>
          <t>驻场能力</t>
        </r>
        <r>
          <rPr>
            <sz val="9"/>
            <color indexed="81"/>
            <rFont val="宋体"/>
            <family val="3"/>
            <charset val="134"/>
          </rPr>
          <t>，</t>
        </r>
        <r>
          <rPr>
            <b/>
            <sz val="9"/>
            <color indexed="81"/>
            <rFont val="宋体"/>
            <family val="3"/>
            <charset val="134"/>
          </rPr>
          <t>造成伤害</t>
        </r>
        <r>
          <rPr>
            <sz val="9"/>
            <color indexed="81"/>
            <rFont val="宋体"/>
            <family val="3"/>
            <charset val="134"/>
          </rPr>
          <t xml:space="preserve">
伙伴卡增加</t>
        </r>
        <r>
          <rPr>
            <b/>
            <sz val="9"/>
            <color indexed="81"/>
            <rFont val="宋体"/>
            <family val="3"/>
            <charset val="134"/>
          </rPr>
          <t>特殊能力</t>
        </r>
        <r>
          <rPr>
            <sz val="9"/>
            <color indexed="81"/>
            <rFont val="宋体"/>
            <family val="3"/>
            <charset val="134"/>
          </rPr>
          <t>，</t>
        </r>
        <r>
          <rPr>
            <b/>
            <sz val="9"/>
            <color indexed="81"/>
            <rFont val="宋体"/>
            <family val="3"/>
            <charset val="134"/>
          </rPr>
          <t>战场节奏把控</t>
        </r>
      </text>
    </comment>
    <comment ref="F9" authorId="0" shapeId="0" xr:uid="{DE790FD0-9D51-48E7-AC55-D8821D2FFBE6}">
      <text>
        <r>
          <rPr>
            <b/>
            <sz val="9"/>
            <color indexed="81"/>
            <rFont val="宋体"/>
            <family val="3"/>
            <charset val="134"/>
          </rPr>
          <t>nine0426:</t>
        </r>
        <r>
          <rPr>
            <sz val="9"/>
            <color indexed="81"/>
            <rFont val="宋体"/>
            <family val="3"/>
            <charset val="134"/>
          </rPr>
          <t xml:space="preserve">
携带发挥回响优势</t>
        </r>
      </text>
    </comment>
    <comment ref="G9" authorId="0" shapeId="0" xr:uid="{D3B3E0B9-B173-4D66-A9D0-DEF7649DD625}">
      <text>
        <r>
          <rPr>
            <b/>
            <sz val="9"/>
            <color indexed="81"/>
            <rFont val="宋体"/>
            <family val="3"/>
            <charset val="134"/>
          </rPr>
          <t>nine0426:</t>
        </r>
        <r>
          <rPr>
            <sz val="9"/>
            <color indexed="81"/>
            <rFont val="宋体"/>
            <family val="3"/>
            <charset val="134"/>
          </rPr>
          <t xml:space="preserve">
控制时长
施法难度
增益效果
回响契合度
出场率
战局收益
使用频率</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B1" authorId="0" shapeId="0" xr:uid="{959FB035-4725-40EA-828A-69C92A1E0DB2}">
      <text>
        <r>
          <rPr>
            <b/>
            <sz val="9"/>
            <color indexed="81"/>
            <rFont val="宋体"/>
            <family val="3"/>
            <charset val="134"/>
          </rPr>
          <t>nine0426:</t>
        </r>
        <r>
          <rPr>
            <sz val="9"/>
            <color indexed="81"/>
            <rFont val="宋体"/>
            <family val="3"/>
            <charset val="134"/>
          </rPr>
          <t xml:space="preserve">
强度的代表，本身有强度或者适合当前环境</t>
        </r>
      </text>
    </comment>
    <comment ref="B5" authorId="0" shapeId="0" xr:uid="{6D0A119F-35A7-4B01-88A3-2C776D51A737}">
      <text>
        <r>
          <rPr>
            <b/>
            <sz val="9"/>
            <color indexed="81"/>
            <rFont val="宋体"/>
            <family val="3"/>
            <charset val="134"/>
          </rPr>
          <t>nine0426:</t>
        </r>
        <r>
          <rPr>
            <sz val="9"/>
            <color indexed="81"/>
            <rFont val="宋体"/>
            <family val="3"/>
            <charset val="134"/>
          </rPr>
          <t xml:space="preserve">
强度第二梯队，或者需要回响加持</t>
        </r>
      </text>
    </comment>
    <comment ref="B8" authorId="0" shapeId="0" xr:uid="{687B42DE-67BD-44FC-8E70-2AED99F31FF0}">
      <text>
        <r>
          <rPr>
            <b/>
            <sz val="9"/>
            <color indexed="81"/>
            <rFont val="宋体"/>
            <family val="3"/>
            <charset val="134"/>
          </rPr>
          <t>nine0426:</t>
        </r>
        <r>
          <rPr>
            <sz val="9"/>
            <color indexed="81"/>
            <rFont val="宋体"/>
            <family val="3"/>
            <charset val="134"/>
          </rPr>
          <t xml:space="preserve">
对策卡，具有针对性，泛用性差，强度第三梯队，部分为较强辅助卡</t>
        </r>
      </text>
    </comment>
    <comment ref="B14" authorId="0" shapeId="0" xr:uid="{EE332DF8-8E67-466B-A036-53282848E22A}">
      <text>
        <r>
          <rPr>
            <b/>
            <sz val="9"/>
            <color indexed="81"/>
            <rFont val="宋体"/>
            <family val="3"/>
            <charset val="134"/>
          </rPr>
          <t>nine0426:</t>
        </r>
        <r>
          <rPr>
            <sz val="9"/>
            <color indexed="81"/>
            <rFont val="宋体"/>
            <family val="3"/>
            <charset val="134"/>
          </rPr>
          <t xml:space="preserve">
虽然有出场率，但仅起到辅助作用，作为单卡强度不可观</t>
        </r>
      </text>
    </comment>
    <comment ref="B17" authorId="0" shapeId="0" xr:uid="{3BA77454-F729-4DF2-A573-E59EFC2C0E90}">
      <text>
        <r>
          <rPr>
            <b/>
            <sz val="9"/>
            <color indexed="81"/>
            <rFont val="宋体"/>
            <family val="3"/>
            <charset val="134"/>
          </rPr>
          <t>nine0426:</t>
        </r>
        <r>
          <rPr>
            <sz val="9"/>
            <color indexed="81"/>
            <rFont val="宋体"/>
            <family val="3"/>
            <charset val="134"/>
          </rPr>
          <t xml:space="preserve">
决斗无用卡牌，或者有上位替代，上场率几乎为0，或者具有明显缺陷不适宜当前环境</t>
        </r>
      </text>
    </comment>
    <comment ref="A22" authorId="0" shapeId="0" xr:uid="{C5FEF0D8-0B59-47A9-937F-06AB84728380}">
      <text>
        <r>
          <rPr>
            <b/>
            <sz val="9"/>
            <color indexed="81"/>
            <rFont val="宋体"/>
            <family val="3"/>
            <charset val="134"/>
          </rPr>
          <t>nine0426:</t>
        </r>
        <r>
          <rPr>
            <sz val="9"/>
            <color indexed="81"/>
            <rFont val="宋体"/>
            <family val="3"/>
            <charset val="134"/>
          </rPr>
          <t xml:space="preserve">
强度较高或上场率高</t>
        </r>
      </text>
    </comment>
    <comment ref="B22" authorId="0" shapeId="0" xr:uid="{0BBE004C-11CF-42CB-8DA3-A30962FE76A1}">
      <text>
        <r>
          <rPr>
            <b/>
            <sz val="9"/>
            <color indexed="81"/>
            <rFont val="宋体"/>
            <family val="3"/>
            <charset val="134"/>
          </rPr>
          <t>nine0426:</t>
        </r>
        <r>
          <rPr>
            <sz val="9"/>
            <color indexed="81"/>
            <rFont val="宋体"/>
            <family val="3"/>
            <charset val="134"/>
          </rPr>
          <t xml:space="preserve">
强度较差或上场率低</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G1" authorId="0" shapeId="0" xr:uid="{5FE876C3-75B6-4EB8-A073-D6104868F40B}">
      <text>
        <r>
          <rPr>
            <b/>
            <sz val="9"/>
            <color indexed="81"/>
            <rFont val="宋体"/>
            <family val="3"/>
            <charset val="134"/>
          </rPr>
          <t>nine0426:</t>
        </r>
        <r>
          <rPr>
            <sz val="9"/>
            <color indexed="81"/>
            <rFont val="宋体"/>
            <family val="3"/>
            <charset val="134"/>
          </rPr>
          <t xml:space="preserve">
用于计算</t>
        </r>
        <r>
          <rPr>
            <b/>
            <sz val="9"/>
            <color indexed="81"/>
            <rFont val="宋体"/>
            <family val="3"/>
            <charset val="134"/>
          </rPr>
          <t>卢娜回响、纽特回响、贝拉回响</t>
        </r>
        <r>
          <rPr>
            <sz val="9"/>
            <color indexed="81"/>
            <rFont val="宋体"/>
            <family val="3"/>
            <charset val="134"/>
          </rPr>
          <t>衍生物等级
（请勿计入回响加成）</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2A480501-5EC1-454F-B9A9-6DF7317C359D}">
      <text>
        <r>
          <rPr>
            <b/>
            <sz val="9"/>
            <color indexed="81"/>
            <rFont val="宋体"/>
            <family val="3"/>
            <charset val="134"/>
          </rPr>
          <t>nine0426:</t>
        </r>
        <r>
          <rPr>
            <sz val="9"/>
            <color indexed="81"/>
            <rFont val="宋体"/>
            <family val="3"/>
            <charset val="134"/>
          </rPr>
          <t xml:space="preserve">
不计入未获得卡牌</t>
        </r>
      </text>
    </comment>
    <comment ref="D1" authorId="0" shapeId="0" xr:uid="{78ED8D5C-044B-4A34-B8C8-5E8D484DB197}">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B8C9E48B-695B-426C-AD13-9EAAD4454F28}">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768F4DEE-6852-47E5-8046-97D93F7C0373}">
      <text>
        <r>
          <rPr>
            <b/>
            <sz val="9"/>
            <color indexed="81"/>
            <rFont val="宋体"/>
            <family val="3"/>
            <charset val="134"/>
          </rPr>
          <t>nine0426:</t>
        </r>
        <r>
          <rPr>
            <sz val="9"/>
            <color indexed="81"/>
            <rFont val="宋体"/>
            <family val="3"/>
            <charset val="134"/>
          </rPr>
          <t xml:space="preserve">
收集满即为满级卡牌，不升级的也计入</t>
        </r>
      </text>
    </comment>
    <comment ref="A2" authorId="0" shapeId="0" xr:uid="{2FA4177F-3F32-4FD1-BA71-109ACF5F0332}">
      <text>
        <r>
          <rPr>
            <b/>
            <sz val="9"/>
            <color indexed="81"/>
            <rFont val="宋体"/>
            <family val="3"/>
            <charset val="134"/>
          </rPr>
          <t>nine0426:
不包括昔日重现·罗恩，阿瓦达，摧心咒</t>
        </r>
      </text>
    </comment>
    <comment ref="I3" authorId="0" shapeId="0" xr:uid="{9E448358-7A9E-47B0-9B69-000241DD1BE3}">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I5" authorId="0" shapeId="0" xr:uid="{A716F86A-7175-4C4E-AAD9-DE11665AD8BD}">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6ED7B65E-618D-4DB0-B2E7-B8025955BD40}">
      <text>
        <r>
          <rPr>
            <b/>
            <sz val="9"/>
            <color indexed="81"/>
            <rFont val="宋体"/>
            <family val="3"/>
            <charset val="134"/>
          </rPr>
          <t>nine0426:
（每种品质卡至少拥有一张时可用）</t>
        </r>
        <r>
          <rPr>
            <sz val="9"/>
            <color indexed="81"/>
            <rFont val="宋体"/>
            <family val="3"/>
            <charset val="134"/>
          </rPr>
          <t xml:space="preserve">
卡牌价值，按卡牌名称数均分，变动原因为该品质卡获得难度，总价值初始为10000，当某品质卡达到98%收集并填写收集天数表后，其价值清零，但仍算入持有总价值比</t>
        </r>
      </text>
    </comment>
    <comment ref="B10" authorId="0" shapeId="0" xr:uid="{DA663523-B83A-4680-8834-ABC351387265}">
      <text>
        <r>
          <rPr>
            <b/>
            <sz val="9"/>
            <color indexed="81"/>
            <rFont val="宋体"/>
            <family val="3"/>
            <charset val="134"/>
          </rPr>
          <t>nine0426:</t>
        </r>
        <r>
          <rPr>
            <sz val="9"/>
            <color indexed="81"/>
            <rFont val="宋体"/>
            <family val="3"/>
            <charset val="134"/>
          </rPr>
          <t xml:space="preserve">
期望价值</t>
        </r>
      </text>
    </comment>
    <comment ref="D10" authorId="0" shapeId="0" xr:uid="{AFE9B954-C7DA-43E4-9CC0-D54C96E8E7E8}">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1B87264F-A23C-435B-AF03-900CC038AF0D}">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G10" authorId="0" shapeId="0" xr:uid="{6D68FD80-CDD6-4C66-A483-5CBBB5204EC1}">
      <text>
        <r>
          <rPr>
            <b/>
            <sz val="9"/>
            <color indexed="81"/>
            <rFont val="宋体"/>
            <family val="3"/>
            <charset val="134"/>
          </rPr>
          <t>nine0426:</t>
        </r>
        <r>
          <rPr>
            <sz val="9"/>
            <color indexed="81"/>
            <rFont val="宋体"/>
            <family val="3"/>
            <charset val="134"/>
          </rPr>
          <t xml:space="preserve">
期望价值</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CD47BF41-CCD3-4652-8EB7-1BEEEFBCBB72}">
      <text>
        <r>
          <rPr>
            <b/>
            <sz val="9"/>
            <color indexed="81"/>
            <rFont val="宋体"/>
            <family val="3"/>
            <charset val="134"/>
          </rPr>
          <t>nine0426:</t>
        </r>
        <r>
          <rPr>
            <sz val="9"/>
            <color indexed="81"/>
            <rFont val="宋体"/>
            <family val="3"/>
            <charset val="134"/>
          </rPr>
          <t xml:space="preserve">
不计入未获得卡牌</t>
        </r>
      </text>
    </comment>
    <comment ref="D1" authorId="0" shapeId="0" xr:uid="{6ACB1D64-D517-4058-8348-2FBFB47FD862}">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8F1AC2CD-D1F0-467F-A95F-A640CCA36F2A}">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0F14315B-F193-4313-ADE6-2AD26D7DCB89}">
      <text>
        <r>
          <rPr>
            <b/>
            <sz val="9"/>
            <color indexed="81"/>
            <rFont val="宋体"/>
            <family val="3"/>
            <charset val="134"/>
          </rPr>
          <t>nine0426:</t>
        </r>
        <r>
          <rPr>
            <sz val="9"/>
            <color indexed="81"/>
            <rFont val="宋体"/>
            <family val="3"/>
            <charset val="134"/>
          </rPr>
          <t xml:space="preserve">
收集满即为满级卡牌，不升级的也计入</t>
        </r>
      </text>
    </comment>
    <comment ref="A2" authorId="0" shapeId="0" xr:uid="{D2F89C7C-CBFF-463C-B9E8-B51473CE6E87}">
      <text>
        <r>
          <rPr>
            <b/>
            <sz val="9"/>
            <color indexed="81"/>
            <rFont val="宋体"/>
            <family val="3"/>
            <charset val="134"/>
          </rPr>
          <t>nine0426:
不包括昔日重现·罗恩，阿瓦达，摧心咒</t>
        </r>
      </text>
    </comment>
    <comment ref="I3" authorId="0" shapeId="0" xr:uid="{B019B629-7FF9-4C1D-9A3A-CA4E584B29DE}">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I5" authorId="0" shapeId="0" xr:uid="{F2A5EB17-1681-446E-9098-73CDC919A40B}">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ABDFDBE8-2060-4855-BB40-5BA9ADFBBDFB}">
      <text>
        <r>
          <rPr>
            <b/>
            <sz val="9"/>
            <color indexed="81"/>
            <rFont val="宋体"/>
            <family val="3"/>
            <charset val="134"/>
          </rPr>
          <t>nine0426:
（每种品质卡至少拥有一张时可用）</t>
        </r>
        <r>
          <rPr>
            <sz val="9"/>
            <color indexed="81"/>
            <rFont val="宋体"/>
            <family val="3"/>
            <charset val="134"/>
          </rPr>
          <t xml:space="preserve">
卡牌价值，按卡牌名称数均分，变动原因为该品质卡获得难度，总价值初始为10000，当某品质卡达到98%收集并填写收集天数表后，其价值清零，但仍算入持有总价值比</t>
        </r>
      </text>
    </comment>
    <comment ref="B10" authorId="0" shapeId="0" xr:uid="{E1762FBD-F33C-4E89-8546-304584F32E9C}">
      <text>
        <r>
          <rPr>
            <b/>
            <sz val="9"/>
            <color indexed="81"/>
            <rFont val="宋体"/>
            <family val="3"/>
            <charset val="134"/>
          </rPr>
          <t>nine0426:</t>
        </r>
        <r>
          <rPr>
            <sz val="9"/>
            <color indexed="81"/>
            <rFont val="宋体"/>
            <family val="3"/>
            <charset val="134"/>
          </rPr>
          <t xml:space="preserve">
期望价值</t>
        </r>
      </text>
    </comment>
    <comment ref="D10" authorId="0" shapeId="0" xr:uid="{DDFAA7DD-B1A7-4D35-AF08-B70BC9E73628}">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FADA0FDE-B792-41DC-83BD-20D57A0C7163}">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61C41483-3F7A-431F-8EE8-7090FCDDDE5D}">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5CC72700-29CA-4C1C-B698-301140528354}">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nine0426</author>
  </authors>
  <commentList>
    <comment ref="C1" authorId="0" shapeId="0" xr:uid="{8BBBC5A8-2F25-424A-A755-30CA562EEFD1}">
      <text>
        <r>
          <rPr>
            <b/>
            <sz val="9"/>
            <color indexed="81"/>
            <rFont val="宋体"/>
            <family val="3"/>
            <charset val="134"/>
          </rPr>
          <t>nine0426:</t>
        </r>
        <r>
          <rPr>
            <sz val="9"/>
            <color indexed="81"/>
            <rFont val="宋体"/>
            <family val="3"/>
            <charset val="134"/>
          </rPr>
          <t xml:space="preserve">
不计入未获得卡牌</t>
        </r>
      </text>
    </comment>
    <comment ref="D1" authorId="0" shapeId="0" xr:uid="{4658004E-EB5F-4EAB-8623-1E31AB309C44}">
      <text>
        <r>
          <rPr>
            <b/>
            <sz val="9"/>
            <color indexed="81"/>
            <rFont val="宋体"/>
            <family val="3"/>
            <charset val="134"/>
          </rPr>
          <t>nine0426:</t>
        </r>
        <r>
          <rPr>
            <sz val="9"/>
            <color indexed="81"/>
            <rFont val="宋体"/>
            <family val="3"/>
            <charset val="134"/>
          </rPr>
          <t xml:space="preserve">
已计入预估的图书馆通行证获得的卡牌数
但不会超出对应品质总卡牌上限</t>
        </r>
      </text>
    </comment>
    <comment ref="E1" authorId="0" shapeId="0" xr:uid="{9B34044D-0C7D-43E8-BE0B-21564BAB58E5}">
      <text>
        <r>
          <rPr>
            <b/>
            <sz val="9"/>
            <color indexed="81"/>
            <rFont val="宋体"/>
            <family val="3"/>
            <charset val="134"/>
          </rPr>
          <t>nine0426:</t>
        </r>
        <r>
          <rPr>
            <sz val="9"/>
            <color indexed="81"/>
            <rFont val="宋体"/>
            <family val="3"/>
            <charset val="134"/>
          </rPr>
          <t xml:space="preserve">
卡牌总数与满级卡牌总数的比值</t>
        </r>
      </text>
    </comment>
    <comment ref="F1" authorId="0" shapeId="0" xr:uid="{DAE675BF-396F-454A-A071-BC7E00F5FC6F}">
      <text>
        <r>
          <rPr>
            <b/>
            <sz val="9"/>
            <color indexed="81"/>
            <rFont val="宋体"/>
            <family val="3"/>
            <charset val="134"/>
          </rPr>
          <t>nine0426:</t>
        </r>
        <r>
          <rPr>
            <sz val="9"/>
            <color indexed="81"/>
            <rFont val="宋体"/>
            <family val="3"/>
            <charset val="134"/>
          </rPr>
          <t xml:space="preserve">
收集满即为满级卡牌，不升级的也计入</t>
        </r>
      </text>
    </comment>
    <comment ref="G1" authorId="0" shapeId="0" xr:uid="{9D6298D7-6660-4029-A046-60646845A155}">
      <text>
        <r>
          <rPr>
            <b/>
            <sz val="9"/>
            <color indexed="81"/>
            <rFont val="宋体"/>
            <family val="3"/>
            <charset val="134"/>
          </rPr>
          <t>nine0426:</t>
        </r>
        <r>
          <rPr>
            <sz val="9"/>
            <color indexed="81"/>
            <rFont val="宋体"/>
            <family val="3"/>
            <charset val="134"/>
          </rPr>
          <t xml:space="preserve">
所有该品质卡满级还需要的天数
（数值偏大）</t>
        </r>
      </text>
    </comment>
    <comment ref="H1" authorId="0" shapeId="0" xr:uid="{DE3CD8F5-1FB4-4453-AEE3-46D032F85E09}">
      <text>
        <r>
          <rPr>
            <b/>
            <sz val="9"/>
            <color indexed="81"/>
            <rFont val="宋体"/>
            <family val="3"/>
            <charset val="134"/>
          </rPr>
          <t>nine0426:</t>
        </r>
        <r>
          <rPr>
            <sz val="9"/>
            <color indexed="81"/>
            <rFont val="宋体"/>
            <family val="3"/>
            <charset val="134"/>
          </rPr>
          <t xml:space="preserve">
达到满收集还需要的通行证</t>
        </r>
      </text>
    </comment>
    <comment ref="I1" authorId="0" shapeId="0" xr:uid="{B41FB427-14A7-4B91-942A-7C1F5E7F7C71}">
      <text>
        <r>
          <rPr>
            <b/>
            <sz val="9"/>
            <color indexed="81"/>
            <rFont val="宋体"/>
            <family val="3"/>
            <charset val="134"/>
          </rPr>
          <t>nine0426:</t>
        </r>
        <r>
          <rPr>
            <sz val="9"/>
            <color indexed="81"/>
            <rFont val="宋体"/>
            <family val="3"/>
            <charset val="134"/>
          </rPr>
          <t xml:space="preserve">
平均每天获得的卡牌总数
</t>
        </r>
      </text>
    </comment>
    <comment ref="L1" authorId="0" shapeId="0" xr:uid="{FCB73078-1985-4D25-98B2-74F9149A2E95}">
      <text>
        <r>
          <rPr>
            <b/>
            <sz val="9"/>
            <color indexed="81"/>
            <rFont val="宋体"/>
            <family val="3"/>
            <charset val="134"/>
          </rPr>
          <t>nine0426:</t>
        </r>
        <r>
          <rPr>
            <sz val="9"/>
            <color indexed="81"/>
            <rFont val="宋体"/>
            <family val="3"/>
            <charset val="134"/>
          </rPr>
          <t xml:space="preserve">
每个月获得的奇迹之沙
（仅供参考）
（未达到全收集时数值偏大）</t>
        </r>
      </text>
    </comment>
    <comment ref="A2" authorId="0" shapeId="0" xr:uid="{02526EB1-A61E-40ED-9CC9-0C8916F2FDC9}">
      <text>
        <r>
          <rPr>
            <b/>
            <sz val="9"/>
            <color indexed="81"/>
            <rFont val="宋体"/>
            <family val="3"/>
            <charset val="134"/>
          </rPr>
          <t>nine0426:
不包括昔日重现·罗恩，阿瓦达，摧心咒</t>
        </r>
      </text>
    </comment>
    <comment ref="M3" authorId="0" shapeId="0" xr:uid="{A6C15A63-155C-49CF-A2DE-CF44A70DBD81}">
      <text>
        <r>
          <rPr>
            <b/>
            <sz val="9"/>
            <color indexed="81"/>
            <rFont val="宋体"/>
            <family val="3"/>
            <charset val="134"/>
          </rPr>
          <t>nine0426:</t>
        </r>
        <r>
          <rPr>
            <sz val="9"/>
            <color indexed="81"/>
            <rFont val="宋体"/>
            <family val="3"/>
            <charset val="134"/>
          </rPr>
          <t xml:space="preserve">
100级魔法书的经验总量为565790，当超出这个值时，经验占比也会超出100%</t>
        </r>
      </text>
    </comment>
    <comment ref="M5" authorId="0" shapeId="0" xr:uid="{2A1BE0D5-74E3-4819-BCCC-05D98A065AE4}">
      <text>
        <r>
          <rPr>
            <b/>
            <sz val="9"/>
            <color indexed="81"/>
            <rFont val="宋体"/>
            <family val="3"/>
            <charset val="134"/>
          </rPr>
          <t>nine0426:</t>
        </r>
        <r>
          <rPr>
            <sz val="9"/>
            <color indexed="81"/>
            <rFont val="宋体"/>
            <family val="3"/>
            <charset val="134"/>
          </rPr>
          <t xml:space="preserve">
所有价值与初始总价值的比值，</t>
        </r>
        <r>
          <rPr>
            <b/>
            <sz val="9"/>
            <color indexed="81"/>
            <rFont val="宋体"/>
            <family val="3"/>
            <charset val="134"/>
          </rPr>
          <t>反映目前的卡牌收集程度</t>
        </r>
        <r>
          <rPr>
            <sz val="9"/>
            <color indexed="81"/>
            <rFont val="宋体"/>
            <family val="3"/>
            <charset val="134"/>
          </rPr>
          <t>，总价值初始为10000，清零的价值仍计入</t>
        </r>
      </text>
    </comment>
    <comment ref="A9" authorId="0" shapeId="0" xr:uid="{9F0D1752-53C2-4010-9606-A2F4438A2662}">
      <text>
        <r>
          <rPr>
            <b/>
            <sz val="9"/>
            <color indexed="81"/>
            <rFont val="宋体"/>
            <family val="3"/>
            <charset val="134"/>
          </rPr>
          <t>nine0426:
（每种品质卡至少拥有一张时可用）</t>
        </r>
        <r>
          <rPr>
            <sz val="9"/>
            <color indexed="81"/>
            <rFont val="宋体"/>
            <family val="3"/>
            <charset val="134"/>
          </rPr>
          <t xml:space="preserve">
卡牌价值，按卡牌名称数均分，变动原因为该品质卡获得难度，总价值初始为10000，当某品质卡达到98%收集并填写收集天数表后，其价值清零，但仍算入持有总价值比</t>
        </r>
      </text>
    </comment>
    <comment ref="B10" authorId="0" shapeId="0" xr:uid="{442E14D1-8A8E-4C65-9C5D-1460A4632C1D}">
      <text>
        <r>
          <rPr>
            <b/>
            <sz val="9"/>
            <color indexed="81"/>
            <rFont val="宋体"/>
            <family val="3"/>
            <charset val="134"/>
          </rPr>
          <t>nine0426:</t>
        </r>
        <r>
          <rPr>
            <sz val="9"/>
            <color indexed="81"/>
            <rFont val="宋体"/>
            <family val="3"/>
            <charset val="134"/>
          </rPr>
          <t xml:space="preserve">
期望价值</t>
        </r>
      </text>
    </comment>
    <comment ref="D10" authorId="0" shapeId="0" xr:uid="{8E50CE8C-8F41-4B72-B616-B78CEB091C1F}">
      <text>
        <r>
          <rPr>
            <b/>
            <sz val="9"/>
            <color indexed="81"/>
            <rFont val="宋体"/>
            <family val="3"/>
            <charset val="134"/>
          </rPr>
          <t>nine0426:
对应价值占总价值的比例</t>
        </r>
        <r>
          <rPr>
            <sz val="9"/>
            <color indexed="81"/>
            <rFont val="宋体"/>
            <family val="3"/>
            <charset val="134"/>
          </rPr>
          <t xml:space="preserve">
清零的价值比不显示</t>
        </r>
      </text>
    </comment>
    <comment ref="E10" authorId="0" shapeId="0" xr:uid="{7A0D1696-8B18-4831-9155-435A1B2AF1C9}">
      <text>
        <r>
          <rPr>
            <b/>
            <sz val="9"/>
            <color indexed="81"/>
            <rFont val="宋体"/>
            <family val="3"/>
            <charset val="134"/>
          </rPr>
          <t>nine0426:</t>
        </r>
        <r>
          <rPr>
            <sz val="9"/>
            <color indexed="81"/>
            <rFont val="宋体"/>
            <family val="3"/>
            <charset val="134"/>
          </rPr>
          <t xml:space="preserve">
偶然一次获得时的总价值增量，可视为单张真价值
随着获得次数增加会逐渐接近原价值，不完全准确</t>
        </r>
      </text>
    </comment>
    <comment ref="A11" authorId="0" shapeId="0" xr:uid="{E20EE83E-F418-4C06-9386-05ADBA7147A2}">
      <text>
        <r>
          <rPr>
            <b/>
            <sz val="9"/>
            <color indexed="81"/>
            <rFont val="宋体"/>
            <family val="3"/>
            <charset val="134"/>
          </rPr>
          <t>nine0426:</t>
        </r>
        <r>
          <rPr>
            <sz val="9"/>
            <color indexed="81"/>
            <rFont val="宋体"/>
            <family val="3"/>
            <charset val="134"/>
          </rPr>
          <t xml:space="preserve">
不包括</t>
        </r>
        <r>
          <rPr>
            <b/>
            <sz val="9"/>
            <color indexed="81"/>
            <rFont val="宋体"/>
            <family val="3"/>
            <charset val="134"/>
          </rPr>
          <t>昔日重现·罗恩，阿瓦达，摧心咒</t>
        </r>
      </text>
    </comment>
    <comment ref="C16" authorId="0" shapeId="0" xr:uid="{7956792B-C260-48AF-BED5-C35D788AB60C}">
      <text>
        <r>
          <rPr>
            <b/>
            <sz val="9"/>
            <color indexed="81"/>
            <rFont val="宋体"/>
            <family val="3"/>
            <charset val="134"/>
          </rPr>
          <t>nine0426:</t>
        </r>
        <r>
          <rPr>
            <sz val="9"/>
            <color indexed="81"/>
            <rFont val="宋体"/>
            <family val="3"/>
            <charset val="134"/>
          </rPr>
          <t xml:space="preserve">
统计作业表中所拥有图书馆通行证的总价值</t>
        </r>
      </text>
    </comment>
  </commentList>
</comments>
</file>

<file path=xl/sharedStrings.xml><?xml version="1.0" encoding="utf-8"?>
<sst xmlns="http://schemas.openxmlformats.org/spreadsheetml/2006/main" count="4114" uniqueCount="944">
  <si>
    <t>等级</t>
  </si>
  <si>
    <t>等级</t>
    <phoneticPr fontId="1" type="noConversion"/>
  </si>
  <si>
    <t>史诗卡</t>
    <phoneticPr fontId="1" type="noConversion"/>
  </si>
  <si>
    <t>普通卡</t>
    <phoneticPr fontId="1" type="noConversion"/>
  </si>
  <si>
    <t>稀有卡</t>
    <phoneticPr fontId="1" type="noConversion"/>
  </si>
  <si>
    <t>总计</t>
    <phoneticPr fontId="1" type="noConversion"/>
  </si>
  <si>
    <t>金色飞贼</t>
    <phoneticPr fontId="1" type="noConversion"/>
  </si>
  <si>
    <t>阿瓦达索命</t>
    <phoneticPr fontId="1" type="noConversion"/>
  </si>
  <si>
    <t>闪电风暴</t>
    <phoneticPr fontId="1" type="noConversion"/>
  </si>
  <si>
    <t>石墩出动</t>
    <phoneticPr fontId="1" type="noConversion"/>
  </si>
  <si>
    <t>挪威脊背龙蛋</t>
    <phoneticPr fontId="1" type="noConversion"/>
  </si>
  <si>
    <t>澳洲蛋白眼幼龙</t>
    <phoneticPr fontId="1" type="noConversion"/>
  </si>
  <si>
    <t>厉火</t>
    <phoneticPr fontId="1" type="noConversion"/>
  </si>
  <si>
    <t>钻心剜骨</t>
    <phoneticPr fontId="1" type="noConversion"/>
  </si>
  <si>
    <t>水牢</t>
    <phoneticPr fontId="1" type="noConversion"/>
  </si>
  <si>
    <t>凤凰</t>
    <phoneticPr fontId="1" type="noConversion"/>
  </si>
  <si>
    <t>火焰熊熊</t>
    <phoneticPr fontId="1" type="noConversion"/>
  </si>
  <si>
    <t>游走球</t>
    <phoneticPr fontId="1" type="noConversion"/>
  </si>
  <si>
    <t>火灰蛇</t>
    <phoneticPr fontId="1" type="noConversion"/>
  </si>
  <si>
    <t>独角兽</t>
    <phoneticPr fontId="1" type="noConversion"/>
  </si>
  <si>
    <t>飓风咒</t>
    <phoneticPr fontId="1" type="noConversion"/>
  </si>
  <si>
    <t>单卡总计</t>
    <phoneticPr fontId="1" type="noConversion"/>
  </si>
  <si>
    <t>卡牌数</t>
    <phoneticPr fontId="1" type="noConversion"/>
  </si>
  <si>
    <t>闪回咒</t>
    <phoneticPr fontId="1" type="noConversion"/>
  </si>
  <si>
    <t>神锋无影</t>
    <phoneticPr fontId="1" type="noConversion"/>
  </si>
  <si>
    <t>特波疣猪</t>
    <phoneticPr fontId="1" type="noConversion"/>
  </si>
  <si>
    <t>三头犬宝宝</t>
    <phoneticPr fontId="1" type="noConversion"/>
  </si>
  <si>
    <t>除你武器</t>
    <phoneticPr fontId="1" type="noConversion"/>
  </si>
  <si>
    <t>嗅嗅</t>
    <phoneticPr fontId="1" type="noConversion"/>
  </si>
  <si>
    <t>甜品大师</t>
    <phoneticPr fontId="1" type="noConversion"/>
  </si>
  <si>
    <t>雷鸟</t>
    <phoneticPr fontId="1" type="noConversion"/>
  </si>
  <si>
    <t>韦斯莱烟花</t>
    <phoneticPr fontId="1" type="noConversion"/>
  </si>
  <si>
    <t>霹雳爆炸</t>
    <phoneticPr fontId="1" type="noConversion"/>
  </si>
  <si>
    <t>鸟蛇</t>
    <phoneticPr fontId="1" type="noConversion"/>
  </si>
  <si>
    <t>把戏坊烟花盒</t>
    <phoneticPr fontId="1" type="noConversion"/>
  </si>
  <si>
    <t>三本妖怪书</t>
    <phoneticPr fontId="1" type="noConversion"/>
  </si>
  <si>
    <t>漂浮炸弹</t>
    <phoneticPr fontId="1" type="noConversion"/>
  </si>
  <si>
    <t>卷翼魔</t>
    <phoneticPr fontId="1" type="noConversion"/>
  </si>
  <si>
    <t>时间转换器</t>
    <phoneticPr fontId="1" type="noConversion"/>
  </si>
  <si>
    <t>多重冰冻咒</t>
    <phoneticPr fontId="1" type="noConversion"/>
  </si>
  <si>
    <t>摄神取念</t>
    <phoneticPr fontId="1" type="noConversion"/>
  </si>
  <si>
    <t>飞来咒</t>
    <phoneticPr fontId="1" type="noConversion"/>
  </si>
  <si>
    <t>变形咒</t>
    <phoneticPr fontId="1" type="noConversion"/>
  </si>
  <si>
    <t>格洛普</t>
    <phoneticPr fontId="1" type="noConversion"/>
  </si>
  <si>
    <t>弗雷兄弟</t>
    <phoneticPr fontId="1" type="noConversion"/>
  </si>
  <si>
    <t>棋子士兵</t>
    <phoneticPr fontId="1" type="noConversion"/>
  </si>
  <si>
    <t>巨怪</t>
    <phoneticPr fontId="1" type="noConversion"/>
  </si>
  <si>
    <t>妖怪们的妖怪书</t>
    <phoneticPr fontId="1" type="noConversion"/>
  </si>
  <si>
    <t>犀角兽</t>
    <phoneticPr fontId="1" type="noConversion"/>
  </si>
  <si>
    <t>愈合如初</t>
    <phoneticPr fontId="1" type="noConversion"/>
  </si>
  <si>
    <t>飞天扫帚</t>
    <phoneticPr fontId="1" type="noConversion"/>
  </si>
  <si>
    <t>冰冻咒</t>
    <phoneticPr fontId="1" type="noConversion"/>
  </si>
  <si>
    <t>火螃蟹</t>
    <phoneticPr fontId="1" type="noConversion"/>
  </si>
  <si>
    <t>气象咒</t>
    <phoneticPr fontId="1" type="noConversion"/>
  </si>
  <si>
    <t>昏昏倒地</t>
    <phoneticPr fontId="1" type="noConversion"/>
  </si>
  <si>
    <t>雪球咒</t>
    <phoneticPr fontId="1" type="noConversion"/>
  </si>
  <si>
    <t>飞沙走石</t>
    <phoneticPr fontId="1" type="noConversion"/>
  </si>
  <si>
    <t>炸尾螺</t>
    <phoneticPr fontId="1" type="noConversion"/>
  </si>
  <si>
    <t>八眼蜘蛛巢穴</t>
    <phoneticPr fontId="1" type="noConversion"/>
  </si>
  <si>
    <t>恶婆鸟</t>
    <phoneticPr fontId="1" type="noConversion"/>
  </si>
  <si>
    <t>打人柳</t>
    <phoneticPr fontId="1" type="noConversion"/>
  </si>
  <si>
    <t>灵猫</t>
    <phoneticPr fontId="1" type="noConversion"/>
  </si>
  <si>
    <t>盔甲护身</t>
    <phoneticPr fontId="1" type="noConversion"/>
  </si>
  <si>
    <t>充气咒</t>
    <phoneticPr fontId="1" type="noConversion"/>
  </si>
  <si>
    <t>云雾飘渺</t>
    <phoneticPr fontId="1" type="noConversion"/>
  </si>
  <si>
    <t>清水如泉</t>
    <phoneticPr fontId="1" type="noConversion"/>
  </si>
  <si>
    <t>随从显形</t>
    <phoneticPr fontId="1" type="noConversion"/>
  </si>
  <si>
    <t>罗宾</t>
    <phoneticPr fontId="1" type="noConversion"/>
  </si>
  <si>
    <t>丹尼尔</t>
    <phoneticPr fontId="1" type="noConversion"/>
  </si>
  <si>
    <t>凯文</t>
    <phoneticPr fontId="1" type="noConversion"/>
  </si>
  <si>
    <t>海格</t>
    <phoneticPr fontId="1" type="noConversion"/>
  </si>
  <si>
    <t>卡珊德拉</t>
    <phoneticPr fontId="1" type="noConversion"/>
  </si>
  <si>
    <t>艾薇</t>
    <phoneticPr fontId="1" type="noConversion"/>
  </si>
  <si>
    <t>洛蒂</t>
    <phoneticPr fontId="1" type="noConversion"/>
  </si>
  <si>
    <t>哈利</t>
    <phoneticPr fontId="1" type="noConversion"/>
  </si>
  <si>
    <t>赫敏</t>
    <phoneticPr fontId="1" type="noConversion"/>
  </si>
  <si>
    <t>卢娜</t>
    <phoneticPr fontId="1" type="noConversion"/>
  </si>
  <si>
    <t>麦格</t>
    <phoneticPr fontId="1" type="noConversion"/>
  </si>
  <si>
    <t>万弹齐发</t>
    <phoneticPr fontId="1" type="noConversion"/>
  </si>
  <si>
    <t>速速禁锢</t>
    <phoneticPr fontId="1" type="noConversion"/>
  </si>
  <si>
    <t>膨胀药水</t>
    <phoneticPr fontId="1" type="noConversion"/>
  </si>
  <si>
    <t>小蜘蛛群</t>
    <phoneticPr fontId="1" type="noConversion"/>
  </si>
  <si>
    <t>八眼巨蛛的毒液</t>
    <phoneticPr fontId="1" type="noConversion"/>
  </si>
  <si>
    <t>马人</t>
    <phoneticPr fontId="1" type="noConversion"/>
  </si>
  <si>
    <t>康沃尔郡小精灵</t>
    <phoneticPr fontId="1" type="noConversion"/>
  </si>
  <si>
    <t>白鲜香精</t>
    <phoneticPr fontId="1" type="noConversion"/>
  </si>
  <si>
    <t>统统加护</t>
    <phoneticPr fontId="1" type="noConversion"/>
  </si>
  <si>
    <t>吼叫信</t>
    <phoneticPr fontId="1" type="noConversion"/>
  </si>
  <si>
    <t>门钥匙</t>
    <phoneticPr fontId="1" type="noConversion"/>
  </si>
  <si>
    <t>余卡</t>
  </si>
  <si>
    <t>余卡</t>
    <phoneticPr fontId="1" type="noConversion"/>
  </si>
  <si>
    <t>理论卡牌数</t>
  </si>
  <si>
    <t>理论卡牌数</t>
    <phoneticPr fontId="1" type="noConversion"/>
  </si>
  <si>
    <t>完成度</t>
    <phoneticPr fontId="1" type="noConversion"/>
  </si>
  <si>
    <t>预计肝天</t>
    <phoneticPr fontId="1" type="noConversion"/>
  </si>
  <si>
    <t>平均日卡</t>
    <phoneticPr fontId="1" type="noConversion"/>
  </si>
  <si>
    <t>天数</t>
    <phoneticPr fontId="1" type="noConversion"/>
  </si>
  <si>
    <t>金币</t>
    <phoneticPr fontId="1" type="noConversion"/>
  </si>
  <si>
    <t>总计肝天</t>
    <phoneticPr fontId="1" type="noConversion"/>
  </si>
  <si>
    <t>当前魔法书等级</t>
    <phoneticPr fontId="1" type="noConversion"/>
  </si>
  <si>
    <t>魔法书后续平均每级需要天数</t>
    <phoneticPr fontId="1" type="noConversion"/>
  </si>
  <si>
    <t>总卡牌数</t>
    <phoneticPr fontId="1" type="noConversion"/>
  </si>
  <si>
    <t>卡牌平均等级</t>
    <phoneticPr fontId="1" type="noConversion"/>
  </si>
  <si>
    <t>累积花费金币</t>
    <phoneticPr fontId="1" type="noConversion"/>
  </si>
  <si>
    <t>昔日重现•马尔福三人组</t>
    <phoneticPr fontId="1" type="noConversion"/>
  </si>
  <si>
    <t>昔日重现•罗恩</t>
    <phoneticPr fontId="1" type="noConversion"/>
  </si>
  <si>
    <t>默默然</t>
    <phoneticPr fontId="1" type="noConversion"/>
  </si>
  <si>
    <t>昔日重现•邓布利多</t>
    <phoneticPr fontId="1" type="noConversion"/>
  </si>
  <si>
    <t>雪人飞来</t>
    <phoneticPr fontId="1" type="noConversion"/>
  </si>
  <si>
    <r>
      <t>在</t>
    </r>
    <r>
      <rPr>
        <sz val="11"/>
        <color rgb="FFFF0000"/>
        <rFont val="等线"/>
        <family val="3"/>
        <charset val="134"/>
        <scheme val="minor"/>
      </rPr>
      <t>红色底纹的单元格中输入数据</t>
    </r>
    <r>
      <rPr>
        <sz val="11"/>
        <color theme="1" tint="4.9989318521683403E-2"/>
        <rFont val="等线"/>
        <family val="3"/>
        <charset val="134"/>
        <scheme val="minor"/>
      </rPr>
      <t>，没有那张卡等级填0，</t>
    </r>
    <r>
      <rPr>
        <sz val="11"/>
        <color rgb="FFFF0000"/>
        <rFont val="等线"/>
        <family val="3"/>
        <charset val="134"/>
        <scheme val="minor"/>
      </rPr>
      <t>得到的结果</t>
    </r>
    <r>
      <rPr>
        <sz val="11"/>
        <color theme="1" tint="4.9989318521683403E-2"/>
        <rFont val="等线"/>
        <family val="3"/>
        <charset val="134"/>
        <scheme val="minor"/>
      </rPr>
      <t>是按照目前的活跃程度和氪度估算的</t>
    </r>
    <phoneticPr fontId="1" type="noConversion"/>
  </si>
  <si>
    <t>魔法书经验</t>
    <phoneticPr fontId="1" type="noConversion"/>
  </si>
  <si>
    <t>魔法书达到100级还需要天数</t>
    <phoneticPr fontId="1" type="noConversion"/>
  </si>
  <si>
    <t>日期2022.01.21</t>
    <phoneticPr fontId="1" type="noConversion"/>
  </si>
  <si>
    <t>图书馆通行证</t>
    <phoneticPr fontId="1" type="noConversion"/>
  </si>
  <si>
    <t>概率</t>
    <phoneticPr fontId="1" type="noConversion"/>
  </si>
  <si>
    <t>保底概率</t>
    <phoneticPr fontId="1" type="noConversion"/>
  </si>
  <si>
    <t>每阅读一次</t>
    <phoneticPr fontId="1" type="noConversion"/>
  </si>
  <si>
    <t>保底规则</t>
    <phoneticPr fontId="1" type="noConversion"/>
  </si>
  <si>
    <t>数学期望</t>
    <phoneticPr fontId="1" type="noConversion"/>
  </si>
  <si>
    <t>非凡卡包</t>
    <phoneticPr fontId="1" type="noConversion"/>
  </si>
  <si>
    <t>四十次数学期望</t>
    <phoneticPr fontId="1" type="noConversion"/>
  </si>
  <si>
    <t>迷雾卡牌</t>
    <phoneticPr fontId="1" type="noConversion"/>
  </si>
  <si>
    <t>三十次数学期望</t>
    <phoneticPr fontId="1" type="noConversion"/>
  </si>
  <si>
    <t>普通卡池概率</t>
    <phoneticPr fontId="1" type="noConversion"/>
  </si>
  <si>
    <t>计算结果</t>
    <phoneticPr fontId="1" type="noConversion"/>
  </si>
  <si>
    <t>卡牌数量</t>
    <phoneticPr fontId="1" type="noConversion"/>
  </si>
  <si>
    <t>占比</t>
    <phoneticPr fontId="1" type="noConversion"/>
  </si>
  <si>
    <r>
      <rPr>
        <b/>
        <sz val="11"/>
        <color theme="7" tint="0.39997558519241921"/>
        <rFont val="等线"/>
        <family val="3"/>
        <charset val="134"/>
        <scheme val="minor"/>
      </rPr>
      <t>传说</t>
    </r>
    <r>
      <rPr>
        <sz val="11"/>
        <color theme="1"/>
        <rFont val="等线"/>
        <family val="2"/>
        <scheme val="minor"/>
      </rPr>
      <t>卡</t>
    </r>
    <phoneticPr fontId="1" type="noConversion"/>
  </si>
  <si>
    <t>每10次必出一张</t>
    <phoneticPr fontId="1" type="noConversion"/>
  </si>
  <si>
    <t>非凡卡池每30次必出一张</t>
    <phoneticPr fontId="1" type="noConversion"/>
  </si>
  <si>
    <r>
      <rPr>
        <b/>
        <sz val="11"/>
        <color theme="9" tint="-0.249977111117893"/>
        <rFont val="等线"/>
        <family val="3"/>
        <charset val="134"/>
        <scheme val="minor"/>
      </rPr>
      <t>禁忌</t>
    </r>
    <r>
      <rPr>
        <sz val="11"/>
        <color theme="1"/>
        <rFont val="等线"/>
        <family val="2"/>
        <scheme val="minor"/>
      </rPr>
      <t>/</t>
    </r>
    <r>
      <rPr>
        <b/>
        <sz val="11"/>
        <color theme="0" tint="-4.9989318521683403E-2"/>
        <rFont val="等线"/>
        <family val="3"/>
        <charset val="134"/>
        <scheme val="minor"/>
      </rPr>
      <t>光辉</t>
    </r>
    <r>
      <rPr>
        <sz val="11"/>
        <color theme="1"/>
        <rFont val="等线"/>
        <family val="2"/>
        <scheme val="minor"/>
      </rPr>
      <t>卡</t>
    </r>
    <phoneticPr fontId="1" type="noConversion"/>
  </si>
  <si>
    <t>传说卡</t>
  </si>
  <si>
    <t>日期2022.01.30</t>
    <phoneticPr fontId="1" type="noConversion"/>
  </si>
  <si>
    <t>2021.12.30</t>
    <phoneticPr fontId="1" type="noConversion"/>
  </si>
  <si>
    <t>1000金币</t>
    <phoneticPr fontId="1" type="noConversion"/>
  </si>
  <si>
    <t>火盾护身</t>
    <phoneticPr fontId="1" type="noConversion"/>
  </si>
  <si>
    <t>日期2022.04.13</t>
    <phoneticPr fontId="1" type="noConversion"/>
  </si>
  <si>
    <t>昔日重现•多比</t>
    <phoneticPr fontId="1" type="noConversion"/>
  </si>
  <si>
    <t>带翼弹弓</t>
    <phoneticPr fontId="1" type="noConversion"/>
  </si>
  <si>
    <t>日期2022.05.13</t>
    <phoneticPr fontId="1" type="noConversion"/>
  </si>
  <si>
    <t>魔法书后续平均每级预计天数</t>
    <phoneticPr fontId="1" type="noConversion"/>
  </si>
  <si>
    <t>魔法书达到100级预计天数</t>
    <phoneticPr fontId="1" type="noConversion"/>
  </si>
  <si>
    <t>禁忌/光辉卡</t>
  </si>
  <si>
    <t>禁忌/光辉卡</t>
    <phoneticPr fontId="1" type="noConversion"/>
  </si>
  <si>
    <t>类别</t>
    <phoneticPr fontId="1" type="noConversion"/>
  </si>
  <si>
    <t>每日均卡</t>
    <phoneticPr fontId="1" type="noConversion"/>
  </si>
  <si>
    <t>预计天数</t>
    <phoneticPr fontId="1" type="noConversion"/>
  </si>
  <si>
    <t>总计天数</t>
    <phoneticPr fontId="1" type="noConversion"/>
  </si>
  <si>
    <r>
      <t>各品质卡收集满100%花费时间</t>
    </r>
    <r>
      <rPr>
        <b/>
        <sz val="11"/>
        <color rgb="FFFF0000"/>
        <rFont val="等线"/>
        <family val="3"/>
        <charset val="134"/>
        <scheme val="minor"/>
      </rPr>
      <t>(未满无需填写)</t>
    </r>
    <phoneticPr fontId="1" type="noConversion"/>
  </si>
  <si>
    <t>日均价值</t>
    <phoneticPr fontId="1" type="noConversion"/>
  </si>
  <si>
    <t>类型</t>
    <phoneticPr fontId="1" type="noConversion"/>
  </si>
  <si>
    <t>摧心咒</t>
    <phoneticPr fontId="1" type="noConversion"/>
  </si>
  <si>
    <t>阿瓦达</t>
    <phoneticPr fontId="1" type="noConversion"/>
  </si>
  <si>
    <t>总计(不含金币)</t>
    <phoneticPr fontId="1" type="noConversion"/>
  </si>
  <si>
    <t>满级天数</t>
    <phoneticPr fontId="1" type="noConversion"/>
  </si>
  <si>
    <t>价值/张</t>
    <phoneticPr fontId="1" type="noConversion"/>
  </si>
  <si>
    <t>填写此表以修正价值表</t>
    <phoneticPr fontId="1" type="noConversion"/>
  </si>
  <si>
    <r>
      <t>在</t>
    </r>
    <r>
      <rPr>
        <sz val="11"/>
        <color rgb="FFFF0000"/>
        <rFont val="等线"/>
        <family val="3"/>
        <charset val="134"/>
        <scheme val="minor"/>
      </rPr>
      <t>红色底纹的单元格中输入数据</t>
    </r>
    <r>
      <rPr>
        <sz val="11"/>
        <color theme="1" tint="4.9989318521683403E-2"/>
        <rFont val="等线"/>
        <family val="3"/>
        <charset val="134"/>
        <scheme val="minor"/>
      </rPr>
      <t>，没有那张卡等级填0，</t>
    </r>
    <r>
      <rPr>
        <sz val="11"/>
        <color rgb="FFFF0000"/>
        <rFont val="等线"/>
        <family val="3"/>
        <charset val="134"/>
        <scheme val="minor"/>
      </rPr>
      <t>价值</t>
    </r>
    <r>
      <rPr>
        <sz val="11"/>
        <color theme="1" tint="4.9989318521683403E-2"/>
        <rFont val="等线"/>
        <family val="3"/>
        <charset val="134"/>
        <scheme val="minor"/>
      </rPr>
      <t>表示目前卡牌完成度的10000倍</t>
    </r>
    <phoneticPr fontId="1" type="noConversion"/>
  </si>
  <si>
    <t>计算模式</t>
    <phoneticPr fontId="1" type="noConversion"/>
  </si>
  <si>
    <t>(若存在新卡间隙满级则将非满级时间累加)</t>
    <phoneticPr fontId="1" type="noConversion"/>
  </si>
  <si>
    <t>变化价值</t>
    <phoneticPr fontId="1" type="noConversion"/>
  </si>
  <si>
    <t>图书馆通行证（阅读周）</t>
    <phoneticPr fontId="1" type="noConversion"/>
  </si>
  <si>
    <t>日期2022.07.21</t>
    <phoneticPr fontId="1" type="noConversion"/>
  </si>
  <si>
    <t>魔法书经验总占比</t>
    <phoneticPr fontId="1" type="noConversion"/>
  </si>
  <si>
    <r>
      <rPr>
        <b/>
        <sz val="11"/>
        <color theme="9" tint="-0.249977111117893"/>
        <rFont val="等线"/>
        <family val="3"/>
        <charset val="134"/>
        <scheme val="minor"/>
      </rPr>
      <t>永</t>
    </r>
    <r>
      <rPr>
        <b/>
        <sz val="11"/>
        <color theme="0"/>
        <rFont val="等线"/>
        <family val="3"/>
        <charset val="134"/>
        <scheme val="minor"/>
      </rPr>
      <t>恒</t>
    </r>
    <r>
      <rPr>
        <sz val="11"/>
        <color theme="1"/>
        <rFont val="等线"/>
        <family val="2"/>
        <scheme val="minor"/>
      </rPr>
      <t>卡</t>
    </r>
    <phoneticPr fontId="1" type="noConversion"/>
  </si>
  <si>
    <t>日期</t>
    <phoneticPr fontId="1" type="noConversion"/>
  </si>
  <si>
    <t>更新内容</t>
    <phoneticPr fontId="1" type="noConversion"/>
  </si>
  <si>
    <t>创建</t>
  </si>
  <si>
    <t/>
  </si>
  <si>
    <t>修正了金币计算公式</t>
  </si>
  <si>
    <t>100级魔法书经验精确值为565790</t>
    <phoneticPr fontId="1" type="noConversion"/>
  </si>
  <si>
    <t>1/20</t>
    <phoneticPr fontId="1" type="noConversion"/>
  </si>
  <si>
    <t>1/21</t>
    <phoneticPr fontId="1" type="noConversion"/>
  </si>
  <si>
    <t>1/25</t>
    <phoneticPr fontId="1" type="noConversion"/>
  </si>
  <si>
    <t>1/26</t>
    <phoneticPr fontId="1" type="noConversion"/>
  </si>
  <si>
    <t>1/27</t>
    <phoneticPr fontId="1" type="noConversion"/>
  </si>
  <si>
    <t>1/30</t>
    <phoneticPr fontId="1" type="noConversion"/>
  </si>
  <si>
    <t>5/18</t>
    <phoneticPr fontId="1" type="noConversion"/>
  </si>
  <si>
    <t>5/24</t>
    <phoneticPr fontId="1" type="noConversion"/>
  </si>
  <si>
    <t>5/28</t>
    <phoneticPr fontId="1" type="noConversion"/>
  </si>
  <si>
    <t>5/29</t>
    <phoneticPr fontId="1" type="noConversion"/>
  </si>
  <si>
    <t>7/21</t>
    <phoneticPr fontId="1" type="noConversion"/>
  </si>
  <si>
    <t>增加概率统计表</t>
    <phoneticPr fontId="1" type="noConversion"/>
  </si>
  <si>
    <t>马形水怪</t>
    <phoneticPr fontId="1" type="noConversion"/>
  </si>
  <si>
    <t>传说卡</t>
    <phoneticPr fontId="1" type="noConversion"/>
  </si>
  <si>
    <t>7/31</t>
    <phoneticPr fontId="1" type="noConversion"/>
  </si>
  <si>
    <t>去除不必要的文字显示</t>
    <phoneticPr fontId="1" type="noConversion"/>
  </si>
  <si>
    <t>欣克庞克</t>
    <phoneticPr fontId="1" type="noConversion"/>
  </si>
  <si>
    <t>8/1</t>
    <phoneticPr fontId="1" type="noConversion"/>
  </si>
  <si>
    <t>新增火盾护身</t>
  </si>
  <si>
    <t>新增带翼弹弓、昔日重现多比</t>
  </si>
  <si>
    <t>8/6</t>
    <phoneticPr fontId="1" type="noConversion"/>
  </si>
  <si>
    <t>每40次必出一张传说卡或光辉/禁忌魔咒</t>
    <phoneticPr fontId="1" type="noConversion"/>
  </si>
  <si>
    <t>价值表（每种品质卡至少拥有一张时可用）（自动更新）</t>
    <phoneticPr fontId="1" type="noConversion"/>
  </si>
  <si>
    <t>抽卡计算器</t>
    <phoneticPr fontId="1" type="noConversion"/>
  </si>
  <si>
    <t>转化奇迹之沙</t>
    <phoneticPr fontId="1" type="noConversion"/>
  </si>
  <si>
    <t>每月奇迹之沙</t>
    <phoneticPr fontId="1" type="noConversion"/>
  </si>
  <si>
    <r>
      <t>在</t>
    </r>
    <r>
      <rPr>
        <sz val="11"/>
        <color rgb="FFFF0000"/>
        <rFont val="等线"/>
        <family val="3"/>
        <charset val="134"/>
        <scheme val="minor"/>
      </rPr>
      <t>红色底纹的单元格中输入数据</t>
    </r>
    <r>
      <rPr>
        <sz val="11"/>
        <color theme="1" tint="4.9989318521683403E-2"/>
        <rFont val="等线"/>
        <family val="3"/>
        <charset val="134"/>
        <scheme val="minor"/>
      </rPr>
      <t>，未获得魔咒不填写</t>
    </r>
    <phoneticPr fontId="1" type="noConversion"/>
  </si>
  <si>
    <t>+</t>
    <phoneticPr fontId="1" type="noConversion"/>
  </si>
  <si>
    <t>日期2022.8.10</t>
    <phoneticPr fontId="1" type="noConversion"/>
  </si>
  <si>
    <t>平均等级</t>
    <phoneticPr fontId="1" type="noConversion"/>
  </si>
  <si>
    <t>品质</t>
    <phoneticPr fontId="1" type="noConversion"/>
  </si>
  <si>
    <t>卡牌总数</t>
    <phoneticPr fontId="1" type="noConversion"/>
  </si>
  <si>
    <t>满级卡牌数</t>
    <phoneticPr fontId="1" type="noConversion"/>
  </si>
  <si>
    <t>满级预计天数</t>
    <phoneticPr fontId="1" type="noConversion"/>
  </si>
  <si>
    <t>新卡满级时间</t>
    <phoneticPr fontId="1" type="noConversion"/>
  </si>
  <si>
    <t>价值</t>
    <phoneticPr fontId="1" type="noConversion"/>
  </si>
  <si>
    <t>花费金币</t>
    <phoneticPr fontId="1" type="noConversion"/>
  </si>
  <si>
    <t>还需花费金币</t>
    <phoneticPr fontId="1" type="noConversion"/>
  </si>
  <si>
    <t>8/10</t>
    <phoneticPr fontId="1" type="noConversion"/>
  </si>
  <si>
    <t>总价值</t>
    <phoneticPr fontId="1" type="noConversion"/>
  </si>
  <si>
    <t>修改价值体系占比按卡牌数数均分为基础</t>
    <phoneticPr fontId="1" type="noConversion"/>
  </si>
  <si>
    <t>日平均价值</t>
    <phoneticPr fontId="1" type="noConversion"/>
  </si>
  <si>
    <t>魔法书满级预计天数</t>
    <phoneticPr fontId="1" type="noConversion"/>
  </si>
  <si>
    <t>日均卡</t>
    <phoneticPr fontId="1" type="noConversion"/>
  </si>
  <si>
    <t>跳转到结果表</t>
    <phoneticPr fontId="1" type="noConversion"/>
  </si>
  <si>
    <t>跳转到统计表</t>
    <phoneticPr fontId="1" type="noConversion"/>
  </si>
  <si>
    <t>史诗</t>
    <phoneticPr fontId="1" type="noConversion"/>
  </si>
  <si>
    <t>稀有</t>
    <phoneticPr fontId="1" type="noConversion"/>
  </si>
  <si>
    <t>普通</t>
    <phoneticPr fontId="1" type="noConversion"/>
  </si>
  <si>
    <t>每张满级卡牌价值</t>
    <phoneticPr fontId="1" type="noConversion"/>
  </si>
  <si>
    <t>2/6</t>
    <phoneticPr fontId="1" type="noConversion"/>
  </si>
  <si>
    <t>2/8</t>
    <phoneticPr fontId="1" type="noConversion"/>
  </si>
  <si>
    <t>4/7</t>
    <phoneticPr fontId="1" type="noConversion"/>
  </si>
  <si>
    <t>5/7</t>
    <phoneticPr fontId="1" type="noConversion"/>
  </si>
  <si>
    <t>8/11</t>
    <phoneticPr fontId="1" type="noConversion"/>
  </si>
  <si>
    <t>魔法书等级</t>
    <phoneticPr fontId="1" type="noConversion"/>
  </si>
  <si>
    <t>8/14</t>
    <phoneticPr fontId="1" type="noConversion"/>
  </si>
  <si>
    <t>传说/永恒</t>
    <phoneticPr fontId="1" type="noConversion"/>
  </si>
  <si>
    <r>
      <rPr>
        <sz val="11"/>
        <color rgb="FFFF0000"/>
        <rFont val="等线"/>
        <family val="3"/>
        <charset val="134"/>
        <scheme val="minor"/>
      </rPr>
      <t xml:space="preserve">①新增默默然、昔日重现邓布利多、雪人飞来
</t>
    </r>
    <r>
      <rPr>
        <sz val="11"/>
        <color theme="1"/>
        <rFont val="等线"/>
        <family val="3"/>
        <charset val="134"/>
        <scheme val="minor"/>
      </rPr>
      <t>②魔法书参数修改为2280
③传说卡改名为传说/禁忌/光辉卡
④修复了一些计算公式
⑤卡牌增加魔法书经验栏目</t>
    </r>
    <phoneticPr fontId="1" type="noConversion"/>
  </si>
  <si>
    <t>①魔法书参数修改为1696
②计算出满级魔法书需要的大概经验502400</t>
    <phoneticPr fontId="1" type="noConversion"/>
  </si>
  <si>
    <t>①加入魔法书修正参数，暂定值为0.5829，按照实际魔法书的涨幅进行调整，计算公式为   魔法书升级所需实际天数/未修正预测天数(参数为0时)-1  以此来修正魔法书预测
②将不精准参数改为12
③修正了100级的显示</t>
    <phoneticPr fontId="1" type="noConversion"/>
  </si>
  <si>
    <t>①隔离传说卡和禁忌/光辉卡
②更新概率
③删除价值，删除魔法书修正参数</t>
    <phoneticPr fontId="1" type="noConversion"/>
  </si>
  <si>
    <t>①重新排序卡牌统计表
②修正了概率统计表
③计算器新增剔除计算功能</t>
    <phoneticPr fontId="1" type="noConversion"/>
  </si>
  <si>
    <t>①修正普通卡升级十四级需要的卡牌数为286
②使用新的卡牌计数公式COUNTIFS</t>
    <phoneticPr fontId="1" type="noConversion"/>
  </si>
  <si>
    <r>
      <rPr>
        <sz val="11"/>
        <color rgb="FFFF0000"/>
        <rFont val="等线"/>
        <family val="3"/>
        <charset val="134"/>
        <scheme val="minor"/>
      </rPr>
      <t>①新增价值体系，占比按稀有度等级均分为基础，变动原因为各的获得难易程度</t>
    </r>
    <r>
      <rPr>
        <sz val="11"/>
        <color theme="1"/>
        <rFont val="等线"/>
        <family val="3"/>
        <charset val="134"/>
        <scheme val="minor"/>
      </rPr>
      <t xml:space="preserve">
②修复bug</t>
    </r>
    <phoneticPr fontId="1" type="noConversion"/>
  </si>
  <si>
    <t>①新增阅读周概率
②移除魔法书预计每级升级天数
③新增魔法书经验百分比（100级魔法书占比100%）</t>
    <phoneticPr fontId="1" type="noConversion"/>
  </si>
  <si>
    <t>①卡牌工作表新增奇迹之沙
②更新抽卡概率
③隔离出计算器工作表
④新增计算奇迹之沙的功能</t>
    <phoneticPr fontId="1" type="noConversion"/>
  </si>
  <si>
    <r>
      <rPr>
        <sz val="11"/>
        <color rgb="FFFF0000"/>
        <rFont val="等线"/>
        <family val="3"/>
        <charset val="134"/>
        <scheme val="minor"/>
      </rPr>
      <t xml:space="preserve">①隔离出结果表
</t>
    </r>
    <r>
      <rPr>
        <sz val="11"/>
        <rFont val="等线"/>
        <family val="3"/>
        <charset val="134"/>
        <scheme val="minor"/>
      </rPr>
      <t>②新增批注
③新增统计表到结果表的超链接</t>
    </r>
    <phoneticPr fontId="1" type="noConversion"/>
  </si>
  <si>
    <t>①使用新的每月奇迹之沙计算方式
②新增完成度</t>
    <phoneticPr fontId="1" type="noConversion"/>
  </si>
  <si>
    <t>①结果表中的满级预计天数、新卡满级时间、每月奇迹之沙的数值利用每月获得的图书馆通行证对数值进行误差修正
②更加详细的批注
③计算器转化奇迹之沙根据品质隔离计算
④重新排序卡牌统计表
⑤日平均价值增加图书馆通行证价值</t>
    <phoneticPr fontId="1" type="noConversion"/>
  </si>
  <si>
    <r>
      <rPr>
        <sz val="11"/>
        <color rgb="FFFF0000"/>
        <rFont val="等线"/>
        <family val="3"/>
        <charset val="134"/>
        <scheme val="minor"/>
      </rPr>
      <t xml:space="preserve">①增加变化价值（偶然获得一次增加的总价值）
</t>
    </r>
    <r>
      <rPr>
        <sz val="11"/>
        <rFont val="等线"/>
        <family val="3"/>
        <charset val="134"/>
        <scheme val="minor"/>
      </rPr>
      <t>②优化排版</t>
    </r>
    <phoneticPr fontId="1" type="noConversion"/>
  </si>
  <si>
    <r>
      <rPr>
        <sz val="11"/>
        <color rgb="FFFF0000"/>
        <rFont val="等线"/>
        <family val="3"/>
        <charset val="134"/>
        <scheme val="minor"/>
      </rPr>
      <t xml:space="preserve">①将伪永恒卡（阿瓦达，摧心咒，昔日重现罗恩）的价值划入传说卡
</t>
    </r>
    <r>
      <rPr>
        <sz val="11"/>
        <rFont val="等线"/>
        <family val="3"/>
        <charset val="134"/>
        <scheme val="minor"/>
      </rPr>
      <t>②修改部分卡牌名</t>
    </r>
    <phoneticPr fontId="1" type="noConversion"/>
  </si>
  <si>
    <t>3/3</t>
  </si>
  <si>
    <t>18/18</t>
  </si>
  <si>
    <t>33/33</t>
  </si>
  <si>
    <t>24/24</t>
  </si>
  <si>
    <t>13/13</t>
  </si>
  <si>
    <t>91/91</t>
  </si>
  <si>
    <t>8/20</t>
    <phoneticPr fontId="1" type="noConversion"/>
  </si>
  <si>
    <t>新卡满级天数更精确</t>
    <phoneticPr fontId="1" type="noConversion"/>
  </si>
  <si>
    <t>9/7</t>
    <phoneticPr fontId="1" type="noConversion"/>
  </si>
  <si>
    <t>回响平均等级计算器</t>
    <phoneticPr fontId="1" type="noConversion"/>
  </si>
  <si>
    <t>数量</t>
    <phoneticPr fontId="1" type="noConversion"/>
  </si>
  <si>
    <t>①删除日平均价值
②新增回响平均等级计算器</t>
    <phoneticPr fontId="1" type="noConversion"/>
  </si>
  <si>
    <t>呼神护卫</t>
    <phoneticPr fontId="1" type="noConversion"/>
  </si>
  <si>
    <t>摇摆蝎尾兽</t>
    <phoneticPr fontId="1" type="noConversion"/>
  </si>
  <si>
    <t>9/9</t>
    <phoneticPr fontId="1" type="noConversion"/>
  </si>
  <si>
    <t>新增呼神护卫、摇摆蝎尾兽</t>
    <phoneticPr fontId="1" type="noConversion"/>
  </si>
  <si>
    <t>9/12</t>
    <phoneticPr fontId="1" type="noConversion"/>
  </si>
  <si>
    <t>移除新卡满级时间、预计魔法书满级时间</t>
    <phoneticPr fontId="1" type="noConversion"/>
  </si>
  <si>
    <r>
      <rPr>
        <b/>
        <sz val="14"/>
        <color theme="9" tint="-0.249977111117893"/>
        <rFont val="等线"/>
        <family val="3"/>
        <charset val="134"/>
        <scheme val="minor"/>
      </rPr>
      <t>永</t>
    </r>
    <r>
      <rPr>
        <b/>
        <sz val="14"/>
        <color theme="0"/>
        <rFont val="等线"/>
        <family val="3"/>
        <charset val="134"/>
        <scheme val="minor"/>
      </rPr>
      <t>恒</t>
    </r>
    <r>
      <rPr>
        <sz val="14"/>
        <color theme="1"/>
        <rFont val="等线"/>
        <family val="3"/>
        <charset val="134"/>
        <scheme val="minor"/>
      </rPr>
      <t>卡</t>
    </r>
    <phoneticPr fontId="1" type="noConversion"/>
  </si>
  <si>
    <r>
      <rPr>
        <b/>
        <sz val="14"/>
        <color theme="7" tint="0.39997558519241921"/>
        <rFont val="等线"/>
        <family val="3"/>
        <charset val="134"/>
        <scheme val="minor"/>
      </rPr>
      <t>传说</t>
    </r>
    <r>
      <rPr>
        <sz val="14"/>
        <color theme="1"/>
        <rFont val="等线"/>
        <family val="3"/>
        <charset val="134"/>
        <scheme val="minor"/>
      </rPr>
      <t>卡</t>
    </r>
    <phoneticPr fontId="1" type="noConversion"/>
  </si>
  <si>
    <t>9/20</t>
    <phoneticPr fontId="1" type="noConversion"/>
  </si>
  <si>
    <t>总价值比</t>
    <phoneticPr fontId="1" type="noConversion"/>
  </si>
  <si>
    <t>价值比</t>
    <phoneticPr fontId="1" type="noConversion"/>
  </si>
  <si>
    <t>3/4</t>
  </si>
  <si>
    <t>33/34</t>
  </si>
  <si>
    <t>91/93</t>
  </si>
  <si>
    <r>
      <rPr>
        <sz val="14"/>
        <color theme="9" tint="-0.499984740745262"/>
        <rFont val="等线"/>
        <family val="3"/>
        <charset val="134"/>
        <scheme val="minor"/>
      </rPr>
      <t>永</t>
    </r>
    <r>
      <rPr>
        <sz val="14"/>
        <color theme="0"/>
        <rFont val="等线"/>
        <family val="3"/>
        <charset val="134"/>
        <scheme val="minor"/>
      </rPr>
      <t>恒</t>
    </r>
    <r>
      <rPr>
        <sz val="14"/>
        <color theme="1"/>
        <rFont val="等线"/>
        <family val="3"/>
        <charset val="134"/>
        <scheme val="minor"/>
      </rPr>
      <t>卡</t>
    </r>
    <phoneticPr fontId="1" type="noConversion"/>
  </si>
  <si>
    <t>月沙</t>
    <phoneticPr fontId="1" type="noConversion"/>
  </si>
  <si>
    <t>4/4</t>
  </si>
  <si>
    <t>34/34</t>
  </si>
  <si>
    <t>93/93</t>
  </si>
  <si>
    <t>ver22.9.20</t>
  </si>
  <si>
    <t>9/28</t>
    <phoneticPr fontId="1" type="noConversion"/>
  </si>
  <si>
    <t>概率更新</t>
    <phoneticPr fontId="1" type="noConversion"/>
  </si>
  <si>
    <t>完成度/价值比</t>
    <phoneticPr fontId="1" type="noConversion"/>
  </si>
  <si>
    <t>增长速度（天/级）</t>
    <phoneticPr fontId="1" type="noConversion"/>
  </si>
  <si>
    <t>10/12</t>
    <phoneticPr fontId="1" type="noConversion"/>
  </si>
  <si>
    <t>卡牌数等数据使用数据条显示</t>
    <phoneticPr fontId="1" type="noConversion"/>
  </si>
  <si>
    <t>卡牌名</t>
  </si>
  <si>
    <t>需要魔力</t>
    <phoneticPr fontId="1" type="noConversion"/>
  </si>
  <si>
    <t>属性</t>
  </si>
  <si>
    <t>属性</t>
    <phoneticPr fontId="1" type="noConversion"/>
  </si>
  <si>
    <t>详情</t>
  </si>
  <si>
    <t>详情</t>
    <phoneticPr fontId="1" type="noConversion"/>
  </si>
  <si>
    <t>回响相性</t>
  </si>
  <si>
    <t>回响相性</t>
    <phoneticPr fontId="1" type="noConversion"/>
  </si>
  <si>
    <t>品质</t>
  </si>
  <si>
    <t>搜索器</t>
    <phoneticPr fontId="1" type="noConversion"/>
  </si>
  <si>
    <t>禁忌</t>
    <phoneticPr fontId="1" type="noConversion"/>
  </si>
  <si>
    <t>光辉</t>
    <phoneticPr fontId="1" type="noConversion"/>
  </si>
  <si>
    <t>传说</t>
    <phoneticPr fontId="1" type="noConversion"/>
  </si>
  <si>
    <t>赫敏；小天狼星</t>
    <phoneticPr fontId="1" type="noConversion"/>
  </si>
  <si>
    <t>强度</t>
    <phoneticPr fontId="1" type="noConversion"/>
  </si>
  <si>
    <t>差</t>
    <phoneticPr fontId="1" type="noConversion"/>
  </si>
  <si>
    <t>多比</t>
    <phoneticPr fontId="1" type="noConversion"/>
  </si>
  <si>
    <t>纳威</t>
    <phoneticPr fontId="1" type="noConversion"/>
  </si>
  <si>
    <t>贝拉</t>
    <phoneticPr fontId="1" type="noConversion"/>
  </si>
  <si>
    <t>纽特</t>
    <phoneticPr fontId="1" type="noConversion"/>
  </si>
  <si>
    <t>罗恩</t>
    <phoneticPr fontId="1" type="noConversion"/>
  </si>
  <si>
    <t>良</t>
    <phoneticPr fontId="1" type="noConversion"/>
  </si>
  <si>
    <t>赫敏；斯内普；多比；纳威</t>
    <phoneticPr fontId="1" type="noConversion"/>
  </si>
  <si>
    <t>多比；赫敏</t>
    <phoneticPr fontId="1" type="noConversion"/>
  </si>
  <si>
    <t>一般</t>
    <phoneticPr fontId="1" type="noConversion"/>
  </si>
  <si>
    <t>多比；海格；贝拉</t>
    <phoneticPr fontId="1" type="noConversion"/>
  </si>
  <si>
    <t>优</t>
    <phoneticPr fontId="1" type="noConversion"/>
  </si>
  <si>
    <t>哈利；纽特；双子；弗利维；斯内普；多比；贝拉</t>
    <phoneticPr fontId="1" type="noConversion"/>
  </si>
  <si>
    <t>海格；斯内普；弗利维</t>
    <phoneticPr fontId="1" type="noConversion"/>
  </si>
  <si>
    <t>海格；卢娜；赫敏；罗恩</t>
    <phoneticPr fontId="1" type="noConversion"/>
  </si>
  <si>
    <t>双子</t>
    <phoneticPr fontId="1" type="noConversion"/>
  </si>
  <si>
    <t>赫敏；斯内普；小天狼星</t>
    <phoneticPr fontId="1" type="noConversion"/>
  </si>
  <si>
    <t>哈利；纽特；弗利维</t>
    <phoneticPr fontId="1" type="noConversion"/>
  </si>
  <si>
    <t>哈利；赫敏</t>
    <phoneticPr fontId="1" type="noConversion"/>
  </si>
  <si>
    <t>赫敏；卢娜；罗恩；多比；小天狼星；海格；贝拉；斯内普；弗利维；双子</t>
    <phoneticPr fontId="1" type="noConversion"/>
  </si>
  <si>
    <t>伙伴卡</t>
    <phoneticPr fontId="1" type="noConversion"/>
  </si>
  <si>
    <t>召唤卡</t>
  </si>
  <si>
    <t>召唤卡</t>
    <phoneticPr fontId="1" type="noConversion"/>
  </si>
  <si>
    <t>贝拉；多比</t>
    <phoneticPr fontId="1" type="noConversion"/>
  </si>
  <si>
    <t>哈利；赫敏；弗利维</t>
    <phoneticPr fontId="1" type="noConversion"/>
  </si>
  <si>
    <t>哈利；多比；罗恩；斯内普；纳威</t>
    <phoneticPr fontId="1" type="noConversion"/>
  </si>
  <si>
    <t>弗利维；纽特</t>
    <phoneticPr fontId="1" type="noConversion"/>
  </si>
  <si>
    <t>海格；纽特；双子；斯内普</t>
    <phoneticPr fontId="1" type="noConversion"/>
  </si>
  <si>
    <t>纽特；纳威；海格；斯内普</t>
    <phoneticPr fontId="1" type="noConversion"/>
  </si>
  <si>
    <t>海格；纳威；罗恩</t>
    <phoneticPr fontId="1" type="noConversion"/>
  </si>
  <si>
    <t>海格；罗恩</t>
    <phoneticPr fontId="1" type="noConversion"/>
  </si>
  <si>
    <t>赫敏；多比；小天狼星</t>
    <phoneticPr fontId="1" type="noConversion"/>
  </si>
  <si>
    <t>纽特；海格；弗利维；斯内普</t>
    <phoneticPr fontId="1" type="noConversion"/>
  </si>
  <si>
    <t>纳威；斯内普；海格</t>
    <phoneticPr fontId="1" type="noConversion"/>
  </si>
  <si>
    <t>贝拉；卢娜；多比；罗恩</t>
    <phoneticPr fontId="1" type="noConversion"/>
  </si>
  <si>
    <t>哈利；卢娜；罗恩</t>
    <phoneticPr fontId="1" type="noConversion"/>
  </si>
  <si>
    <t>赫敏；纳威；海格</t>
    <phoneticPr fontId="1" type="noConversion"/>
  </si>
  <si>
    <t>贝拉；弗利维</t>
    <phoneticPr fontId="1" type="noConversion"/>
  </si>
  <si>
    <t>罗恩；纽特；双子</t>
    <phoneticPr fontId="1" type="noConversion"/>
  </si>
  <si>
    <t>弗利维</t>
    <phoneticPr fontId="1" type="noConversion"/>
  </si>
  <si>
    <t>多比；赫敏；海格；卢娜；罗恩；小天狼星</t>
    <phoneticPr fontId="1" type="noConversion"/>
  </si>
  <si>
    <t>纳威；斯内普</t>
    <phoneticPr fontId="1" type="noConversion"/>
  </si>
  <si>
    <t>海格；纽特</t>
    <phoneticPr fontId="1" type="noConversion"/>
  </si>
  <si>
    <t>纳威；海格</t>
    <phoneticPr fontId="1" type="noConversion"/>
  </si>
  <si>
    <t>哈利；多比</t>
    <phoneticPr fontId="1" type="noConversion"/>
  </si>
  <si>
    <t>哈利；赫敏；多比；斯内普；双子；罗恩；卢娜；纳威；贝拉；纽特；弗利维；小天狼星；海格</t>
    <phoneticPr fontId="1" type="noConversion"/>
  </si>
  <si>
    <t>哈利；双子；赫敏</t>
    <phoneticPr fontId="1" type="noConversion"/>
  </si>
  <si>
    <t>哈利；双子；贝拉</t>
    <phoneticPr fontId="1" type="noConversion"/>
  </si>
  <si>
    <t>弗利维；双子；纽特；斯内普</t>
    <phoneticPr fontId="1" type="noConversion"/>
  </si>
  <si>
    <t>贝拉；纽特</t>
    <phoneticPr fontId="1" type="noConversion"/>
  </si>
  <si>
    <t>赫敏；哈利；多比</t>
    <phoneticPr fontId="1" type="noConversion"/>
  </si>
  <si>
    <t>双子；海格</t>
    <phoneticPr fontId="1" type="noConversion"/>
  </si>
  <si>
    <t>哈利；海格</t>
    <phoneticPr fontId="1" type="noConversion"/>
  </si>
  <si>
    <t>海格；纳威；贝拉；纽特；双子</t>
    <phoneticPr fontId="1" type="noConversion"/>
  </si>
  <si>
    <t>多比；哈利；弗利维</t>
    <phoneticPr fontId="1" type="noConversion"/>
  </si>
  <si>
    <t>纽特；双子；贝拉</t>
    <phoneticPr fontId="1" type="noConversion"/>
  </si>
  <si>
    <t>纽特；海格</t>
    <phoneticPr fontId="1" type="noConversion"/>
  </si>
  <si>
    <t>纽特；弗利维</t>
    <phoneticPr fontId="1" type="noConversion"/>
  </si>
  <si>
    <t>卢娜；赫敏；哈利；多比；海格</t>
    <phoneticPr fontId="1" type="noConversion"/>
  </si>
  <si>
    <t>赫敏；哈利</t>
    <phoneticPr fontId="1" type="noConversion"/>
  </si>
  <si>
    <t>哈利；卢娜</t>
    <phoneticPr fontId="1" type="noConversion"/>
  </si>
  <si>
    <t>卢娜；纳威</t>
    <phoneticPr fontId="1" type="noConversion"/>
  </si>
  <si>
    <t>斯内普；纳威；多比</t>
    <phoneticPr fontId="1" type="noConversion"/>
  </si>
  <si>
    <t>赫敏；卢娜</t>
    <phoneticPr fontId="1" type="noConversion"/>
  </si>
  <si>
    <t>纽特；双子</t>
    <phoneticPr fontId="1" type="noConversion"/>
  </si>
  <si>
    <t>纽特；贝拉</t>
    <phoneticPr fontId="1" type="noConversion"/>
  </si>
  <si>
    <t>卢娜；纳威；哈利</t>
    <phoneticPr fontId="1" type="noConversion"/>
  </si>
  <si>
    <t>赫敏；斯内普</t>
    <phoneticPr fontId="1" type="noConversion"/>
  </si>
  <si>
    <t>赫敏；海格</t>
    <phoneticPr fontId="1" type="noConversion"/>
  </si>
  <si>
    <t>多比；纳威</t>
    <phoneticPr fontId="1" type="noConversion"/>
  </si>
  <si>
    <t>邓布利多</t>
    <phoneticPr fontId="1" type="noConversion"/>
  </si>
  <si>
    <t>呼神</t>
    <phoneticPr fontId="1" type="noConversion"/>
  </si>
  <si>
    <t>瓜</t>
    <phoneticPr fontId="1" type="noConversion"/>
  </si>
  <si>
    <t>大瓜</t>
    <phoneticPr fontId="1" type="noConversion"/>
  </si>
  <si>
    <t>啃大瓜</t>
    <phoneticPr fontId="1" type="noConversion"/>
  </si>
  <si>
    <t>阿瓦达啃大瓜</t>
    <phoneticPr fontId="1" type="noConversion"/>
  </si>
  <si>
    <t>钻心咒</t>
    <phoneticPr fontId="1" type="noConversion"/>
  </si>
  <si>
    <t>钻心</t>
    <phoneticPr fontId="1" type="noConversion"/>
  </si>
  <si>
    <t>水怪</t>
    <phoneticPr fontId="1" type="noConversion"/>
  </si>
  <si>
    <t>飞贼</t>
    <phoneticPr fontId="1" type="noConversion"/>
  </si>
  <si>
    <t>墩子</t>
    <phoneticPr fontId="1" type="noConversion"/>
  </si>
  <si>
    <t>墩</t>
    <phoneticPr fontId="1" type="noConversion"/>
  </si>
  <si>
    <t>石墩</t>
    <phoneticPr fontId="1" type="noConversion"/>
  </si>
  <si>
    <t>大爹</t>
    <phoneticPr fontId="1" type="noConversion"/>
  </si>
  <si>
    <t>蛋白龙</t>
    <phoneticPr fontId="1" type="noConversion"/>
  </si>
  <si>
    <t>飞龙</t>
    <phoneticPr fontId="1" type="noConversion"/>
  </si>
  <si>
    <t>幼龙</t>
    <phoneticPr fontId="1" type="noConversion"/>
  </si>
  <si>
    <t>电</t>
    <phoneticPr fontId="1" type="noConversion"/>
  </si>
  <si>
    <t>大电</t>
    <phoneticPr fontId="1" type="noConversion"/>
  </si>
  <si>
    <t>闪电</t>
    <phoneticPr fontId="1" type="noConversion"/>
  </si>
  <si>
    <t>龙蛋</t>
    <phoneticPr fontId="1" type="noConversion"/>
  </si>
  <si>
    <t>蛋</t>
    <phoneticPr fontId="1" type="noConversion"/>
  </si>
  <si>
    <t>火盾</t>
    <phoneticPr fontId="1" type="noConversion"/>
  </si>
  <si>
    <t>宝宝巴士</t>
    <phoneticPr fontId="1" type="noConversion"/>
  </si>
  <si>
    <t>马尔福</t>
    <phoneticPr fontId="1" type="noConversion"/>
  </si>
  <si>
    <t>马尔福三人组</t>
    <phoneticPr fontId="1" type="noConversion"/>
  </si>
  <si>
    <t>三人组</t>
    <phoneticPr fontId="1" type="noConversion"/>
  </si>
  <si>
    <t>哈利波特</t>
    <phoneticPr fontId="1" type="noConversion"/>
  </si>
  <si>
    <t>火</t>
    <phoneticPr fontId="1" type="noConversion"/>
  </si>
  <si>
    <t>火焰</t>
    <phoneticPr fontId="1" type="noConversion"/>
  </si>
  <si>
    <t>打球</t>
    <phoneticPr fontId="1" type="noConversion"/>
  </si>
  <si>
    <t>吹风咒</t>
    <phoneticPr fontId="1" type="noConversion"/>
  </si>
  <si>
    <t>三头狗</t>
    <phoneticPr fontId="1" type="noConversion"/>
  </si>
  <si>
    <t>狗</t>
    <phoneticPr fontId="1" type="noConversion"/>
  </si>
  <si>
    <t>闪回</t>
    <phoneticPr fontId="1" type="noConversion"/>
  </si>
  <si>
    <t>马</t>
    <phoneticPr fontId="1" type="noConversion"/>
  </si>
  <si>
    <t>神锋</t>
    <phoneticPr fontId="1" type="noConversion"/>
  </si>
  <si>
    <t>卢娜；罗恩；小天狼星</t>
    <phoneticPr fontId="1" type="noConversion"/>
  </si>
  <si>
    <t>猪</t>
    <phoneticPr fontId="1" type="noConversion"/>
  </si>
  <si>
    <t>大猪</t>
    <phoneticPr fontId="1" type="noConversion"/>
  </si>
  <si>
    <t>臭臭</t>
    <phoneticPr fontId="1" type="noConversion"/>
  </si>
  <si>
    <t>甜点</t>
    <phoneticPr fontId="1" type="noConversion"/>
  </si>
  <si>
    <t>雪人</t>
    <phoneticPr fontId="1" type="noConversion"/>
  </si>
  <si>
    <t>除武</t>
    <phoneticPr fontId="1" type="noConversion"/>
  </si>
  <si>
    <t>除</t>
    <phoneticPr fontId="1" type="noConversion"/>
  </si>
  <si>
    <t>鸟壶</t>
    <phoneticPr fontId="1" type="noConversion"/>
  </si>
  <si>
    <t>鸟盆</t>
    <phoneticPr fontId="1" type="noConversion"/>
  </si>
  <si>
    <t>茶壶</t>
    <phoneticPr fontId="1" type="noConversion"/>
  </si>
  <si>
    <t>烟花</t>
    <phoneticPr fontId="1" type="noConversion"/>
  </si>
  <si>
    <t>三书</t>
    <phoneticPr fontId="1" type="noConversion"/>
  </si>
  <si>
    <t>烟花盒</t>
    <phoneticPr fontId="1" type="noConversion"/>
  </si>
  <si>
    <t>甜点大师</t>
    <phoneticPr fontId="1" type="noConversion"/>
  </si>
  <si>
    <t>陀螺</t>
    <phoneticPr fontId="1" type="noConversion"/>
  </si>
  <si>
    <t>摄魂取念</t>
    <phoneticPr fontId="1" type="noConversion"/>
  </si>
  <si>
    <t>偷</t>
    <phoneticPr fontId="1" type="noConversion"/>
  </si>
  <si>
    <t>飞来</t>
    <phoneticPr fontId="1" type="noConversion"/>
  </si>
  <si>
    <t>分身</t>
    <phoneticPr fontId="1" type="noConversion"/>
  </si>
  <si>
    <t>多重冰</t>
    <phoneticPr fontId="1" type="noConversion"/>
  </si>
  <si>
    <t>变形</t>
    <phoneticPr fontId="1" type="noConversion"/>
  </si>
  <si>
    <t>蝎尾兽</t>
    <phoneticPr fontId="1" type="noConversion"/>
  </si>
  <si>
    <t>卡姐</t>
    <phoneticPr fontId="1" type="noConversion"/>
  </si>
  <si>
    <t>画家</t>
    <phoneticPr fontId="1" type="noConversion"/>
  </si>
  <si>
    <t>海格车</t>
    <phoneticPr fontId="1" type="noConversion"/>
  </si>
  <si>
    <t>车</t>
    <phoneticPr fontId="1" type="noConversion"/>
  </si>
  <si>
    <t>胖子</t>
    <phoneticPr fontId="1" type="noConversion"/>
  </si>
  <si>
    <t>棋子</t>
    <phoneticPr fontId="1" type="noConversion"/>
  </si>
  <si>
    <t>臭哥</t>
    <phoneticPr fontId="1" type="noConversion"/>
  </si>
  <si>
    <t>书</t>
    <phoneticPr fontId="1" type="noConversion"/>
  </si>
  <si>
    <t>单书</t>
    <phoneticPr fontId="1" type="noConversion"/>
  </si>
  <si>
    <t>扫帚</t>
    <phoneticPr fontId="1" type="noConversion"/>
  </si>
  <si>
    <t>扫把</t>
    <phoneticPr fontId="1" type="noConversion"/>
  </si>
  <si>
    <t>飞沙</t>
    <phoneticPr fontId="1" type="noConversion"/>
  </si>
  <si>
    <t>毒角兽</t>
    <phoneticPr fontId="1" type="noConversion"/>
  </si>
  <si>
    <t>牛</t>
    <phoneticPr fontId="1" type="noConversion"/>
  </si>
  <si>
    <t>牛牛</t>
    <phoneticPr fontId="1" type="noConversion"/>
  </si>
  <si>
    <t>愈合</t>
    <phoneticPr fontId="1" type="noConversion"/>
  </si>
  <si>
    <t>螃蟹</t>
    <phoneticPr fontId="1" type="noConversion"/>
  </si>
  <si>
    <t>小电</t>
    <phoneticPr fontId="1" type="noConversion"/>
  </si>
  <si>
    <t>蜘蛛巢</t>
    <phoneticPr fontId="1" type="noConversion"/>
  </si>
  <si>
    <t>小盾</t>
    <phoneticPr fontId="1" type="noConversion"/>
  </si>
  <si>
    <t>树</t>
    <phoneticPr fontId="1" type="noConversion"/>
  </si>
  <si>
    <t>充气</t>
    <phoneticPr fontId="1" type="noConversion"/>
  </si>
  <si>
    <t>雾</t>
    <phoneticPr fontId="1" type="noConversion"/>
  </si>
  <si>
    <t>云雾</t>
    <phoneticPr fontId="1" type="noConversion"/>
  </si>
  <si>
    <t>雪球</t>
    <phoneticPr fontId="1" type="noConversion"/>
  </si>
  <si>
    <t>水枪</t>
    <phoneticPr fontId="1" type="noConversion"/>
  </si>
  <si>
    <t>搬家</t>
    <phoneticPr fontId="1" type="noConversion"/>
  </si>
  <si>
    <t>随从</t>
    <phoneticPr fontId="1" type="noConversion"/>
  </si>
  <si>
    <t>凯爹</t>
    <phoneticPr fontId="1" type="noConversion"/>
  </si>
  <si>
    <t>爹</t>
    <phoneticPr fontId="1" type="noConversion"/>
  </si>
  <si>
    <t>小蜘蛛</t>
    <phoneticPr fontId="1" type="noConversion"/>
  </si>
  <si>
    <t>海格；弗利维</t>
    <phoneticPr fontId="1" type="noConversion"/>
  </si>
  <si>
    <t>毒液</t>
    <phoneticPr fontId="1" type="noConversion"/>
  </si>
  <si>
    <t>毒</t>
    <phoneticPr fontId="1" type="noConversion"/>
  </si>
  <si>
    <t>禁锢</t>
    <phoneticPr fontId="1" type="noConversion"/>
  </si>
  <si>
    <t>捆绑</t>
    <phoneticPr fontId="1" type="noConversion"/>
  </si>
  <si>
    <t>捆</t>
    <phoneticPr fontId="1" type="noConversion"/>
  </si>
  <si>
    <t>老鼠药</t>
    <phoneticPr fontId="1" type="noConversion"/>
  </si>
  <si>
    <t>膨胀</t>
    <phoneticPr fontId="1" type="noConversion"/>
  </si>
  <si>
    <t>小精灵</t>
    <phoneticPr fontId="1" type="noConversion"/>
  </si>
  <si>
    <t>苍蝇</t>
    <phoneticPr fontId="1" type="noConversion"/>
  </si>
  <si>
    <t>奶</t>
    <phoneticPr fontId="1" type="noConversion"/>
  </si>
  <si>
    <t>香精</t>
    <phoneticPr fontId="1" type="noConversion"/>
  </si>
  <si>
    <t>白鲜</t>
    <phoneticPr fontId="1" type="noConversion"/>
  </si>
  <si>
    <t>盾</t>
    <phoneticPr fontId="1" type="noConversion"/>
  </si>
  <si>
    <t>大盾</t>
    <phoneticPr fontId="1" type="noConversion"/>
  </si>
  <si>
    <t>卢娜；纳威；小天狼星；斯内普</t>
    <phoneticPr fontId="1" type="noConversion"/>
  </si>
  <si>
    <t>小鸟</t>
    <phoneticPr fontId="1" type="noConversion"/>
  </si>
  <si>
    <t>万弹</t>
    <phoneticPr fontId="1" type="noConversion"/>
  </si>
  <si>
    <t>推</t>
    <phoneticPr fontId="1" type="noConversion"/>
  </si>
  <si>
    <t>昏昏</t>
    <phoneticPr fontId="1" type="noConversion"/>
  </si>
  <si>
    <t>昏</t>
    <phoneticPr fontId="1" type="noConversion"/>
  </si>
  <si>
    <t>鞋子</t>
    <phoneticPr fontId="1" type="noConversion"/>
  </si>
  <si>
    <t>破鞋</t>
    <phoneticPr fontId="1" type="noConversion"/>
  </si>
  <si>
    <t>破鞋子</t>
    <phoneticPr fontId="1" type="noConversion"/>
  </si>
  <si>
    <t>弹弓</t>
    <phoneticPr fontId="1" type="noConversion"/>
  </si>
  <si>
    <t>索命</t>
    <phoneticPr fontId="1" type="noConversion"/>
  </si>
  <si>
    <r>
      <t>你化身为</t>
    </r>
    <r>
      <rPr>
        <b/>
        <sz val="11"/>
        <color theme="1"/>
        <rFont val="等线"/>
        <family val="3"/>
        <charset val="134"/>
        <scheme val="minor"/>
      </rPr>
      <t>无敌</t>
    </r>
    <r>
      <rPr>
        <sz val="11"/>
        <color theme="1"/>
        <rFont val="等线"/>
        <family val="2"/>
        <scheme val="minor"/>
      </rPr>
      <t>状态的默默然，冲向目标区域，对区域内随机敌方单位发起</t>
    </r>
    <r>
      <rPr>
        <b/>
        <sz val="11"/>
        <color theme="1"/>
        <rFont val="等线"/>
        <family val="3"/>
        <charset val="134"/>
        <scheme val="minor"/>
      </rPr>
      <t>6次快速的普通攻击</t>
    </r>
    <r>
      <rPr>
        <sz val="11"/>
        <color theme="1"/>
        <rFont val="等线"/>
        <family val="2"/>
        <scheme val="minor"/>
      </rPr>
      <t>，并造成短暂的减速效果；攻击结束后，</t>
    </r>
    <r>
      <rPr>
        <b/>
        <sz val="11"/>
        <color theme="1"/>
        <rFont val="等线"/>
        <family val="3"/>
        <charset val="134"/>
        <scheme val="minor"/>
      </rPr>
      <t>引爆</t>
    </r>
    <r>
      <rPr>
        <sz val="11"/>
        <color theme="1"/>
        <rFont val="等线"/>
        <family val="2"/>
        <scheme val="minor"/>
      </rPr>
      <t>目标区域，与区域内所有敌方单位造成高额伤害，随后</t>
    </r>
    <r>
      <rPr>
        <b/>
        <sz val="11"/>
        <color theme="1"/>
        <rFont val="等线"/>
        <family val="3"/>
        <charset val="134"/>
        <scheme val="minor"/>
      </rPr>
      <t>回到原地</t>
    </r>
    <r>
      <rPr>
        <sz val="11"/>
        <color theme="1"/>
        <rFont val="等线"/>
        <family val="2"/>
        <scheme val="minor"/>
      </rPr>
      <t>，并解除默默然状态。
※若目标区域没有敌方单位，则直接引爆目标区域，结束本次攻击。
※默默然状态解除后，你将陷入虚弱状态，5秒内受到的伤害增加40%。
斩杀能力：强      解场能力：弱</t>
    </r>
    <phoneticPr fontId="1" type="noConversion"/>
  </si>
  <si>
    <t>施放呼神护卫，形成持续的光罩，穿过光罩的友方远程攻击及治疗会被强化，且光罩存在期间可击退敌方单位。
※光罩可强化效果包括伤害、增伤、治疗效果，且效果范围增加25%。
※被强化技能首次命中敌方单位时将造成一次额外伤害，且额外伤害随呼神护卫等级增加而增加。
※多个呼神护卫叠加时，叠加幅度随次数递减。
※禁忌魔咒不会得到增益。
斩杀能力：无      解场能力：弱</t>
    <phoneticPr fontId="1" type="noConversion"/>
  </si>
  <si>
    <t>召唤阿不思邓布利多，玩家巫师在其身周围内使用魔咒时，他会标记该魔咒；不可饶恕咒、禁忌魔咒及衍生魔咒除外。
※被标记魔咒再次被使用时，将会获得强化：咒语卡额外释放1次，第2次释放的伤害降低；召唤卡生物退场时会复活1次，复活的生物血量降低。
※咒语卡和召唤卡强化后的卡牌等级，与“阿不思邓布利多”的卡牌等级相同。
※邓布利多每次受到伤害后，都会使用随从显形移动位置，移动地点随机。入场15秒后，邓布利多会自行离去。
特殊能力：增强卡牌      战场节奏把控：强</t>
    <phoneticPr fontId="1" type="noConversion"/>
  </si>
  <si>
    <t>蜘蛛</t>
    <phoneticPr fontId="1" type="noConversion"/>
  </si>
  <si>
    <t>召唤多比。你每使用移动卡1张，下张移动卡会替换为幻影移形。多比每隔一定时间会消耗自身生命值，为你恢复1张移动卡；多比所消耗的生命值将随在场时间增加而增加。
※多比会跟随你移动，幻影移形后，多比将在你的位置留下幻影。敌方目标击败幻影时，会受到伤害。
※使用多比回响时，移动卡替换效果不变。
※使用多比回响时，每次幻影移形后仍只留下1个幻影，但敌方目标击败幻影时受到的伤害增加。
特殊能力：恢复移动卡、提供闪现卡      战场节奏把控：弱</t>
    <phoneticPr fontId="1" type="noConversion"/>
  </si>
  <si>
    <t>召唤多比。你每使用移动卡1张，下张移动卡会替换为幻影移形。多比每隔一定时间会消耗自身生命值，为你恢复1张移动卡；多比所消耗的生命值将随在场时间增加而增加。
※多比会跟随你移动，幻影移形后，多比将在你的位置留下幻影。敌方目标击败幻影时，会受到伤害。
※使用多比回响时，移动卡替换效果不变。
※使用多比回响时，每次幻影移形后仍只留下2个幻影，但敌方目标击败幻影时受到的伤害增加。
特殊能力：恢复移动卡、提供闪现卡      战场节奏把控：弱</t>
  </si>
  <si>
    <t>施放咒语，对第一个命中的单位造成伤害。
※该咒语卡每击败一个敌方单位，伤害提高25%。
※击败4个敌方单位之后，该咒语效果变为直接击败命中的敌方单位。
斩杀能力：极强      解场能力：弱</t>
  </si>
  <si>
    <t>施放咒语，对第一个命中的单位造成伤害。
※该咒语卡每击败一个敌方单位，伤害提高25%。
※击败4个敌方单位之后，该咒语效果变为直接击败命中的敌方单位。
斩杀能力：极强      解场能力：弱</t>
    <phoneticPr fontId="1" type="noConversion"/>
  </si>
  <si>
    <t>卡牌名（在下方输入）</t>
    <phoneticPr fontId="1" type="noConversion"/>
  </si>
  <si>
    <t>施放咒语，对指定敌方单位造成多段伤害和持续眩晕。
※咒语作用于玩家单位时，伤害降为50%，且该单位不会受到眩晕影响。
※施法期间，每段后续伤害，将在前段伤害上在增加相当于初始伤害100%的额外伤害，最多叠加三次。
※受到过钻心剜骨伤害的单位，再次被钻心剜骨作用时，所受伤害额外提升35%，最多叠加四次。
斩杀能力：中      解场能力：弱</t>
  </si>
  <si>
    <t>施放咒语，对指定敌方单位造成多段伤害和持续眩晕。
※咒语作用于玩家单位时，伤害降为50%，且该单位不会受到眩晕影响。
※施法期间，每段后续伤害，将在前段伤害上在增加相当于初始伤害100%的额外伤害，最多叠加三次。
※受到过钻心剜骨伤害的单位，再次被钻心剜骨作用时，所受伤害额外提升35%，最多叠加四次。
斩杀能力：中      解场能力：弱</t>
    <phoneticPr fontId="1" type="noConversion"/>
  </si>
  <si>
    <t>召唤马形水怪，马形水怪会向你指定的位置扑击造成范围伤害，随后，马形水怪将返回并围绕你潜行。在你身边潜行时，每当你对敌方单位造成伤害，马形水怪将扑击已受到你伤害的敌方单位，造成范围伤害。
※每次扑击时，若马形水怪命中敌方巫师单位或击败敌方单位，马形水怪的伤害将提升12%，最多提升3次。
※伤害提升3次后，马形水怪将在每次扑击后立即返回你身边。若使用的回响或其他卡牌对马形水怪的攻击速度有加成，则马形水怪攻击速度加成的60%将转化为马形水怪的伤害加成。
驻场能力：弱    造成伤害：高</t>
    <phoneticPr fontId="1" type="noConversion"/>
  </si>
  <si>
    <t>召唤一只高速移动的金色飞贼，金色飞贼会消耗生命值并在场内随机移动。每次移动为玩家提供1张移动卡和1点魔力值回复。
※金色飞贼生命值低于50%时可以被己方玩家抓取，抓取后立即获得3张移动卡和1点魔力值。
驻场能力：中    造成伤害：无</t>
    <phoneticPr fontId="1" type="noConversion"/>
  </si>
  <si>
    <t>召唤2个石像士兵，石像士兵入场后立即释放嘲讽。
※此后，石像士兵每攻击4次就会释放嘲讽。
※石像士兵释放嘲讽期间，受到的伤害减少99%。
驻场能力：中    造成伤害：中</t>
  </si>
  <si>
    <t>召唤2个石像士兵，石像士兵入场后立即释放嘲讽。
※此后，石像士兵每攻击4次就会释放嘲讽。
※石像士兵释放嘲讽期间，受到的伤害减少99%。
驻场能力：中    造成伤害：中</t>
    <phoneticPr fontId="1" type="noConversion"/>
  </si>
  <si>
    <t>召唤厉火，对敌方单位喷吐火焰造成伤害。场上任意单位被击败，厉火的体型和攻击力都会增加。
※当被击败的单位达到12个后，厉火将同时攻击3个敌方单位。
驻场能力：中    造成伤害：较高</t>
    <phoneticPr fontId="1" type="noConversion"/>
  </si>
  <si>
    <t>召唤一只澳洲蛋白眼幼龙，喷射火焰对敌方单位造成范围伤害。
驻场能力：较差    造成伤害：较低</t>
    <phoneticPr fontId="1" type="noConversion"/>
  </si>
  <si>
    <t>蛋白眼幼龙</t>
    <phoneticPr fontId="1" type="noConversion"/>
  </si>
  <si>
    <t>咒语卡</t>
  </si>
  <si>
    <t>召唤雷鸟引来暴风雨，随机施放15道闪电。
※每道闪电会随机攻击一个敌方单位，并对其造成减疗。
※闪电每次击败敌方单位，伤害都会提高10%，最多5次。
※击败5个敌方单位后，剩余闪电会同时攻击场上所有敌方单位。
斩杀能力：较差      解场能力：较弱</t>
  </si>
  <si>
    <t>召唤雷鸟引来暴风雨，随机施放15道闪电。
※每道闪电会随机攻击一个敌方单位，并对其造成减疗。
※闪电每次击败敌方单位，伤害都会提高10%，最多5次。
※击败5个敌方单位后，剩余闪电会同时攻击场上所有敌方单位。
斩杀能力：较差      解场能力：较弱</t>
    <phoneticPr fontId="1" type="noConversion"/>
  </si>
  <si>
    <t>赫敏；斯内普；多比；贝拉</t>
    <phoneticPr fontId="1" type="noConversion"/>
  </si>
  <si>
    <t>赫敏；卢娜；贝拉</t>
    <phoneticPr fontId="1" type="noConversion"/>
  </si>
  <si>
    <t>小天狼星；双子；纽特；斯内普</t>
    <phoneticPr fontId="1" type="noConversion"/>
  </si>
  <si>
    <t>哈利；赫敏；多比；贝拉；卢娜</t>
    <phoneticPr fontId="1" type="noConversion"/>
  </si>
  <si>
    <t>哈利；多比；赫敏；卢娜；罗恩</t>
    <phoneticPr fontId="1" type="noConversion"/>
  </si>
  <si>
    <t>召唤一枚挪威脊背龙蛋。龙蛋生命恢复至100%时孵化为挪威脊背幼龙，向随机敌方单位喷吐3次范围伤害火焰。
※龙蛋出场时拥有最大生命值的40%，每秒恢复最大生命值的3%。
※若龙蛋阶段受到的伤害累计达到最大血量的110%，则停止自动回复生命。</t>
    <phoneticPr fontId="1" type="noConversion"/>
  </si>
  <si>
    <t xml:space="preserve"> </t>
  </si>
  <si>
    <t xml:space="preserve"> </t>
    <phoneticPr fontId="1" type="noConversion"/>
  </si>
  <si>
    <t>召唤凤凰，凤凰会消耗自身生命值，持续治疗范围内的友方单位。
※凤凰生命值耗尽后会留下灰烬，在一定时间后从灰烬中涅葉重生;涅粲重生三次后，当生命值再次归零，凤凰会回到你的牌库中。
※你可以点击凤凰留下的灰烬输送魔力，加快涅檠重生的进度。
※凤凰每次重生会降低10%生命值。</t>
    <phoneticPr fontId="1" type="noConversion"/>
  </si>
  <si>
    <t>哈利；纳威；多比；赫敏；</t>
    <phoneticPr fontId="1" type="noConversion"/>
  </si>
  <si>
    <t>施放水牢，水牢将卷入范围内所有敌方单位并对其持续造成伤害。施法结束时，水牢爆炸造成高额伤害。
※水牢中的玩家单位无法移动，非玩家单位将被眩晕。
※水牢可以被控制技能打断。</t>
    <phoneticPr fontId="1" type="noConversion"/>
  </si>
  <si>
    <t>施放以自己为中心的环形火墙，火墙会对所有进入的敌方单位造成伤害。
*玩家单位及时间转换器召唤单位处于火墙内时，将持续为火墙充能;且单位数量越多，充能越快，最多充能3次。
*充能成功后1只火龙诞生，冲向最远的敌方单位，并对沿途所有的敌方单位造成伤害。
*每充能成功1次，都将额外诞生1只火龙。</t>
    <phoneticPr fontId="1" type="noConversion"/>
  </si>
  <si>
    <t>召唤麦格教授入场，对所有敌方单位施放1次变形咒。
※随后每使用1张卡牌，麦格教授会对随机敌方单位施放1次变形咒。
※麦格教授在场时，你每使用8张卡牌，麦格教授会召唤1个石像士兵。
※麦格教授施放的变形咒不会在敌方单位之间弹射。</t>
    <phoneticPr fontId="1" type="noConversion"/>
  </si>
  <si>
    <t>召唤罗恩.韦斯莱。
*罗恩入场后向全场敌人冲锋，并将沿途非玩家敌方单位变形为棋子拖在马后。*罗恩途径所有敌人后，向随机敌方玩家或最后一个敌方单位发起冲撞。
*冲锋伤害将会衰减，每撞击一个敌方单位，伤害衰减10%，最多衰减60%。
★每消灭6个敌方单位，罗恩就召唤一个巫师棋子-国王。</t>
    <phoneticPr fontId="1" type="noConversion"/>
  </si>
  <si>
    <t>召唤德拉科马尔福、格雷戈里高尔和文森特克拉布。
*三人中任意一人被击败后，另外两人会逃跑，退出战场。
*在你眩晕、冰冻或束缚敌方单位时，马尔福会使用乌龙出洞标记该单位，随后，马尔福三人组和己方生物将优先锁定该单位攻击，提高移动速度且对被锁定单位伤害提高。</t>
    <phoneticPr fontId="1" type="noConversion"/>
  </si>
  <si>
    <t>召唤哈利，哈利会施放呼神护卫，消耗自身生命值持续击退范围内敌方单位。
*哈利将每5秒移除范围内所有友方单位的控制效果。</t>
    <phoneticPr fontId="1" type="noConversion"/>
  </si>
  <si>
    <t>召唤卢娜.洛夫古德。当你使用咒语卡时，卢娜会随机使用一张魔力值低1~2阶的召唤卡，召唤卡的等级与卢娜自身等级相同。
当你使用咒语卡消耗的魔力累积到20时卢娜会召唤夜骐向指定区域冲锋，造成范围伤害并在此位置进行6次快速打击;若5次或以上打击都命中敌方单位，或夜骐在冲锋过程中击败任意敌方单位，则夜骐将分裂为两只并冲向最近的敌方单位，分裂后造成50%的伤害。</t>
    <phoneticPr fontId="1" type="noConversion"/>
  </si>
  <si>
    <t>召唤赫敏。每当玩家使用一张咒语卡，赫敏也会使用该咒语卡，咒语卡等级和赫敏自身等级相同。
*该效果有10秒冷却时间。
光赫敏不会施放下列咒语:闪回咒,摄神取念。</t>
    <phoneticPr fontId="1" type="noConversion"/>
  </si>
  <si>
    <t>施放火焰熊熊，对范围内所有敌方单位造成多次伤害。
*敌方单位越靠近火焰中心受到的伤害越高。</t>
    <phoneticPr fontId="1" type="noConversion"/>
  </si>
  <si>
    <t>向指定方向击出游走球，对路径上所有敌方单位造成伤害，游走球命中敌方单位后将返回。
*你可以通过移动接住游走球并再次朝敌方单位击出，最多5次。
*最后一次击打时，游走球会造成高额伤害，并击退路径上所有敌方单位。</t>
    <phoneticPr fontId="1" type="noConversion"/>
  </si>
  <si>
    <t>沿一条直线施放-股强烈的飓风，击退沿途的敌方单位并造成伤害。
*飓风咒会对护盾造成200%的额外伤害。</t>
    <phoneticPr fontId="1" type="noConversion"/>
  </si>
  <si>
    <t>闪回咒在手牌中时，会自动变为你使用的上一张咒语卡，且魔力值消耗+1。
*复制的咒语卡等级和闪回咒等级相同。</t>
    <phoneticPr fontId="1" type="noConversion"/>
  </si>
  <si>
    <t>召唤一条火灰蛇。当火灰蛇在场上时，每使用任意1张咒语卡或召唤卡，火灰蛇会召唤1条小火灰蛇攻击敌方单位。
*小火灰蛇会快速扑向敌方单位，造成范围伤害，该伤害可以命中空中单位。</t>
    <phoneticPr fontId="1" type="noConversion"/>
  </si>
  <si>
    <t>提灯怪</t>
    <phoneticPr fontId="1" type="noConversion"/>
  </si>
  <si>
    <t>召唤欣克庞克，欣克庞克将按照你为它规划的行进路线从起点行进至终点。移动期间，欣克庞克会持续引诱附近的敌方非巫师单位随其行进，并降低附近敌方巫师单位的攻击力。
*欣克庞克将在到达终点或被击退时离场，并对附近敌方单位造成范围伤害和缴械效果。
*缴械时长随行进路线增长而递增，可从2秒递增至5秒。若到达终点时欣克庞克仍存活，将造成额外伤害和3秒缴械效果。</t>
    <phoneticPr fontId="1" type="noConversion"/>
  </si>
  <si>
    <t>小马</t>
    <phoneticPr fontId="1" type="noConversion"/>
  </si>
  <si>
    <t>白马</t>
    <phoneticPr fontId="1" type="noConversion"/>
  </si>
  <si>
    <t>召唤一只受伤的独角兽，独角兽生命回复至100%后，立即向距离最远的敌方单位发起强力冲锋，对路径上敌方单位造成伤害。随后，独角兽将继续以冲锋的形式攻击
*独角兽出场时拥有最大生命值的
65%，每5秒恢复一定生命值。
*如果独角兽累计受到超过最大生命值110%的伤害，将停止自动回复生命值</t>
    <phoneticPr fontId="1" type="noConversion"/>
  </si>
  <si>
    <t>朝指定方向施放咒语切割敌方单位，命中敌方单位后在附近敌方单位之间弹跳，依次造成伤害。</t>
    <phoneticPr fontId="1" type="noConversion"/>
  </si>
  <si>
    <t>召唤一头特波疣猪，蓄力后向前冲锋，击退沿途的敌方单位并造成伤害。
米特波疣猪蓄力时间越长，伤害越高，最高造成200%的额外伤害。
*特波疣猪对命中的首个敌方单位造成满额伤害，对其余敌方单位减少1/3伤害。</t>
    <phoneticPr fontId="1" type="noConversion"/>
  </si>
  <si>
    <t>做饭</t>
    <phoneticPr fontId="1" type="noConversion"/>
  </si>
  <si>
    <t>召唤一只嗅嗅为你搜寻财宝，嗅嗅每隔一段时间会消耗生命值挖出一枚金币抛向你，为你恢复1点魔力。</t>
    <phoneticPr fontId="1" type="noConversion"/>
  </si>
  <si>
    <t>老邓</t>
    <phoneticPr fontId="1" type="noConversion"/>
  </si>
  <si>
    <t>老邓头</t>
    <phoneticPr fontId="1" type="noConversion"/>
  </si>
  <si>
    <t>10/15</t>
    <phoneticPr fontId="1" type="noConversion"/>
  </si>
  <si>
    <t>三头犬</t>
    <phoneticPr fontId="1" type="noConversion"/>
  </si>
  <si>
    <t>召唤“甜点大师”韦格比，韦格比将会消耗自己的部分生命值，制作“甜点生物”
*你可以向韦格比输送魔力，加速制作过程。
*韦格比制作的“甜点生物”随机对应你当前魔咒组合中的1张召唤卡。“甜 点生物”的等级与“甜点大师”卡牌等级相同，生命值为对应召唤物的67.5%。K召唤生物对应的召唤卡魔力值消耗越高，韦格比的制作时间越长，同时损失的自身生命值越多。
*“甜点生物”与当前魔咒组合内的召唤卡共享在场生物数量上限。</t>
    <phoneticPr fontId="1" type="noConversion"/>
  </si>
  <si>
    <t>霹雳</t>
    <phoneticPr fontId="1" type="noConversion"/>
  </si>
  <si>
    <t>推推</t>
    <phoneticPr fontId="1" type="noConversion"/>
  </si>
  <si>
    <t>增加卡牌详情表，目前完成度25/93</t>
    <phoneticPr fontId="1" type="noConversion"/>
  </si>
  <si>
    <t>10/24</t>
    <phoneticPr fontId="1" type="noConversion"/>
  </si>
  <si>
    <t>新增已有图书馆通行证，用于精确结果表，完成度超过100%待修复，满级预计天数算法修正</t>
    <phoneticPr fontId="1" type="noConversion"/>
  </si>
  <si>
    <t>默</t>
    <phoneticPr fontId="1" type="noConversion"/>
  </si>
  <si>
    <t>球线</t>
    <phoneticPr fontId="1" type="noConversion"/>
  </si>
  <si>
    <t>向指定方向击出游走球，对路径上所有敌方单位造成伤害，游走球命中敌方单位后将返回。
*你可以通过移动接住游走球并再次朝敌方单位击出，最多6次。
*最后一次击打时，游走球会造成高额伤害，并击退路径上所有敌方单位。</t>
  </si>
  <si>
    <t>10/25</t>
    <phoneticPr fontId="1" type="noConversion"/>
  </si>
  <si>
    <t>修复由于增加图书馆通行证导致的完成度、卡牌总数超出限制</t>
    <phoneticPr fontId="1" type="noConversion"/>
  </si>
  <si>
    <t>ver22.10.25</t>
  </si>
  <si>
    <t>修正了满级预计天数</t>
    <phoneticPr fontId="1" type="noConversion"/>
  </si>
  <si>
    <t>10/28</t>
    <phoneticPr fontId="1" type="noConversion"/>
  </si>
  <si>
    <t>邓</t>
    <phoneticPr fontId="1" type="noConversion"/>
  </si>
  <si>
    <t>11/10</t>
    <phoneticPr fontId="1" type="noConversion"/>
  </si>
  <si>
    <t>新增昔日重现·赫敏</t>
    <phoneticPr fontId="1" type="noConversion"/>
  </si>
  <si>
    <t>昔日重现•赫敏</t>
    <phoneticPr fontId="1" type="noConversion"/>
  </si>
  <si>
    <t>11/17</t>
    <phoneticPr fontId="1" type="noConversion"/>
  </si>
  <si>
    <t>4/5</t>
  </si>
  <si>
    <t>93/94</t>
  </si>
  <si>
    <t>ver22.11.10</t>
  </si>
  <si>
    <t>图书馆通行证（2207阅读周）</t>
    <phoneticPr fontId="1" type="noConversion"/>
  </si>
  <si>
    <t>海格；哈利；赫敏；纽特；斯内普；弗利维；双子</t>
    <phoneticPr fontId="1" type="noConversion"/>
  </si>
  <si>
    <t>价值表</t>
    <phoneticPr fontId="1" type="noConversion"/>
  </si>
  <si>
    <t>图书馆通行证（小赫敏）</t>
    <phoneticPr fontId="1" type="noConversion"/>
  </si>
  <si>
    <t>当前更新卡牌</t>
    <phoneticPr fontId="1" type="noConversion"/>
  </si>
  <si>
    <t>昔日重现·赫敏格兰杰</t>
    <phoneticPr fontId="1" type="noConversion"/>
  </si>
  <si>
    <t>奖励档位</t>
    <phoneticPr fontId="1" type="noConversion"/>
  </si>
  <si>
    <t>奖励内容</t>
    <phoneticPr fontId="1" type="noConversion"/>
  </si>
  <si>
    <t>性价比（不计算幸运发条）</t>
    <phoneticPr fontId="1" type="noConversion"/>
  </si>
  <si>
    <t>小赫敏</t>
    <phoneticPr fontId="1" type="noConversion"/>
  </si>
  <si>
    <t>小赫敏，金卡双倍</t>
    <phoneticPr fontId="1" type="noConversion"/>
  </si>
  <si>
    <t>发条*3，金卡双倍</t>
    <phoneticPr fontId="1" type="noConversion"/>
  </si>
  <si>
    <t>图书馆通行证*10，金卡双倍至160</t>
    <phoneticPr fontId="1" type="noConversion"/>
  </si>
  <si>
    <t xml:space="preserve"> 小赫敏</t>
    <phoneticPr fontId="1" type="noConversion"/>
  </si>
  <si>
    <t>幸运发条*5</t>
    <phoneticPr fontId="1" type="noConversion"/>
  </si>
  <si>
    <t>图书馆通行证*15</t>
    <phoneticPr fontId="1" type="noConversion"/>
  </si>
  <si>
    <t>史诗万能卡*3</t>
    <phoneticPr fontId="1" type="noConversion"/>
  </si>
  <si>
    <t>如尼文秘典</t>
    <phoneticPr fontId="1" type="noConversion"/>
  </si>
  <si>
    <t>传说万能卡</t>
    <phoneticPr fontId="1" type="noConversion"/>
  </si>
  <si>
    <t>小赫敏=108张图书馆通行证
金卡=26张图书馆通行证</t>
    <phoneticPr fontId="1" type="noConversion"/>
  </si>
  <si>
    <t>小赫敏*2</t>
    <phoneticPr fontId="1" type="noConversion"/>
  </si>
  <si>
    <t>主界面排版优化，价值面板优化，概率更新，新增新卡抽卡分析表</t>
    <phoneticPr fontId="1" type="noConversion"/>
  </si>
  <si>
    <t>平常新永恒卡性价比</t>
    <phoneticPr fontId="1" type="noConversion"/>
  </si>
  <si>
    <t>永恒卡</t>
    <phoneticPr fontId="1" type="noConversion"/>
  </si>
  <si>
    <t>经验</t>
    <phoneticPr fontId="1" type="noConversion"/>
  </si>
  <si>
    <r>
      <t>概率有效期11/23-11/30
期望</t>
    </r>
    <r>
      <rPr>
        <sz val="11"/>
        <color rgb="FFC00000"/>
        <rFont val="等线"/>
        <family val="3"/>
        <charset val="134"/>
        <scheme val="minor"/>
      </rPr>
      <t>160张图书馆通行证</t>
    </r>
    <r>
      <rPr>
        <sz val="11"/>
        <rFont val="等线"/>
        <family val="3"/>
        <charset val="134"/>
        <scheme val="minor"/>
      </rPr>
      <t>可享受金卡概率双倍加成</t>
    </r>
    <phoneticPr fontId="1" type="noConversion"/>
  </si>
  <si>
    <t>5/5</t>
  </si>
  <si>
    <t>94/94</t>
  </si>
  <si>
    <t>ver22.11.17</t>
  </si>
  <si>
    <r>
      <rPr>
        <b/>
        <sz val="12"/>
        <color theme="0"/>
        <rFont val="等线"/>
        <family val="3"/>
        <charset val="134"/>
        <scheme val="minor"/>
      </rPr>
      <t>永恒</t>
    </r>
    <r>
      <rPr>
        <sz val="12"/>
        <color theme="1"/>
        <rFont val="等线"/>
        <family val="3"/>
        <charset val="134"/>
        <scheme val="minor"/>
      </rPr>
      <t>卡</t>
    </r>
    <phoneticPr fontId="1" type="noConversion"/>
  </si>
  <si>
    <r>
      <rPr>
        <b/>
        <sz val="12"/>
        <color theme="7" tint="0.39997558519241921"/>
        <rFont val="等线"/>
        <family val="3"/>
        <charset val="134"/>
        <scheme val="minor"/>
      </rPr>
      <t>传说</t>
    </r>
    <r>
      <rPr>
        <sz val="12"/>
        <color theme="1"/>
        <rFont val="等线"/>
        <family val="3"/>
        <charset val="134"/>
        <scheme val="minor"/>
      </rPr>
      <t>卡</t>
    </r>
    <phoneticPr fontId="1" type="noConversion"/>
  </si>
  <si>
    <t>转换图书馆通行证数目</t>
    <phoneticPr fontId="1" type="noConversion"/>
  </si>
  <si>
    <t>通行证</t>
    <phoneticPr fontId="1" type="noConversion"/>
  </si>
  <si>
    <t>12/4</t>
    <phoneticPr fontId="1" type="noConversion"/>
  </si>
  <si>
    <t>新增通行证数目</t>
    <phoneticPr fontId="1" type="noConversion"/>
  </si>
  <si>
    <t>12/11</t>
    <phoneticPr fontId="1" type="noConversion"/>
  </si>
  <si>
    <t>月沙优化</t>
    <phoneticPr fontId="1" type="noConversion"/>
  </si>
  <si>
    <t>12/13</t>
    <phoneticPr fontId="1" type="noConversion"/>
  </si>
  <si>
    <t>神奇生物手提箱</t>
    <phoneticPr fontId="1" type="noConversion"/>
  </si>
  <si>
    <r>
      <t>新增神奇生物手提箱</t>
    </r>
    <r>
      <rPr>
        <sz val="11"/>
        <rFont val="等线"/>
        <family val="3"/>
        <charset val="134"/>
        <scheme val="minor"/>
      </rPr>
      <t>，月沙修正</t>
    </r>
    <phoneticPr fontId="1" type="noConversion"/>
  </si>
  <si>
    <t>12/14</t>
    <phoneticPr fontId="1" type="noConversion"/>
  </si>
  <si>
    <t>图书馆通行证（手提箱）</t>
    <phoneticPr fontId="1" type="noConversion"/>
  </si>
  <si>
    <t>主流流派</t>
    <phoneticPr fontId="1" type="noConversion"/>
  </si>
  <si>
    <t>神锋雷敏</t>
    <phoneticPr fontId="1" type="noConversion"/>
  </si>
  <si>
    <t>火雷敏</t>
    <phoneticPr fontId="1" type="noConversion"/>
  </si>
  <si>
    <r>
      <t>概率更新，</t>
    </r>
    <r>
      <rPr>
        <sz val="11"/>
        <color rgb="FFFF0000"/>
        <rFont val="等线"/>
        <family val="3"/>
        <charset val="134"/>
        <scheme val="minor"/>
      </rPr>
      <t>新增决斗环境表</t>
    </r>
    <phoneticPr fontId="1" type="noConversion"/>
  </si>
  <si>
    <t>铺场弗利维</t>
    <phoneticPr fontId="1" type="noConversion"/>
  </si>
  <si>
    <t>非主流流派</t>
    <phoneticPr fontId="1" type="noConversion"/>
  </si>
  <si>
    <t>速水</t>
    <phoneticPr fontId="1" type="noConversion"/>
  </si>
  <si>
    <t>铺场纳威</t>
    <phoneticPr fontId="1" type="noConversion"/>
  </si>
  <si>
    <t>水电工</t>
    <phoneticPr fontId="1" type="noConversion"/>
  </si>
  <si>
    <t>爆哈</t>
    <phoneticPr fontId="1" type="noConversion"/>
  </si>
  <si>
    <t>多核赫敏</t>
    <phoneticPr fontId="1" type="noConversion"/>
  </si>
  <si>
    <t>海格石墩</t>
    <phoneticPr fontId="1" type="noConversion"/>
  </si>
  <si>
    <t>海格厉火</t>
    <phoneticPr fontId="1" type="noConversion"/>
  </si>
  <si>
    <t>海格火螃蟹</t>
    <phoneticPr fontId="1" type="noConversion"/>
  </si>
  <si>
    <t>小天狼星</t>
    <phoneticPr fontId="1" type="noConversion"/>
  </si>
  <si>
    <t>斯内普</t>
    <phoneticPr fontId="1" type="noConversion"/>
  </si>
  <si>
    <t>海格水怪</t>
    <phoneticPr fontId="1" type="noConversion"/>
  </si>
  <si>
    <t>饭比</t>
    <phoneticPr fontId="1" type="noConversion"/>
  </si>
  <si>
    <t>赫敏烟花</t>
    <phoneticPr fontId="1" type="noConversion"/>
  </si>
  <si>
    <t>愈合哈</t>
    <phoneticPr fontId="1" type="noConversion"/>
  </si>
  <si>
    <t>甜点纳威</t>
    <phoneticPr fontId="1" type="noConversion"/>
  </si>
  <si>
    <t>铺场双子</t>
    <phoneticPr fontId="1" type="noConversion"/>
  </si>
  <si>
    <t>法术双子</t>
    <phoneticPr fontId="1" type="noConversion"/>
  </si>
  <si>
    <t>回响</t>
    <phoneticPr fontId="1" type="noConversion"/>
  </si>
  <si>
    <t>18/19</t>
  </si>
  <si>
    <t>94/95</t>
  </si>
  <si>
    <t>ver22.12.14</t>
  </si>
  <si>
    <t>呼神烟花</t>
    <phoneticPr fontId="1" type="noConversion"/>
  </si>
  <si>
    <t>烟花冰</t>
    <phoneticPr fontId="1" type="noConversion"/>
  </si>
  <si>
    <t>其他雷敏</t>
    <phoneticPr fontId="1" type="noConversion"/>
  </si>
  <si>
    <t>12/18</t>
    <phoneticPr fontId="1" type="noConversion"/>
  </si>
  <si>
    <t>纯白</t>
    <phoneticPr fontId="1" type="noConversion"/>
  </si>
  <si>
    <t>样例：</t>
    <phoneticPr fontId="1" type="noConversion"/>
  </si>
  <si>
    <t>19/19</t>
  </si>
  <si>
    <t>95/95</t>
  </si>
  <si>
    <t>ver22.12.18</t>
  </si>
  <si>
    <t>12/21</t>
    <phoneticPr fontId="1" type="noConversion"/>
  </si>
  <si>
    <t>满级卡牌数机制判定修改</t>
    <phoneticPr fontId="1" type="noConversion"/>
  </si>
  <si>
    <t>持有总价值比</t>
    <phoneticPr fontId="1" type="noConversion"/>
  </si>
  <si>
    <t>2023/1/1</t>
    <phoneticPr fontId="1" type="noConversion"/>
  </si>
  <si>
    <t>顺序调整</t>
    <phoneticPr fontId="1" type="noConversion"/>
  </si>
  <si>
    <t>火遁卢娜</t>
    <phoneticPr fontId="1" type="noConversion"/>
  </si>
  <si>
    <t>非凡卡池期望概率</t>
    <phoneticPr fontId="1" type="noConversion"/>
  </si>
  <si>
    <t>非凡卡包非凡卡池</t>
    <phoneticPr fontId="1" type="noConversion"/>
  </si>
  <si>
    <t>1/5</t>
    <phoneticPr fontId="1" type="noConversion"/>
  </si>
  <si>
    <t>金妮</t>
    <phoneticPr fontId="1" type="noConversion"/>
  </si>
  <si>
    <t>1/8</t>
    <phoneticPr fontId="1" type="noConversion"/>
  </si>
  <si>
    <t>狼牙飞碟</t>
    <phoneticPr fontId="1" type="noConversion"/>
  </si>
  <si>
    <t>新增狼牙飞碟，驺吾</t>
    <phoneticPr fontId="1" type="noConversion"/>
  </si>
  <si>
    <t>驺吾</t>
    <phoneticPr fontId="1" type="noConversion"/>
  </si>
  <si>
    <t>新增马形水怪、欣克庞克</t>
    <phoneticPr fontId="1" type="noConversion"/>
  </si>
  <si>
    <t>非凡卡包概率调整开始</t>
    <phoneticPr fontId="1" type="noConversion"/>
  </si>
  <si>
    <t>重试概率计算器</t>
    <phoneticPr fontId="1" type="noConversion"/>
  </si>
  <si>
    <t>基础概率</t>
    <phoneticPr fontId="1" type="noConversion"/>
  </si>
  <si>
    <t>重试次数</t>
    <phoneticPr fontId="1" type="noConversion"/>
  </si>
  <si>
    <t>至少成功一次概率</t>
    <phoneticPr fontId="1" type="noConversion"/>
  </si>
  <si>
    <t>T0</t>
    <phoneticPr fontId="1" type="noConversion"/>
  </si>
  <si>
    <t>T1</t>
    <phoneticPr fontId="1" type="noConversion"/>
  </si>
  <si>
    <t>T2</t>
    <phoneticPr fontId="1" type="noConversion"/>
  </si>
  <si>
    <t>T3</t>
    <phoneticPr fontId="1" type="noConversion"/>
  </si>
  <si>
    <t>单卡强度排行（双排）</t>
    <phoneticPr fontId="1" type="noConversion"/>
  </si>
  <si>
    <t>T4</t>
    <phoneticPr fontId="1" type="noConversion"/>
  </si>
  <si>
    <t>永恒</t>
    <phoneticPr fontId="1" type="noConversion"/>
  </si>
  <si>
    <t>指定次数结束期望概率</t>
    <phoneticPr fontId="1" type="noConversion"/>
  </si>
  <si>
    <t>非凡卡包指定次数概率获得量分布列</t>
    <phoneticPr fontId="1" type="noConversion"/>
  </si>
  <si>
    <t>1/14</t>
    <phoneticPr fontId="1" type="noConversion"/>
  </si>
  <si>
    <t>决斗环境新增单卡强度，非凡卡包概率算法优化</t>
    <phoneticPr fontId="1" type="noConversion"/>
  </si>
  <si>
    <t>20/20</t>
  </si>
  <si>
    <t>35/35</t>
  </si>
  <si>
    <t>97/97</t>
  </si>
  <si>
    <t>ver23.01.14</t>
  </si>
  <si>
    <t>驺吾雷敏</t>
    <phoneticPr fontId="1" type="noConversion"/>
  </si>
  <si>
    <t>烟花雷敏</t>
    <phoneticPr fontId="1" type="noConversion"/>
  </si>
  <si>
    <t>白鲜哈</t>
    <phoneticPr fontId="1" type="noConversion"/>
  </si>
  <si>
    <t>注：双排（主观看法）</t>
    <phoneticPr fontId="1" type="noConversion"/>
  </si>
  <si>
    <t>打球弗利维</t>
    <phoneticPr fontId="1" type="noConversion"/>
  </si>
  <si>
    <t>修正系数</t>
    <phoneticPr fontId="1" type="noConversion"/>
  </si>
  <si>
    <t>无火遁卢娜</t>
    <phoneticPr fontId="1" type="noConversion"/>
  </si>
  <si>
    <t>单次数学期望获得量</t>
    <phoneticPr fontId="1" type="noConversion"/>
  </si>
  <si>
    <t>每500次必出一张传说或光辉/禁忌魔咒</t>
    <phoneticPr fontId="1" type="noConversion"/>
  </si>
  <si>
    <t>咒术卡</t>
    <phoneticPr fontId="1" type="noConversion"/>
  </si>
  <si>
    <t>火遁护身</t>
    <phoneticPr fontId="1" type="noConversion"/>
  </si>
  <si>
    <t>火遁护身，火焰熊熊，神锋无影，霹雳爆炸，飞来咒</t>
    <phoneticPr fontId="1" type="noConversion"/>
  </si>
  <si>
    <t>火焰熊熊，雷鸟，飞来咒</t>
    <phoneticPr fontId="1" type="noConversion"/>
  </si>
  <si>
    <t>马形水怪，金色飞贼，石墩出动，摇摆蝎尾兽</t>
    <phoneticPr fontId="1" type="noConversion"/>
  </si>
  <si>
    <t>邓布利多，麦格，海格</t>
    <phoneticPr fontId="1" type="noConversion"/>
  </si>
  <si>
    <t>邓布利多，罗恩，麦格，海格</t>
    <phoneticPr fontId="1" type="noConversion"/>
  </si>
  <si>
    <t>邓布利多，小赫敏，罗恩，麦格，海格，格洛普</t>
    <phoneticPr fontId="1" type="noConversion"/>
  </si>
  <si>
    <t>邓布利多，小赫敏，麦格，卢娜，海格，格洛普，弗雷兄弟</t>
    <phoneticPr fontId="1" type="noConversion"/>
  </si>
  <si>
    <t>赫敏，麦格，海格，格洛普，弗雷兄弟</t>
    <phoneticPr fontId="1" type="noConversion"/>
  </si>
  <si>
    <t>小赫敏，马尔福三人组，赫敏，麦格，卢娜，海格，弗雷兄弟</t>
    <phoneticPr fontId="1" type="noConversion"/>
  </si>
  <si>
    <t>邓布利多，小赫敏，罗恩，海格，弗雷兄弟</t>
    <phoneticPr fontId="1" type="noConversion"/>
  </si>
  <si>
    <t>麦格，卡珊德拉，海格，格洛普，弗雷兄弟</t>
    <phoneticPr fontId="1" type="noConversion"/>
  </si>
  <si>
    <t>邓布利多，麦格，海格，格洛普，弗雷兄弟</t>
    <phoneticPr fontId="1" type="noConversion"/>
  </si>
  <si>
    <t>默默然，闪电风暴，火焰熊熊，游走球，飓风咒，霹雳爆炸，飞来咒，气象咒</t>
    <phoneticPr fontId="1" type="noConversion"/>
  </si>
  <si>
    <t>金色飞贼，凤凰，三头犬宝宝，炸尾螺</t>
    <phoneticPr fontId="1" type="noConversion"/>
  </si>
  <si>
    <t>金色飞贼，石墩出动，欣克庞克，甜点大师，棋子士兵，灵猫，打人柳</t>
    <phoneticPr fontId="1" type="noConversion"/>
  </si>
  <si>
    <t>金色飞贼，凤凰，欣克庞克，甜点大师，摇摆蝎尾兽，棋子士兵，打人柳</t>
    <phoneticPr fontId="1" type="noConversion"/>
  </si>
  <si>
    <t>马形水怪，把戏坊烟花盒，卷翼魔，犀角兽，火螃蟹，打人柳</t>
    <phoneticPr fontId="1" type="noConversion"/>
  </si>
  <si>
    <t>小赫敏，麦格，海格，格洛普，丹尼尔</t>
    <phoneticPr fontId="1" type="noConversion"/>
  </si>
  <si>
    <t>邓布利多，多比， 小赫敏，麦格，海格，凯文</t>
    <phoneticPr fontId="1" type="noConversion"/>
  </si>
  <si>
    <t>小赫敏，海格，丹尼尔，凯文</t>
    <phoneticPr fontId="1" type="noConversion"/>
  </si>
  <si>
    <t>邓布利多，多比， 小赫敏，海格，弗雷兄弟，凯文</t>
    <phoneticPr fontId="1" type="noConversion"/>
  </si>
  <si>
    <t>邓布利多，卡珊德拉，海格，格洛普，凯文</t>
    <phoneticPr fontId="1" type="noConversion"/>
  </si>
  <si>
    <t>马形水怪，金色飞贼，石墩出动，厉火，神奇生物手提箱，欣克庞克，嗅嗅，甜点大师，雪人飞来，三本妖怪书，摇摆蝎尾兽，棋子士兵，火螃蟹，打人柳，小蜘蛛群</t>
    <phoneticPr fontId="1" type="noConversion"/>
  </si>
  <si>
    <t>金色飞贼，石墩出动，火灰蛇，嗅嗅，三本妖怪书，把戏坊烟花盒，棋子士兵，灵猫，恶婆鸟，马人</t>
    <phoneticPr fontId="1" type="noConversion"/>
  </si>
  <si>
    <t>金色飞贼，火灰蛇，欣克庞克，嗅嗅，雪人飞来，把戏坊烟花盒，卷翼魔，摇摆蝎尾兽，棋子士兵，巨怪，妖怪们的妖怪书，火螃蟹，灵猫，打人柳，小蜘蛛群，马人</t>
    <phoneticPr fontId="1" type="noConversion"/>
  </si>
  <si>
    <t>火焰熊熊，游走球，万弹齐发</t>
    <phoneticPr fontId="1" type="noConversion"/>
  </si>
  <si>
    <t>闪回咒，除你武器，飞天扫帚，愈合如初，雪球咒，充气咒，白鲜香精，万弹齐发，昏昏倒地</t>
    <phoneticPr fontId="1" type="noConversion"/>
  </si>
  <si>
    <t>呼神护卫，阿瓦达，火焰熊熊，游走球，闪回咒，神锋无影，特波疣猪，飞来咒，气象咒，充气咒，万弹齐发，昏昏倒地</t>
    <phoneticPr fontId="1" type="noConversion"/>
  </si>
  <si>
    <t>默默然，闪回咒，飞来咒，时间转换器，充气咒，吼叫信</t>
    <phoneticPr fontId="1" type="noConversion"/>
  </si>
  <si>
    <t>默默然，呼神护卫，阿瓦达，驺吾，闪电风暴，火焰熊熊，神锋无影，特波疣猪，韦斯莱烟花，多重冰冻咒，变形咒，飞天扫帚，云雾飘渺，随从显形，速速禁锢，充气咒，万弹齐发，昏昏倒地，吼叫信，门钥匙</t>
    <phoneticPr fontId="1" type="noConversion"/>
  </si>
  <si>
    <t>火焰熊熊，飞来咒，愈合如初，充气咒，门钥匙</t>
    <phoneticPr fontId="1" type="noConversion"/>
  </si>
  <si>
    <t>金色飞贼，凤凰，炸尾螺，带翼弹弓</t>
    <phoneticPr fontId="1" type="noConversion"/>
  </si>
  <si>
    <t>金色飞贼，欣克庞克，三本妖怪书，棋子士兵，妖怪们的妖怪书，火螃蟹，打人柳，带翼弹弓</t>
    <phoneticPr fontId="1" type="noConversion"/>
  </si>
  <si>
    <t>马形水怪，凤凰，甜点大师，棋子士兵，火螃蟹，八眼蜘蛛巢穴，打人柳，带翼弹弓</t>
    <phoneticPr fontId="1" type="noConversion"/>
  </si>
  <si>
    <t>默默然，呼神护卫，摧心咒，闪回咒，时间转换器，飞天扫帚，充气咒，膨胀药水，万弹齐发，统统加护</t>
    <phoneticPr fontId="1" type="noConversion"/>
  </si>
  <si>
    <t>默默然，火遁护身，火焰熊熊，闪回咒，神锋无影，霹雳爆炸，飞来咒，随从显形，速速禁锢，充气咒，万弹齐发，统统加护</t>
    <phoneticPr fontId="1" type="noConversion"/>
  </si>
  <si>
    <t>火焰熊熊，韦斯莱烟花，时间转换器，白鲜香精，统统加护，闪回咒</t>
    <phoneticPr fontId="1" type="noConversion"/>
  </si>
  <si>
    <t>勇敢</t>
    <phoneticPr fontId="1" type="noConversion"/>
  </si>
  <si>
    <t>气势十足</t>
    <phoneticPr fontId="1" type="noConversion"/>
  </si>
  <si>
    <t>伺机而动</t>
    <phoneticPr fontId="1" type="noConversion"/>
  </si>
  <si>
    <t>心灵慰藉</t>
    <phoneticPr fontId="1" type="noConversion"/>
  </si>
  <si>
    <t>沙漠宠物调查属性收集</t>
    <phoneticPr fontId="1" type="noConversion"/>
  </si>
  <si>
    <t>第一词条</t>
    <phoneticPr fontId="1" type="noConversion"/>
  </si>
  <si>
    <t>第二词条</t>
    <phoneticPr fontId="1" type="noConversion"/>
  </si>
  <si>
    <t>第三词条</t>
    <phoneticPr fontId="1" type="noConversion"/>
  </si>
  <si>
    <t>惹人喜爱</t>
    <phoneticPr fontId="1" type="noConversion"/>
  </si>
  <si>
    <t>寻踪逐迹</t>
    <phoneticPr fontId="1" type="noConversion"/>
  </si>
  <si>
    <t>乐观</t>
    <phoneticPr fontId="1" type="noConversion"/>
  </si>
  <si>
    <t>传说</t>
  </si>
  <si>
    <t>ver23.01.20</t>
  </si>
  <si>
    <t>统计表</t>
    <phoneticPr fontId="1" type="noConversion"/>
  </si>
  <si>
    <t>无奶哈利</t>
    <phoneticPr fontId="1" type="noConversion"/>
  </si>
  <si>
    <t>图书馆通行证（双倍）</t>
    <phoneticPr fontId="1" type="noConversion"/>
  </si>
  <si>
    <t>2/22</t>
    <phoneticPr fontId="1" type="noConversion"/>
  </si>
  <si>
    <t>界面优化，图书馆通行证价值默认金卡概率双倍加成</t>
    <phoneticPr fontId="1" type="noConversion"/>
  </si>
  <si>
    <t>价值表中若某品质卡满级后价值会清零（判断依据为统计的收集天数是否填写），价值改为总价值比，每月奇迹之沙更名月沙</t>
    <phoneticPr fontId="1" type="noConversion"/>
  </si>
  <si>
    <t>ver23.02.22</t>
  </si>
  <si>
    <t>昔日重现•斯内普</t>
    <phoneticPr fontId="1" type="noConversion"/>
  </si>
  <si>
    <t>3/14</t>
    <phoneticPr fontId="1" type="noConversion"/>
  </si>
  <si>
    <t>新增昔日重现·斯内普</t>
    <phoneticPr fontId="1" type="noConversion"/>
  </si>
  <si>
    <t>原费用</t>
  </si>
  <si>
    <t>总体评分</t>
  </si>
  <si>
    <t>对法</t>
  </si>
  <si>
    <t>对生物</t>
  </si>
  <si>
    <t>夜骐</t>
  </si>
  <si>
    <t>-</t>
  </si>
  <si>
    <t>S</t>
  </si>
  <si>
    <t>B</t>
  </si>
  <si>
    <t>A</t>
  </si>
  <si>
    <t>凤凰</t>
  </si>
  <si>
    <t>SS</t>
  </si>
  <si>
    <t>三本妖怪书</t>
  </si>
  <si>
    <t>C</t>
  </si>
  <si>
    <t>龙蛋</t>
  </si>
  <si>
    <t>厉火</t>
  </si>
  <si>
    <t>石墩出动</t>
  </si>
  <si>
    <t>马形水怪</t>
  </si>
  <si>
    <t>对策车，伙伴，斩杀</t>
  </si>
  <si>
    <t>蛋白龙</t>
  </si>
  <si>
    <t>火螃蟹</t>
  </si>
  <si>
    <t>犀角兽</t>
  </si>
  <si>
    <t>D</t>
  </si>
  <si>
    <t>独角兽</t>
  </si>
  <si>
    <t>甜点大师</t>
  </si>
  <si>
    <t>巨怪</t>
  </si>
  <si>
    <t>金色飞贼</t>
  </si>
  <si>
    <t>带翼弹弓</t>
  </si>
  <si>
    <t>棋子士兵</t>
  </si>
  <si>
    <t>八眼蜘蛛巢穴</t>
  </si>
  <si>
    <t>打人柳</t>
  </si>
  <si>
    <t>手提箱</t>
  </si>
  <si>
    <t>灵猫</t>
  </si>
  <si>
    <t>鸟蛇</t>
  </si>
  <si>
    <t>雷鸟</t>
  </si>
  <si>
    <t>蜷翼魔</t>
  </si>
  <si>
    <t>对策伙伴，大型生物</t>
  </si>
  <si>
    <t>火灰蛇</t>
  </si>
  <si>
    <t>马人</t>
  </si>
  <si>
    <t>妖怪书</t>
  </si>
  <si>
    <t>小精灵</t>
  </si>
  <si>
    <t>小蜘蛛</t>
  </si>
  <si>
    <t>把戏坊烟花盒</t>
  </si>
  <si>
    <t>摇摆蝎尾兽</t>
  </si>
  <si>
    <t>无移动卡</t>
  </si>
  <si>
    <t>欣克庞克</t>
  </si>
  <si>
    <t>嗅嗅</t>
  </si>
  <si>
    <t>雪人飞来</t>
  </si>
  <si>
    <t>神奇小猪</t>
  </si>
  <si>
    <t>对策多比，车</t>
  </si>
  <si>
    <t>备注</t>
    <phoneticPr fontId="1" type="noConversion"/>
  </si>
  <si>
    <t>B</t>
    <phoneticPr fontId="1" type="noConversion"/>
  </si>
  <si>
    <t>C</t>
    <phoneticPr fontId="1" type="noConversion"/>
  </si>
  <si>
    <t>A</t>
    <phoneticPr fontId="1" type="noConversion"/>
  </si>
  <si>
    <t>S</t>
    <phoneticPr fontId="1" type="noConversion"/>
  </si>
  <si>
    <t>D</t>
    <phoneticPr fontId="1" type="noConversion"/>
  </si>
  <si>
    <t>SS</t>
    <phoneticPr fontId="1" type="noConversion"/>
  </si>
  <si>
    <t>压场</t>
    <phoneticPr fontId="1" type="noConversion"/>
  </si>
  <si>
    <t>极端情况斩杀</t>
    <phoneticPr fontId="1" type="noConversion"/>
  </si>
  <si>
    <t>对策雾，万弹齐发</t>
    <phoneticPr fontId="1" type="noConversion"/>
  </si>
  <si>
    <t>默默然，火遁护身，火焰熊熊，闪回咒，神锋无影，霹雳爆炸，韦斯莱烟花，飞来咒，冰冻咒，愈合如初，清水如泉，随从显形，速速禁锢，充气咒，白鲜香精，昏昏倒地，统统加护</t>
    <phoneticPr fontId="1" type="noConversion"/>
  </si>
  <si>
    <t>5/5</t>
    <phoneticPr fontId="1" type="noConversion"/>
  </si>
  <si>
    <t>幽灵骑士团</t>
    <phoneticPr fontId="1" type="noConversion"/>
  </si>
  <si>
    <t>新增幽灵骑士团</t>
    <phoneticPr fontId="1" type="noConversion"/>
  </si>
  <si>
    <t>6/6</t>
  </si>
  <si>
    <t>20/21</t>
  </si>
  <si>
    <t>98/99</t>
  </si>
  <si>
    <t>ver23.05.05</t>
  </si>
  <si>
    <t>六一大更新预更新</t>
    <phoneticPr fontId="1" type="noConversion"/>
  </si>
  <si>
    <t>正常计算</t>
    <phoneticPr fontId="1" type="noConversion"/>
  </si>
  <si>
    <t>银辉之钥</t>
    <phoneticPr fontId="1" type="noConversion"/>
  </si>
  <si>
    <t>金耀之钥</t>
    <phoneticPr fontId="1" type="noConversion"/>
  </si>
  <si>
    <t>5/31</t>
    <phoneticPr fontId="1" type="noConversion"/>
  </si>
  <si>
    <t>21/21</t>
  </si>
  <si>
    <t>99/99</t>
  </si>
  <si>
    <t>ver23.05.31</t>
  </si>
  <si>
    <t>每20次必出一张传说或光辉/禁忌魔咒</t>
    <phoneticPr fontId="1" type="noConversion"/>
  </si>
  <si>
    <t>焰色之锁</t>
    <phoneticPr fontId="1" type="noConversion"/>
  </si>
  <si>
    <t>概率（限定为50%）</t>
    <phoneticPr fontId="1" type="noConversion"/>
  </si>
  <si>
    <t>每50次必出一张UP</t>
    <phoneticPr fontId="1" type="noConversion"/>
  </si>
  <si>
    <t>每6次至少一张</t>
    <phoneticPr fontId="1" type="noConversion"/>
  </si>
  <si>
    <t>价值/个</t>
    <phoneticPr fontId="1" type="noConversion"/>
  </si>
  <si>
    <t>金卡</t>
    <phoneticPr fontId="1" type="noConversion"/>
  </si>
  <si>
    <t>阿兹卡班</t>
    <phoneticPr fontId="1" type="noConversion"/>
  </si>
  <si>
    <t>隐形兽</t>
    <phoneticPr fontId="1" type="noConversion"/>
  </si>
  <si>
    <t>永</t>
    <phoneticPr fontId="1" type="noConversion"/>
  </si>
  <si>
    <t>all</t>
    <phoneticPr fontId="1" type="noConversion"/>
  </si>
  <si>
    <t>S</t>
    <phoneticPr fontId="1" type="noConversion"/>
  </si>
  <si>
    <t>极端情况解伙伴，疲劳斩杀，生物群</t>
    <phoneticPr fontId="1" type="noConversion"/>
  </si>
  <si>
    <t>A</t>
    <phoneticPr fontId="1" type="noConversion"/>
  </si>
  <si>
    <t>C</t>
    <phoneticPr fontId="1" type="noConversion"/>
  </si>
  <si>
    <t>吸收伤害</t>
    <phoneticPr fontId="1" type="noConversion"/>
  </si>
  <si>
    <t>B</t>
    <phoneticPr fontId="1" type="noConversion"/>
  </si>
  <si>
    <t>SS</t>
    <phoneticPr fontId="1" type="noConversion"/>
  </si>
  <si>
    <t>强</t>
    <phoneticPr fontId="1" type="noConversion"/>
  </si>
  <si>
    <t>一般</t>
    <phoneticPr fontId="1" type="noConversion"/>
  </si>
  <si>
    <t>勉强</t>
    <phoneticPr fontId="1" type="noConversion"/>
  </si>
  <si>
    <t>弱</t>
    <phoneticPr fontId="1" type="noConversion"/>
  </si>
  <si>
    <t>极弱</t>
    <phoneticPr fontId="1" type="noConversion"/>
  </si>
  <si>
    <t>对策火遁，闪电</t>
    <phoneticPr fontId="1" type="noConversion"/>
  </si>
  <si>
    <t>隐形兽</t>
    <phoneticPr fontId="1" type="noConversion"/>
  </si>
  <si>
    <t>很强</t>
    <phoneticPr fontId="1" type="noConversion"/>
  </si>
  <si>
    <t>不建议</t>
    <phoneticPr fontId="1" type="noConversion"/>
  </si>
  <si>
    <t>看情况</t>
    <phoneticPr fontId="1" type="noConversion"/>
  </si>
  <si>
    <t>D</t>
    <phoneticPr fontId="1" type="noConversion"/>
  </si>
  <si>
    <t>有闪电勿放</t>
    <phoneticPr fontId="1" type="noConversion"/>
  </si>
  <si>
    <t>辅助压场</t>
    <phoneticPr fontId="1" type="noConversion"/>
  </si>
  <si>
    <t>对策伙伴，生物群，雾</t>
    <phoneticPr fontId="1" type="noConversion"/>
  </si>
  <si>
    <t>抗压</t>
    <phoneticPr fontId="1" type="noConversion"/>
  </si>
  <si>
    <t>压力局逆转，抗压</t>
    <phoneticPr fontId="1" type="noConversion"/>
  </si>
  <si>
    <t>对策雾</t>
    <phoneticPr fontId="1" type="noConversion"/>
  </si>
  <si>
    <t>对策格洛普</t>
    <phoneticPr fontId="1" type="noConversion"/>
  </si>
  <si>
    <t>运营</t>
    <phoneticPr fontId="1" type="noConversion"/>
  </si>
  <si>
    <t>压力局逆转，对面法术占优勿放</t>
    <phoneticPr fontId="1" type="noConversion"/>
  </si>
  <si>
    <t>费用</t>
    <phoneticPr fontId="1" type="noConversion"/>
  </si>
  <si>
    <t>SSS</t>
    <phoneticPr fontId="1" type="noConversion"/>
  </si>
  <si>
    <t>aoe，强控高伤</t>
    <phoneticPr fontId="1" type="noConversion"/>
  </si>
  <si>
    <t>极强</t>
    <phoneticPr fontId="1" type="noConversion"/>
  </si>
  <si>
    <t>单排，搭配火焰熊熊，烟花</t>
    <phoneticPr fontId="1" type="noConversion"/>
  </si>
  <si>
    <t>叠层秒杀</t>
    <phoneticPr fontId="1" type="noConversion"/>
  </si>
  <si>
    <t>解伙伴，中线强攻</t>
    <phoneticPr fontId="1" type="noConversion"/>
  </si>
  <si>
    <t>高伤难命中</t>
    <phoneticPr fontId="1" type="noConversion"/>
  </si>
  <si>
    <t>长时间软控aoe，易被打断</t>
    <phoneticPr fontId="1" type="noConversion"/>
  </si>
  <si>
    <t>-</t>
    <phoneticPr fontId="1" type="noConversion"/>
  </si>
  <si>
    <t>难命中</t>
    <phoneticPr fontId="1" type="noConversion"/>
  </si>
  <si>
    <t>火灰蛇固定搭配</t>
    <phoneticPr fontId="1" type="noConversion"/>
  </si>
  <si>
    <t>高伤斩杀，位移</t>
    <phoneticPr fontId="1" type="noConversion"/>
  </si>
  <si>
    <t>普攻回响固定搭配</t>
    <phoneticPr fontId="1" type="noConversion"/>
  </si>
  <si>
    <t>搭配马尔福瞬秒凯文</t>
    <phoneticPr fontId="1" type="noConversion"/>
  </si>
  <si>
    <t>控制</t>
    <phoneticPr fontId="1" type="noConversion"/>
  </si>
  <si>
    <t>对策罗恩回响，控制</t>
    <phoneticPr fontId="1" type="noConversion"/>
  </si>
  <si>
    <t>免控解控，位移躲伤</t>
    <phoneticPr fontId="1" type="noConversion"/>
  </si>
  <si>
    <t>自动索敌，减疗</t>
    <phoneticPr fontId="1" type="noConversion"/>
  </si>
  <si>
    <t>贝拉固定搭配</t>
    <phoneticPr fontId="1" type="noConversion"/>
  </si>
  <si>
    <t>ps：主观，主要看决斗时的强度和出场频率</t>
    <phoneticPr fontId="1" type="noConversion"/>
  </si>
  <si>
    <t>复制高收益魔咒，连续控制</t>
    <phoneticPr fontId="1" type="noConversion"/>
  </si>
  <si>
    <t>位移</t>
    <phoneticPr fontId="1" type="noConversion"/>
  </si>
  <si>
    <t>瞬秒卢娜</t>
    <phoneticPr fontId="1" type="noConversion"/>
  </si>
  <si>
    <t>金妮回响搭配，聚怪</t>
    <phoneticPr fontId="1" type="noConversion"/>
  </si>
  <si>
    <t>金妮回响搭配</t>
    <phoneticPr fontId="1" type="noConversion"/>
  </si>
  <si>
    <t>控制，位移</t>
    <phoneticPr fontId="1" type="noConversion"/>
  </si>
  <si>
    <t>斯内普搭配，烟花搭配</t>
    <phoneticPr fontId="1" type="noConversion"/>
  </si>
  <si>
    <t>破雾，转移生物</t>
    <phoneticPr fontId="1" type="noConversion"/>
  </si>
  <si>
    <t>罗恩回响搭配</t>
    <phoneticPr fontId="1" type="noConversion"/>
  </si>
  <si>
    <t>海格回响搭配</t>
    <phoneticPr fontId="1" type="noConversion"/>
  </si>
  <si>
    <t>压缩卡组，运营</t>
    <phoneticPr fontId="1" type="noConversion"/>
  </si>
  <si>
    <t>货拉拉</t>
    <phoneticPr fontId="1" type="noConversion"/>
  </si>
  <si>
    <t>过牌</t>
    <phoneticPr fontId="1" type="noConversion"/>
  </si>
  <si>
    <t>斯内普回响，纳威回响</t>
    <phoneticPr fontId="1" type="noConversion"/>
  </si>
  <si>
    <t>贝拉回响搭配</t>
    <phoneticPr fontId="1" type="noConversion"/>
  </si>
  <si>
    <t>加伤</t>
    <phoneticPr fontId="1" type="noConversion"/>
  </si>
  <si>
    <t>漂浮炸弹</t>
    <phoneticPr fontId="1" type="noConversion"/>
  </si>
  <si>
    <t>普攻回响搭配</t>
    <phoneticPr fontId="1" type="noConversion"/>
  </si>
  <si>
    <t>拉开血差，免控，接人</t>
    <phoneticPr fontId="1" type="noConversion"/>
  </si>
  <si>
    <t>全场变形加伤</t>
    <phoneticPr fontId="1" type="noConversion"/>
  </si>
  <si>
    <t>清怪</t>
    <phoneticPr fontId="1" type="noConversion"/>
  </si>
  <si>
    <t>减费，偷牌</t>
    <phoneticPr fontId="1" type="noConversion"/>
  </si>
  <si>
    <t>哈利</t>
    <phoneticPr fontId="1" type="noConversion"/>
  </si>
  <si>
    <t>第一梯队</t>
    <phoneticPr fontId="1" type="noConversion"/>
  </si>
  <si>
    <t>第二梯队</t>
    <phoneticPr fontId="1" type="noConversion"/>
  </si>
  <si>
    <t>第三梯队</t>
    <phoneticPr fontId="1" type="noConversion"/>
  </si>
  <si>
    <t>下水道</t>
    <phoneticPr fontId="1" type="noConversion"/>
  </si>
  <si>
    <t>压场，马</t>
    <phoneticPr fontId="1" type="noConversion"/>
  </si>
  <si>
    <t>雷</t>
    <phoneticPr fontId="1" type="noConversion"/>
  </si>
  <si>
    <t>运营，解场</t>
    <phoneticPr fontId="1" type="noConversion"/>
  </si>
  <si>
    <t>高操作性</t>
    <phoneticPr fontId="1" type="noConversion"/>
  </si>
  <si>
    <t>生物弱鸡</t>
    <phoneticPr fontId="1" type="noConversion"/>
  </si>
  <si>
    <t>7/7</t>
  </si>
  <si>
    <t>36/36</t>
  </si>
  <si>
    <t>101/101</t>
  </si>
  <si>
    <t>ver23.08.18</t>
    <phoneticPr fontId="1" type="noConversion"/>
  </si>
  <si>
    <t>8/18</t>
    <phoneticPr fontId="1" type="noConversion"/>
  </si>
  <si>
    <t>火灰蛇，高费棋子</t>
    <phoneticPr fontId="1" type="noConversion"/>
  </si>
  <si>
    <t>可玩</t>
    <phoneticPr fontId="1" type="noConversion"/>
  </si>
  <si>
    <r>
      <t>重构计算，兼容新版十八级，更新卢娜回响生物，更新新抽卡道具，</t>
    </r>
    <r>
      <rPr>
        <sz val="11"/>
        <color rgb="FFFF0000"/>
        <rFont val="等线"/>
        <family val="3"/>
        <charset val="134"/>
        <scheme val="minor"/>
      </rPr>
      <t>新增卡牌分析，回响分析，新增阿兹卡班，隐形兽</t>
    </r>
    <phoneticPr fontId="1" type="noConversion"/>
  </si>
  <si>
    <t>养成进度</t>
    <phoneticPr fontId="1" type="noConversion"/>
  </si>
  <si>
    <t>直伤，解场</t>
    <phoneticPr fontId="1" type="noConversion"/>
  </si>
  <si>
    <t>强化卡牌</t>
    <phoneticPr fontId="1" type="noConversion"/>
  </si>
  <si>
    <t>多重冰发射器</t>
    <phoneticPr fontId="1" type="noConversion"/>
  </si>
  <si>
    <t>神奇动物名称</t>
    <phoneticPr fontId="1" type="noConversion"/>
  </si>
  <si>
    <t>回响</t>
    <phoneticPr fontId="1" type="noConversion"/>
  </si>
  <si>
    <t>打伤害，躲伤害</t>
    <phoneticPr fontId="1" type="noConversion"/>
  </si>
  <si>
    <t>高伤，弹射下车</t>
    <phoneticPr fontId="1" type="noConversion"/>
  </si>
  <si>
    <t>aoe贯穿，打断</t>
    <phoneticPr fontId="1" type="noConversion"/>
  </si>
  <si>
    <t>高伤aoe，位移</t>
    <phoneticPr fontId="1" type="noConversion"/>
  </si>
  <si>
    <t>奶量低</t>
    <phoneticPr fontId="1" type="noConversion"/>
  </si>
  <si>
    <t>抗雷，抗球线</t>
    <phoneticPr fontId="1" type="noConversion"/>
  </si>
  <si>
    <t>易被打断</t>
    <phoneticPr fontId="1" type="noConversion"/>
  </si>
  <si>
    <t>ver23.08.25</t>
    <phoneticPr fontId="1" type="noConversion"/>
  </si>
  <si>
    <t>8/25</t>
    <phoneticPr fontId="1" type="noConversion"/>
  </si>
  <si>
    <t>新环境强度更新</t>
    <phoneticPr fontId="1" type="noConversion"/>
  </si>
  <si>
    <t>抗伤，运营，压场，班，斩杀</t>
    <phoneticPr fontId="1" type="noConversion"/>
  </si>
  <si>
    <t>辅助，组排</t>
    <phoneticPr fontId="1" type="noConversion"/>
  </si>
  <si>
    <t>神</t>
    <phoneticPr fontId="1" type="noConversion"/>
  </si>
  <si>
    <t>运营，抗压，拉血差，压场</t>
    <phoneticPr fontId="1" type="noConversion"/>
  </si>
  <si>
    <t>马，直伤，高机动性</t>
    <phoneticPr fontId="1" type="noConversion"/>
  </si>
  <si>
    <t>飞盘（暂定S）</t>
    <phoneticPr fontId="1" type="noConversion"/>
  </si>
  <si>
    <t>搭配小蜘蛛，蝎尾兽</t>
    <phoneticPr fontId="1" type="noConversion"/>
  </si>
  <si>
    <t>低端局解场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</si>
</sst>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3" formatCode="_ * #,##0.00_ ;_ * \-#,##0.00_ ;_ * &quot;-&quot;??_ ;_ @_ "/>
    <numFmt numFmtId="176" formatCode="0_ "/>
    <numFmt numFmtId="177" formatCode="0.00_ "/>
    <numFmt numFmtId="178" formatCode="#,##0_ "/>
    <numFmt numFmtId="179" formatCode="0.0_ "/>
    <numFmt numFmtId="180" formatCode="0.0000_ "/>
    <numFmt numFmtId="181" formatCode="0.000_ "/>
    <numFmt numFmtId="182" formatCode="0.000%"/>
    <numFmt numFmtId="183" formatCode="0.000000_ "/>
    <numFmt numFmtId="184" formatCode="0.0000000%"/>
    <numFmt numFmtId="185" formatCode="&quot;日期&quot;@"/>
    <numFmt numFmtId="186" formatCode="0.000"/>
    <numFmt numFmtId="187" formatCode="0.0000%"/>
    <numFmt numFmtId="188" formatCode="0.000000000%"/>
    <numFmt numFmtId="189" formatCode="0.0000"/>
    <numFmt numFmtId="190" formatCode="0.0"/>
    <numFmt numFmtId="191" formatCode="0.00_);[Red]\(0.00\)"/>
    <numFmt numFmtId="192" formatCode="0.000_);[Red]\(0.000\)"/>
    <numFmt numFmtId="193" formatCode="0.0_);[Red]\(0.0\)"/>
    <numFmt numFmtId="194" formatCode="0_);[Red]\(0\)"/>
    <numFmt numFmtId="195" formatCode="0.0000_);[Red]\(0.0000\)"/>
    <numFmt numFmtId="196" formatCode="0.00000_);[Red]\(0.00000\)"/>
    <numFmt numFmtId="197" formatCode="0.0%"/>
    <numFmt numFmtId="198" formatCode="0.00000000000000000"/>
  </numFmts>
  <fonts count="53" x14ac:knownFonts="1">
    <font>
      <sz val="11"/>
      <color theme="1"/>
      <name val="等线"/>
      <family val="2"/>
      <scheme val="minor"/>
    </font>
    <font>
      <sz val="9"/>
      <name val="等线"/>
      <family val="3"/>
      <charset val="134"/>
      <scheme val="minor"/>
    </font>
    <font>
      <sz val="11"/>
      <name val="等线"/>
      <family val="3"/>
      <charset val="134"/>
      <scheme val="minor"/>
    </font>
    <font>
      <sz val="11"/>
      <color theme="0"/>
      <name val="等线"/>
      <family val="2"/>
      <scheme val="minor"/>
    </font>
    <font>
      <sz val="11"/>
      <name val="等线"/>
      <family val="2"/>
      <scheme val="minor"/>
    </font>
    <font>
      <sz val="11"/>
      <color theme="1" tint="4.9989318521683403E-2"/>
      <name val="等线"/>
      <family val="3"/>
      <charset val="134"/>
      <scheme val="minor"/>
    </font>
    <font>
      <b/>
      <i/>
      <sz val="11"/>
      <color theme="1"/>
      <name val="等线"/>
      <family val="3"/>
      <charset val="134"/>
      <scheme val="minor"/>
    </font>
    <font>
      <sz val="11"/>
      <color theme="4" tint="-0.499984740745262"/>
      <name val="等线"/>
      <family val="3"/>
      <charset val="134"/>
      <scheme val="minor"/>
    </font>
    <font>
      <b/>
      <sz val="11"/>
      <color theme="0" tint="-4.9989318521683403E-2"/>
      <name val="等线"/>
      <family val="3"/>
      <charset val="134"/>
      <scheme val="minor"/>
    </font>
    <font>
      <b/>
      <sz val="11"/>
      <color theme="9" tint="-0.249977111117893"/>
      <name val="等线"/>
      <family val="3"/>
      <charset val="134"/>
      <scheme val="minor"/>
    </font>
    <font>
      <sz val="11"/>
      <color theme="1"/>
      <name val="等线"/>
      <family val="3"/>
      <charset val="134"/>
      <scheme val="minor"/>
    </font>
    <font>
      <b/>
      <sz val="11"/>
      <color theme="7" tint="0.39997558519241921"/>
      <name val="等线"/>
      <family val="3"/>
      <charset val="134"/>
      <scheme val="minor"/>
    </font>
    <font>
      <sz val="11"/>
      <color rgb="FFFF0000"/>
      <name val="等线"/>
      <family val="3"/>
      <charset val="134"/>
      <scheme val="minor"/>
    </font>
    <font>
      <sz val="11"/>
      <color theme="2"/>
      <name val="等线"/>
      <family val="3"/>
      <charset val="134"/>
      <scheme val="minor"/>
    </font>
    <font>
      <sz val="11"/>
      <color theme="1"/>
      <name val="等线"/>
      <family val="2"/>
      <scheme val="minor"/>
    </font>
    <font>
      <b/>
      <sz val="11"/>
      <color rgb="FFFF0000"/>
      <name val="等线"/>
      <family val="3"/>
      <charset val="134"/>
      <scheme val="minor"/>
    </font>
    <font>
      <b/>
      <sz val="11"/>
      <color theme="0"/>
      <name val="等线"/>
      <family val="3"/>
      <charset val="134"/>
      <scheme val="minor"/>
    </font>
    <font>
      <b/>
      <sz val="11"/>
      <color theme="0"/>
      <name val="等线"/>
      <family val="2"/>
      <charset val="134"/>
      <scheme val="minor"/>
    </font>
    <font>
      <sz val="11"/>
      <color rgb="FF9C5700"/>
      <name val="等线"/>
      <family val="2"/>
      <charset val="134"/>
      <scheme val="minor"/>
    </font>
    <font>
      <sz val="11"/>
      <color rgb="FFFF0000"/>
      <name val="等线"/>
      <family val="2"/>
      <scheme val="minor"/>
    </font>
    <font>
      <u/>
      <sz val="11"/>
      <color theme="10"/>
      <name val="等线"/>
      <family val="2"/>
      <scheme val="minor"/>
    </font>
    <font>
      <sz val="9"/>
      <color indexed="81"/>
      <name val="宋体"/>
      <family val="3"/>
      <charset val="134"/>
    </font>
    <font>
      <b/>
      <sz val="9"/>
      <color indexed="81"/>
      <name val="宋体"/>
      <family val="3"/>
      <charset val="134"/>
    </font>
    <font>
      <u/>
      <sz val="48"/>
      <color theme="9" tint="0.79998168889431442"/>
      <name val="等线"/>
      <family val="2"/>
      <scheme val="minor"/>
    </font>
    <font>
      <b/>
      <u/>
      <sz val="9"/>
      <color indexed="81"/>
      <name val="宋体"/>
      <family val="3"/>
      <charset val="134"/>
    </font>
    <font>
      <i/>
      <sz val="16"/>
      <color theme="7" tint="0.79998168889431442"/>
      <name val="等线"/>
      <family val="3"/>
      <charset val="134"/>
      <scheme val="minor"/>
    </font>
    <font>
      <sz val="11"/>
      <color theme="9" tint="-0.499984740745262"/>
      <name val="等线"/>
      <family val="3"/>
      <charset val="134"/>
      <scheme val="minor"/>
    </font>
    <font>
      <sz val="12"/>
      <color theme="1"/>
      <name val="等线"/>
      <family val="3"/>
      <charset val="134"/>
      <scheme val="minor"/>
    </font>
    <font>
      <sz val="14"/>
      <color theme="1"/>
      <name val="等线"/>
      <family val="3"/>
      <charset val="134"/>
      <scheme val="minor"/>
    </font>
    <font>
      <sz val="14"/>
      <name val="等线"/>
      <family val="3"/>
      <charset val="134"/>
      <scheme val="minor"/>
    </font>
    <font>
      <b/>
      <sz val="14"/>
      <color theme="9" tint="-0.249977111117893"/>
      <name val="等线"/>
      <family val="3"/>
      <charset val="134"/>
      <scheme val="minor"/>
    </font>
    <font>
      <b/>
      <sz val="14"/>
      <color theme="0"/>
      <name val="等线"/>
      <family val="3"/>
      <charset val="134"/>
      <scheme val="minor"/>
    </font>
    <font>
      <b/>
      <sz val="14"/>
      <color theme="7" tint="0.39997558519241921"/>
      <name val="等线"/>
      <family val="3"/>
      <charset val="134"/>
      <scheme val="minor"/>
    </font>
    <font>
      <sz val="14"/>
      <color theme="0"/>
      <name val="等线"/>
      <family val="3"/>
      <charset val="134"/>
      <scheme val="minor"/>
    </font>
    <font>
      <sz val="14"/>
      <color theme="9" tint="-0.499984740745262"/>
      <name val="等线"/>
      <family val="3"/>
      <charset val="134"/>
      <scheme val="minor"/>
    </font>
    <font>
      <sz val="11"/>
      <color rgb="FF000000"/>
      <name val="等线"/>
      <family val="3"/>
      <charset val="134"/>
      <scheme val="minor"/>
    </font>
    <font>
      <sz val="11"/>
      <color rgb="FFFFFF00"/>
      <name val="等线"/>
      <family val="3"/>
      <charset val="134"/>
      <scheme val="minor"/>
    </font>
    <font>
      <b/>
      <sz val="14"/>
      <color rgb="FFFFFF00"/>
      <name val="等线"/>
      <family val="3"/>
      <charset val="134"/>
      <scheme val="minor"/>
    </font>
    <font>
      <b/>
      <sz val="11"/>
      <color theme="1"/>
      <name val="等线"/>
      <family val="3"/>
      <charset val="134"/>
      <scheme val="minor"/>
    </font>
    <font>
      <sz val="11"/>
      <color rgb="FFC00000"/>
      <name val="等线"/>
      <family val="3"/>
      <charset val="134"/>
      <scheme val="minor"/>
    </font>
    <font>
      <sz val="12"/>
      <color theme="4" tint="-0.499984740745262"/>
      <name val="等线"/>
      <family val="3"/>
      <charset val="134"/>
      <scheme val="minor"/>
    </font>
    <font>
      <sz val="12"/>
      <color theme="1"/>
      <name val="等线"/>
      <family val="2"/>
      <scheme val="minor"/>
    </font>
    <font>
      <sz val="14"/>
      <color theme="1"/>
      <name val="等线"/>
      <family val="2"/>
      <scheme val="minor"/>
    </font>
    <font>
      <b/>
      <sz val="12"/>
      <color theme="0"/>
      <name val="等线"/>
      <family val="3"/>
      <charset val="134"/>
      <scheme val="minor"/>
    </font>
    <font>
      <b/>
      <sz val="12"/>
      <color theme="7" tint="0.39997558519241921"/>
      <name val="等线"/>
      <family val="3"/>
      <charset val="134"/>
      <scheme val="minor"/>
    </font>
    <font>
      <sz val="12"/>
      <name val="等线"/>
      <family val="3"/>
      <charset val="134"/>
      <scheme val="minor"/>
    </font>
    <font>
      <u/>
      <sz val="48"/>
      <color rgb="FF92D050"/>
      <name val="等线"/>
      <family val="2"/>
      <scheme val="minor"/>
    </font>
    <font>
      <b/>
      <sz val="11"/>
      <color rgb="FFFA7D00"/>
      <name val="等线"/>
      <family val="2"/>
      <charset val="134"/>
      <scheme val="minor"/>
    </font>
    <font>
      <b/>
      <sz val="12"/>
      <color rgb="FFFF0000"/>
      <name val="等线"/>
      <family val="3"/>
      <charset val="134"/>
      <scheme val="minor"/>
    </font>
    <font>
      <u/>
      <sz val="24"/>
      <color theme="10"/>
      <name val="等线"/>
      <family val="2"/>
      <scheme val="minor"/>
    </font>
    <font>
      <u/>
      <sz val="26"/>
      <color theme="9"/>
      <name val="等线"/>
      <family val="2"/>
      <scheme val="minor"/>
    </font>
    <font>
      <b/>
      <sz val="14"/>
      <color theme="9" tint="-0.499984740745262"/>
      <name val="等线"/>
      <family val="3"/>
      <charset val="134"/>
      <scheme val="minor"/>
    </font>
    <font>
      <b/>
      <sz val="18"/>
      <color theme="9"/>
      <name val="宋体"/>
      <family val="3"/>
      <charset val="134"/>
    </font>
  </fonts>
  <fills count="43">
    <fill>
      <patternFill patternType="none"/>
    </fill>
    <fill>
      <patternFill patternType="gray125"/>
    </fill>
    <fill>
      <patternFill patternType="solid">
        <fgColor theme="2"/>
        <bgColor indexed="64"/>
      </patternFill>
    </fill>
    <fill>
      <patternFill patternType="solid">
        <fgColor rgb="FF00B0F0"/>
        <bgColor indexed="64"/>
      </patternFill>
    </fill>
    <fill>
      <patternFill patternType="solid">
        <fgColor rgb="FFD60093"/>
        <bgColor indexed="64"/>
      </patternFill>
    </fill>
    <fill>
      <patternFill patternType="solid">
        <fgColor theme="7"/>
        <bgColor indexed="64"/>
      </patternFill>
    </fill>
    <fill>
      <patternFill patternType="solid">
        <fgColor rgb="FF92D050"/>
        <bgColor indexed="64"/>
      </patternFill>
    </fill>
    <fill>
      <patternFill patternType="solid">
        <fgColor rgb="FF7030A0"/>
        <bgColor indexed="64"/>
      </patternFill>
    </fill>
    <fill>
      <patternFill patternType="mediumGray">
        <fgColor theme="0"/>
        <bgColor rgb="FFFF0000"/>
      </patternFill>
    </fill>
    <fill>
      <patternFill patternType="mediumGray">
        <fgColor theme="0"/>
        <bgColor theme="7" tint="-0.24994659260841701"/>
      </patternFill>
    </fill>
    <fill>
      <patternFill patternType="solid">
        <fgColor theme="0"/>
        <bgColor indexed="64"/>
      </patternFill>
    </fill>
    <fill>
      <patternFill patternType="solid">
        <fgColor rgb="FFFE8602"/>
        <bgColor indexed="64"/>
      </patternFill>
    </fill>
    <fill>
      <patternFill patternType="solid">
        <fgColor rgb="FFFEFEF0"/>
        <bgColor indexed="64"/>
      </patternFill>
    </fill>
    <fill>
      <patternFill patternType="solid">
        <fgColor rgb="FF2A7103"/>
        <bgColor indexed="64"/>
      </patternFill>
    </fill>
    <fill>
      <patternFill patternType="darkGray">
        <fgColor theme="0"/>
        <bgColor theme="7" tint="0.39994506668294322"/>
      </patternFill>
    </fill>
    <fill>
      <gradientFill degree="90">
        <stop position="0">
          <color rgb="FFFEFEF0"/>
        </stop>
        <stop position="1">
          <color rgb="FF2A7103"/>
        </stop>
      </gradientFill>
    </fill>
    <fill>
      <patternFill patternType="solid">
        <fgColor rgb="FF18E8D4"/>
        <bgColor indexed="64"/>
      </patternFill>
    </fill>
    <fill>
      <gradientFill degree="45">
        <stop position="0">
          <color rgb="FFFFC000"/>
        </stop>
        <stop position="1">
          <color theme="9" tint="0.40000610370189521"/>
        </stop>
      </gradientFill>
    </fill>
    <fill>
      <patternFill patternType="solid">
        <fgColor rgb="FFFFFF00"/>
        <bgColor indexed="64"/>
      </patternFill>
    </fill>
    <fill>
      <patternFill patternType="solid">
        <fgColor rgb="FFA5A5A5"/>
      </patternFill>
    </fill>
    <fill>
      <patternFill patternType="solid">
        <fgColor theme="7" tint="0.79998168889431442"/>
        <bgColor indexed="64"/>
      </patternFill>
    </fill>
    <fill>
      <patternFill patternType="solid">
        <fgColor rgb="FFD0FAF6"/>
        <bgColor indexed="64"/>
      </patternFill>
    </fill>
    <fill>
      <patternFill patternType="solid">
        <fgColor rgb="FFFFEB9C"/>
      </patternFill>
    </fill>
    <fill>
      <patternFill patternType="solid">
        <fgColor theme="9" tint="0.79998168889431442"/>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F2F2F2"/>
      </patternFill>
    </fill>
    <fill>
      <patternFill patternType="solid">
        <fgColor rgb="FFFF0D0D"/>
        <bgColor indexed="64"/>
      </patternFill>
    </fill>
    <fill>
      <patternFill patternType="solid">
        <fgColor rgb="FFC00000"/>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diagonalUp="1">
      <left style="thin">
        <color auto="1"/>
      </left>
      <right style="thin">
        <color auto="1"/>
      </right>
      <top style="thin">
        <color auto="1"/>
      </top>
      <bottom style="thin">
        <color auto="1"/>
      </bottom>
      <diagonal style="thin">
        <color auto="1"/>
      </diagonal>
    </border>
    <border diagonalDown="1">
      <left style="thin">
        <color auto="1"/>
      </left>
      <right style="thin">
        <color auto="1"/>
      </right>
      <top style="thin">
        <color auto="1"/>
      </top>
      <bottom/>
      <diagonal style="thin">
        <color auto="1"/>
      </diagonal>
    </border>
    <border diagonalDown="1">
      <left style="thin">
        <color auto="1"/>
      </left>
      <right style="thin">
        <color auto="1"/>
      </right>
      <top/>
      <bottom style="thin">
        <color auto="1"/>
      </bottom>
      <diagonal style="thin">
        <color auto="1"/>
      </diagonal>
    </border>
    <border>
      <left style="thin">
        <color auto="1"/>
      </left>
      <right/>
      <top/>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style="double">
        <color rgb="FF3F3F3F"/>
      </left>
      <right style="double">
        <color rgb="FF3F3F3F"/>
      </right>
      <top style="double">
        <color rgb="FF3F3F3F"/>
      </top>
      <bottom style="double">
        <color rgb="FF3F3F3F"/>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style="thick">
        <color rgb="FFFFFF00"/>
      </top>
      <bottom style="thin">
        <color auto="1"/>
      </bottom>
      <diagonal/>
    </border>
    <border>
      <left style="thin">
        <color auto="1"/>
      </left>
      <right style="thin">
        <color auto="1"/>
      </right>
      <top style="thick">
        <color theme="4" tint="0.59996337778862885"/>
      </top>
      <bottom style="thin">
        <color auto="1"/>
      </bottom>
      <diagonal/>
    </border>
    <border>
      <left style="thin">
        <color auto="1"/>
      </left>
      <right style="thin">
        <color auto="1"/>
      </right>
      <top style="thick">
        <color theme="1" tint="0.14996795556505021"/>
      </top>
      <bottom style="thin">
        <color auto="1"/>
      </bottom>
      <diagonal/>
    </border>
    <border>
      <left style="double">
        <color rgb="FF3F3F3F"/>
      </left>
      <right/>
      <top/>
      <bottom/>
      <diagonal/>
    </border>
    <border>
      <left style="thin">
        <color auto="1"/>
      </left>
      <right/>
      <top/>
      <bottom style="dashDotDot">
        <color auto="1"/>
      </bottom>
      <diagonal/>
    </border>
    <border>
      <left/>
      <right/>
      <top/>
      <bottom style="dashDotDot">
        <color auto="1"/>
      </bottom>
      <diagonal/>
    </border>
    <border>
      <left/>
      <right style="thin">
        <color auto="1"/>
      </right>
      <top/>
      <bottom style="dashDotDot">
        <color auto="1"/>
      </bottom>
      <diagonal/>
    </border>
    <border>
      <left style="thin">
        <color rgb="FF7F7F7F"/>
      </left>
      <right style="thin">
        <color rgb="FF7F7F7F"/>
      </right>
      <top style="thin">
        <color rgb="FF7F7F7F"/>
      </top>
      <bottom style="thin">
        <color rgb="FF7F7F7F"/>
      </bottom>
      <diagonal/>
    </border>
    <border>
      <left/>
      <right style="dashDotDot">
        <color auto="1"/>
      </right>
      <top style="thin">
        <color auto="1"/>
      </top>
      <bottom/>
      <diagonal/>
    </border>
    <border>
      <left/>
      <right style="dashDotDot">
        <color auto="1"/>
      </right>
      <top/>
      <bottom/>
      <diagonal/>
    </border>
    <border>
      <left/>
      <right style="dashDotDot">
        <color auto="1"/>
      </right>
      <top/>
      <bottom style="dashDotDot">
        <color auto="1"/>
      </bottom>
      <diagonal/>
    </border>
  </borders>
  <cellStyleXfs count="7">
    <xf numFmtId="0" fontId="0" fillId="0" borderId="0"/>
    <xf numFmtId="9" fontId="14" fillId="0" borderId="0" applyFont="0" applyFill="0" applyBorder="0" applyAlignment="0" applyProtection="0">
      <alignment vertical="center"/>
    </xf>
    <xf numFmtId="43" fontId="14" fillId="0" borderId="0" applyFont="0" applyFill="0" applyBorder="0" applyAlignment="0" applyProtection="0">
      <alignment vertical="center"/>
    </xf>
    <xf numFmtId="0" fontId="17" fillId="19" borderId="16" applyNumberFormat="0" applyAlignment="0" applyProtection="0">
      <alignment vertical="center"/>
    </xf>
    <xf numFmtId="0" fontId="18" fillId="22" borderId="0" applyNumberFormat="0" applyBorder="0" applyAlignment="0" applyProtection="0">
      <alignment vertical="center"/>
    </xf>
    <xf numFmtId="0" fontId="20" fillId="0" borderId="0" applyNumberFormat="0" applyFill="0" applyBorder="0" applyAlignment="0" applyProtection="0"/>
    <xf numFmtId="0" fontId="47" fillId="35" borderId="26" applyNumberFormat="0" applyAlignment="0" applyProtection="0">
      <alignment vertical="center"/>
    </xf>
  </cellStyleXfs>
  <cellXfs count="365">
    <xf numFmtId="0" fontId="0" fillId="0" borderId="0" xfId="0"/>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3" fillId="7" borderId="1" xfId="0" applyFon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10" fontId="0" fillId="6" borderId="1" xfId="0" applyNumberFormat="1" applyFill="1" applyBorder="1" applyAlignment="1">
      <alignment horizontal="center" vertical="center"/>
    </xf>
    <xf numFmtId="0" fontId="0" fillId="0" borderId="5" xfId="0" applyBorder="1" applyAlignment="1">
      <alignment horizontal="center" vertical="center"/>
    </xf>
    <xf numFmtId="10" fontId="0" fillId="0" borderId="1" xfId="0" applyNumberFormat="1" applyBorder="1" applyAlignment="1">
      <alignment horizontal="center" vertical="center"/>
    </xf>
    <xf numFmtId="0" fontId="0" fillId="8" borderId="1" xfId="0" applyFill="1" applyBorder="1" applyAlignment="1">
      <alignment horizontal="center" vertical="center"/>
    </xf>
    <xf numFmtId="178" fontId="0" fillId="9"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6" fillId="0" borderId="0" xfId="0" applyFont="1" applyAlignment="1">
      <alignment horizontal="center" vertical="center"/>
    </xf>
    <xf numFmtId="0" fontId="0" fillId="0" borderId="8" xfId="0" applyBorder="1" applyAlignment="1">
      <alignment horizontal="center" vertical="center"/>
    </xf>
    <xf numFmtId="0" fontId="7"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7" fillId="12" borderId="1" xfId="0" applyFont="1" applyFill="1" applyBorder="1" applyAlignment="1">
      <alignment horizontal="center" vertical="center"/>
    </xf>
    <xf numFmtId="0" fontId="13" fillId="13" borderId="1" xfId="0" applyFont="1" applyFill="1" applyBorder="1" applyAlignment="1">
      <alignment horizontal="center" vertical="center"/>
    </xf>
    <xf numFmtId="177" fontId="0" fillId="0" borderId="1" xfId="0" applyNumberFormat="1" applyBorder="1" applyAlignment="1">
      <alignment horizontal="center" vertical="center"/>
    </xf>
    <xf numFmtId="180" fontId="0" fillId="0" borderId="1" xfId="0" applyNumberFormat="1" applyBorder="1" applyAlignment="1">
      <alignment horizontal="center" vertical="center"/>
    </xf>
    <xf numFmtId="10" fontId="0" fillId="0" borderId="1" xfId="0" applyNumberFormat="1" applyBorder="1" applyAlignment="1">
      <alignment horizontal="center"/>
    </xf>
    <xf numFmtId="181" fontId="0" fillId="0" borderId="1" xfId="0" applyNumberFormat="1" applyBorder="1" applyAlignment="1">
      <alignment horizontal="center" vertical="center"/>
    </xf>
    <xf numFmtId="182" fontId="0" fillId="0" borderId="1" xfId="0" applyNumberFormat="1" applyBorder="1" applyAlignment="1">
      <alignment horizontal="center" vertical="center"/>
    </xf>
    <xf numFmtId="0" fontId="0" fillId="4" borderId="1" xfId="0" applyFill="1" applyBorder="1" applyAlignment="1">
      <alignment horizontal="center" vertical="center"/>
    </xf>
    <xf numFmtId="0" fontId="2"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11" borderId="1" xfId="0" applyFill="1" applyBorder="1" applyAlignment="1">
      <alignment horizontal="center" vertical="center"/>
    </xf>
    <xf numFmtId="0" fontId="10" fillId="15" borderId="1" xfId="0" applyFont="1" applyFill="1" applyBorder="1" applyAlignment="1">
      <alignment horizontal="center" vertical="center"/>
    </xf>
    <xf numFmtId="0" fontId="0" fillId="15" borderId="1" xfId="0" applyFill="1" applyBorder="1" applyAlignment="1">
      <alignment horizontal="center" vertical="center"/>
    </xf>
    <xf numFmtId="0" fontId="10" fillId="16" borderId="1" xfId="0" applyFont="1" applyFill="1" applyBorder="1" applyAlignment="1">
      <alignment horizontal="center" vertical="center"/>
    </xf>
    <xf numFmtId="183" fontId="0" fillId="0" borderId="1" xfId="0" applyNumberFormat="1" applyBorder="1" applyAlignment="1">
      <alignment horizontal="center" vertical="center"/>
    </xf>
    <xf numFmtId="184" fontId="0" fillId="0" borderId="0" xfId="0" applyNumberFormat="1"/>
    <xf numFmtId="177" fontId="0" fillId="5" borderId="1" xfId="0" applyNumberFormat="1" applyFill="1" applyBorder="1" applyAlignment="1">
      <alignment vertical="center"/>
    </xf>
    <xf numFmtId="185" fontId="6" fillId="0" borderId="0" xfId="0" applyNumberFormat="1" applyFont="1" applyAlignment="1">
      <alignment horizontal="center" vertical="center"/>
    </xf>
    <xf numFmtId="0" fontId="5" fillId="10" borderId="12" xfId="0" applyFont="1" applyFill="1" applyBorder="1" applyAlignment="1">
      <alignment horizontal="centerContinuous" vertical="center"/>
    </xf>
    <xf numFmtId="0" fontId="5" fillId="10" borderId="13" xfId="0" applyFont="1" applyFill="1" applyBorder="1" applyAlignment="1">
      <alignment horizontal="centerContinuous" vertical="center"/>
    </xf>
    <xf numFmtId="187" fontId="0" fillId="0" borderId="1" xfId="0" applyNumberFormat="1" applyBorder="1" applyAlignment="1">
      <alignment horizontal="center" vertical="center"/>
    </xf>
    <xf numFmtId="0" fontId="0" fillId="17" borderId="1" xfId="0" applyFill="1" applyBorder="1" applyAlignment="1">
      <alignment horizontal="center" vertical="center"/>
    </xf>
    <xf numFmtId="0" fontId="0" fillId="2" borderId="1" xfId="0" applyFill="1" applyBorder="1" applyAlignment="1">
      <alignment horizontal="center"/>
    </xf>
    <xf numFmtId="188" fontId="0" fillId="0" borderId="1" xfId="0" applyNumberFormat="1" applyBorder="1" applyAlignment="1">
      <alignment horizontal="center" vertical="center"/>
    </xf>
    <xf numFmtId="10" fontId="0" fillId="6" borderId="1" xfId="1" applyNumberFormat="1" applyFont="1" applyFill="1" applyBorder="1" applyAlignment="1">
      <alignment horizontal="center" vertical="center"/>
    </xf>
    <xf numFmtId="0" fontId="0" fillId="2" borderId="2" xfId="0" applyFill="1" applyBorder="1" applyAlignment="1">
      <alignment horizontal="center" vertical="center"/>
    </xf>
    <xf numFmtId="0" fontId="6" fillId="0" borderId="1" xfId="0" applyFont="1" applyBorder="1" applyAlignment="1">
      <alignment horizontal="center" vertical="center"/>
    </xf>
    <xf numFmtId="178" fontId="0" fillId="5" borderId="1" xfId="2" applyNumberFormat="1" applyFont="1" applyFill="1" applyBorder="1" applyAlignment="1">
      <alignment horizontal="center" vertical="center"/>
    </xf>
    <xf numFmtId="0" fontId="0" fillId="0" borderId="14" xfId="0" applyBorder="1" applyAlignment="1">
      <alignment vertical="center"/>
    </xf>
    <xf numFmtId="0" fontId="0" fillId="10" borderId="1" xfId="0" applyFill="1" applyBorder="1" applyAlignment="1">
      <alignment horizontal="center" vertical="center"/>
    </xf>
    <xf numFmtId="0" fontId="0" fillId="18" borderId="1" xfId="0" applyFill="1" applyBorder="1" applyAlignment="1">
      <alignment horizontal="center"/>
    </xf>
    <xf numFmtId="0" fontId="0" fillId="0" borderId="1" xfId="0" applyBorder="1"/>
    <xf numFmtId="187" fontId="0" fillId="0" borderId="1" xfId="1" applyNumberFormat="1" applyFont="1" applyBorder="1" applyAlignment="1">
      <alignment horizontal="center" vertical="center"/>
    </xf>
    <xf numFmtId="182" fontId="0" fillId="0" borderId="1" xfId="1" applyNumberFormat="1" applyFont="1" applyBorder="1" applyAlignment="1">
      <alignment horizontal="center" vertical="center"/>
    </xf>
    <xf numFmtId="0" fontId="0" fillId="0" borderId="0" xfId="0" applyAlignment="1">
      <alignment vertical="top" wrapText="1"/>
    </xf>
    <xf numFmtId="14" fontId="0" fillId="0" borderId="0" xfId="0" quotePrefix="1" applyNumberFormat="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14" fontId="0" fillId="0" borderId="1" xfId="0" applyNumberFormat="1" applyBorder="1" applyAlignment="1">
      <alignment horizontal="right" wrapText="1"/>
    </xf>
    <xf numFmtId="0" fontId="0" fillId="0" borderId="1" xfId="0" applyBorder="1" applyAlignment="1">
      <alignment wrapText="1"/>
    </xf>
    <xf numFmtId="14" fontId="0" fillId="0" borderId="1" xfId="0" quotePrefix="1" applyNumberFormat="1" applyBorder="1" applyAlignment="1">
      <alignment horizontal="right" wrapText="1"/>
    </xf>
    <xf numFmtId="0" fontId="10" fillId="0" borderId="1" xfId="0" applyFont="1" applyBorder="1" applyAlignment="1">
      <alignment wrapText="1"/>
    </xf>
    <xf numFmtId="0" fontId="12" fillId="0" borderId="1" xfId="0" applyFont="1" applyBorder="1" applyAlignment="1">
      <alignment wrapText="1"/>
    </xf>
    <xf numFmtId="58" fontId="0" fillId="0" borderId="1" xfId="0" quotePrefix="1" applyNumberFormat="1" applyBorder="1" applyAlignment="1">
      <alignment horizontal="right"/>
    </xf>
    <xf numFmtId="0" fontId="17" fillId="19" borderId="16" xfId="3" applyAlignment="1">
      <alignment horizontal="center" vertical="center"/>
    </xf>
    <xf numFmtId="0" fontId="0" fillId="20" borderId="1" xfId="0" applyFill="1" applyBorder="1" applyAlignment="1">
      <alignment horizontal="center" vertical="center"/>
    </xf>
    <xf numFmtId="2" fontId="0" fillId="21" borderId="1" xfId="0" applyNumberFormat="1" applyFill="1" applyBorder="1" applyAlignment="1">
      <alignment horizontal="center"/>
    </xf>
    <xf numFmtId="0" fontId="0" fillId="21" borderId="1" xfId="0" applyFill="1" applyBorder="1"/>
    <xf numFmtId="2" fontId="0" fillId="21" borderId="0" xfId="0" applyNumberFormat="1" applyFill="1" applyAlignment="1">
      <alignment horizontal="center" vertical="center"/>
    </xf>
    <xf numFmtId="2" fontId="0" fillId="21" borderId="1" xfId="0" applyNumberFormat="1" applyFill="1" applyBorder="1" applyAlignment="1">
      <alignment horizontal="center" vertical="center"/>
    </xf>
    <xf numFmtId="186" fontId="0" fillId="21" borderId="1" xfId="0" applyNumberFormat="1" applyFill="1" applyBorder="1" applyAlignment="1">
      <alignment horizontal="center"/>
    </xf>
    <xf numFmtId="190" fontId="0" fillId="21" borderId="1" xfId="0" applyNumberFormat="1" applyFill="1" applyBorder="1" applyAlignment="1">
      <alignment horizontal="center" vertical="center"/>
    </xf>
    <xf numFmtId="10" fontId="0" fillId="21" borderId="1" xfId="0" applyNumberFormat="1" applyFill="1" applyBorder="1" applyAlignment="1">
      <alignment horizontal="center"/>
    </xf>
    <xf numFmtId="193" fontId="0" fillId="21" borderId="1" xfId="1" applyNumberFormat="1" applyFont="1" applyFill="1" applyBorder="1" applyAlignment="1">
      <alignment horizontal="center" vertical="center"/>
    </xf>
    <xf numFmtId="191" fontId="0" fillId="21" borderId="1" xfId="1" applyNumberFormat="1" applyFont="1" applyFill="1" applyBorder="1" applyAlignment="1">
      <alignment horizontal="center" vertical="center"/>
    </xf>
    <xf numFmtId="186" fontId="0" fillId="21" borderId="1" xfId="0" applyNumberFormat="1" applyFill="1" applyBorder="1" applyAlignment="1">
      <alignment horizontal="center" vertical="center"/>
    </xf>
    <xf numFmtId="192" fontId="0" fillId="21" borderId="1" xfId="1" applyNumberFormat="1" applyFont="1" applyFill="1" applyBorder="1" applyAlignment="1">
      <alignment horizontal="center" vertical="center"/>
    </xf>
    <xf numFmtId="189" fontId="0" fillId="21" borderId="1" xfId="0" applyNumberFormat="1" applyFill="1" applyBorder="1" applyAlignment="1">
      <alignment horizontal="center" vertical="center"/>
    </xf>
    <xf numFmtId="195" fontId="0" fillId="21" borderId="1" xfId="1" applyNumberFormat="1" applyFont="1" applyFill="1" applyBorder="1" applyAlignment="1">
      <alignment horizontal="center" vertical="center"/>
    </xf>
    <xf numFmtId="0" fontId="0" fillId="21" borderId="1" xfId="0" applyFill="1" applyBorder="1" applyAlignment="1">
      <alignment horizontal="center"/>
    </xf>
    <xf numFmtId="194" fontId="0" fillId="21" borderId="1" xfId="0" applyNumberFormat="1" applyFill="1" applyBorder="1" applyAlignment="1">
      <alignment horizontal="center"/>
    </xf>
    <xf numFmtId="176" fontId="0" fillId="2" borderId="5" xfId="0" applyNumberFormat="1" applyFill="1" applyBorder="1" applyAlignment="1">
      <alignment horizontal="centerContinuous" vertical="center"/>
    </xf>
    <xf numFmtId="176" fontId="0" fillId="2" borderId="7" xfId="0" applyNumberFormat="1" applyFill="1" applyBorder="1" applyAlignment="1">
      <alignment horizontal="centerContinuous" vertical="center"/>
    </xf>
    <xf numFmtId="176" fontId="0" fillId="2" borderId="6" xfId="0" applyNumberFormat="1" applyFill="1" applyBorder="1" applyAlignment="1">
      <alignment horizontal="centerContinuous" vertical="center"/>
    </xf>
    <xf numFmtId="176" fontId="0" fillId="0" borderId="5" xfId="0" applyNumberFormat="1" applyBorder="1" applyAlignment="1">
      <alignment horizontal="centerContinuous" vertical="center"/>
    </xf>
    <xf numFmtId="176" fontId="0" fillId="0" borderId="7" xfId="0" applyNumberFormat="1" applyBorder="1" applyAlignment="1">
      <alignment horizontal="centerContinuous" vertical="center"/>
    </xf>
    <xf numFmtId="176" fontId="0" fillId="0" borderId="6" xfId="0" applyNumberFormat="1" applyBorder="1" applyAlignment="1">
      <alignment horizontal="centerContinuous" vertical="center"/>
    </xf>
    <xf numFmtId="177" fontId="0" fillId="0" borderId="5" xfId="0" applyNumberFormat="1" applyBorder="1" applyAlignment="1">
      <alignment horizontal="centerContinuous" vertical="center"/>
    </xf>
    <xf numFmtId="177" fontId="0" fillId="0" borderId="7" xfId="0" applyNumberFormat="1" applyBorder="1" applyAlignment="1">
      <alignment horizontal="centerContinuous" vertical="center"/>
    </xf>
    <xf numFmtId="177" fontId="0" fillId="0" borderId="6" xfId="0" applyNumberFormat="1" applyBorder="1" applyAlignment="1">
      <alignment horizontal="centerContinuous" vertical="center"/>
    </xf>
    <xf numFmtId="181" fontId="0" fillId="0" borderId="5" xfId="0" applyNumberFormat="1" applyBorder="1" applyAlignment="1">
      <alignment horizontal="centerContinuous" vertical="center"/>
    </xf>
    <xf numFmtId="181" fontId="0" fillId="0" borderId="7" xfId="0" applyNumberFormat="1" applyBorder="1" applyAlignment="1">
      <alignment horizontal="centerContinuous" vertical="center"/>
    </xf>
    <xf numFmtId="181" fontId="0" fillId="0" borderId="6" xfId="0" applyNumberFormat="1" applyBorder="1" applyAlignment="1">
      <alignment horizontal="centerContinuous" vertical="center"/>
    </xf>
    <xf numFmtId="0" fontId="2" fillId="0" borderId="1" xfId="0" applyFont="1" applyBorder="1" applyAlignment="1">
      <alignment wrapText="1"/>
    </xf>
    <xf numFmtId="0" fontId="0" fillId="0" borderId="11" xfId="0" applyBorder="1" applyAlignment="1">
      <alignment horizontal="left" vertical="center"/>
    </xf>
    <xf numFmtId="0" fontId="0" fillId="0" borderId="0" xfId="0" applyAlignment="1">
      <alignment horizontal="left" vertical="center"/>
    </xf>
    <xf numFmtId="0" fontId="0" fillId="0" borderId="11" xfId="0" applyBorder="1" applyAlignment="1">
      <alignment horizontal="left"/>
    </xf>
    <xf numFmtId="0" fontId="0" fillId="0" borderId="0" xfId="0" applyAlignment="1">
      <alignment horizontal="left"/>
    </xf>
    <xf numFmtId="0" fontId="0" fillId="0" borderId="1" xfId="0" applyBorder="1" applyAlignment="1">
      <alignment horizontal="center"/>
    </xf>
    <xf numFmtId="1" fontId="0" fillId="20" borderId="1" xfId="0" applyNumberFormat="1" applyFill="1" applyBorder="1" applyAlignment="1">
      <alignment horizontal="center" vertical="center"/>
    </xf>
    <xf numFmtId="10" fontId="0" fillId="0" borderId="5" xfId="0" applyNumberFormat="1" applyBorder="1" applyAlignment="1">
      <alignment horizontal="centerContinuous" vertical="center"/>
    </xf>
    <xf numFmtId="10" fontId="0" fillId="0" borderId="6" xfId="0" applyNumberFormat="1" applyBorder="1" applyAlignment="1">
      <alignment horizontal="centerContinuous" vertical="center"/>
    </xf>
    <xf numFmtId="0" fontId="0" fillId="0" borderId="5" xfId="0" applyBorder="1" applyAlignment="1">
      <alignment horizontal="centerContinuous" vertical="center"/>
    </xf>
    <xf numFmtId="0" fontId="0" fillId="0" borderId="6" xfId="0" applyBorder="1" applyAlignment="1">
      <alignment horizontal="centerContinuous" vertical="center"/>
    </xf>
    <xf numFmtId="10" fontId="17" fillId="19" borderId="16" xfId="3" applyNumberFormat="1" applyAlignment="1">
      <alignment horizontal="center" vertical="center"/>
    </xf>
    <xf numFmtId="2" fontId="17" fillId="19" borderId="16" xfId="3" applyNumberFormat="1" applyAlignment="1">
      <alignment horizontal="center" vertical="center"/>
    </xf>
    <xf numFmtId="177" fontId="17" fillId="19" borderId="16" xfId="3" applyNumberFormat="1" applyAlignment="1">
      <alignment horizontal="center" vertical="center"/>
    </xf>
    <xf numFmtId="180" fontId="17" fillId="19" borderId="16" xfId="3" applyNumberFormat="1" applyAlignment="1">
      <alignment horizontal="center" vertical="center"/>
    </xf>
    <xf numFmtId="2" fontId="0" fillId="5" borderId="1"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2" fillId="2" borderId="1" xfId="0" applyNumberFormat="1" applyFont="1" applyFill="1" applyBorder="1" applyAlignment="1">
      <alignment horizontal="center" vertical="center"/>
    </xf>
    <xf numFmtId="10" fontId="2" fillId="2" borderId="1" xfId="1" applyNumberFormat="1" applyFont="1" applyFill="1" applyBorder="1" applyAlignment="1">
      <alignment horizontal="center" vertical="center"/>
    </xf>
    <xf numFmtId="191" fontId="0" fillId="21" borderId="1" xfId="0" applyNumberFormat="1" applyFill="1" applyBorder="1" applyAlignment="1">
      <alignment horizontal="center"/>
    </xf>
    <xf numFmtId="179" fontId="0" fillId="0" borderId="1" xfId="0" applyNumberFormat="1" applyBorder="1" applyAlignment="1">
      <alignment horizontal="center" vertical="center"/>
    </xf>
    <xf numFmtId="0" fontId="2" fillId="0" borderId="1" xfId="0" applyFont="1" applyBorder="1" applyAlignment="1">
      <alignment horizontal="left" wrapText="1"/>
    </xf>
    <xf numFmtId="0" fontId="5" fillId="10" borderId="0" xfId="0" applyFont="1" applyFill="1" applyAlignment="1">
      <alignment horizontal="centerContinuous" vertical="center"/>
    </xf>
    <xf numFmtId="0" fontId="0" fillId="0" borderId="3" xfId="0" applyBorder="1" applyAlignment="1">
      <alignment horizontal="center" vertical="center"/>
    </xf>
    <xf numFmtId="197" fontId="0" fillId="5" borderId="1" xfId="1" applyNumberFormat="1" applyFont="1" applyFill="1" applyBorder="1" applyAlignment="1">
      <alignment horizontal="center" vertical="center"/>
    </xf>
    <xf numFmtId="187" fontId="17" fillId="19" borderId="16" xfId="3" applyNumberFormat="1" applyAlignment="1">
      <alignment horizontal="center" vertical="center"/>
    </xf>
    <xf numFmtId="187" fontId="17" fillId="19" borderId="16" xfId="3" applyNumberFormat="1" applyAlignment="1">
      <alignment horizontal="center"/>
    </xf>
    <xf numFmtId="0" fontId="26" fillId="17" borderId="1" xfId="0" applyFont="1" applyFill="1" applyBorder="1" applyAlignment="1">
      <alignment horizontal="center" vertical="center"/>
    </xf>
    <xf numFmtId="0" fontId="4" fillId="0" borderId="1" xfId="0" applyFont="1" applyBorder="1" applyAlignment="1">
      <alignment horizontal="center" vertical="center"/>
    </xf>
    <xf numFmtId="0" fontId="19" fillId="0" borderId="1" xfId="0" applyFont="1" applyBorder="1" applyAlignment="1">
      <alignment wrapText="1"/>
    </xf>
    <xf numFmtId="0" fontId="5" fillId="10" borderId="0" xfId="0" applyFont="1" applyFill="1" applyAlignment="1">
      <alignment vertical="center"/>
    </xf>
    <xf numFmtId="0" fontId="7" fillId="11" borderId="2" xfId="0" applyFont="1" applyFill="1" applyBorder="1" applyAlignment="1">
      <alignment horizontal="center" vertical="center"/>
    </xf>
    <xf numFmtId="0" fontId="7" fillId="11" borderId="19"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20" xfId="0" applyFont="1" applyFill="1" applyBorder="1" applyAlignment="1">
      <alignment horizontal="center" vertical="center"/>
    </xf>
    <xf numFmtId="0" fontId="0" fillId="3" borderId="2" xfId="0" applyFill="1" applyBorder="1" applyAlignment="1">
      <alignment horizontal="center" vertical="center"/>
    </xf>
    <xf numFmtId="0" fontId="0" fillId="3" borderId="21" xfId="0" applyFill="1" applyBorder="1" applyAlignment="1">
      <alignment horizontal="center" vertical="center"/>
    </xf>
    <xf numFmtId="0" fontId="27" fillId="0" borderId="0" xfId="0" applyFont="1"/>
    <xf numFmtId="0" fontId="28" fillId="20" borderId="1" xfId="0" applyFont="1" applyFill="1" applyBorder="1" applyAlignment="1">
      <alignment horizontal="center" vertical="center"/>
    </xf>
    <xf numFmtId="0" fontId="29" fillId="2" borderId="1" xfId="0" applyFont="1" applyFill="1" applyBorder="1" applyAlignment="1">
      <alignment horizontal="center" vertical="center"/>
    </xf>
    <xf numFmtId="0" fontId="28" fillId="0" borderId="0" xfId="0" applyFont="1"/>
    <xf numFmtId="0" fontId="28" fillId="15" borderId="1" xfId="0" applyFont="1" applyFill="1" applyBorder="1" applyAlignment="1">
      <alignment horizontal="center" vertical="center"/>
    </xf>
    <xf numFmtId="191" fontId="28" fillId="5" borderId="1" xfId="0" applyNumberFormat="1" applyFont="1" applyFill="1" applyBorder="1" applyAlignment="1">
      <alignment horizontal="center" vertical="center"/>
    </xf>
    <xf numFmtId="2" fontId="28" fillId="5" borderId="1" xfId="0" applyNumberFormat="1" applyFont="1" applyFill="1" applyBorder="1" applyAlignment="1">
      <alignment horizontal="center" vertical="center"/>
    </xf>
    <xf numFmtId="0" fontId="28" fillId="5" borderId="1" xfId="0" applyFont="1" applyFill="1" applyBorder="1" applyAlignment="1">
      <alignment horizontal="center" vertical="center"/>
    </xf>
    <xf numFmtId="197" fontId="28" fillId="5" borderId="1" xfId="1" applyNumberFormat="1" applyFont="1" applyFill="1" applyBorder="1" applyAlignment="1">
      <alignment horizontal="center" vertical="center"/>
    </xf>
    <xf numFmtId="176" fontId="28" fillId="2" borderId="1" xfId="0" applyNumberFormat="1" applyFont="1" applyFill="1" applyBorder="1" applyAlignment="1">
      <alignment horizontal="center" vertical="center"/>
    </xf>
    <xf numFmtId="181" fontId="28" fillId="0" borderId="1" xfId="0" applyNumberFormat="1" applyFont="1" applyBorder="1" applyAlignment="1">
      <alignment horizontal="center" vertical="center"/>
    </xf>
    <xf numFmtId="178" fontId="28" fillId="5" borderId="1" xfId="2" applyNumberFormat="1" applyFont="1" applyFill="1" applyBorder="1" applyAlignment="1">
      <alignment horizontal="center" vertical="center"/>
    </xf>
    <xf numFmtId="191" fontId="28" fillId="21" borderId="1" xfId="1" applyNumberFormat="1" applyFont="1" applyFill="1" applyBorder="1" applyAlignment="1">
      <alignment horizontal="center" vertical="center"/>
    </xf>
    <xf numFmtId="1" fontId="28" fillId="20" borderId="1" xfId="0" applyNumberFormat="1" applyFont="1" applyFill="1" applyBorder="1" applyAlignment="1">
      <alignment horizontal="center" vertical="center"/>
    </xf>
    <xf numFmtId="0" fontId="28" fillId="11" borderId="1" xfId="0" applyFont="1" applyFill="1" applyBorder="1" applyAlignment="1">
      <alignment horizontal="center" vertical="center"/>
    </xf>
    <xf numFmtId="0" fontId="28" fillId="4" borderId="1" xfId="0" applyFont="1" applyFill="1" applyBorder="1" applyAlignment="1">
      <alignment horizontal="center" vertical="center"/>
    </xf>
    <xf numFmtId="177" fontId="28" fillId="0" borderId="1" xfId="0" applyNumberFormat="1" applyFont="1" applyBorder="1" applyAlignment="1">
      <alignment horizontal="center" vertical="center"/>
    </xf>
    <xf numFmtId="10" fontId="29" fillId="2" borderId="1" xfId="1" applyNumberFormat="1" applyFont="1" applyFill="1" applyBorder="1" applyAlignment="1">
      <alignment horizontal="center" vertical="center"/>
    </xf>
    <xf numFmtId="0" fontId="28" fillId="3" borderId="1" xfId="0" applyFont="1" applyFill="1" applyBorder="1" applyAlignment="1">
      <alignment horizontal="center" vertical="center"/>
    </xf>
    <xf numFmtId="179" fontId="28" fillId="0" borderId="1" xfId="0" applyNumberFormat="1" applyFont="1" applyBorder="1" applyAlignment="1">
      <alignment horizontal="center" vertical="center"/>
    </xf>
    <xf numFmtId="0" fontId="28" fillId="0" borderId="1" xfId="0" applyFont="1" applyBorder="1" applyAlignment="1">
      <alignment horizontal="center" vertical="center"/>
    </xf>
    <xf numFmtId="0" fontId="28" fillId="2" borderId="1" xfId="0" applyFont="1" applyFill="1" applyBorder="1" applyAlignment="1">
      <alignment horizontal="center" vertical="center"/>
    </xf>
    <xf numFmtId="190" fontId="28" fillId="21" borderId="1" xfId="0" applyNumberFormat="1" applyFont="1" applyFill="1" applyBorder="1" applyAlignment="1">
      <alignment horizontal="center" vertical="center"/>
    </xf>
    <xf numFmtId="193" fontId="28" fillId="21" borderId="1" xfId="1" applyNumberFormat="1" applyFont="1" applyFill="1" applyBorder="1" applyAlignment="1">
      <alignment horizontal="center" vertical="center"/>
    </xf>
    <xf numFmtId="2" fontId="28" fillId="21" borderId="1" xfId="0" applyNumberFormat="1" applyFont="1" applyFill="1" applyBorder="1" applyAlignment="1">
      <alignment horizontal="center" vertical="center"/>
    </xf>
    <xf numFmtId="186" fontId="28" fillId="21" borderId="1" xfId="0" applyNumberFormat="1" applyFont="1" applyFill="1" applyBorder="1" applyAlignment="1">
      <alignment horizontal="center" vertical="center"/>
    </xf>
    <xf numFmtId="192" fontId="28" fillId="21" borderId="1" xfId="1" applyNumberFormat="1" applyFont="1" applyFill="1" applyBorder="1" applyAlignment="1">
      <alignment horizontal="center" vertical="center"/>
    </xf>
    <xf numFmtId="189" fontId="28" fillId="21" borderId="1" xfId="0" applyNumberFormat="1" applyFont="1" applyFill="1" applyBorder="1" applyAlignment="1">
      <alignment horizontal="center" vertical="center"/>
    </xf>
    <xf numFmtId="195" fontId="28" fillId="21" borderId="1" xfId="1" applyNumberFormat="1" applyFont="1" applyFill="1" applyBorder="1" applyAlignment="1">
      <alignment horizontal="center" vertical="center"/>
    </xf>
    <xf numFmtId="0" fontId="28" fillId="21" borderId="1" xfId="0" applyFont="1" applyFill="1" applyBorder="1" applyAlignment="1">
      <alignment horizontal="center" vertical="center"/>
    </xf>
    <xf numFmtId="2" fontId="28" fillId="21" borderId="0" xfId="0" applyNumberFormat="1" applyFont="1" applyFill="1" applyAlignment="1">
      <alignment horizontal="center" vertical="center"/>
    </xf>
    <xf numFmtId="194" fontId="28" fillId="21" borderId="1" xfId="0" applyNumberFormat="1" applyFont="1" applyFill="1" applyBorder="1" applyAlignment="1">
      <alignment horizontal="center" vertical="center"/>
    </xf>
    <xf numFmtId="10" fontId="28" fillId="21" borderId="1" xfId="0" applyNumberFormat="1" applyFont="1" applyFill="1" applyBorder="1" applyAlignment="1">
      <alignment horizontal="center" vertical="center"/>
    </xf>
    <xf numFmtId="0" fontId="25" fillId="7" borderId="2" xfId="4" applyFont="1" applyFill="1" applyBorder="1" applyAlignment="1">
      <alignment horizontal="center" vertical="center"/>
    </xf>
    <xf numFmtId="197" fontId="28" fillId="21" borderId="1" xfId="1" applyNumberFormat="1" applyFont="1" applyFill="1" applyBorder="1" applyAlignment="1">
      <alignment horizontal="center" vertical="center"/>
    </xf>
    <xf numFmtId="2" fontId="28" fillId="27" borderId="1" xfId="0" applyNumberFormat="1" applyFont="1" applyFill="1" applyBorder="1" applyAlignment="1">
      <alignment horizontal="center" vertical="center"/>
    </xf>
    <xf numFmtId="197" fontId="28" fillId="27" borderId="1" xfId="1" applyNumberFormat="1" applyFont="1" applyFill="1" applyBorder="1" applyAlignment="1">
      <alignment horizontal="center" vertical="center"/>
    </xf>
    <xf numFmtId="0" fontId="28" fillId="27" borderId="1" xfId="0" applyFont="1" applyFill="1" applyBorder="1" applyAlignment="1">
      <alignment horizontal="center" vertical="center"/>
    </xf>
    <xf numFmtId="181" fontId="28" fillId="28" borderId="1" xfId="0" applyNumberFormat="1" applyFont="1" applyFill="1" applyBorder="1" applyAlignment="1">
      <alignment horizontal="center" vertical="center"/>
    </xf>
    <xf numFmtId="177" fontId="28" fillId="28" borderId="1" xfId="0" applyNumberFormat="1" applyFont="1" applyFill="1" applyBorder="1" applyAlignment="1">
      <alignment horizontal="center" vertical="center"/>
    </xf>
    <xf numFmtId="179" fontId="28" fillId="28" borderId="1" xfId="0" applyNumberFormat="1" applyFont="1" applyFill="1" applyBorder="1" applyAlignment="1">
      <alignment horizontal="center" vertical="center"/>
    </xf>
    <xf numFmtId="0" fontId="28" fillId="28" borderId="1" xfId="0" applyFont="1" applyFill="1" applyBorder="1" applyAlignment="1">
      <alignment horizontal="center" vertical="center"/>
    </xf>
    <xf numFmtId="1" fontId="28" fillId="21" borderId="1" xfId="0" applyNumberFormat="1" applyFont="1" applyFill="1" applyBorder="1" applyAlignment="1">
      <alignment horizontal="center" vertical="center"/>
    </xf>
    <xf numFmtId="176" fontId="28" fillId="21" borderId="1" xfId="0" applyNumberFormat="1" applyFont="1" applyFill="1" applyBorder="1" applyAlignment="1">
      <alignment horizontal="center" vertical="center"/>
    </xf>
    <xf numFmtId="178" fontId="28" fillId="21" borderId="1" xfId="2" applyNumberFormat="1" applyFont="1" applyFill="1" applyBorder="1" applyAlignment="1">
      <alignment horizontal="center" vertical="center"/>
    </xf>
    <xf numFmtId="14" fontId="0" fillId="0" borderId="0" xfId="0" applyNumberFormat="1"/>
    <xf numFmtId="2" fontId="0" fillId="0" borderId="0" xfId="0" applyNumberFormat="1"/>
    <xf numFmtId="0" fontId="35" fillId="0" borderId="0" xfId="0" applyFont="1" applyAlignment="1">
      <alignment horizontal="center" vertical="center"/>
    </xf>
    <xf numFmtId="0" fontId="7" fillId="11" borderId="4" xfId="0" applyFont="1" applyFill="1" applyBorder="1" applyAlignment="1">
      <alignment horizontal="center" vertical="center"/>
    </xf>
    <xf numFmtId="0" fontId="7" fillId="11"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4" xfId="0" applyFont="1" applyFill="1" applyBorder="1" applyAlignment="1">
      <alignment horizontal="center" vertical="center"/>
    </xf>
    <xf numFmtId="0" fontId="0" fillId="3" borderId="3" xfId="0" applyFill="1" applyBorder="1" applyAlignment="1">
      <alignment horizontal="center" vertical="center"/>
    </xf>
    <xf numFmtId="0" fontId="4" fillId="2" borderId="0" xfId="0" applyFont="1" applyFill="1" applyAlignment="1">
      <alignment horizontal="center" vertical="center"/>
    </xf>
    <xf numFmtId="0" fontId="0" fillId="29" borderId="1" xfId="0" applyFill="1" applyBorder="1" applyAlignment="1">
      <alignment horizontal="center" vertical="center"/>
    </xf>
    <xf numFmtId="0" fontId="0" fillId="0" borderId="0" xfId="0" applyAlignment="1">
      <alignment horizontal="center" vertical="center" wrapText="1"/>
    </xf>
    <xf numFmtId="1" fontId="28" fillId="5" borderId="1" xfId="0" applyNumberFormat="1" applyFont="1" applyFill="1" applyBorder="1" applyAlignment="1">
      <alignment horizontal="center" vertical="center"/>
    </xf>
    <xf numFmtId="9" fontId="28" fillId="21" borderId="1" xfId="0" applyNumberFormat="1" applyFont="1" applyFill="1" applyBorder="1" applyAlignment="1">
      <alignment horizontal="center" vertical="center"/>
    </xf>
    <xf numFmtId="194" fontId="28" fillId="21" borderId="1" xfId="1" applyNumberFormat="1" applyFont="1" applyFill="1" applyBorder="1" applyAlignment="1">
      <alignment horizontal="center" vertical="center"/>
    </xf>
    <xf numFmtId="2" fontId="28" fillId="25" borderId="1" xfId="0" applyNumberFormat="1" applyFont="1" applyFill="1" applyBorder="1" applyAlignment="1">
      <alignment horizontal="center" vertical="center"/>
    </xf>
    <xf numFmtId="191" fontId="28" fillId="25" borderId="1" xfId="1" applyNumberFormat="1" applyFont="1" applyFill="1" applyBorder="1" applyAlignment="1">
      <alignment horizontal="center" vertical="center"/>
    </xf>
    <xf numFmtId="197" fontId="28" fillId="25" borderId="1" xfId="1" applyNumberFormat="1" applyFont="1" applyFill="1" applyBorder="1" applyAlignment="1">
      <alignment horizontal="center" vertical="center"/>
    </xf>
    <xf numFmtId="193" fontId="28" fillId="25" borderId="1" xfId="1" applyNumberFormat="1" applyFont="1" applyFill="1" applyBorder="1" applyAlignment="1">
      <alignment horizontal="center" vertical="center"/>
    </xf>
    <xf numFmtId="189" fontId="28" fillId="25" borderId="1" xfId="0" applyNumberFormat="1" applyFont="1" applyFill="1" applyBorder="1" applyAlignment="1">
      <alignment horizontal="center" vertical="center"/>
    </xf>
    <xf numFmtId="192" fontId="28" fillId="25" borderId="1" xfId="1" applyNumberFormat="1" applyFont="1" applyFill="1" applyBorder="1" applyAlignment="1">
      <alignment horizontal="center" vertical="center"/>
    </xf>
    <xf numFmtId="190" fontId="28" fillId="25" borderId="1" xfId="0" applyNumberFormat="1" applyFont="1" applyFill="1" applyBorder="1" applyAlignment="1">
      <alignment horizontal="center" vertical="center"/>
    </xf>
    <xf numFmtId="186" fontId="28" fillId="25" borderId="1" xfId="0" applyNumberFormat="1" applyFont="1" applyFill="1" applyBorder="1" applyAlignment="1">
      <alignment horizontal="center" vertical="center"/>
    </xf>
    <xf numFmtId="0" fontId="28" fillId="25" borderId="1" xfId="0" applyFont="1" applyFill="1" applyBorder="1" applyAlignment="1">
      <alignment horizontal="center" vertical="center"/>
    </xf>
    <xf numFmtId="194" fontId="28" fillId="25" borderId="1" xfId="0" applyNumberFormat="1" applyFont="1" applyFill="1" applyBorder="1" applyAlignment="1">
      <alignment horizontal="center" vertical="center"/>
    </xf>
    <xf numFmtId="9" fontId="28" fillId="25" borderId="1" xfId="0" applyNumberFormat="1" applyFont="1" applyFill="1" applyBorder="1" applyAlignment="1">
      <alignment horizontal="center" vertical="center"/>
    </xf>
    <xf numFmtId="0" fontId="27" fillId="25" borderId="0" xfId="0" applyFont="1" applyFill="1" applyAlignment="1">
      <alignment horizontal="center" vertical="center"/>
    </xf>
    <xf numFmtId="0" fontId="40" fillId="12" borderId="1" xfId="0" applyFont="1" applyFill="1" applyBorder="1" applyAlignment="1">
      <alignment horizontal="center" vertical="center"/>
    </xf>
    <xf numFmtId="0" fontId="2" fillId="25" borderId="22" xfId="0" applyFont="1" applyFill="1" applyBorder="1" applyAlignment="1">
      <alignment vertical="center" wrapText="1"/>
    </xf>
    <xf numFmtId="0" fontId="41" fillId="0" borderId="1" xfId="0" applyFont="1" applyBorder="1" applyAlignment="1">
      <alignment horizontal="center" vertical="center"/>
    </xf>
    <xf numFmtId="0" fontId="42" fillId="0" borderId="1" xfId="0" applyFont="1" applyBorder="1" applyAlignment="1">
      <alignment horizontal="center" vertical="center"/>
    </xf>
    <xf numFmtId="0" fontId="27" fillId="0" borderId="1" xfId="0" applyFont="1" applyBorder="1" applyAlignment="1">
      <alignment horizontal="center" vertical="center"/>
    </xf>
    <xf numFmtId="2" fontId="42" fillId="0" borderId="1" xfId="0" applyNumberFormat="1" applyFont="1" applyBorder="1" applyAlignment="1">
      <alignment horizontal="center" vertical="center"/>
    </xf>
    <xf numFmtId="0" fontId="42" fillId="0" borderId="3" xfId="0" applyFont="1" applyBorder="1" applyAlignment="1">
      <alignment horizontal="center" vertical="center"/>
    </xf>
    <xf numFmtId="0" fontId="27" fillId="20" borderId="1" xfId="0" applyFont="1" applyFill="1" applyBorder="1" applyAlignment="1">
      <alignment horizontal="centerContinuous" vertical="center"/>
    </xf>
    <xf numFmtId="0" fontId="27" fillId="25" borderId="1" xfId="0" applyFont="1" applyFill="1" applyBorder="1" applyAlignment="1">
      <alignment horizontal="center" vertical="center"/>
    </xf>
    <xf numFmtId="0" fontId="27" fillId="8" borderId="1" xfId="0" applyFont="1" applyFill="1" applyBorder="1" applyAlignment="1">
      <alignment horizontal="center" vertical="center"/>
    </xf>
    <xf numFmtId="177" fontId="27" fillId="8" borderId="1" xfId="0" applyNumberFormat="1" applyFont="1" applyFill="1" applyBorder="1" applyAlignment="1">
      <alignment horizontal="center" vertical="center"/>
    </xf>
    <xf numFmtId="0" fontId="27" fillId="26" borderId="1" xfId="0" applyFont="1" applyFill="1" applyBorder="1" applyAlignment="1">
      <alignment horizontal="center" vertical="center"/>
    </xf>
    <xf numFmtId="0" fontId="27" fillId="8" borderId="1" xfId="0" quotePrefix="1" applyFont="1" applyFill="1" applyBorder="1" applyAlignment="1">
      <alignment horizontal="center" vertical="center"/>
    </xf>
    <xf numFmtId="0" fontId="27" fillId="20" borderId="1" xfId="0" applyFont="1" applyFill="1" applyBorder="1" applyAlignment="1">
      <alignment horizontal="center" vertical="center"/>
    </xf>
    <xf numFmtId="0" fontId="27" fillId="15" borderId="1" xfId="0" applyFont="1" applyFill="1" applyBorder="1" applyAlignment="1">
      <alignment horizontal="center" vertical="center"/>
    </xf>
    <xf numFmtId="177" fontId="27" fillId="14" borderId="1" xfId="0" applyNumberFormat="1" applyFont="1" applyFill="1" applyBorder="1" applyAlignment="1">
      <alignment horizontal="center" vertical="center"/>
    </xf>
    <xf numFmtId="10" fontId="27" fillId="14" borderId="1" xfId="0" applyNumberFormat="1" applyFont="1" applyFill="1" applyBorder="1" applyAlignment="1">
      <alignment horizontal="center" vertical="center"/>
    </xf>
    <xf numFmtId="1" fontId="27" fillId="20" borderId="1" xfId="0" applyNumberFormat="1" applyFont="1" applyFill="1" applyBorder="1" applyAlignment="1">
      <alignment horizontal="center" vertical="center"/>
    </xf>
    <xf numFmtId="0" fontId="27" fillId="11" borderId="1" xfId="0" applyFont="1" applyFill="1" applyBorder="1" applyAlignment="1">
      <alignment horizontal="center" vertical="center"/>
    </xf>
    <xf numFmtId="0" fontId="27" fillId="4" borderId="1" xfId="0" applyFont="1" applyFill="1" applyBorder="1" applyAlignment="1">
      <alignment horizontal="center" vertical="center"/>
    </xf>
    <xf numFmtId="0" fontId="27" fillId="3" borderId="1" xfId="0" applyFont="1" applyFill="1" applyBorder="1" applyAlignment="1">
      <alignment horizontal="center" vertical="center"/>
    </xf>
    <xf numFmtId="0" fontId="45" fillId="2" borderId="1" xfId="0" applyFont="1" applyFill="1" applyBorder="1" applyAlignment="1">
      <alignment horizontal="center" vertical="center"/>
    </xf>
    <xf numFmtId="10" fontId="27" fillId="14" borderId="1" xfId="1" applyNumberFormat="1" applyFont="1" applyFill="1" applyBorder="1" applyAlignment="1">
      <alignment horizontal="center" vertical="center"/>
    </xf>
    <xf numFmtId="1" fontId="27" fillId="25" borderId="1" xfId="0" applyNumberFormat="1" applyFont="1" applyFill="1" applyBorder="1" applyAlignment="1">
      <alignment horizontal="center" vertical="center"/>
    </xf>
    <xf numFmtId="1" fontId="0" fillId="0" borderId="0" xfId="0" applyNumberFormat="1"/>
    <xf numFmtId="193" fontId="28" fillId="21" borderId="1" xfId="0" applyNumberFormat="1" applyFont="1" applyFill="1" applyBorder="1" applyAlignment="1">
      <alignment horizontal="center" vertical="center"/>
    </xf>
    <xf numFmtId="191" fontId="28" fillId="21" borderId="1" xfId="0" applyNumberFormat="1" applyFont="1" applyFill="1" applyBorder="1" applyAlignment="1">
      <alignment horizontal="center" vertical="center"/>
    </xf>
    <xf numFmtId="192" fontId="28" fillId="21" borderId="1" xfId="0" applyNumberFormat="1" applyFont="1" applyFill="1" applyBorder="1" applyAlignment="1">
      <alignment horizontal="center" vertical="center"/>
    </xf>
    <xf numFmtId="178" fontId="28" fillId="31" borderId="1" xfId="2" applyNumberFormat="1" applyFont="1" applyFill="1" applyBorder="1" applyAlignment="1">
      <alignment horizontal="center" vertical="center"/>
    </xf>
    <xf numFmtId="178" fontId="28" fillId="32" borderId="1" xfId="2" applyNumberFormat="1" applyFont="1" applyFill="1" applyBorder="1" applyAlignment="1">
      <alignment horizontal="center" vertical="center"/>
    </xf>
    <xf numFmtId="178" fontId="28" fillId="33" borderId="1" xfId="2" applyNumberFormat="1" applyFont="1" applyFill="1" applyBorder="1" applyAlignment="1">
      <alignment horizontal="center" vertical="center"/>
    </xf>
    <xf numFmtId="0" fontId="0" fillId="18" borderId="1" xfId="0" applyFill="1" applyBorder="1" applyAlignment="1">
      <alignment horizontal="center" vertical="center"/>
    </xf>
    <xf numFmtId="0" fontId="2" fillId="28" borderId="1" xfId="0" applyFont="1" applyFill="1" applyBorder="1" applyAlignment="1">
      <alignment horizontal="center" vertical="center"/>
    </xf>
    <xf numFmtId="0" fontId="0" fillId="10" borderId="0" xfId="0" applyFill="1" applyAlignment="1">
      <alignment horizontal="center" vertical="center"/>
    </xf>
    <xf numFmtId="0" fontId="0" fillId="10" borderId="0" xfId="0" applyFill="1"/>
    <xf numFmtId="0" fontId="0" fillId="10" borderId="0" xfId="0" applyFill="1" applyAlignment="1">
      <alignment vertical="center"/>
    </xf>
    <xf numFmtId="0" fontId="27" fillId="10" borderId="0" xfId="0" applyFont="1" applyFill="1"/>
    <xf numFmtId="0" fontId="0" fillId="10" borderId="23" xfId="0" applyFill="1" applyBorder="1"/>
    <xf numFmtId="0" fontId="0" fillId="10" borderId="24" xfId="0" applyFill="1" applyBorder="1"/>
    <xf numFmtId="0" fontId="0" fillId="10" borderId="25" xfId="0" applyFill="1" applyBorder="1"/>
    <xf numFmtId="0" fontId="12" fillId="10" borderId="0" xfId="0" applyFont="1" applyFill="1"/>
    <xf numFmtId="10" fontId="0" fillId="0" borderId="1" xfId="1" applyNumberFormat="1" applyFont="1" applyBorder="1" applyAlignment="1">
      <alignment horizontal="center" vertical="center"/>
    </xf>
    <xf numFmtId="9" fontId="0" fillId="0" borderId="1" xfId="1" applyFont="1" applyBorder="1" applyAlignment="1">
      <alignment horizontal="center" vertical="center"/>
    </xf>
    <xf numFmtId="182" fontId="0" fillId="0" borderId="1" xfId="1" applyNumberFormat="1" applyFont="1" applyBorder="1" applyAlignment="1">
      <alignment horizontal="centerContinuous" vertical="center"/>
    </xf>
    <xf numFmtId="187" fontId="0" fillId="0" borderId="1" xfId="1" applyNumberFormat="1" applyFont="1" applyBorder="1" applyAlignment="1">
      <alignment horizontal="centerContinuous" vertical="center"/>
    </xf>
    <xf numFmtId="0" fontId="47" fillId="35" borderId="16" xfId="6" applyBorder="1" applyAlignment="1">
      <alignment horizontal="center" vertical="center"/>
    </xf>
    <xf numFmtId="10" fontId="27" fillId="26" borderId="1" xfId="0" applyNumberFormat="1" applyFont="1" applyFill="1" applyBorder="1" applyAlignment="1">
      <alignment horizontal="center" vertical="center"/>
    </xf>
    <xf numFmtId="0" fontId="0" fillId="20" borderId="0" xfId="0" applyFill="1" applyAlignment="1">
      <alignment horizontal="center" vertical="center"/>
    </xf>
    <xf numFmtId="198" fontId="0" fillId="0" borderId="0" xfId="0" applyNumberFormat="1"/>
    <xf numFmtId="187" fontId="0" fillId="0" borderId="3" xfId="1" applyNumberFormat="1" applyFont="1" applyFill="1" applyBorder="1" applyAlignment="1">
      <alignment horizontal="center" vertical="center"/>
    </xf>
    <xf numFmtId="10" fontId="47" fillId="35" borderId="16" xfId="1" applyNumberFormat="1" applyFont="1" applyFill="1" applyBorder="1" applyAlignment="1">
      <alignment horizontal="center" vertical="center"/>
    </xf>
    <xf numFmtId="195" fontId="0" fillId="0" borderId="1" xfId="1" applyNumberFormat="1" applyFont="1" applyBorder="1" applyAlignment="1">
      <alignment horizontal="center" vertical="center"/>
    </xf>
    <xf numFmtId="196" fontId="0" fillId="0" borderId="1" xfId="1" applyNumberFormat="1" applyFont="1" applyBorder="1" applyAlignment="1">
      <alignment horizontal="center" vertical="center"/>
    </xf>
    <xf numFmtId="0" fontId="0" fillId="10" borderId="27" xfId="0" applyFill="1" applyBorder="1"/>
    <xf numFmtId="0" fontId="0" fillId="10" borderId="28" xfId="0" applyFill="1" applyBorder="1"/>
    <xf numFmtId="0" fontId="0" fillId="0" borderId="28" xfId="0" applyBorder="1"/>
    <xf numFmtId="0" fontId="0" fillId="10" borderId="29" xfId="0" applyFill="1" applyBorder="1"/>
    <xf numFmtId="49" fontId="0" fillId="0" borderId="1" xfId="0" applyNumberFormat="1" applyBorder="1" applyAlignment="1">
      <alignment horizontal="center" vertical="center"/>
    </xf>
    <xf numFmtId="0" fontId="3" fillId="36" borderId="1" xfId="0" applyFont="1" applyFill="1" applyBorder="1" applyAlignment="1">
      <alignment horizontal="center" vertical="center"/>
    </xf>
    <xf numFmtId="0" fontId="0" fillId="0" borderId="1" xfId="0" applyBorder="1" applyAlignment="1">
      <alignment vertical="center"/>
    </xf>
    <xf numFmtId="0" fontId="0" fillId="10" borderId="0" xfId="0" applyFill="1" applyAlignment="1">
      <alignment horizontal="centerContinuous"/>
    </xf>
    <xf numFmtId="0" fontId="0" fillId="0" borderId="0" xfId="0" applyAlignment="1">
      <alignment horizontal="centerContinuous" vertical="center"/>
    </xf>
    <xf numFmtId="0" fontId="0" fillId="10" borderId="28" xfId="0" applyFill="1" applyBorder="1" applyAlignment="1">
      <alignment horizontal="centerContinuous"/>
    </xf>
    <xf numFmtId="183" fontId="0" fillId="0" borderId="5" xfId="0" applyNumberFormat="1" applyBorder="1" applyAlignment="1">
      <alignment horizontal="center" vertical="center"/>
    </xf>
    <xf numFmtId="0" fontId="16" fillId="37" borderId="1" xfId="0" applyFont="1" applyFill="1" applyBorder="1" applyAlignment="1">
      <alignment horizontal="center" vertical="center"/>
    </xf>
    <xf numFmtId="0" fontId="16" fillId="38" borderId="1" xfId="0" applyFont="1" applyFill="1" applyBorder="1" applyAlignment="1">
      <alignment horizontal="center" vertical="center"/>
    </xf>
    <xf numFmtId="0" fontId="38" fillId="18" borderId="1" xfId="0" applyFont="1" applyFill="1" applyBorder="1" applyAlignment="1">
      <alignment horizontal="center" vertical="center"/>
    </xf>
    <xf numFmtId="0" fontId="16" fillId="7" borderId="1" xfId="0" applyFont="1" applyFill="1" applyBorder="1" applyAlignment="1">
      <alignment horizontal="center" vertical="center"/>
    </xf>
    <xf numFmtId="0" fontId="16" fillId="39" borderId="1" xfId="0" applyFont="1" applyFill="1" applyBorder="1" applyAlignment="1">
      <alignment horizontal="center" vertical="center"/>
    </xf>
    <xf numFmtId="0" fontId="16" fillId="40" borderId="1" xfId="0" applyFont="1" applyFill="1" applyBorder="1" applyAlignment="1">
      <alignment horizontal="center" vertical="center"/>
    </xf>
    <xf numFmtId="0" fontId="16" fillId="41" borderId="11" xfId="0" applyFont="1" applyFill="1" applyBorder="1" applyAlignment="1">
      <alignment horizontal="center" vertical="center"/>
    </xf>
    <xf numFmtId="0" fontId="16" fillId="0" borderId="1" xfId="0" applyFont="1" applyBorder="1" applyAlignment="1">
      <alignment horizontal="center" vertical="center"/>
    </xf>
    <xf numFmtId="0" fontId="16" fillId="42" borderId="1" xfId="0" applyFont="1" applyFill="1" applyBorder="1" applyAlignment="1">
      <alignment horizontal="center" vertical="center"/>
    </xf>
    <xf numFmtId="0" fontId="16" fillId="36" borderId="1" xfId="0" applyFont="1" applyFill="1" applyBorder="1" applyAlignment="1">
      <alignment horizontal="center" vertical="center"/>
    </xf>
    <xf numFmtId="0" fontId="2" fillId="0" borderId="1" xfId="0" applyFont="1" applyBorder="1" applyAlignment="1">
      <alignment horizontal="center" vertical="center"/>
    </xf>
    <xf numFmtId="0" fontId="48" fillId="0" borderId="0" xfId="0" applyFont="1" applyAlignment="1">
      <alignment horizontal="center" vertical="center"/>
    </xf>
    <xf numFmtId="0" fontId="49" fillId="23" borderId="0" xfId="5" applyFont="1" applyFill="1" applyAlignment="1">
      <alignment horizontal="center" vertical="center"/>
    </xf>
    <xf numFmtId="0" fontId="25" fillId="7" borderId="0" xfId="4" applyFont="1"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51" fillId="17" borderId="2" xfId="0" applyFont="1" applyFill="1" applyBorder="1" applyAlignment="1">
      <alignment horizontal="center" vertical="center"/>
    </xf>
    <xf numFmtId="0" fontId="51" fillId="17" borderId="4" xfId="0" applyFont="1" applyFill="1" applyBorder="1" applyAlignment="1">
      <alignment horizontal="center" vertical="center"/>
    </xf>
    <xf numFmtId="0" fontId="52" fillId="34" borderId="0" xfId="5" applyFont="1" applyFill="1" applyAlignment="1">
      <alignment horizontal="center" vertical="center"/>
    </xf>
    <xf numFmtId="0" fontId="28" fillId="18" borderId="18" xfId="0" applyFont="1" applyFill="1" applyBorder="1" applyAlignment="1">
      <alignment horizontal="center" vertical="center"/>
    </xf>
    <xf numFmtId="0" fontId="28" fillId="18" borderId="12" xfId="0" applyFont="1" applyFill="1" applyBorder="1" applyAlignment="1">
      <alignment horizontal="center" vertical="center"/>
    </xf>
    <xf numFmtId="183" fontId="0" fillId="0" borderId="5" xfId="0" applyNumberFormat="1" applyBorder="1" applyAlignment="1">
      <alignment horizontal="center" vertical="center"/>
    </xf>
    <xf numFmtId="183" fontId="0" fillId="0" borderId="6" xfId="0" applyNumberFormat="1" applyBorder="1" applyAlignment="1">
      <alignment horizontal="center" vertical="center"/>
    </xf>
    <xf numFmtId="10" fontId="0" fillId="0" borderId="5" xfId="0" applyNumberFormat="1" applyBorder="1" applyAlignment="1">
      <alignment horizontal="center" vertical="center"/>
    </xf>
    <xf numFmtId="10" fontId="0" fillId="0" borderId="6" xfId="0" applyNumberFormat="1" applyBorder="1" applyAlignment="1">
      <alignment horizontal="center" vertical="center"/>
    </xf>
    <xf numFmtId="182" fontId="0" fillId="0" borderId="5" xfId="0" applyNumberFormat="1" applyBorder="1" applyAlignment="1">
      <alignment horizontal="center" vertical="center"/>
    </xf>
    <xf numFmtId="182" fontId="0" fillId="0" borderId="6" xfId="0" applyNumberFormat="1" applyBorder="1" applyAlignment="1">
      <alignment horizontal="center" vertical="center"/>
    </xf>
    <xf numFmtId="181" fontId="0" fillId="0" borderId="5" xfId="0" applyNumberFormat="1" applyBorder="1" applyAlignment="1">
      <alignment horizontal="center" vertical="center"/>
    </xf>
    <xf numFmtId="181" fontId="0" fillId="0" borderId="6" xfId="0" applyNumberForma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37" fillId="30" borderId="1" xfId="0" applyFont="1" applyFill="1" applyBorder="1" applyAlignment="1">
      <alignment horizontal="center" vertical="center"/>
    </xf>
    <xf numFmtId="0" fontId="36" fillId="30" borderId="1" xfId="0"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18" borderId="2" xfId="0" applyFill="1" applyBorder="1" applyAlignment="1">
      <alignment horizontal="center" vertical="center"/>
    </xf>
    <xf numFmtId="0" fontId="0" fillId="18" borderId="4" xfId="0" applyFill="1" applyBorder="1" applyAlignment="1">
      <alignment horizontal="center" vertical="center"/>
    </xf>
    <xf numFmtId="0" fontId="47" fillId="35" borderId="2" xfId="6" applyBorder="1" applyAlignment="1">
      <alignment horizontal="center" vertical="center" textRotation="255"/>
    </xf>
    <xf numFmtId="0" fontId="47" fillId="35" borderId="3" xfId="6" applyBorder="1" applyAlignment="1">
      <alignment horizontal="center" vertical="center" textRotation="255"/>
    </xf>
    <xf numFmtId="0" fontId="47" fillId="35" borderId="4" xfId="6" applyBorder="1" applyAlignment="1">
      <alignment horizontal="center" vertical="center" textRotation="255"/>
    </xf>
    <xf numFmtId="0" fontId="0" fillId="18" borderId="1" xfId="0" applyFill="1" applyBorder="1" applyAlignment="1">
      <alignment horizontal="center" vertical="center"/>
    </xf>
    <xf numFmtId="0" fontId="0" fillId="18" borderId="3" xfId="0" applyFill="1" applyBorder="1" applyAlignment="1">
      <alignment horizontal="center" vertical="center"/>
    </xf>
    <xf numFmtId="0" fontId="27" fillId="0" borderId="0" xfId="0" applyFont="1" applyAlignment="1">
      <alignment horizontal="center" vertical="center"/>
    </xf>
    <xf numFmtId="0" fontId="27" fillId="20" borderId="1" xfId="0" applyFont="1" applyFill="1" applyBorder="1" applyAlignment="1">
      <alignment horizontal="center" vertical="center"/>
    </xf>
    <xf numFmtId="0" fontId="16" fillId="40" borderId="11" xfId="0" applyFont="1" applyFill="1" applyBorder="1" applyAlignment="1">
      <alignment horizontal="center" vertical="center"/>
    </xf>
    <xf numFmtId="0" fontId="16" fillId="41" borderId="11" xfId="0" applyFont="1" applyFill="1" applyBorder="1" applyAlignment="1">
      <alignment horizontal="center" vertical="center"/>
    </xf>
    <xf numFmtId="0" fontId="28" fillId="18" borderId="5" xfId="0" applyFont="1" applyFill="1" applyBorder="1" applyAlignment="1">
      <alignment horizontal="center" vertical="center"/>
    </xf>
    <xf numFmtId="0" fontId="28" fillId="18" borderId="7" xfId="0" applyFont="1" applyFill="1" applyBorder="1" applyAlignment="1">
      <alignment horizontal="center" vertical="center"/>
    </xf>
    <xf numFmtId="0" fontId="28" fillId="18" borderId="6" xfId="0" applyFont="1" applyFill="1" applyBorder="1" applyAlignment="1">
      <alignment horizontal="center" vertical="center"/>
    </xf>
    <xf numFmtId="0" fontId="50" fillId="34" borderId="0" xfId="5" applyFont="1" applyFill="1" applyAlignment="1">
      <alignment horizontal="center" vertical="center"/>
    </xf>
    <xf numFmtId="0" fontId="46" fillId="34" borderId="0" xfId="5" applyFont="1" applyFill="1" applyAlignment="1">
      <alignment horizontal="center" vertical="center"/>
    </xf>
    <xf numFmtId="0" fontId="23" fillId="24" borderId="0" xfId="5" applyFont="1" applyFill="1" applyAlignment="1">
      <alignment horizontal="center" vertical="center"/>
    </xf>
    <xf numFmtId="0" fontId="0" fillId="18" borderId="5" xfId="0" applyFill="1" applyBorder="1" applyAlignment="1">
      <alignment horizontal="center" vertical="center"/>
    </xf>
    <xf numFmtId="0" fontId="0" fillId="18" borderId="7" xfId="0" applyFill="1" applyBorder="1" applyAlignment="1">
      <alignment horizontal="center" vertical="center"/>
    </xf>
    <xf numFmtId="0" fontId="0" fillId="18" borderId="6" xfId="0" applyFill="1" applyBorder="1" applyAlignment="1">
      <alignment horizontal="center" vertical="center"/>
    </xf>
    <xf numFmtId="0" fontId="5" fillId="10" borderId="12" xfId="0" applyFont="1" applyFill="1" applyBorder="1" applyAlignment="1">
      <alignment horizontal="center" vertical="center"/>
    </xf>
    <xf numFmtId="0" fontId="5" fillId="10" borderId="13" xfId="0" applyFont="1" applyFill="1" applyBorder="1" applyAlignment="1">
      <alignment horizontal="center" vertical="center"/>
    </xf>
    <xf numFmtId="0" fontId="18" fillId="22" borderId="2" xfId="4" applyBorder="1" applyAlignment="1">
      <alignment horizontal="center" vertical="center"/>
    </xf>
    <xf numFmtId="0" fontId="18" fillId="22" borderId="4" xfId="4"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3" xfId="0" applyFont="1" applyFill="1" applyBorder="1" applyAlignment="1">
      <alignment horizontal="center" vertical="center"/>
    </xf>
    <xf numFmtId="176" fontId="2" fillId="2" borderId="2" xfId="0" applyNumberFormat="1" applyFont="1" applyFill="1" applyBorder="1" applyAlignment="1">
      <alignment horizontal="center" vertical="center"/>
    </xf>
    <xf numFmtId="176" fontId="2" fillId="2" borderId="4" xfId="0" applyNumberFormat="1" applyFont="1" applyFill="1" applyBorder="1" applyAlignment="1">
      <alignment horizontal="center" vertical="center"/>
    </xf>
    <xf numFmtId="10" fontId="2" fillId="2" borderId="2" xfId="1" applyNumberFormat="1" applyFont="1" applyFill="1" applyBorder="1" applyAlignment="1">
      <alignment horizontal="center" vertical="center"/>
    </xf>
    <xf numFmtId="10" fontId="2" fillId="2" borderId="4" xfId="1" applyNumberFormat="1" applyFont="1" applyFill="1" applyBorder="1" applyAlignment="1">
      <alignment horizontal="center" vertical="center"/>
    </xf>
    <xf numFmtId="176" fontId="0" fillId="2" borderId="5" xfId="0" applyNumberFormat="1" applyFill="1" applyBorder="1" applyAlignment="1">
      <alignment horizontal="center" vertical="center"/>
    </xf>
    <xf numFmtId="176" fontId="0" fillId="2" borderId="7"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179" fontId="2" fillId="2" borderId="2" xfId="0" applyNumberFormat="1" applyFont="1" applyFill="1" applyBorder="1" applyAlignment="1">
      <alignment horizontal="center" vertical="center"/>
    </xf>
    <xf numFmtId="179" fontId="2" fillId="2" borderId="4" xfId="0" applyNumberFormat="1" applyFont="1" applyFill="1" applyBorder="1" applyAlignment="1">
      <alignment horizontal="center" vertical="center"/>
    </xf>
    <xf numFmtId="176" fontId="0" fillId="0" borderId="5" xfId="0" applyNumberFormat="1" applyBorder="1" applyAlignment="1">
      <alignment horizontal="center" vertical="center"/>
    </xf>
    <xf numFmtId="176" fontId="0" fillId="0" borderId="7" xfId="0" applyNumberFormat="1" applyBorder="1" applyAlignment="1">
      <alignment horizontal="center" vertical="center"/>
    </xf>
    <xf numFmtId="176" fontId="0" fillId="0" borderId="6" xfId="0" applyNumberFormat="1" applyBorder="1" applyAlignment="1">
      <alignment horizontal="center" vertical="center"/>
    </xf>
    <xf numFmtId="181" fontId="0" fillId="0" borderId="7" xfId="0" applyNumberFormat="1" applyBorder="1" applyAlignment="1">
      <alignment horizontal="center" vertical="center"/>
    </xf>
    <xf numFmtId="177" fontId="0" fillId="0" borderId="5" xfId="0" applyNumberFormat="1" applyBorder="1" applyAlignment="1">
      <alignment horizontal="center" vertical="center"/>
    </xf>
    <xf numFmtId="177" fontId="0" fillId="0" borderId="7" xfId="0" applyNumberFormat="1" applyBorder="1" applyAlignment="1">
      <alignment horizontal="center" vertical="center"/>
    </xf>
    <xf numFmtId="177" fontId="0" fillId="0" borderId="6" xfId="0" applyNumberFormat="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2" borderId="3" xfId="0" applyFill="1" applyBorder="1" applyAlignment="1">
      <alignment horizontal="center" vertical="center"/>
    </xf>
    <xf numFmtId="178" fontId="0" fillId="2" borderId="2" xfId="0" applyNumberFormat="1" applyFill="1" applyBorder="1" applyAlignment="1">
      <alignment horizontal="center" vertical="center"/>
    </xf>
    <xf numFmtId="178" fontId="0" fillId="2" borderId="3" xfId="0" applyNumberFormat="1" applyFill="1" applyBorder="1" applyAlignment="1">
      <alignment horizontal="center" vertical="center"/>
    </xf>
    <xf numFmtId="178" fontId="0" fillId="2" borderId="4" xfId="0" applyNumberFormat="1" applyFill="1" applyBorder="1" applyAlignment="1">
      <alignment horizontal="center" vertical="center"/>
    </xf>
    <xf numFmtId="10" fontId="0" fillId="2" borderId="2" xfId="0" applyNumberFormat="1" applyFill="1" applyBorder="1" applyAlignment="1">
      <alignment horizontal="center" vertical="center"/>
    </xf>
    <xf numFmtId="10" fontId="0" fillId="2" borderId="3" xfId="0" applyNumberFormat="1" applyFill="1" applyBorder="1" applyAlignment="1">
      <alignment horizontal="center" vertical="center"/>
    </xf>
    <xf numFmtId="10" fontId="0" fillId="2" borderId="4" xfId="0" applyNumberFormat="1" applyFill="1" applyBorder="1" applyAlignment="1">
      <alignment horizontal="center" vertical="center"/>
    </xf>
    <xf numFmtId="0" fontId="5" fillId="10" borderId="0" xfId="0" applyFont="1" applyFill="1" applyAlignment="1">
      <alignment horizontal="center" vertical="center"/>
    </xf>
  </cellXfs>
  <cellStyles count="7">
    <cellStyle name="百分比" xfId="1" builtinId="5"/>
    <cellStyle name="常规" xfId="0" builtinId="0"/>
    <cellStyle name="超链接" xfId="5" builtinId="8"/>
    <cellStyle name="计算" xfId="6" builtinId="22"/>
    <cellStyle name="检查单元格" xfId="3" builtinId="23"/>
    <cellStyle name="千位分隔" xfId="2" builtinId="3"/>
    <cellStyle name="适中" xfId="4" builtinId="28"/>
  </cellStyles>
  <dxfs count="92">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fill>
        <gradientFill degree="90">
          <stop position="0">
            <color rgb="FFFEFEF0"/>
          </stop>
          <stop position="1">
            <color rgb="FF4A9061"/>
          </stop>
        </gradientFill>
      </fill>
    </dxf>
    <dxf>
      <fill>
        <patternFill>
          <fgColor rgb="FFFE8602"/>
        </patternFill>
      </fill>
    </dxf>
    <dxf>
      <fill>
        <patternFill patternType="darkGray">
          <fgColor rgb="FFFE8602"/>
          <bgColor theme="5" tint="0.39994506668294322"/>
        </patternFill>
      </fill>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fill>
        <patternFill patternType="solid">
          <fgColor theme="0"/>
          <bgColor rgb="FFFF0D0D"/>
        </patternFill>
      </fill>
    </dxf>
    <dxf>
      <fill>
        <patternFill>
          <bgColor rgb="FFFFC000"/>
        </patternFill>
      </fill>
    </dxf>
    <dxf>
      <fill>
        <patternFill>
          <bgColor rgb="FFFFFF00"/>
        </patternFill>
      </fill>
    </dxf>
    <dxf>
      <fill>
        <patternFill>
          <bgColor rgb="FF8D42C6"/>
        </patternFill>
      </fill>
    </dxf>
    <dxf>
      <fill>
        <patternFill>
          <bgColor rgb="FF0070C0"/>
        </patternFill>
      </fill>
    </dxf>
    <dxf>
      <fill>
        <patternFill>
          <bgColor rgb="FF92D050"/>
        </patternFill>
      </fill>
    </dxf>
    <dxf>
      <fill>
        <patternFill patternType="solid">
          <fgColor theme="1"/>
          <bgColor theme="1"/>
        </patternFill>
      </fill>
    </dxf>
    <dxf>
      <fill>
        <patternFill patternType="solid">
          <fgColor theme="0"/>
          <bgColor rgb="FFFF0D0D"/>
        </patternFill>
      </fill>
    </dxf>
    <dxf>
      <fill>
        <patternFill>
          <bgColor rgb="FFFFC000"/>
        </patternFill>
      </fill>
    </dxf>
    <dxf>
      <fill>
        <patternFill>
          <bgColor rgb="FFFFFF00"/>
        </patternFill>
      </fill>
    </dxf>
    <dxf>
      <fill>
        <patternFill>
          <bgColor rgb="FF8D42C6"/>
        </patternFill>
      </fill>
    </dxf>
    <dxf>
      <fill>
        <patternFill>
          <bgColor rgb="FF0070C0"/>
        </patternFill>
      </fill>
    </dxf>
    <dxf>
      <fill>
        <patternFill>
          <bgColor rgb="FF92D050"/>
        </patternFill>
      </fill>
    </dxf>
    <dxf>
      <fill>
        <patternFill patternType="solid">
          <fgColor theme="1"/>
          <bgColor theme="1"/>
        </patternFill>
      </fill>
    </dxf>
    <dxf>
      <fill>
        <patternFill patternType="solid">
          <fgColor theme="0"/>
          <bgColor rgb="FFFF0D0D"/>
        </patternFill>
      </fill>
    </dxf>
    <dxf>
      <fill>
        <patternFill>
          <bgColor rgb="FFFFC000"/>
        </patternFill>
      </fill>
    </dxf>
    <dxf>
      <fill>
        <patternFill>
          <bgColor rgb="FFFFFF00"/>
        </patternFill>
      </fill>
    </dxf>
    <dxf>
      <fill>
        <patternFill>
          <bgColor rgb="FF8D42C6"/>
        </patternFill>
      </fill>
    </dxf>
    <dxf>
      <fill>
        <patternFill>
          <bgColor rgb="FF0070C0"/>
        </patternFill>
      </fill>
    </dxf>
    <dxf>
      <fill>
        <patternFill>
          <bgColor rgb="FF92D050"/>
        </patternFill>
      </fill>
    </dxf>
    <dxf>
      <fill>
        <patternFill patternType="solid">
          <fgColor theme="1"/>
          <bgColor theme="1"/>
        </patternFill>
      </fill>
    </dxf>
    <dxf>
      <fill>
        <patternFill patternType="solid">
          <fgColor theme="0"/>
          <bgColor rgb="FFFF0D0D"/>
        </patternFill>
      </fill>
    </dxf>
    <dxf>
      <fill>
        <patternFill>
          <bgColor rgb="FFFFC000"/>
        </patternFill>
      </fill>
    </dxf>
    <dxf>
      <fill>
        <patternFill>
          <bgColor rgb="FFFFFF00"/>
        </patternFill>
      </fill>
    </dxf>
    <dxf>
      <fill>
        <patternFill>
          <bgColor rgb="FF8D42C6"/>
        </patternFill>
      </fill>
    </dxf>
    <dxf>
      <fill>
        <patternFill>
          <bgColor rgb="FF0070C0"/>
        </patternFill>
      </fill>
    </dxf>
    <dxf>
      <fill>
        <patternFill>
          <bgColor rgb="FF92D050"/>
        </patternFill>
      </fill>
    </dxf>
    <dxf>
      <fill>
        <patternFill patternType="solid">
          <fgColor theme="0"/>
          <bgColor rgb="FFFF0D0D"/>
        </patternFill>
      </fill>
    </dxf>
    <dxf>
      <fill>
        <patternFill>
          <bgColor rgb="FFFFC000"/>
        </patternFill>
      </fill>
    </dxf>
    <dxf>
      <fill>
        <patternFill>
          <bgColor rgb="FFFFFF00"/>
        </patternFill>
      </fill>
    </dxf>
    <dxf>
      <fill>
        <patternFill>
          <bgColor rgb="FF8D42C6"/>
        </patternFill>
      </fill>
    </dxf>
    <dxf>
      <fill>
        <patternFill>
          <bgColor rgb="FF0070C0"/>
        </patternFill>
      </fill>
    </dxf>
    <dxf>
      <fill>
        <patternFill>
          <bgColor rgb="FF92D050"/>
        </patternFill>
      </fill>
    </dxf>
    <dxf>
      <fill>
        <patternFill patternType="solid">
          <fgColor theme="0"/>
          <bgColor rgb="FFFF0D0D"/>
        </patternFill>
      </fill>
    </dxf>
    <dxf>
      <fill>
        <patternFill>
          <bgColor rgb="FFFFC000"/>
        </patternFill>
      </fill>
    </dxf>
    <dxf>
      <fill>
        <patternFill>
          <bgColor rgb="FFFFFF00"/>
        </patternFill>
      </fill>
    </dxf>
    <dxf>
      <fill>
        <patternFill>
          <bgColor rgb="FF8D42C6"/>
        </patternFill>
      </fill>
    </dxf>
    <dxf>
      <fill>
        <patternFill>
          <bgColor rgb="FF0070C0"/>
        </patternFill>
      </fill>
    </dxf>
    <dxf>
      <fill>
        <patternFill>
          <bgColor rgb="FF92D050"/>
        </patternFill>
      </fill>
    </dxf>
    <dxf>
      <fill>
        <patternFill patternType="solid">
          <fgColor theme="1"/>
          <bgColor theme="1"/>
        </patternFill>
      </fill>
    </dxf>
    <dxf>
      <fill>
        <patternFill patternType="solid">
          <fgColor theme="0"/>
          <bgColor rgb="FFFF0D0D"/>
        </patternFill>
      </fill>
    </dxf>
    <dxf>
      <fill>
        <patternFill>
          <bgColor rgb="FFFFC000"/>
        </patternFill>
      </fill>
    </dxf>
    <dxf>
      <fill>
        <patternFill>
          <bgColor rgb="FFFFFF00"/>
        </patternFill>
      </fill>
    </dxf>
    <dxf>
      <fill>
        <patternFill>
          <bgColor rgb="FF8D42C6"/>
        </patternFill>
      </fill>
    </dxf>
    <dxf>
      <fill>
        <patternFill>
          <bgColor rgb="FF0070C0"/>
        </patternFill>
      </fill>
    </dxf>
    <dxf>
      <fill>
        <patternFill>
          <bgColor rgb="FF92D050"/>
        </patternFill>
      </fill>
    </dxf>
    <dxf>
      <fill>
        <patternFill patternType="solid">
          <fgColor theme="0"/>
          <bgColor rgb="FFFF0D0D"/>
        </patternFill>
      </fill>
    </dxf>
    <dxf>
      <fill>
        <patternFill>
          <bgColor rgb="FFFFC000"/>
        </patternFill>
      </fill>
    </dxf>
    <dxf>
      <fill>
        <patternFill>
          <bgColor rgb="FFFFFF00"/>
        </patternFill>
      </fill>
    </dxf>
    <dxf>
      <fill>
        <patternFill>
          <bgColor rgb="FF8D42C6"/>
        </patternFill>
      </fill>
    </dxf>
    <dxf>
      <fill>
        <patternFill>
          <bgColor rgb="FF0070C0"/>
        </patternFill>
      </fill>
    </dxf>
    <dxf>
      <fill>
        <patternFill>
          <bgColor rgb="FF92D050"/>
        </patternFill>
      </fill>
    </dxf>
    <dxf>
      <font>
        <color rgb="FF9C0006"/>
      </font>
      <fill>
        <patternFill>
          <bgColor rgb="FFFFC7CE"/>
        </patternFill>
      </fill>
    </dxf>
    <dxf>
      <font>
        <b/>
        <i val="0"/>
        <color rgb="FFFFFF00"/>
      </font>
      <numFmt numFmtId="0" formatCode="General"/>
      <fill>
        <patternFill>
          <bgColor rgb="FFFF0000"/>
        </patternFill>
      </fill>
      <border>
        <left style="thin">
          <color auto="1"/>
        </left>
        <right style="thin">
          <color auto="1"/>
        </right>
        <top style="thin">
          <color auto="1"/>
        </top>
        <bottom style="thin">
          <color auto="1"/>
        </bottom>
        <vertical/>
        <horizontal/>
      </border>
    </dxf>
    <dxf>
      <fill>
        <patternFill>
          <bgColor theme="4" tint="0.59996337778862885"/>
        </patternFill>
      </fill>
    </dxf>
    <dxf>
      <fill>
        <patternFill>
          <bgColor rgb="FFFFC000"/>
        </patternFill>
      </fill>
    </dxf>
    <dxf>
      <fill>
        <patternFill>
          <bgColor theme="0" tint="-4.9989318521683403E-2"/>
        </patternFill>
      </fill>
    </dxf>
    <dxf>
      <fill>
        <patternFill>
          <bgColor theme="9" tint="-0.24994659260841701"/>
        </patternFill>
      </fill>
    </dxf>
    <dxf>
      <fill>
        <patternFill>
          <bgColor rgb="FFAA51E1"/>
        </patternFill>
      </fill>
    </dxf>
    <dxf>
      <fill>
        <patternFill>
          <bgColor theme="6" tint="0.39994506668294322"/>
        </patternFill>
      </fill>
    </dxf>
    <dxf>
      <numFmt numFmtId="176" formatCode="0_ "/>
    </dxf>
  </dxfs>
  <tableStyles count="0" defaultTableStyle="TableStyleMedium2" defaultPivotStyle="PivotStyleLight16"/>
  <colors>
    <mruColors>
      <color rgb="FFFF0D0D"/>
      <color rgb="FFD0FAF6"/>
      <color rgb="FF8D42C6"/>
      <color rgb="FFAA51E1"/>
      <color rgb="FFD60093"/>
      <color rgb="FF18E8D4"/>
      <color rgb="FFFE8602"/>
      <color rgb="FF4A9061"/>
      <color rgb="FFFEFEF0"/>
      <color rgb="FF2A71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47</xdr:row>
      <xdr:rowOff>76200</xdr:rowOff>
    </xdr:from>
    <xdr:to>
      <xdr:col>21</xdr:col>
      <xdr:colOff>397991</xdr:colOff>
      <xdr:row>83</xdr:row>
      <xdr:rowOff>161100</xdr:rowOff>
    </xdr:to>
    <xdr:pic>
      <xdr:nvPicPr>
        <xdr:cNvPr id="3" name="图片 2">
          <a:extLst>
            <a:ext uri="{FF2B5EF4-FFF2-40B4-BE49-F238E27FC236}">
              <a16:creationId xmlns:a16="http://schemas.microsoft.com/office/drawing/2014/main" id="{8B41D1DE-67D4-0B7A-23DC-5CE5EB65A2A6}"/>
            </a:ext>
          </a:extLst>
        </xdr:cNvPr>
        <xdr:cNvPicPr>
          <a:picLocks noChangeAspect="1"/>
        </xdr:cNvPicPr>
      </xdr:nvPicPr>
      <xdr:blipFill>
        <a:blip xmlns:r="http://schemas.openxmlformats.org/officeDocument/2006/relationships" r:embed="rId1"/>
        <a:stretch>
          <a:fillRect/>
        </a:stretch>
      </xdr:blipFill>
      <xdr:spPr>
        <a:xfrm>
          <a:off x="419100" y="8439150"/>
          <a:ext cx="16466666" cy="66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E3F6-A0F7-48FB-AE1D-A04A2520A358}">
  <sheetPr codeName="Sheet1">
    <tabColor rgb="FF92D050"/>
  </sheetPr>
  <dimension ref="A1:X57"/>
  <sheetViews>
    <sheetView zoomScaleNormal="100" workbookViewId="0">
      <selection activeCell="P20" sqref="P20"/>
    </sheetView>
  </sheetViews>
  <sheetFormatPr defaultRowHeight="14.25" x14ac:dyDescent="0.2"/>
  <cols>
    <col min="1" max="1" width="8" style="2" customWidth="1"/>
    <col min="2" max="2" width="23" style="2" customWidth="1"/>
    <col min="3" max="5" width="7.625" style="2" customWidth="1"/>
    <col min="6" max="6" width="12" style="2" customWidth="1"/>
    <col min="7" max="9" width="7.625" style="2" customWidth="1"/>
    <col min="10" max="10" width="14.375" style="2" customWidth="1"/>
    <col min="11" max="13" width="7.625" style="2" customWidth="1"/>
    <col min="14" max="14" width="13.75" style="2" customWidth="1"/>
    <col min="15" max="17" width="7.625" style="2" customWidth="1"/>
    <col min="18" max="18" width="8.375" style="2" customWidth="1"/>
    <col min="19" max="19" width="15.875" style="2" customWidth="1"/>
    <col min="20" max="20" width="11.375" style="2" customWidth="1"/>
    <col min="21" max="21" width="18.125" style="2" customWidth="1"/>
    <col min="22" max="22" width="9" style="2"/>
    <col min="23" max="23" width="11.25" style="2" customWidth="1"/>
    <col min="24" max="16384" width="9" style="2"/>
  </cols>
  <sheetData>
    <row r="1" spans="1:24" ht="31.5" customHeight="1" x14ac:dyDescent="0.2">
      <c r="A1" s="278" t="s">
        <v>736</v>
      </c>
      <c r="B1" s="278"/>
      <c r="C1" s="278"/>
      <c r="D1" s="278"/>
      <c r="E1" s="278"/>
      <c r="F1" s="278"/>
      <c r="G1" s="278"/>
      <c r="H1" s="278"/>
      <c r="I1" s="278"/>
      <c r="J1" s="278"/>
      <c r="K1" s="278"/>
      <c r="L1" s="278"/>
      <c r="M1" s="278"/>
      <c r="N1" s="278"/>
      <c r="O1" s="278"/>
      <c r="P1" s="278"/>
      <c r="Q1" s="278"/>
      <c r="R1" s="278"/>
      <c r="S1" s="278"/>
      <c r="T1" s="278"/>
      <c r="U1" s="278"/>
      <c r="V1" s="125"/>
      <c r="W1" s="125"/>
      <c r="X1" s="125"/>
    </row>
    <row r="2" spans="1:24" ht="13.5" customHeight="1" x14ac:dyDescent="0.2">
      <c r="A2" s="51"/>
      <c r="B2" s="122" t="s">
        <v>228</v>
      </c>
      <c r="C2" s="3" t="s">
        <v>1</v>
      </c>
      <c r="D2" s="3" t="s">
        <v>90</v>
      </c>
      <c r="E2" s="5" t="s">
        <v>22</v>
      </c>
      <c r="F2" s="6" t="s">
        <v>217</v>
      </c>
      <c r="G2" s="3" t="s">
        <v>1</v>
      </c>
      <c r="H2" s="3" t="s">
        <v>90</v>
      </c>
      <c r="I2" s="5" t="s">
        <v>22</v>
      </c>
      <c r="J2" s="4" t="s">
        <v>218</v>
      </c>
      <c r="K2" s="3" t="s">
        <v>1</v>
      </c>
      <c r="L2" s="3" t="s">
        <v>90</v>
      </c>
      <c r="M2" s="5" t="s">
        <v>22</v>
      </c>
      <c r="N2" s="9" t="s">
        <v>219</v>
      </c>
      <c r="O2" s="3" t="s">
        <v>0</v>
      </c>
      <c r="P2" s="3" t="s">
        <v>89</v>
      </c>
      <c r="Q2" s="5" t="s">
        <v>22</v>
      </c>
      <c r="R2" s="236"/>
      <c r="S2" s="237"/>
      <c r="T2" s="237"/>
      <c r="U2" s="237"/>
      <c r="V2" s="237"/>
      <c r="W2" s="237"/>
    </row>
    <row r="3" spans="1:24" ht="13.5" customHeight="1" x14ac:dyDescent="0.2">
      <c r="A3" s="51">
        <v>1</v>
      </c>
      <c r="B3" s="22" t="s">
        <v>828</v>
      </c>
      <c r="C3" s="14">
        <v>9</v>
      </c>
      <c r="D3" s="14">
        <v>2</v>
      </c>
      <c r="E3" s="3">
        <f>VLOOKUP(统计!C3,隐藏数据!$A$27:$B$37,2)+D3</f>
        <v>3</v>
      </c>
      <c r="F3" s="6" t="s">
        <v>16</v>
      </c>
      <c r="G3" s="14">
        <v>17</v>
      </c>
      <c r="H3" s="14">
        <v>8</v>
      </c>
      <c r="I3" s="3">
        <f>VLOOKUP(G3,隐藏数据!$C$27:$D$40,2)+统计!H3</f>
        <v>117</v>
      </c>
      <c r="J3" s="4" t="s">
        <v>45</v>
      </c>
      <c r="K3" s="14">
        <v>16</v>
      </c>
      <c r="L3" s="14">
        <v>84</v>
      </c>
      <c r="M3" s="3">
        <f>VLOOKUP(K3,隐藏数据!$E$27:$F$43,2)+统计!L3</f>
        <v>419</v>
      </c>
      <c r="N3" s="9" t="s">
        <v>81</v>
      </c>
      <c r="O3" s="14">
        <v>15</v>
      </c>
      <c r="P3" s="14">
        <v>394</v>
      </c>
      <c r="Q3" s="3">
        <f>VLOOKUP(O3,隐藏数据!$G$27:$H$45,2)+P3</f>
        <v>1271</v>
      </c>
      <c r="R3" s="236"/>
      <c r="S3" s="280" t="s">
        <v>933</v>
      </c>
      <c r="T3" s="280"/>
      <c r="U3" s="237"/>
      <c r="V3" s="237"/>
      <c r="W3" s="237"/>
    </row>
    <row r="4" spans="1:24" ht="13.5" customHeight="1" x14ac:dyDescent="0.2">
      <c r="A4" s="51">
        <v>2</v>
      </c>
      <c r="B4" s="22" t="s">
        <v>106</v>
      </c>
      <c r="C4" s="14">
        <v>11</v>
      </c>
      <c r="D4" s="14">
        <v>2</v>
      </c>
      <c r="E4" s="3">
        <f>VLOOKUP(统计!C4,隐藏数据!$A$27:$B$37,2)+D4</f>
        <v>6</v>
      </c>
      <c r="F4" s="6" t="s">
        <v>829</v>
      </c>
      <c r="G4" s="14">
        <v>6</v>
      </c>
      <c r="H4" s="14">
        <v>8</v>
      </c>
      <c r="I4" s="3">
        <f>VLOOKUP(G4,隐藏数据!$C$27:$D$40,2)+统计!H4</f>
        <v>9</v>
      </c>
      <c r="J4" s="4" t="s">
        <v>46</v>
      </c>
      <c r="K4" s="14">
        <v>15</v>
      </c>
      <c r="L4" s="14">
        <v>186</v>
      </c>
      <c r="M4" s="3">
        <f>VLOOKUP(K4,隐藏数据!$E$27:$F$43,2)+统计!L4</f>
        <v>426</v>
      </c>
      <c r="N4" s="9" t="s">
        <v>82</v>
      </c>
      <c r="O4" s="14">
        <v>16</v>
      </c>
      <c r="P4" s="14">
        <v>86</v>
      </c>
      <c r="Q4" s="3">
        <f>VLOOKUP(O4,隐藏数据!$G$27:$H$45,2)+P4</f>
        <v>1283</v>
      </c>
      <c r="R4" s="237"/>
      <c r="S4" s="280"/>
      <c r="T4" s="280"/>
      <c r="U4" s="237"/>
      <c r="V4" s="237"/>
      <c r="W4" s="237"/>
    </row>
    <row r="5" spans="1:24" ht="13.5" customHeight="1" x14ac:dyDescent="0.2">
      <c r="A5" s="51">
        <v>3</v>
      </c>
      <c r="B5" s="21" t="s">
        <v>255</v>
      </c>
      <c r="C5" s="14">
        <v>11</v>
      </c>
      <c r="D5" s="14"/>
      <c r="E5" s="3">
        <f>VLOOKUP(统计!C5,隐藏数据!$A$27:$B$37,2)+D5</f>
        <v>4</v>
      </c>
      <c r="F5" s="6" t="s">
        <v>17</v>
      </c>
      <c r="G5" s="14">
        <v>13</v>
      </c>
      <c r="H5" s="14">
        <v>38</v>
      </c>
      <c r="I5" s="3">
        <f>VLOOKUP(G5,隐藏数据!$C$27:$D$40,2)+统计!H5</f>
        <v>73</v>
      </c>
      <c r="J5" s="4" t="s">
        <v>47</v>
      </c>
      <c r="K5" s="14">
        <v>16</v>
      </c>
      <c r="L5" s="14">
        <v>82</v>
      </c>
      <c r="M5" s="3">
        <f>VLOOKUP(K5,隐藏数据!$E$27:$F$43,2)+统计!L5</f>
        <v>417</v>
      </c>
      <c r="N5" s="9" t="s">
        <v>79</v>
      </c>
      <c r="O5" s="14">
        <v>16</v>
      </c>
      <c r="P5" s="14">
        <v>79</v>
      </c>
      <c r="Q5" s="3">
        <f>VLOOKUP(O5,隐藏数据!$G$27:$H$45,2)+P5</f>
        <v>1276</v>
      </c>
      <c r="R5" s="237"/>
      <c r="S5" s="280"/>
      <c r="T5" s="280"/>
      <c r="U5" s="237"/>
      <c r="V5" s="237"/>
      <c r="W5" s="237"/>
    </row>
    <row r="6" spans="1:24" ht="13.5" customHeight="1" x14ac:dyDescent="0.2">
      <c r="A6" s="51">
        <v>4</v>
      </c>
      <c r="B6" s="21" t="s">
        <v>107</v>
      </c>
      <c r="C6" s="14">
        <v>12</v>
      </c>
      <c r="D6" s="14">
        <v>2</v>
      </c>
      <c r="E6" s="3">
        <f>VLOOKUP(统计!C6,隐藏数据!$A$27:$B$37,2)+D6</f>
        <v>9</v>
      </c>
      <c r="F6" s="6" t="s">
        <v>20</v>
      </c>
      <c r="G6" s="14">
        <v>14</v>
      </c>
      <c r="H6" s="14">
        <v>36</v>
      </c>
      <c r="I6" s="3">
        <f>VLOOKUP(G6,隐藏数据!$C$27:$D$40,2)+统计!H6</f>
        <v>84</v>
      </c>
      <c r="J6" s="4" t="s">
        <v>50</v>
      </c>
      <c r="K6" s="14">
        <v>16</v>
      </c>
      <c r="L6" s="14">
        <v>85</v>
      </c>
      <c r="M6" s="3">
        <f>VLOOKUP(K6,隐藏数据!$E$27:$F$43,2)+统计!L6</f>
        <v>420</v>
      </c>
      <c r="N6" s="9" t="s">
        <v>80</v>
      </c>
      <c r="O6" s="14">
        <v>16</v>
      </c>
      <c r="P6" s="14">
        <v>91</v>
      </c>
      <c r="Q6" s="3">
        <f>VLOOKUP(O6,隐藏数据!$G$27:$H$45,2)+P6</f>
        <v>1288</v>
      </c>
      <c r="R6" s="237"/>
      <c r="S6" s="280"/>
      <c r="T6" s="280"/>
      <c r="U6" s="237"/>
      <c r="V6" s="237"/>
      <c r="W6" s="237"/>
    </row>
    <row r="7" spans="1:24" ht="13.5" customHeight="1" x14ac:dyDescent="0.2">
      <c r="A7" s="51">
        <v>5</v>
      </c>
      <c r="B7" s="21" t="s">
        <v>137</v>
      </c>
      <c r="C7" s="14">
        <v>10</v>
      </c>
      <c r="D7" s="14">
        <v>1</v>
      </c>
      <c r="E7" s="3">
        <f>VLOOKUP(统计!C7,隐藏数据!$A$27:$B$37,2)+D7</f>
        <v>3</v>
      </c>
      <c r="F7" s="6" t="s">
        <v>26</v>
      </c>
      <c r="G7" s="14">
        <v>16</v>
      </c>
      <c r="H7" s="14">
        <v>10</v>
      </c>
      <c r="I7" s="3">
        <f>VLOOKUP(G7,隐藏数据!$C$27:$D$40,2)+统计!H7</f>
        <v>94</v>
      </c>
      <c r="J7" s="4" t="s">
        <v>51</v>
      </c>
      <c r="K7" s="14">
        <v>16</v>
      </c>
      <c r="L7" s="14">
        <v>99</v>
      </c>
      <c r="M7" s="3">
        <f>VLOOKUP(K7,隐藏数据!$E$27:$F$43,2)+统计!L7</f>
        <v>434</v>
      </c>
      <c r="N7" s="9" t="s">
        <v>83</v>
      </c>
      <c r="O7" s="14">
        <v>15</v>
      </c>
      <c r="P7" s="14">
        <v>400</v>
      </c>
      <c r="Q7" s="3">
        <f>VLOOKUP(O7,隐藏数据!$G$27:$H$45,2)+P7</f>
        <v>1277</v>
      </c>
      <c r="R7" s="237"/>
      <c r="S7" s="237"/>
      <c r="T7" s="237"/>
      <c r="U7" s="237"/>
      <c r="V7" s="237"/>
      <c r="W7" s="237"/>
    </row>
    <row r="8" spans="1:24" ht="13.5" customHeight="1" x14ac:dyDescent="0.2">
      <c r="A8" s="51">
        <v>6</v>
      </c>
      <c r="B8" s="21" t="s">
        <v>557</v>
      </c>
      <c r="C8" s="14">
        <v>11</v>
      </c>
      <c r="D8" s="14"/>
      <c r="E8" s="3">
        <f>VLOOKUP(统计!C8,隐藏数据!$A$27:$B$37,2)+D8</f>
        <v>4</v>
      </c>
      <c r="F8" s="6" t="s">
        <v>23</v>
      </c>
      <c r="G8" s="14">
        <v>16</v>
      </c>
      <c r="H8" s="14">
        <v>10</v>
      </c>
      <c r="I8" s="3">
        <f>VLOOKUP(G8,隐藏数据!$C$27:$D$40,2)+统计!H8</f>
        <v>94</v>
      </c>
      <c r="J8" s="4" t="s">
        <v>56</v>
      </c>
      <c r="K8" s="14">
        <v>16</v>
      </c>
      <c r="L8" s="14">
        <v>95</v>
      </c>
      <c r="M8" s="3">
        <f>VLOOKUP(K8,隐藏数据!$E$27:$F$43,2)+统计!L8</f>
        <v>430</v>
      </c>
      <c r="N8" s="9" t="s">
        <v>84</v>
      </c>
      <c r="O8" s="14">
        <v>15</v>
      </c>
      <c r="P8" s="14">
        <v>405</v>
      </c>
      <c r="Q8" s="3">
        <f>VLOOKUP(O8,隐藏数据!$G$27:$H$45,2)+P8</f>
        <v>1282</v>
      </c>
      <c r="R8" s="237"/>
      <c r="S8" s="237"/>
      <c r="T8" s="237"/>
      <c r="U8" s="237"/>
      <c r="V8" s="237"/>
      <c r="W8" s="237"/>
    </row>
    <row r="9" spans="1:24" ht="13.5" customHeight="1" x14ac:dyDescent="0.2">
      <c r="A9" s="51">
        <v>7</v>
      </c>
      <c r="B9" s="21" t="s">
        <v>743</v>
      </c>
      <c r="C9" s="14">
        <v>11</v>
      </c>
      <c r="D9" s="14"/>
      <c r="E9" s="3">
        <f>VLOOKUP(统计!C9,隐藏数据!$A$27:$B$37,2)+D9</f>
        <v>4</v>
      </c>
      <c r="F9" s="6" t="s">
        <v>18</v>
      </c>
      <c r="G9" s="14">
        <v>13</v>
      </c>
      <c r="H9" s="14">
        <v>22</v>
      </c>
      <c r="I9" s="3">
        <f>VLOOKUP(G9,隐藏数据!$C$27:$D$40,2)+统计!H9</f>
        <v>57</v>
      </c>
      <c r="J9" s="4" t="s">
        <v>48</v>
      </c>
      <c r="K9" s="14">
        <v>16</v>
      </c>
      <c r="L9" s="14">
        <v>102</v>
      </c>
      <c r="M9" s="3">
        <f>VLOOKUP(K9,隐藏数据!$E$27:$F$43,2)+统计!L9</f>
        <v>437</v>
      </c>
      <c r="N9" s="9" t="s">
        <v>85</v>
      </c>
      <c r="O9" s="14">
        <v>16</v>
      </c>
      <c r="P9" s="14">
        <v>87</v>
      </c>
      <c r="Q9" s="3">
        <f>VLOOKUP(O9,隐藏数据!$G$27:$H$45,2)+P9</f>
        <v>1284</v>
      </c>
      <c r="R9" s="237"/>
      <c r="S9" s="237"/>
      <c r="T9" s="237"/>
      <c r="U9" s="237"/>
      <c r="V9" s="237"/>
      <c r="W9" s="237"/>
    </row>
    <row r="10" spans="1:24" ht="13.5" customHeight="1" x14ac:dyDescent="0.2">
      <c r="A10" s="51">
        <v>8</v>
      </c>
      <c r="B10" s="22" t="s">
        <v>152</v>
      </c>
      <c r="C10" s="14">
        <v>13</v>
      </c>
      <c r="D10" s="14"/>
      <c r="E10" s="3">
        <f>VLOOKUP(统计!C10,隐藏数据!$A$27:$B$37,2)+D10</f>
        <v>11</v>
      </c>
      <c r="F10" s="6" t="s">
        <v>187</v>
      </c>
      <c r="G10" s="14">
        <v>13</v>
      </c>
      <c r="H10" s="14">
        <v>7</v>
      </c>
      <c r="I10" s="3">
        <f>VLOOKUP(G10,隐藏数据!$C$27:$D$40,2)+统计!H10</f>
        <v>42</v>
      </c>
      <c r="J10" s="4" t="s">
        <v>49</v>
      </c>
      <c r="K10" s="14">
        <v>17</v>
      </c>
      <c r="L10" s="14">
        <v>28</v>
      </c>
      <c r="M10" s="3">
        <f>VLOOKUP(K10,隐藏数据!$E$27:$F$43,2)+统计!L10</f>
        <v>488</v>
      </c>
      <c r="N10" s="9" t="s">
        <v>86</v>
      </c>
      <c r="O10" s="14">
        <v>16</v>
      </c>
      <c r="P10" s="14">
        <v>82</v>
      </c>
      <c r="Q10" s="3">
        <f>VLOOKUP(O10,隐藏数据!$G$27:$H$45,2)+P10</f>
        <v>1279</v>
      </c>
      <c r="R10" s="237"/>
      <c r="S10" s="237"/>
      <c r="T10" s="237"/>
      <c r="U10" s="237"/>
      <c r="V10" s="237"/>
      <c r="W10" s="237"/>
    </row>
    <row r="11" spans="1:24" ht="13.5" customHeight="1" x14ac:dyDescent="0.2">
      <c r="A11" s="51">
        <v>9</v>
      </c>
      <c r="B11" s="22" t="s">
        <v>151</v>
      </c>
      <c r="C11" s="14">
        <v>13</v>
      </c>
      <c r="D11" s="14">
        <v>1</v>
      </c>
      <c r="E11" s="3">
        <f>VLOOKUP(统计!C11,隐藏数据!$A$27:$B$37,2)+D11</f>
        <v>12</v>
      </c>
      <c r="F11" s="6" t="s">
        <v>19</v>
      </c>
      <c r="G11" s="14">
        <v>14</v>
      </c>
      <c r="H11" s="14">
        <v>40</v>
      </c>
      <c r="I11" s="3">
        <f>VLOOKUP(G11,隐藏数据!$C$27:$D$40,2)+统计!H11</f>
        <v>88</v>
      </c>
      <c r="J11" s="4" t="s">
        <v>52</v>
      </c>
      <c r="K11" s="14">
        <v>15</v>
      </c>
      <c r="L11" s="14">
        <v>194</v>
      </c>
      <c r="M11" s="3">
        <f>VLOOKUP(K11,隐藏数据!$E$27:$F$43,2)+统计!L11</f>
        <v>434</v>
      </c>
      <c r="N11" s="9" t="s">
        <v>78</v>
      </c>
      <c r="O11" s="14">
        <v>16</v>
      </c>
      <c r="P11" s="14">
        <v>71</v>
      </c>
      <c r="Q11" s="3">
        <f>VLOOKUP(O11,隐藏数据!$G$27:$H$45,2)+P11</f>
        <v>1268</v>
      </c>
      <c r="R11" s="236"/>
      <c r="S11" s="236"/>
      <c r="T11" s="236"/>
      <c r="U11" s="237"/>
      <c r="V11" s="237"/>
      <c r="W11" s="237"/>
    </row>
    <row r="12" spans="1:24" ht="13.5" customHeight="1" x14ac:dyDescent="0.2">
      <c r="A12" s="51">
        <v>10</v>
      </c>
      <c r="B12" s="19" t="s">
        <v>183</v>
      </c>
      <c r="C12" s="14">
        <v>12</v>
      </c>
      <c r="D12" s="14">
        <v>1</v>
      </c>
      <c r="E12" s="3">
        <f>VLOOKUP(统计!C12,隐藏数据!$A$27:$B$37,2)+D12</f>
        <v>8</v>
      </c>
      <c r="F12" s="6" t="s">
        <v>24</v>
      </c>
      <c r="G12" s="14">
        <v>16</v>
      </c>
      <c r="H12" s="14">
        <v>9</v>
      </c>
      <c r="I12" s="3">
        <f>VLOOKUP(G12,隐藏数据!$C$27:$D$40,2)+统计!H12</f>
        <v>93</v>
      </c>
      <c r="J12" s="4" t="s">
        <v>53</v>
      </c>
      <c r="K12" s="14">
        <v>16</v>
      </c>
      <c r="L12" s="14">
        <v>92</v>
      </c>
      <c r="M12" s="3">
        <f>VLOOKUP(K12,隐藏数据!$E$27:$F$43,2)+统计!L12</f>
        <v>427</v>
      </c>
      <c r="N12" s="10" t="s">
        <v>54</v>
      </c>
      <c r="O12" s="14">
        <v>16</v>
      </c>
      <c r="P12" s="14">
        <v>83</v>
      </c>
      <c r="Q12" s="3">
        <f>VLOOKUP(O12,隐藏数据!$G$27:$H$45,2)+P12</f>
        <v>1280</v>
      </c>
      <c r="R12" s="236"/>
      <c r="S12" s="282" t="s">
        <v>96</v>
      </c>
      <c r="T12" s="281">
        <v>683</v>
      </c>
      <c r="U12" s="237"/>
      <c r="V12" s="237"/>
      <c r="W12" s="237"/>
    </row>
    <row r="13" spans="1:24" ht="13.5" customHeight="1" x14ac:dyDescent="0.2">
      <c r="A13" s="51">
        <v>11</v>
      </c>
      <c r="B13" s="126" t="s">
        <v>653</v>
      </c>
      <c r="C13" s="14">
        <v>11</v>
      </c>
      <c r="D13" s="14">
        <v>1</v>
      </c>
      <c r="E13" s="3">
        <f>VLOOKUP(统计!C13,隐藏数据!$A$27:$B$37,2)+D13</f>
        <v>5</v>
      </c>
      <c r="F13" s="6" t="s">
        <v>25</v>
      </c>
      <c r="G13" s="14">
        <v>15</v>
      </c>
      <c r="H13" s="14">
        <v>6</v>
      </c>
      <c r="I13" s="3">
        <f>VLOOKUP(G13,隐藏数据!$C$27:$D$40,2)+统计!H13</f>
        <v>70</v>
      </c>
      <c r="J13" s="4" t="s">
        <v>57</v>
      </c>
      <c r="K13" s="14">
        <v>16</v>
      </c>
      <c r="L13" s="14">
        <v>96</v>
      </c>
      <c r="M13" s="3">
        <f>VLOOKUP(K13,隐藏数据!$E$27:$F$43,2)+统计!L13</f>
        <v>431</v>
      </c>
      <c r="N13" s="9" t="s">
        <v>87</v>
      </c>
      <c r="O13" s="14">
        <v>15</v>
      </c>
      <c r="P13" s="14">
        <v>405</v>
      </c>
      <c r="Q13" s="3">
        <f>VLOOKUP(O13,隐藏数据!$G$27:$H$45,2)+P13</f>
        <v>1282</v>
      </c>
      <c r="R13" s="236"/>
      <c r="S13" s="282"/>
      <c r="T13" s="281"/>
      <c r="U13" s="237"/>
      <c r="V13" s="237"/>
      <c r="W13" s="237"/>
    </row>
    <row r="14" spans="1:24" ht="13.5" customHeight="1" x14ac:dyDescent="0.2">
      <c r="A14" s="51">
        <v>12</v>
      </c>
      <c r="B14" s="19" t="s">
        <v>6</v>
      </c>
      <c r="C14" s="14">
        <v>14</v>
      </c>
      <c r="D14" s="14">
        <v>2</v>
      </c>
      <c r="E14" s="3">
        <f>VLOOKUP(统计!C14,隐藏数据!$A$27:$B$37,2)+D14</f>
        <v>18</v>
      </c>
      <c r="F14" s="6" t="s">
        <v>28</v>
      </c>
      <c r="G14" s="14">
        <v>14</v>
      </c>
      <c r="H14" s="14">
        <v>31</v>
      </c>
      <c r="I14" s="3">
        <f>VLOOKUP(G14,隐藏数据!$C$27:$D$40,2)+统计!H14</f>
        <v>79</v>
      </c>
      <c r="J14" s="4" t="s">
        <v>61</v>
      </c>
      <c r="K14" s="14">
        <v>16</v>
      </c>
      <c r="L14" s="14">
        <v>95</v>
      </c>
      <c r="M14" s="3">
        <f>VLOOKUP(K14,隐藏数据!$E$27:$F$43,2)+统计!L14</f>
        <v>430</v>
      </c>
      <c r="N14" s="9" t="s">
        <v>88</v>
      </c>
      <c r="O14" s="14">
        <v>15</v>
      </c>
      <c r="P14" s="14">
        <v>412</v>
      </c>
      <c r="Q14" s="3">
        <f>VLOOKUP(O14,隐藏数据!$G$27:$H$45,2)+P14</f>
        <v>1289</v>
      </c>
      <c r="R14" s="236"/>
      <c r="S14" s="282" t="s">
        <v>226</v>
      </c>
      <c r="T14" s="281">
        <v>114</v>
      </c>
      <c r="U14" s="237"/>
      <c r="V14" s="237"/>
      <c r="W14" s="236"/>
    </row>
    <row r="15" spans="1:24" ht="13.5" customHeight="1" x14ac:dyDescent="0.2">
      <c r="A15" s="51">
        <v>13</v>
      </c>
      <c r="B15" s="19" t="s">
        <v>9</v>
      </c>
      <c r="C15" s="14">
        <v>14</v>
      </c>
      <c r="D15" s="14">
        <v>5</v>
      </c>
      <c r="E15" s="3">
        <f>VLOOKUP(统计!C15,隐藏数据!$A$27:$B$37,2)+D15</f>
        <v>21</v>
      </c>
      <c r="F15" s="6" t="s">
        <v>417</v>
      </c>
      <c r="G15" s="14">
        <v>16</v>
      </c>
      <c r="H15" s="14">
        <v>16</v>
      </c>
      <c r="I15" s="3">
        <f>VLOOKUP(G15,隐藏数据!$C$27:$D$40,2)+统计!H15</f>
        <v>100</v>
      </c>
      <c r="J15" s="4" t="s">
        <v>58</v>
      </c>
      <c r="K15" s="14">
        <v>15</v>
      </c>
      <c r="L15" s="14">
        <v>206</v>
      </c>
      <c r="M15" s="3">
        <f>VLOOKUP(K15,隐藏数据!$E$27:$F$43,2)+统计!L15</f>
        <v>446</v>
      </c>
      <c r="N15" s="9" t="s">
        <v>138</v>
      </c>
      <c r="O15" s="14">
        <v>15</v>
      </c>
      <c r="P15" s="14">
        <v>423</v>
      </c>
      <c r="Q15" s="3">
        <f>VLOOKUP(O15,隐藏数据!$G$27:$H$45,2)+P15</f>
        <v>1300</v>
      </c>
      <c r="R15" s="236"/>
      <c r="S15" s="282"/>
      <c r="T15" s="281"/>
      <c r="U15" s="237"/>
      <c r="V15" s="237"/>
      <c r="W15" s="237"/>
    </row>
    <row r="16" spans="1:24" ht="13.5" customHeight="1" x14ac:dyDescent="0.2">
      <c r="A16" s="51">
        <v>14</v>
      </c>
      <c r="B16" s="19" t="s">
        <v>12</v>
      </c>
      <c r="C16" s="14">
        <v>12</v>
      </c>
      <c r="D16" s="14">
        <v>4</v>
      </c>
      <c r="E16" s="3">
        <f>VLOOKUP(统计!C16,隐藏数据!$A$27:$B$37,2)+D16</f>
        <v>11</v>
      </c>
      <c r="F16" s="6" t="s">
        <v>108</v>
      </c>
      <c r="G16" s="14">
        <v>13</v>
      </c>
      <c r="H16" s="14">
        <v>27</v>
      </c>
      <c r="I16" s="3">
        <f>VLOOKUP(G16,隐藏数据!$C$27:$D$40,2)+统计!H16</f>
        <v>62</v>
      </c>
      <c r="J16" s="4" t="s">
        <v>62</v>
      </c>
      <c r="K16" s="14">
        <v>15</v>
      </c>
      <c r="L16" s="14">
        <v>185</v>
      </c>
      <c r="M16" s="3">
        <f>VLOOKUP(K16,隐藏数据!$E$27:$F$43,2)+统计!L16</f>
        <v>425</v>
      </c>
      <c r="N16" s="236"/>
      <c r="O16" s="237"/>
      <c r="P16" s="237"/>
      <c r="Q16" s="256"/>
      <c r="R16" s="236"/>
      <c r="S16" s="237"/>
      <c r="T16" s="237"/>
      <c r="U16" s="237"/>
      <c r="V16" s="237"/>
      <c r="W16" s="237"/>
    </row>
    <row r="17" spans="1:23" ht="13.5" customHeight="1" x14ac:dyDescent="0.2">
      <c r="A17" s="51">
        <v>15</v>
      </c>
      <c r="B17" s="19" t="s">
        <v>600</v>
      </c>
      <c r="C17" s="14">
        <v>11</v>
      </c>
      <c r="D17" s="14">
        <v>3</v>
      </c>
      <c r="E17" s="3">
        <f>VLOOKUP(统计!C17,隐藏数据!$A$27:$B$37,2)+D17</f>
        <v>7</v>
      </c>
      <c r="F17" s="6" t="s">
        <v>32</v>
      </c>
      <c r="G17" s="14">
        <v>13</v>
      </c>
      <c r="H17" s="14">
        <v>38</v>
      </c>
      <c r="I17" s="3">
        <f>VLOOKUP(G17,隐藏数据!$C$27:$D$40,2)+统计!H17</f>
        <v>73</v>
      </c>
      <c r="J17" s="4" t="s">
        <v>59</v>
      </c>
      <c r="K17" s="14">
        <v>15</v>
      </c>
      <c r="L17" s="14">
        <v>197</v>
      </c>
      <c r="M17" s="3">
        <f>VLOOKUP(K17,隐藏数据!$E$27:$F$43,2)+统计!L17</f>
        <v>437</v>
      </c>
      <c r="N17" s="236"/>
      <c r="O17" s="237"/>
      <c r="P17" s="237"/>
      <c r="Q17" s="257"/>
      <c r="R17" s="237"/>
      <c r="S17" s="237"/>
      <c r="T17" s="237"/>
      <c r="U17" s="237"/>
      <c r="V17" s="237"/>
      <c r="W17" s="237"/>
    </row>
    <row r="18" spans="1:23" ht="13.5" customHeight="1" x14ac:dyDescent="0.2">
      <c r="A18" s="51">
        <v>16</v>
      </c>
      <c r="B18" s="19" t="s">
        <v>11</v>
      </c>
      <c r="C18" s="14">
        <v>13</v>
      </c>
      <c r="D18" s="14">
        <v>9</v>
      </c>
      <c r="E18" s="3">
        <f>VLOOKUP(统计!C18,隐藏数据!$A$27:$B$37,2)+D18</f>
        <v>20</v>
      </c>
      <c r="F18" s="6" t="s">
        <v>27</v>
      </c>
      <c r="G18" s="14">
        <v>14</v>
      </c>
      <c r="H18" s="14">
        <v>36</v>
      </c>
      <c r="I18" s="3">
        <f>VLOOKUP(G18,隐藏数据!$C$27:$D$40,2)+统计!H18</f>
        <v>84</v>
      </c>
      <c r="J18" s="4" t="s">
        <v>60</v>
      </c>
      <c r="K18" s="14">
        <v>16</v>
      </c>
      <c r="L18" s="14">
        <v>98</v>
      </c>
      <c r="M18" s="3">
        <f>VLOOKUP(K18,隐藏数据!$E$27:$F$43,2)+统计!L18</f>
        <v>433</v>
      </c>
      <c r="N18" s="236"/>
      <c r="O18" s="237"/>
      <c r="P18" s="237"/>
      <c r="Q18" s="257"/>
      <c r="R18" s="237"/>
      <c r="S18" s="237"/>
      <c r="T18" s="237"/>
      <c r="U18" s="237"/>
      <c r="V18" s="237"/>
      <c r="W18" s="237"/>
    </row>
    <row r="19" spans="1:23" ht="13.5" customHeight="1" x14ac:dyDescent="0.2">
      <c r="A19" s="51">
        <v>17</v>
      </c>
      <c r="B19" s="19" t="s">
        <v>8</v>
      </c>
      <c r="C19" s="14">
        <v>16</v>
      </c>
      <c r="D19" s="14">
        <v>2</v>
      </c>
      <c r="E19" s="3">
        <f>VLOOKUP(统计!C19,隐藏数据!$A$27:$B$37,2)+D19</f>
        <v>32</v>
      </c>
      <c r="F19" s="6" t="s">
        <v>33</v>
      </c>
      <c r="G19" s="14">
        <v>13</v>
      </c>
      <c r="H19" s="14">
        <v>39</v>
      </c>
      <c r="I19" s="3">
        <f>VLOOKUP(G19,隐藏数据!$C$27:$D$40,2)+统计!H19</f>
        <v>74</v>
      </c>
      <c r="J19" s="4" t="s">
        <v>63</v>
      </c>
      <c r="K19" s="14">
        <v>16</v>
      </c>
      <c r="L19" s="14">
        <v>87</v>
      </c>
      <c r="M19" s="3">
        <f>VLOOKUP(K19,隐藏数据!$E$27:$F$43,2)+统计!L19</f>
        <v>422</v>
      </c>
      <c r="N19" s="236"/>
      <c r="O19" s="237"/>
      <c r="P19" s="237"/>
      <c r="Q19" s="257"/>
      <c r="S19" s="237"/>
      <c r="T19" s="237"/>
      <c r="U19" s="237"/>
      <c r="V19" s="237"/>
      <c r="W19" s="237"/>
    </row>
    <row r="20" spans="1:23" ht="13.5" customHeight="1" x14ac:dyDescent="0.2">
      <c r="A20" s="51">
        <v>18</v>
      </c>
      <c r="B20" s="19" t="s">
        <v>10</v>
      </c>
      <c r="C20" s="14">
        <v>12</v>
      </c>
      <c r="D20" s="14">
        <v>5</v>
      </c>
      <c r="E20" s="3">
        <f>VLOOKUP(统计!C20,隐藏数据!$A$27:$B$37,2)+D20</f>
        <v>12</v>
      </c>
      <c r="F20" s="6" t="s">
        <v>30</v>
      </c>
      <c r="G20" s="14">
        <v>13</v>
      </c>
      <c r="H20" s="14">
        <v>31</v>
      </c>
      <c r="I20" s="3">
        <f>VLOOKUP(G20,隐藏数据!$C$27:$D$40,2)+统计!H20</f>
        <v>66</v>
      </c>
      <c r="J20" s="4" t="s">
        <v>64</v>
      </c>
      <c r="K20" s="14">
        <v>16</v>
      </c>
      <c r="L20" s="14">
        <v>97</v>
      </c>
      <c r="M20" s="3">
        <f>VLOOKUP(K20,隐藏数据!$E$27:$F$43,2)+统计!L20</f>
        <v>432</v>
      </c>
      <c r="N20" s="236"/>
      <c r="O20" s="237"/>
      <c r="P20" s="237"/>
      <c r="Q20" s="257"/>
      <c r="R20" s="237"/>
      <c r="S20" s="237"/>
      <c r="T20" s="237"/>
      <c r="U20" s="237"/>
      <c r="V20" s="237"/>
      <c r="W20" s="237"/>
    </row>
    <row r="21" spans="1:23" ht="13.5" customHeight="1" x14ac:dyDescent="0.2">
      <c r="A21" s="51">
        <v>19</v>
      </c>
      <c r="B21" s="19" t="s">
        <v>807</v>
      </c>
      <c r="C21" s="14">
        <v>11</v>
      </c>
      <c r="D21" s="14">
        <v>3</v>
      </c>
      <c r="E21" s="3">
        <f>VLOOKUP(统计!C21,隐藏数据!$A$27:$B$37,2)+D21</f>
        <v>7</v>
      </c>
      <c r="F21" s="6" t="s">
        <v>31</v>
      </c>
      <c r="G21" s="14">
        <v>14</v>
      </c>
      <c r="H21" s="14">
        <v>24</v>
      </c>
      <c r="I21" s="3">
        <f>VLOOKUP(G21,隐藏数据!$C$27:$D$40,2)+统计!H21</f>
        <v>72</v>
      </c>
      <c r="J21" s="4" t="s">
        <v>55</v>
      </c>
      <c r="K21" s="14">
        <v>16</v>
      </c>
      <c r="L21" s="14">
        <v>99</v>
      </c>
      <c r="M21" s="3">
        <f>VLOOKUP(K21,隐藏数据!$E$27:$F$43,2)+统计!L21</f>
        <v>434</v>
      </c>
      <c r="N21" s="237"/>
      <c r="O21" s="237"/>
      <c r="P21" s="237"/>
      <c r="Q21" s="257"/>
      <c r="R21" s="237"/>
      <c r="S21" s="237"/>
      <c r="T21" s="237"/>
      <c r="U21" s="237"/>
      <c r="V21" s="237"/>
      <c r="W21" s="237"/>
    </row>
    <row r="22" spans="1:23" ht="13.5" customHeight="1" x14ac:dyDescent="0.2">
      <c r="A22" s="51">
        <v>20</v>
      </c>
      <c r="B22" s="19" t="s">
        <v>15</v>
      </c>
      <c r="C22" s="14">
        <v>12</v>
      </c>
      <c r="D22" s="14">
        <v>2</v>
      </c>
      <c r="E22" s="3">
        <f>VLOOKUP(统计!C22,隐藏数据!$A$27:$B$37,2)+D22</f>
        <v>9</v>
      </c>
      <c r="F22" s="6" t="s">
        <v>35</v>
      </c>
      <c r="G22" s="14">
        <v>14</v>
      </c>
      <c r="H22" s="14">
        <v>7</v>
      </c>
      <c r="I22" s="3">
        <f>VLOOKUP(G22,隐藏数据!$C$27:$D$40,2)+统计!H22</f>
        <v>55</v>
      </c>
      <c r="J22" s="130" t="s">
        <v>66</v>
      </c>
      <c r="K22" s="14">
        <v>16</v>
      </c>
      <c r="L22" s="14">
        <v>93</v>
      </c>
      <c r="M22" s="3">
        <f>VLOOKUP(K22,隐藏数据!$E$27:$F$43,2)+统计!L22</f>
        <v>428</v>
      </c>
      <c r="N22" s="237"/>
      <c r="O22" s="237"/>
      <c r="P22" s="237"/>
      <c r="Q22" s="257"/>
      <c r="R22" s="237"/>
      <c r="S22" s="237"/>
      <c r="T22" s="237"/>
      <c r="U22" s="237"/>
      <c r="V22" s="237"/>
      <c r="W22" s="237"/>
    </row>
    <row r="23" spans="1:23" ht="13.5" customHeight="1" thickBot="1" x14ac:dyDescent="0.25">
      <c r="A23" s="51">
        <v>21</v>
      </c>
      <c r="B23" s="19" t="s">
        <v>14</v>
      </c>
      <c r="C23" s="14">
        <v>12</v>
      </c>
      <c r="D23" s="14">
        <v>2</v>
      </c>
      <c r="E23" s="3">
        <f>VLOOKUP(统计!C23,隐藏数据!$A$27:$B$37,2)+D23</f>
        <v>9</v>
      </c>
      <c r="F23" s="6" t="s">
        <v>34</v>
      </c>
      <c r="G23" s="14">
        <v>15</v>
      </c>
      <c r="H23" s="14">
        <v>13</v>
      </c>
      <c r="I23" s="3">
        <f>VLOOKUP(G23,隐藏数据!$C$27:$D$40,2)+统计!H23</f>
        <v>77</v>
      </c>
      <c r="J23" s="4" t="s">
        <v>65</v>
      </c>
      <c r="K23" s="14">
        <v>16</v>
      </c>
      <c r="L23" s="14">
        <v>91</v>
      </c>
      <c r="M23" s="3">
        <f>VLOOKUP(K23,隐藏数据!$E$27:$F$43,2)+统计!L23</f>
        <v>426</v>
      </c>
      <c r="N23" s="237"/>
      <c r="O23" s="237"/>
      <c r="P23" s="237"/>
      <c r="Q23" s="257"/>
      <c r="R23" s="237"/>
      <c r="S23" s="237"/>
      <c r="T23" s="237"/>
      <c r="U23" s="237"/>
      <c r="V23" s="237"/>
      <c r="W23" s="237"/>
    </row>
    <row r="24" spans="1:23" ht="13.5" customHeight="1" thickTop="1" x14ac:dyDescent="0.2">
      <c r="A24" s="51">
        <v>22</v>
      </c>
      <c r="B24" s="126" t="s">
        <v>685</v>
      </c>
      <c r="C24" s="14">
        <v>12</v>
      </c>
      <c r="D24" s="14">
        <v>2</v>
      </c>
      <c r="E24" s="3">
        <f>VLOOKUP(统计!C24,隐藏数据!$A$27:$B$37,2)+D24</f>
        <v>9</v>
      </c>
      <c r="F24" s="6" t="s">
        <v>36</v>
      </c>
      <c r="G24" s="14">
        <v>13</v>
      </c>
      <c r="H24" s="14">
        <v>38</v>
      </c>
      <c r="I24" s="3">
        <f>VLOOKUP(G24,隐藏数据!$C$27:$D$40,2)+统计!H24</f>
        <v>73</v>
      </c>
      <c r="J24" s="131" t="s">
        <v>68</v>
      </c>
      <c r="K24" s="14">
        <v>16</v>
      </c>
      <c r="L24" s="14">
        <v>90</v>
      </c>
      <c r="M24" s="3">
        <f>VLOOKUP(K24,隐藏数据!$E$27:$F$43,2)+统计!L24</f>
        <v>425</v>
      </c>
      <c r="N24" s="237"/>
      <c r="O24" s="237"/>
      <c r="P24" s="237"/>
      <c r="Q24" s="257"/>
      <c r="R24" s="237"/>
      <c r="S24" s="237"/>
      <c r="T24" s="237"/>
      <c r="U24" s="237"/>
      <c r="V24" s="237"/>
      <c r="W24" s="237"/>
    </row>
    <row r="25" spans="1:23" ht="13.5" customHeight="1" x14ac:dyDescent="0.2">
      <c r="A25" s="51">
        <v>23</v>
      </c>
      <c r="B25" s="21" t="s">
        <v>105</v>
      </c>
      <c r="C25" s="14">
        <v>14</v>
      </c>
      <c r="D25" s="14"/>
      <c r="E25" s="3">
        <f>VLOOKUP(统计!C25,隐藏数据!$A$27:$B$37,2)+D25</f>
        <v>16</v>
      </c>
      <c r="F25" s="6" t="s">
        <v>37</v>
      </c>
      <c r="G25" s="14">
        <v>15</v>
      </c>
      <c r="H25" s="14">
        <v>7</v>
      </c>
      <c r="I25" s="3">
        <f>VLOOKUP(G25,隐藏数据!$C$27:$D$40,2)+统计!H25</f>
        <v>71</v>
      </c>
      <c r="J25" s="4" t="s">
        <v>69</v>
      </c>
      <c r="K25" s="14">
        <v>16</v>
      </c>
      <c r="L25" s="14">
        <v>87</v>
      </c>
      <c r="M25" s="3">
        <f>VLOOKUP(K25,隐藏数据!$E$27:$F$43,2)+统计!L25</f>
        <v>422</v>
      </c>
      <c r="N25" s="237"/>
      <c r="O25" s="237"/>
      <c r="P25" s="237"/>
      <c r="Q25" s="257"/>
      <c r="R25" s="237"/>
      <c r="S25" s="237"/>
      <c r="T25" s="237"/>
      <c r="U25" s="237"/>
      <c r="V25" s="237"/>
      <c r="W25" s="237"/>
    </row>
    <row r="26" spans="1:23" ht="13.5" customHeight="1" x14ac:dyDescent="0.2">
      <c r="A26" s="51">
        <v>24</v>
      </c>
      <c r="B26" s="19" t="s">
        <v>104</v>
      </c>
      <c r="C26" s="14">
        <v>14</v>
      </c>
      <c r="D26" s="14">
        <v>9</v>
      </c>
      <c r="E26" s="3">
        <f>VLOOKUP(统计!C26,隐藏数据!$A$27:$B$37,2)+D26</f>
        <v>25</v>
      </c>
      <c r="F26" s="6" t="s">
        <v>40</v>
      </c>
      <c r="G26" s="14">
        <v>14</v>
      </c>
      <c r="H26" s="14">
        <v>26</v>
      </c>
      <c r="I26" s="3">
        <f>VLOOKUP(G26,隐藏数据!$C$27:$D$40,2)+统计!H26</f>
        <v>74</v>
      </c>
      <c r="J26" s="4" t="s">
        <v>67</v>
      </c>
      <c r="K26" s="14">
        <v>15</v>
      </c>
      <c r="L26" s="14">
        <v>188</v>
      </c>
      <c r="M26" s="3">
        <f>VLOOKUP(K26,隐藏数据!$E$27:$F$43,2)+统计!L26</f>
        <v>428</v>
      </c>
      <c r="N26" s="237"/>
      <c r="O26" s="237"/>
      <c r="P26" s="237"/>
      <c r="Q26" s="257"/>
      <c r="R26" s="236"/>
      <c r="S26" s="279" t="s">
        <v>215</v>
      </c>
      <c r="T26" s="279"/>
      <c r="U26" s="279"/>
      <c r="V26" s="237"/>
      <c r="W26" s="237"/>
    </row>
    <row r="27" spans="1:23" ht="13.5" customHeight="1" x14ac:dyDescent="0.2">
      <c r="A27" s="51">
        <v>25</v>
      </c>
      <c r="B27" s="19" t="s">
        <v>75</v>
      </c>
      <c r="C27" s="14">
        <v>12</v>
      </c>
      <c r="D27" s="14">
        <v>3</v>
      </c>
      <c r="E27" s="3">
        <f>VLOOKUP(统计!C27,隐藏数据!$A$27:$B$37,2)+D27</f>
        <v>10</v>
      </c>
      <c r="F27" s="128" t="s">
        <v>651</v>
      </c>
      <c r="G27" s="14">
        <v>10</v>
      </c>
      <c r="H27" s="14">
        <v>2</v>
      </c>
      <c r="I27" s="3">
        <f>VLOOKUP(G27,隐藏数据!$C$27:$D$40,2)+统计!H27</f>
        <v>13</v>
      </c>
      <c r="J27" s="237"/>
      <c r="K27" s="237"/>
      <c r="L27" s="237"/>
      <c r="M27" s="237"/>
      <c r="N27" s="237"/>
      <c r="O27" s="237"/>
      <c r="P27" s="237"/>
      <c r="Q27" s="257"/>
      <c r="R27" s="236"/>
      <c r="S27" s="279"/>
      <c r="T27" s="279"/>
      <c r="U27" s="279"/>
      <c r="V27" s="237"/>
      <c r="W27" s="237"/>
    </row>
    <row r="28" spans="1:23" ht="13.5" customHeight="1" x14ac:dyDescent="0.2">
      <c r="A28" s="51">
        <v>26</v>
      </c>
      <c r="B28" s="19" t="s">
        <v>77</v>
      </c>
      <c r="C28" s="14">
        <v>14</v>
      </c>
      <c r="D28" s="14"/>
      <c r="E28" s="3">
        <f>VLOOKUP(统计!C28,隐藏数据!$A$27:$B$37,2)+D28</f>
        <v>16</v>
      </c>
      <c r="F28" s="6" t="s">
        <v>41</v>
      </c>
      <c r="G28" s="14">
        <v>16</v>
      </c>
      <c r="H28" s="14">
        <v>7</v>
      </c>
      <c r="I28" s="3">
        <f>VLOOKUP(G28,隐藏数据!$C$27:$D$40,2)+统计!H28</f>
        <v>91</v>
      </c>
      <c r="J28" s="237"/>
      <c r="K28" s="237"/>
      <c r="L28" s="237"/>
      <c r="M28" s="237"/>
      <c r="N28" s="236"/>
      <c r="O28" s="237"/>
      <c r="P28" s="237"/>
      <c r="Q28" s="257"/>
      <c r="R28" s="236"/>
      <c r="S28" s="279"/>
      <c r="T28" s="279"/>
      <c r="U28" s="279"/>
      <c r="V28" s="237"/>
      <c r="W28" s="237"/>
    </row>
    <row r="29" spans="1:23" ht="13.5" customHeight="1" x14ac:dyDescent="0.2">
      <c r="A29" s="51">
        <v>27</v>
      </c>
      <c r="B29" s="19" t="s">
        <v>74</v>
      </c>
      <c r="C29" s="14">
        <v>13</v>
      </c>
      <c r="D29" s="14">
        <v>9</v>
      </c>
      <c r="E29" s="3">
        <f>VLOOKUP(统计!C29,隐藏数据!$A$27:$B$37,2)+D29</f>
        <v>20</v>
      </c>
      <c r="F29" s="6" t="s">
        <v>38</v>
      </c>
      <c r="G29" s="14">
        <v>15</v>
      </c>
      <c r="H29" s="14">
        <v>8</v>
      </c>
      <c r="I29" s="3">
        <f>VLOOKUP(G29,隐藏数据!$C$27:$D$40,2)+统计!H29</f>
        <v>72</v>
      </c>
      <c r="J29" s="237"/>
      <c r="K29" s="237"/>
      <c r="L29" s="237"/>
      <c r="M29" s="237"/>
      <c r="N29" s="236"/>
      <c r="O29" s="237"/>
      <c r="P29" s="237"/>
      <c r="Q29" s="257"/>
      <c r="R29" s="236"/>
      <c r="S29" s="279"/>
      <c r="T29" s="279"/>
      <c r="U29" s="279"/>
      <c r="V29" s="237"/>
      <c r="W29" s="237"/>
    </row>
    <row r="30" spans="1:23" ht="13.5" customHeight="1" x14ac:dyDescent="0.2">
      <c r="A30" s="51">
        <v>28</v>
      </c>
      <c r="B30" s="19" t="s">
        <v>76</v>
      </c>
      <c r="C30" s="14">
        <v>13</v>
      </c>
      <c r="D30" s="14">
        <v>4</v>
      </c>
      <c r="E30" s="3">
        <f>VLOOKUP(统计!C30,隐藏数据!$A$27:$B$37,2)+D30</f>
        <v>15</v>
      </c>
      <c r="F30" s="6" t="s">
        <v>39</v>
      </c>
      <c r="G30" s="14">
        <v>14</v>
      </c>
      <c r="H30" s="14">
        <v>30</v>
      </c>
      <c r="I30" s="3">
        <f>VLOOKUP(G30,隐藏数据!$C$27:$D$40,2)+统计!H30</f>
        <v>78</v>
      </c>
      <c r="J30" s="237"/>
      <c r="K30" s="237"/>
      <c r="L30" s="237"/>
      <c r="M30" s="237"/>
      <c r="N30" s="236"/>
      <c r="O30" s="237"/>
      <c r="P30" s="237"/>
      <c r="Q30" s="257"/>
      <c r="R30" s="236"/>
      <c r="S30" s="279"/>
      <c r="T30" s="279"/>
      <c r="U30" s="279"/>
      <c r="V30" s="237"/>
      <c r="W30" s="237"/>
    </row>
    <row r="31" spans="1:23" ht="13.5" customHeight="1" x14ac:dyDescent="0.2">
      <c r="A31" s="51">
        <v>29</v>
      </c>
      <c r="F31" s="128" t="s">
        <v>42</v>
      </c>
      <c r="G31" s="14">
        <v>14</v>
      </c>
      <c r="H31" s="14">
        <v>33</v>
      </c>
      <c r="I31" s="3">
        <f>VLOOKUP(G31,隐藏数据!$C$27:$D$40,2)+统计!H31</f>
        <v>81</v>
      </c>
      <c r="J31" s="237"/>
      <c r="K31" s="237"/>
      <c r="L31" s="237"/>
      <c r="M31" s="237"/>
      <c r="N31" s="236"/>
      <c r="O31" s="237"/>
      <c r="P31" s="237"/>
      <c r="Q31" s="257"/>
      <c r="R31" s="236"/>
      <c r="S31" s="279"/>
      <c r="T31" s="279"/>
      <c r="U31" s="279"/>
      <c r="V31" s="237"/>
      <c r="W31" s="237"/>
    </row>
    <row r="32" spans="1:23" ht="13.5" customHeight="1" thickBot="1" x14ac:dyDescent="0.25">
      <c r="A32" s="51">
        <v>30</v>
      </c>
      <c r="B32" s="237"/>
      <c r="C32" s="237"/>
      <c r="D32" s="237"/>
      <c r="E32" s="237"/>
      <c r="F32" s="128" t="s">
        <v>256</v>
      </c>
      <c r="G32" s="14">
        <v>13</v>
      </c>
      <c r="H32" s="14">
        <v>10</v>
      </c>
      <c r="I32" s="3">
        <f>VLOOKUP(G32,隐藏数据!$C$27:$D$40,2)+统计!H32</f>
        <v>45</v>
      </c>
      <c r="J32" s="237"/>
      <c r="K32" s="263"/>
      <c r="L32" s="263"/>
      <c r="M32" s="264"/>
      <c r="N32" s="117"/>
      <c r="O32" s="263"/>
      <c r="P32" s="263"/>
      <c r="Q32" s="265"/>
      <c r="R32" s="236"/>
      <c r="S32" s="279"/>
      <c r="T32" s="279"/>
      <c r="U32" s="279"/>
      <c r="V32" s="237"/>
      <c r="W32" s="237"/>
    </row>
    <row r="33" spans="1:23" ht="13.5" customHeight="1" thickTop="1" x14ac:dyDescent="0.2">
      <c r="A33" s="51">
        <v>31</v>
      </c>
      <c r="B33" s="237"/>
      <c r="C33" s="237"/>
      <c r="D33" s="237"/>
      <c r="E33" s="237"/>
      <c r="F33" s="129" t="s">
        <v>71</v>
      </c>
      <c r="G33" s="14">
        <v>15</v>
      </c>
      <c r="H33" s="14">
        <v>17</v>
      </c>
      <c r="I33" s="3">
        <f>VLOOKUP(G33,隐藏数据!$C$27:$D$40,2)+统计!H33</f>
        <v>81</v>
      </c>
      <c r="J33" s="237"/>
      <c r="K33" s="237"/>
      <c r="L33" s="237"/>
      <c r="M33" s="237"/>
      <c r="N33" s="236"/>
      <c r="O33" s="237"/>
      <c r="P33" s="237"/>
      <c r="Q33" s="257"/>
      <c r="R33" s="236"/>
      <c r="S33" s="279"/>
      <c r="T33" s="279"/>
      <c r="U33" s="279"/>
      <c r="V33" s="237"/>
      <c r="W33" s="237"/>
    </row>
    <row r="34" spans="1:23" s="1" customFormat="1" ht="13.5" customHeight="1" x14ac:dyDescent="0.2">
      <c r="A34" s="51">
        <v>32</v>
      </c>
      <c r="B34" s="237"/>
      <c r="C34" s="237"/>
      <c r="D34" s="237"/>
      <c r="E34" s="237"/>
      <c r="F34" s="6" t="s">
        <v>73</v>
      </c>
      <c r="G34" s="14">
        <v>14</v>
      </c>
      <c r="H34" s="14">
        <v>41</v>
      </c>
      <c r="I34" s="3">
        <f>VLOOKUP(G34,隐藏数据!$C$27:$D$40,2)+统计!H34</f>
        <v>89</v>
      </c>
      <c r="J34" s="237"/>
      <c r="K34" s="237"/>
      <c r="L34" s="238"/>
      <c r="M34" s="237"/>
      <c r="N34" s="238"/>
      <c r="O34" s="237"/>
      <c r="P34" s="237"/>
      <c r="Q34" s="257"/>
      <c r="R34" s="238"/>
      <c r="S34" s="279"/>
      <c r="T34" s="279"/>
      <c r="U34" s="279"/>
      <c r="V34" s="237"/>
      <c r="W34" s="237"/>
    </row>
    <row r="35" spans="1:23" s="1" customFormat="1" ht="13.5" customHeight="1" x14ac:dyDescent="0.2">
      <c r="A35" s="51">
        <v>33</v>
      </c>
      <c r="B35" s="237"/>
      <c r="C35" s="237"/>
      <c r="D35" s="237"/>
      <c r="E35" s="237"/>
      <c r="F35" s="6" t="s">
        <v>72</v>
      </c>
      <c r="G35" s="14">
        <v>14</v>
      </c>
      <c r="H35" s="14">
        <v>41</v>
      </c>
      <c r="I35" s="3">
        <f>VLOOKUP(G35,隐藏数据!$C$27:$D$40,2)+统计!H35</f>
        <v>89</v>
      </c>
      <c r="J35" s="237"/>
      <c r="K35" s="237"/>
      <c r="L35" s="237"/>
      <c r="M35" s="237"/>
      <c r="N35" s="238"/>
      <c r="O35" s="237"/>
      <c r="P35" s="237"/>
      <c r="Q35" s="257"/>
      <c r="R35" s="238"/>
      <c r="S35" s="279"/>
      <c r="T35" s="279"/>
      <c r="U35" s="279"/>
      <c r="V35" s="237"/>
      <c r="W35" s="237"/>
    </row>
    <row r="36" spans="1:23" s="1" customFormat="1" ht="13.5" customHeight="1" x14ac:dyDescent="0.2">
      <c r="A36" s="51">
        <v>34</v>
      </c>
      <c r="B36" s="237"/>
      <c r="C36" s="237"/>
      <c r="D36" s="237"/>
      <c r="E36" s="237"/>
      <c r="F36" s="6" t="s">
        <v>70</v>
      </c>
      <c r="G36" s="14">
        <v>15</v>
      </c>
      <c r="H36" s="14">
        <v>13</v>
      </c>
      <c r="I36" s="3">
        <f>VLOOKUP(G36,隐藏数据!$C$27:$D$40,2)+统计!H36</f>
        <v>77</v>
      </c>
      <c r="J36" s="237"/>
      <c r="K36" s="237"/>
      <c r="L36" s="237"/>
      <c r="M36" s="237"/>
      <c r="N36" s="238"/>
      <c r="O36" s="237"/>
      <c r="P36" s="237"/>
      <c r="Q36" s="258"/>
      <c r="R36" s="238"/>
      <c r="S36" s="279"/>
      <c r="T36" s="279"/>
      <c r="U36" s="279"/>
      <c r="V36" s="237"/>
      <c r="W36" s="237"/>
    </row>
    <row r="37" spans="1:23" ht="13.5" customHeight="1" x14ac:dyDescent="0.2">
      <c r="A37" s="51">
        <v>35</v>
      </c>
      <c r="B37" s="237"/>
      <c r="C37" s="237"/>
      <c r="D37" s="237"/>
      <c r="F37" s="6" t="s">
        <v>43</v>
      </c>
      <c r="G37" s="14">
        <v>16</v>
      </c>
      <c r="H37" s="14">
        <v>2</v>
      </c>
      <c r="I37" s="3">
        <f>VLOOKUP(G37,隐藏数据!$C$27:$D$40,2)+统计!H37</f>
        <v>86</v>
      </c>
      <c r="J37" s="237"/>
      <c r="K37" s="237"/>
      <c r="L37" s="237"/>
      <c r="M37" s="237"/>
      <c r="N37" s="237"/>
      <c r="O37" s="237"/>
      <c r="P37" s="237"/>
      <c r="Q37" s="237"/>
      <c r="R37" s="237"/>
      <c r="S37" s="279"/>
      <c r="T37" s="279"/>
      <c r="U37" s="279"/>
      <c r="V37" s="237"/>
      <c r="W37" s="237"/>
    </row>
    <row r="38" spans="1:23" ht="13.5" customHeight="1" x14ac:dyDescent="0.2">
      <c r="A38" s="51">
        <v>36</v>
      </c>
      <c r="B38" s="240"/>
      <c r="C38" s="241"/>
      <c r="D38" s="241"/>
      <c r="E38" s="242"/>
      <c r="F38" s="6" t="s">
        <v>44</v>
      </c>
      <c r="G38" s="14">
        <v>16</v>
      </c>
      <c r="H38" s="14">
        <v>14</v>
      </c>
      <c r="I38" s="3">
        <f>VLOOKUP(G38,隐藏数据!$C$27:$D$40,2)+统计!H38</f>
        <v>98</v>
      </c>
      <c r="J38" s="240"/>
      <c r="K38" s="241"/>
      <c r="L38" s="241"/>
      <c r="M38" s="241"/>
      <c r="N38" s="241"/>
      <c r="O38" s="241"/>
      <c r="P38" s="241"/>
      <c r="Q38" s="259"/>
      <c r="R38" s="237"/>
      <c r="S38" s="237"/>
      <c r="T38" s="237"/>
      <c r="U38" s="237"/>
      <c r="V38" s="237"/>
      <c r="W38" s="237"/>
    </row>
    <row r="39" spans="1:23" ht="13.5" customHeight="1" x14ac:dyDescent="0.2">
      <c r="A39" s="51">
        <v>37</v>
      </c>
      <c r="B39" s="237"/>
      <c r="C39" s="237"/>
      <c r="D39" s="237"/>
      <c r="E39" s="237"/>
      <c r="F39" s="237"/>
      <c r="G39" s="237"/>
      <c r="H39" s="237"/>
      <c r="I39" s="237"/>
      <c r="J39" s="237"/>
      <c r="K39" s="237"/>
      <c r="L39" s="237"/>
      <c r="M39" s="237"/>
      <c r="N39" s="237"/>
      <c r="O39" s="237"/>
      <c r="P39" s="237"/>
      <c r="Q39" s="237"/>
      <c r="R39" s="237"/>
      <c r="S39" s="237"/>
      <c r="T39" s="237"/>
      <c r="U39" s="237"/>
      <c r="V39" s="237"/>
      <c r="W39" s="237"/>
    </row>
    <row r="40" spans="1:23" x14ac:dyDescent="0.2">
      <c r="A40" s="51">
        <v>38</v>
      </c>
      <c r="B40" s="236"/>
      <c r="C40" s="236"/>
      <c r="D40" s="236"/>
      <c r="E40" s="236"/>
      <c r="F40" s="236"/>
      <c r="G40" s="236"/>
      <c r="H40" s="236"/>
      <c r="I40" s="236"/>
      <c r="J40" s="236"/>
      <c r="K40" s="236"/>
      <c r="L40" s="236"/>
      <c r="M40" s="236"/>
      <c r="N40" s="236"/>
      <c r="O40" s="236"/>
      <c r="P40" s="236"/>
      <c r="Q40" s="236"/>
      <c r="R40" s="237"/>
      <c r="S40" s="237"/>
      <c r="T40" s="237"/>
      <c r="U40" s="237"/>
      <c r="V40" s="237"/>
      <c r="W40" s="237"/>
    </row>
    <row r="41" spans="1:23" x14ac:dyDescent="0.2">
      <c r="A41" s="237"/>
      <c r="B41" s="237"/>
      <c r="C41" s="237"/>
      <c r="D41" s="237"/>
      <c r="E41" s="237"/>
      <c r="F41" s="237"/>
      <c r="G41" s="237"/>
      <c r="H41" s="237"/>
      <c r="I41" s="237"/>
      <c r="J41" s="237"/>
      <c r="K41" s="237"/>
      <c r="L41" s="237"/>
      <c r="M41" s="237"/>
      <c r="N41" s="237"/>
      <c r="O41" s="237"/>
      <c r="P41" s="237"/>
      <c r="Q41" s="237"/>
      <c r="R41" s="237"/>
      <c r="S41" s="237"/>
      <c r="T41" s="237"/>
      <c r="U41" s="237"/>
      <c r="V41" s="237"/>
      <c r="W41" s="237"/>
    </row>
    <row r="42" spans="1:23" x14ac:dyDescent="0.2">
      <c r="A42" s="237"/>
      <c r="B42" s="237"/>
      <c r="C42" s="237"/>
      <c r="D42" s="237"/>
      <c r="E42" s="237"/>
      <c r="F42" s="237"/>
      <c r="G42" s="237"/>
      <c r="H42" s="237"/>
      <c r="I42" s="237"/>
      <c r="J42" s="237"/>
      <c r="K42" s="237"/>
      <c r="L42" s="237"/>
      <c r="M42" s="237"/>
      <c r="N42" s="237"/>
      <c r="O42" s="237"/>
      <c r="P42" s="237"/>
      <c r="Q42" s="237"/>
      <c r="R42" s="237"/>
      <c r="S42" s="237"/>
      <c r="T42" s="237"/>
      <c r="U42" s="237"/>
      <c r="V42" s="237"/>
      <c r="W42" s="237"/>
    </row>
    <row r="43" spans="1:23" x14ac:dyDescent="0.2">
      <c r="A43" s="237"/>
      <c r="B43" s="237"/>
      <c r="C43" s="237"/>
      <c r="D43" s="237"/>
      <c r="E43" s="237"/>
      <c r="F43" s="237"/>
      <c r="G43" s="237"/>
      <c r="H43" s="237"/>
      <c r="I43" s="237"/>
      <c r="J43" s="237"/>
      <c r="K43" s="237"/>
      <c r="L43" s="237"/>
      <c r="M43" s="237"/>
      <c r="N43" s="237"/>
      <c r="O43" s="237"/>
      <c r="P43" s="237"/>
      <c r="Q43" s="237"/>
      <c r="R43" s="237"/>
      <c r="S43" s="237"/>
      <c r="T43" s="237"/>
      <c r="U43" s="237"/>
      <c r="V43" s="237"/>
      <c r="W43" s="237"/>
    </row>
    <row r="44" spans="1:23" x14ac:dyDescent="0.2">
      <c r="A44" s="237"/>
      <c r="B44" s="237"/>
      <c r="C44" s="237"/>
      <c r="D44" s="237"/>
      <c r="E44" s="237"/>
      <c r="F44" s="237"/>
      <c r="G44" s="237"/>
      <c r="H44" s="237"/>
      <c r="I44" s="237"/>
      <c r="J44" s="237"/>
      <c r="K44" s="237"/>
      <c r="L44" s="237"/>
      <c r="M44" s="237"/>
      <c r="N44" s="237"/>
      <c r="O44" s="237"/>
      <c r="P44" s="237"/>
      <c r="Q44" s="237"/>
      <c r="R44" s="237"/>
      <c r="S44" s="237"/>
      <c r="T44" s="237"/>
      <c r="U44" s="237"/>
      <c r="V44" s="237"/>
      <c r="W44" s="237"/>
    </row>
    <row r="45" spans="1:23" x14ac:dyDescent="0.2">
      <c r="A45" s="237"/>
      <c r="B45" s="237"/>
      <c r="C45" s="237"/>
      <c r="D45" s="237"/>
      <c r="E45" s="237"/>
      <c r="F45" s="237"/>
      <c r="G45" s="237"/>
      <c r="H45" s="237"/>
      <c r="I45" s="237"/>
      <c r="J45" s="237"/>
      <c r="K45" s="237"/>
      <c r="L45" s="237"/>
      <c r="M45" s="237"/>
      <c r="N45" s="237"/>
      <c r="O45" s="237"/>
      <c r="P45" s="237"/>
      <c r="Q45" s="237"/>
      <c r="R45" s="237"/>
      <c r="S45" s="237"/>
      <c r="T45" s="237"/>
      <c r="U45" s="237"/>
      <c r="V45" s="237"/>
      <c r="W45" s="237"/>
    </row>
    <row r="46" spans="1:23" x14ac:dyDescent="0.2">
      <c r="A46" s="237"/>
      <c r="B46" s="237"/>
      <c r="C46" s="237"/>
      <c r="D46" s="237"/>
      <c r="E46" s="237"/>
      <c r="F46" s="237"/>
      <c r="G46" s="237"/>
      <c r="H46" s="237"/>
      <c r="I46" s="237"/>
      <c r="J46" s="237"/>
      <c r="K46" s="237"/>
      <c r="L46" s="237"/>
      <c r="M46" s="237"/>
      <c r="N46" s="237"/>
      <c r="O46" s="237"/>
      <c r="P46" s="237"/>
      <c r="Q46" s="237"/>
      <c r="R46" s="237"/>
      <c r="S46" s="237"/>
      <c r="T46" s="237"/>
      <c r="U46" s="237"/>
      <c r="V46" s="237"/>
      <c r="W46" s="237"/>
    </row>
    <row r="47" spans="1:23" x14ac:dyDescent="0.2">
      <c r="A47" s="237"/>
      <c r="B47" s="243" t="s">
        <v>636</v>
      </c>
      <c r="C47" s="237"/>
      <c r="D47" s="237"/>
      <c r="E47" s="237"/>
      <c r="F47" s="237"/>
      <c r="G47" s="237"/>
      <c r="H47" s="237"/>
      <c r="I47" s="237"/>
      <c r="J47" s="237"/>
      <c r="K47" s="237"/>
      <c r="L47" s="237"/>
      <c r="M47" s="237"/>
      <c r="N47" s="237"/>
      <c r="O47" s="237"/>
      <c r="P47" s="237"/>
      <c r="Q47" s="237"/>
      <c r="R47" s="237"/>
      <c r="S47" s="237"/>
      <c r="T47" s="237"/>
      <c r="U47" s="237"/>
      <c r="V47" s="237"/>
      <c r="W47" s="237"/>
    </row>
    <row r="48" spans="1:23" x14ac:dyDescent="0.2">
      <c r="A48" s="237"/>
      <c r="B48" s="237"/>
      <c r="C48" s="237"/>
      <c r="D48" s="237"/>
      <c r="E48" s="237"/>
      <c r="F48" s="237"/>
      <c r="G48" s="237"/>
      <c r="H48" s="237"/>
      <c r="I48" s="237"/>
      <c r="J48" s="237"/>
      <c r="K48" s="237"/>
      <c r="L48" s="237"/>
      <c r="M48" s="237"/>
      <c r="N48" s="237"/>
      <c r="O48" s="237"/>
      <c r="P48" s="237"/>
      <c r="Q48" s="237"/>
      <c r="R48" s="237"/>
      <c r="S48" s="237"/>
      <c r="T48" s="237"/>
      <c r="U48" s="237"/>
      <c r="V48" s="237"/>
      <c r="W48" s="237"/>
    </row>
    <row r="49" spans="1:23" x14ac:dyDescent="0.2">
      <c r="A49" s="237"/>
      <c r="B49" s="237"/>
      <c r="C49" s="237"/>
      <c r="D49" s="237"/>
      <c r="E49" s="237"/>
      <c r="F49" s="237"/>
      <c r="G49" s="237"/>
      <c r="H49" s="237"/>
      <c r="I49" s="237"/>
      <c r="J49" s="237"/>
      <c r="K49" s="237"/>
      <c r="L49" s="237"/>
      <c r="M49" s="237"/>
      <c r="N49" s="237"/>
      <c r="O49" s="237"/>
      <c r="P49" s="237"/>
      <c r="Q49" s="237"/>
      <c r="R49" s="237"/>
      <c r="S49" s="237"/>
      <c r="T49" s="237"/>
      <c r="U49" s="237"/>
      <c r="V49" s="237"/>
      <c r="W49" s="237"/>
    </row>
    <row r="50" spans="1:23" x14ac:dyDescent="0.2">
      <c r="A50" s="237"/>
      <c r="B50" s="237"/>
      <c r="C50" s="237"/>
      <c r="D50" s="237"/>
      <c r="E50" s="237"/>
      <c r="F50" s="237"/>
      <c r="G50" s="237"/>
      <c r="H50" s="237"/>
      <c r="I50" s="237"/>
      <c r="J50" s="237"/>
      <c r="K50" s="237"/>
      <c r="L50" s="237"/>
      <c r="M50" s="237"/>
      <c r="N50" s="237"/>
      <c r="O50" s="237"/>
      <c r="P50" s="237"/>
      <c r="Q50" s="237"/>
      <c r="R50" s="237"/>
      <c r="S50" s="237"/>
      <c r="T50" s="237"/>
      <c r="U50" s="237"/>
      <c r="V50" s="237"/>
      <c r="W50" s="237"/>
    </row>
    <row r="51" spans="1:23" x14ac:dyDescent="0.2">
      <c r="A51" s="237"/>
      <c r="B51" s="237"/>
      <c r="C51" s="237"/>
      <c r="D51" s="237"/>
      <c r="E51" s="237"/>
      <c r="F51" s="237"/>
      <c r="G51" s="237"/>
      <c r="H51" s="237"/>
      <c r="I51" s="237"/>
      <c r="J51" s="237"/>
      <c r="K51" s="237"/>
      <c r="L51" s="237"/>
      <c r="M51" s="237"/>
      <c r="N51" s="237"/>
      <c r="O51" s="237"/>
      <c r="P51" s="237"/>
      <c r="Q51" s="237"/>
      <c r="R51" s="237"/>
      <c r="S51" s="237"/>
      <c r="T51" s="237"/>
      <c r="U51" s="237"/>
      <c r="V51" s="237"/>
      <c r="W51" s="237"/>
    </row>
    <row r="52" spans="1:23" x14ac:dyDescent="0.2">
      <c r="A52" s="237"/>
      <c r="B52" s="237"/>
      <c r="C52" s="237"/>
      <c r="D52" s="237"/>
      <c r="E52" s="237"/>
      <c r="F52" s="237"/>
      <c r="G52" s="237"/>
      <c r="H52" s="237"/>
      <c r="I52" s="237"/>
      <c r="J52" s="237"/>
      <c r="K52" s="237"/>
      <c r="L52" s="237"/>
      <c r="M52" s="237"/>
      <c r="N52" s="237"/>
      <c r="O52" s="237"/>
      <c r="P52" s="237"/>
      <c r="Q52" s="237"/>
      <c r="R52" s="237"/>
      <c r="S52" s="237"/>
      <c r="T52" s="237"/>
      <c r="U52" s="237"/>
      <c r="V52" s="237"/>
      <c r="W52" s="237"/>
    </row>
    <row r="53" spans="1:23" x14ac:dyDescent="0.2">
      <c r="A53" s="237"/>
      <c r="B53" s="237"/>
      <c r="C53" s="237"/>
      <c r="D53" s="237"/>
      <c r="E53" s="237"/>
      <c r="F53" s="237"/>
      <c r="G53" s="237"/>
      <c r="H53" s="237"/>
      <c r="I53" s="237"/>
      <c r="J53" s="237"/>
      <c r="K53" s="237"/>
      <c r="L53" s="237"/>
      <c r="M53" s="237"/>
      <c r="N53" s="237"/>
      <c r="O53" s="237"/>
      <c r="P53" s="237"/>
      <c r="Q53" s="237"/>
      <c r="R53" s="237"/>
      <c r="S53" s="237"/>
      <c r="T53" s="237"/>
      <c r="U53" s="237"/>
      <c r="V53" s="237"/>
      <c r="W53" s="237"/>
    </row>
    <row r="54" spans="1:23" x14ac:dyDescent="0.2">
      <c r="A54" s="237"/>
      <c r="B54" s="237"/>
      <c r="C54" s="237"/>
      <c r="D54" s="237"/>
      <c r="E54" s="237"/>
      <c r="F54" s="237"/>
      <c r="G54" s="237"/>
      <c r="H54" s="237"/>
      <c r="I54" s="237"/>
      <c r="J54" s="237"/>
      <c r="K54" s="237"/>
      <c r="L54" s="237"/>
      <c r="M54" s="237"/>
      <c r="N54" s="237"/>
      <c r="O54" s="237"/>
      <c r="P54" s="237"/>
      <c r="Q54" s="237"/>
      <c r="R54" s="237"/>
      <c r="S54" s="237"/>
      <c r="T54" s="237"/>
      <c r="U54" s="237"/>
      <c r="V54" s="237"/>
      <c r="W54" s="237"/>
    </row>
    <row r="55" spans="1:23" x14ac:dyDescent="0.2">
      <c r="A55" s="237"/>
      <c r="B55" s="237"/>
      <c r="C55" s="237"/>
      <c r="D55" s="237"/>
      <c r="E55" s="237"/>
      <c r="F55" s="237"/>
      <c r="G55" s="237"/>
      <c r="H55" s="237"/>
      <c r="I55" s="237"/>
      <c r="J55" s="237"/>
      <c r="K55" s="237"/>
      <c r="L55" s="237"/>
      <c r="M55" s="237"/>
      <c r="N55" s="237"/>
      <c r="O55" s="237"/>
      <c r="P55" s="237"/>
      <c r="Q55" s="237"/>
      <c r="R55" s="237"/>
      <c r="S55" s="237"/>
      <c r="T55" s="237"/>
      <c r="U55" s="237"/>
      <c r="V55" s="237"/>
      <c r="W55" s="237"/>
    </row>
    <row r="57" spans="1:23" x14ac:dyDescent="0.2">
      <c r="J57"/>
    </row>
  </sheetData>
  <mergeCells count="7">
    <mergeCell ref="A1:U1"/>
    <mergeCell ref="S26:U37"/>
    <mergeCell ref="S3:T6"/>
    <mergeCell ref="T12:T13"/>
    <mergeCell ref="S12:S13"/>
    <mergeCell ref="S14:S15"/>
    <mergeCell ref="T14:T15"/>
  </mergeCells>
  <phoneticPr fontId="1" type="noConversion"/>
  <conditionalFormatting sqref="C3:C30">
    <cfRule type="colorScale" priority="265">
      <colorScale>
        <cfvo type="min"/>
        <cfvo type="percentile" val="50"/>
        <cfvo type="max"/>
        <color rgb="FFF8696B"/>
        <color rgb="FFFFEB84"/>
        <color rgb="FF63BE7B"/>
      </colorScale>
    </cfRule>
  </conditionalFormatting>
  <conditionalFormatting sqref="E3:E30">
    <cfRule type="dataBar" priority="268">
      <dataBar>
        <cfvo type="min"/>
        <cfvo type="num" val="52"/>
        <color rgb="FFFFC000"/>
      </dataBar>
      <extLst>
        <ext xmlns:x14="http://schemas.microsoft.com/office/spreadsheetml/2009/9/main" uri="{B025F937-C7B1-47D3-B67F-A62EFF666E3E}">
          <x14:id>{FC2DC844-220C-43F5-AAEA-23047E259EC5}</x14:id>
        </ext>
      </extLst>
    </cfRule>
  </conditionalFormatting>
  <conditionalFormatting sqref="G3:G38">
    <cfRule type="colorScale" priority="269">
      <colorScale>
        <cfvo type="min"/>
        <cfvo type="percentile" val="50"/>
        <cfvo type="max"/>
        <color rgb="FFF8696B"/>
        <color rgb="FFFFEB84"/>
        <color rgb="FF63BE7B"/>
      </colorScale>
    </cfRule>
  </conditionalFormatting>
  <conditionalFormatting sqref="I3:I38">
    <cfRule type="dataBar" priority="6">
      <dataBar>
        <cfvo type="num" val="0"/>
        <cfvo type="num" val="139"/>
        <color rgb="FFD60093"/>
      </dataBar>
      <extLst>
        <ext xmlns:x14="http://schemas.microsoft.com/office/spreadsheetml/2009/9/main" uri="{B025F937-C7B1-47D3-B67F-A62EFF666E3E}">
          <x14:id>{07AAD712-D199-4692-8DB8-2C16B2E2E3A1}</x14:id>
        </ext>
      </extLst>
    </cfRule>
  </conditionalFormatting>
  <conditionalFormatting sqref="K3:K26">
    <cfRule type="colorScale" priority="270">
      <colorScale>
        <cfvo type="min"/>
        <cfvo type="percentile" val="50"/>
        <cfvo type="max"/>
        <color rgb="FFF8696B"/>
        <color rgb="FFFFEB84"/>
        <color rgb="FF63BE7B"/>
      </colorScale>
    </cfRule>
  </conditionalFormatting>
  <conditionalFormatting sqref="M3:M26">
    <cfRule type="dataBar" priority="274">
      <dataBar>
        <cfvo type="min"/>
        <cfvo type="num" val="615"/>
        <color rgb="FF638EC6"/>
      </dataBar>
      <extLst>
        <ext xmlns:x14="http://schemas.microsoft.com/office/spreadsheetml/2009/9/main" uri="{B025F937-C7B1-47D3-B67F-A62EFF666E3E}">
          <x14:id>{57F274DE-D5D3-49FC-A070-21EFDAF28FCA}</x14:id>
        </ext>
      </extLst>
    </cfRule>
  </conditionalFormatting>
  <conditionalFormatting sqref="O3:O15">
    <cfRule type="colorScale" priority="10">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Q3:Q15">
    <cfRule type="dataBar" priority="1">
      <dataBar>
        <cfvo type="min"/>
        <cfvo type="num" val="2107"/>
        <color theme="2" tint="-0.499984740745262"/>
      </dataBar>
      <extLst>
        <ext xmlns:x14="http://schemas.microsoft.com/office/spreadsheetml/2009/9/main" uri="{B025F937-C7B1-47D3-B67F-A62EFF666E3E}">
          <x14:id>{1DEC32E6-099D-41CA-B73B-5C1FE6A6E81F}</x14:id>
        </ext>
      </extLst>
    </cfRule>
  </conditionalFormatting>
  <hyperlinks>
    <hyperlink ref="S26:U37" location="结果!A1" display="跳转到结果表" xr:uid="{BE8F9D25-B28C-4E71-A81F-70E64FE84CB4}"/>
  </hyperlinks>
  <pageMargins left="0.7" right="0.7" top="0.75" bottom="0.75" header="0.3" footer="0.3"/>
  <pageSetup paperSize="9"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dataBar" id="{FC2DC844-220C-43F5-AAEA-23047E259EC5}">
            <x14:dataBar minLength="0" maxLength="100" gradient="0">
              <x14:cfvo type="autoMin"/>
              <x14:cfvo type="num">
                <xm:f>52</xm:f>
              </x14:cfvo>
              <x14:negativeFillColor rgb="FFFF0000"/>
              <x14:axisColor rgb="FF000000"/>
            </x14:dataBar>
          </x14:cfRule>
          <xm:sqref>E3:E30</xm:sqref>
        </x14:conditionalFormatting>
        <x14:conditionalFormatting xmlns:xm="http://schemas.microsoft.com/office/excel/2006/main">
          <x14:cfRule type="dataBar" id="{07AAD712-D199-4692-8DB8-2C16B2E2E3A1}">
            <x14:dataBar minLength="0" maxLength="100" gradient="0">
              <x14:cfvo type="num">
                <xm:f>0</xm:f>
              </x14:cfvo>
              <x14:cfvo type="num">
                <xm:f>139</xm:f>
              </x14:cfvo>
              <x14:negativeFillColor rgb="FFFF0000"/>
              <x14:axisColor rgb="FF000000"/>
            </x14:dataBar>
          </x14:cfRule>
          <xm:sqref>I3:I38</xm:sqref>
        </x14:conditionalFormatting>
        <x14:conditionalFormatting xmlns:xm="http://schemas.microsoft.com/office/excel/2006/main">
          <x14:cfRule type="dataBar" id="{57F274DE-D5D3-49FC-A070-21EFDAF28FCA}">
            <x14:dataBar minLength="0" maxLength="100" gradient="0">
              <x14:cfvo type="autoMin"/>
              <x14:cfvo type="num">
                <xm:f>615</xm:f>
              </x14:cfvo>
              <x14:negativeFillColor rgb="FFFF0000"/>
              <x14:axisColor rgb="FF000000"/>
            </x14:dataBar>
          </x14:cfRule>
          <xm:sqref>M3:M26</xm:sqref>
        </x14:conditionalFormatting>
        <x14:conditionalFormatting xmlns:xm="http://schemas.microsoft.com/office/excel/2006/main">
          <x14:cfRule type="dataBar" id="{1DEC32E6-099D-41CA-B73B-5C1FE6A6E81F}">
            <x14:dataBar minLength="0" maxLength="100" gradient="0">
              <x14:cfvo type="autoMin"/>
              <x14:cfvo type="num">
                <xm:f>2107</xm:f>
              </x14:cfvo>
              <x14:negativeFillColor rgb="FFFF0000"/>
              <x14:axisColor rgb="FF000000"/>
            </x14:dataBar>
          </x14:cfRule>
          <xm:sqref>Q3:Q15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B0378-B552-435A-8188-172F3EEEF45B}">
  <sheetPr>
    <tabColor rgb="FFD0FAF6"/>
  </sheetPr>
  <dimension ref="A1:J37"/>
  <sheetViews>
    <sheetView workbookViewId="0">
      <selection activeCell="F26" sqref="F26"/>
    </sheetView>
  </sheetViews>
  <sheetFormatPr defaultRowHeight="14.25" x14ac:dyDescent="0.2"/>
  <cols>
    <col min="1" max="1" width="14.375" customWidth="1"/>
    <col min="2" max="2" width="9.375" customWidth="1"/>
    <col min="3" max="5" width="8.25" customWidth="1"/>
    <col min="6" max="6" width="32.875" customWidth="1"/>
  </cols>
  <sheetData>
    <row r="1" spans="1:10" ht="22.5" customHeight="1" x14ac:dyDescent="0.2">
      <c r="A1" s="260" t="s">
        <v>924</v>
      </c>
      <c r="B1" s="3" t="s">
        <v>746</v>
      </c>
      <c r="C1" s="3" t="s">
        <v>747</v>
      </c>
      <c r="D1" s="3" t="s">
        <v>748</v>
      </c>
      <c r="E1" s="3" t="s">
        <v>749</v>
      </c>
      <c r="F1" s="262" t="s">
        <v>795</v>
      </c>
    </row>
    <row r="2" spans="1:10" ht="22.5" customHeight="1" x14ac:dyDescent="0.2">
      <c r="A2" s="260" t="s">
        <v>750</v>
      </c>
      <c r="B2" s="261" t="s">
        <v>751</v>
      </c>
      <c r="C2" s="3" t="s">
        <v>832</v>
      </c>
      <c r="D2" s="3" t="s">
        <v>753</v>
      </c>
      <c r="E2" s="3" t="s">
        <v>834</v>
      </c>
      <c r="F2" s="262" t="s">
        <v>833</v>
      </c>
      <c r="H2" s="3" t="s">
        <v>838</v>
      </c>
      <c r="I2" s="267" t="s">
        <v>846</v>
      </c>
      <c r="J2" s="314" t="s">
        <v>848</v>
      </c>
    </row>
    <row r="3" spans="1:10" ht="22.5" customHeight="1" x14ac:dyDescent="0.2">
      <c r="A3" s="260" t="s">
        <v>755</v>
      </c>
      <c r="B3" s="3">
        <v>7</v>
      </c>
      <c r="C3" s="3" t="s">
        <v>834</v>
      </c>
      <c r="D3" s="3" t="s">
        <v>754</v>
      </c>
      <c r="E3" s="3" t="s">
        <v>834</v>
      </c>
      <c r="F3" s="262" t="s">
        <v>857</v>
      </c>
      <c r="H3" s="3" t="s">
        <v>832</v>
      </c>
      <c r="I3" s="268" t="s">
        <v>839</v>
      </c>
      <c r="J3" s="314"/>
    </row>
    <row r="4" spans="1:10" ht="22.5" customHeight="1" x14ac:dyDescent="0.2">
      <c r="A4" s="260" t="s">
        <v>759</v>
      </c>
      <c r="B4" s="3">
        <v>7</v>
      </c>
      <c r="C4" s="3" t="s">
        <v>832</v>
      </c>
      <c r="D4" s="3" t="s">
        <v>752</v>
      </c>
      <c r="E4" s="3" t="s">
        <v>834</v>
      </c>
      <c r="F4" s="262" t="s">
        <v>858</v>
      </c>
      <c r="H4" s="3" t="s">
        <v>834</v>
      </c>
      <c r="I4" s="269" t="s">
        <v>840</v>
      </c>
      <c r="J4" s="314"/>
    </row>
    <row r="5" spans="1:10" ht="22.5" customHeight="1" x14ac:dyDescent="0.2">
      <c r="A5" s="260" t="s">
        <v>757</v>
      </c>
      <c r="B5" s="3">
        <v>7</v>
      </c>
      <c r="C5" s="3" t="s">
        <v>796</v>
      </c>
      <c r="D5" s="3" t="s">
        <v>798</v>
      </c>
      <c r="E5" s="3" t="s">
        <v>835</v>
      </c>
      <c r="F5" s="262"/>
      <c r="H5" s="3" t="s">
        <v>796</v>
      </c>
      <c r="I5" s="270" t="s">
        <v>841</v>
      </c>
      <c r="J5" s="315" t="s">
        <v>847</v>
      </c>
    </row>
    <row r="6" spans="1:10" ht="22.5" customHeight="1" x14ac:dyDescent="0.2">
      <c r="A6" s="260" t="s">
        <v>760</v>
      </c>
      <c r="B6" s="3">
        <v>7</v>
      </c>
      <c r="C6" s="3" t="s">
        <v>834</v>
      </c>
      <c r="D6" s="3" t="s">
        <v>834</v>
      </c>
      <c r="E6" s="3" t="s">
        <v>834</v>
      </c>
      <c r="F6" s="262" t="s">
        <v>854</v>
      </c>
      <c r="H6" s="3" t="s">
        <v>835</v>
      </c>
      <c r="I6" s="271" t="s">
        <v>842</v>
      </c>
      <c r="J6" s="315"/>
    </row>
    <row r="7" spans="1:10" ht="22.5" customHeight="1" x14ac:dyDescent="0.2">
      <c r="A7" s="260" t="s">
        <v>761</v>
      </c>
      <c r="B7" s="3">
        <v>6</v>
      </c>
      <c r="C7" s="3" t="s">
        <v>838</v>
      </c>
      <c r="D7" s="3" t="s">
        <v>752</v>
      </c>
      <c r="E7" s="3" t="s">
        <v>752</v>
      </c>
      <c r="F7" s="262" t="s">
        <v>836</v>
      </c>
      <c r="H7" s="3" t="s">
        <v>767</v>
      </c>
      <c r="I7" s="272" t="s">
        <v>843</v>
      </c>
      <c r="J7" s="315"/>
    </row>
    <row r="8" spans="1:10" ht="22.5" customHeight="1" x14ac:dyDescent="0.2">
      <c r="A8" s="260" t="s">
        <v>762</v>
      </c>
      <c r="B8" s="3">
        <v>6</v>
      </c>
      <c r="C8" s="3" t="s">
        <v>752</v>
      </c>
      <c r="D8" s="3" t="s">
        <v>834</v>
      </c>
      <c r="E8" s="3" t="s">
        <v>756</v>
      </c>
      <c r="F8" s="262" t="s">
        <v>763</v>
      </c>
    </row>
    <row r="9" spans="1:10" ht="22.5" customHeight="1" x14ac:dyDescent="0.2">
      <c r="A9" s="260" t="s">
        <v>764</v>
      </c>
      <c r="B9" s="3">
        <v>6</v>
      </c>
      <c r="C9" s="3" t="s">
        <v>798</v>
      </c>
      <c r="D9" s="3" t="s">
        <v>796</v>
      </c>
      <c r="E9" s="3" t="s">
        <v>752</v>
      </c>
      <c r="F9" s="262"/>
    </row>
    <row r="10" spans="1:10" ht="22.5" customHeight="1" x14ac:dyDescent="0.2">
      <c r="A10" s="260" t="s">
        <v>845</v>
      </c>
      <c r="B10" s="3">
        <v>6</v>
      </c>
      <c r="C10" s="3" t="s">
        <v>798</v>
      </c>
      <c r="D10" s="3" t="s">
        <v>799</v>
      </c>
      <c r="E10" s="3" t="s">
        <v>835</v>
      </c>
      <c r="F10" s="262"/>
    </row>
    <row r="11" spans="1:10" ht="22.5" customHeight="1" x14ac:dyDescent="0.2">
      <c r="A11" s="260" t="s">
        <v>773</v>
      </c>
      <c r="B11" s="3">
        <v>5</v>
      </c>
      <c r="C11" s="3" t="s">
        <v>835</v>
      </c>
      <c r="D11" s="3" t="s">
        <v>834</v>
      </c>
      <c r="E11" s="3" t="s">
        <v>835</v>
      </c>
      <c r="F11" s="262"/>
    </row>
    <row r="12" spans="1:10" ht="22.5" customHeight="1" x14ac:dyDescent="0.2">
      <c r="A12" s="260" t="s">
        <v>775</v>
      </c>
      <c r="B12" s="3">
        <v>5</v>
      </c>
      <c r="C12" s="3" t="s">
        <v>834</v>
      </c>
      <c r="D12" s="3" t="s">
        <v>834</v>
      </c>
      <c r="E12" s="3" t="s">
        <v>837</v>
      </c>
      <c r="F12" s="262"/>
    </row>
    <row r="13" spans="1:10" ht="22.5" customHeight="1" x14ac:dyDescent="0.2">
      <c r="A13" s="260" t="s">
        <v>765</v>
      </c>
      <c r="B13" s="3">
        <v>5</v>
      </c>
      <c r="C13" s="3" t="s">
        <v>754</v>
      </c>
      <c r="D13" s="3" t="s">
        <v>796</v>
      </c>
      <c r="E13" s="3" t="s">
        <v>753</v>
      </c>
      <c r="F13" s="262" t="s">
        <v>844</v>
      </c>
    </row>
    <row r="14" spans="1:10" ht="22.5" customHeight="1" x14ac:dyDescent="0.2">
      <c r="A14" s="260" t="s">
        <v>768</v>
      </c>
      <c r="B14" s="3">
        <v>5</v>
      </c>
      <c r="C14" s="3" t="s">
        <v>754</v>
      </c>
      <c r="D14" s="3" t="s">
        <v>754</v>
      </c>
      <c r="E14" s="3" t="s">
        <v>753</v>
      </c>
      <c r="F14" s="262"/>
    </row>
    <row r="15" spans="1:10" ht="22.5" customHeight="1" x14ac:dyDescent="0.2">
      <c r="A15" s="260" t="s">
        <v>772</v>
      </c>
      <c r="B15" s="3">
        <v>5</v>
      </c>
      <c r="C15" s="3" t="s">
        <v>798</v>
      </c>
      <c r="D15" s="3" t="s">
        <v>832</v>
      </c>
      <c r="E15" s="3" t="s">
        <v>834</v>
      </c>
      <c r="F15" s="262"/>
    </row>
    <row r="16" spans="1:10" ht="22.5" customHeight="1" x14ac:dyDescent="0.2">
      <c r="A16" s="260" t="s">
        <v>774</v>
      </c>
      <c r="B16" s="3">
        <v>5</v>
      </c>
      <c r="C16" s="3" t="s">
        <v>834</v>
      </c>
      <c r="D16" s="3" t="s">
        <v>754</v>
      </c>
      <c r="E16" s="3" t="s">
        <v>797</v>
      </c>
      <c r="F16" s="262"/>
    </row>
    <row r="17" spans="1:6" ht="22.5" customHeight="1" x14ac:dyDescent="0.2">
      <c r="A17" s="260" t="s">
        <v>766</v>
      </c>
      <c r="B17" s="3">
        <v>5</v>
      </c>
      <c r="C17" s="3" t="s">
        <v>758</v>
      </c>
      <c r="D17" s="3" t="s">
        <v>758</v>
      </c>
      <c r="E17" s="3" t="s">
        <v>767</v>
      </c>
      <c r="F17" s="262" t="s">
        <v>803</v>
      </c>
    </row>
    <row r="18" spans="1:6" ht="22.5" customHeight="1" x14ac:dyDescent="0.2">
      <c r="A18" s="260" t="s">
        <v>770</v>
      </c>
      <c r="B18" s="3">
        <v>5</v>
      </c>
      <c r="C18" s="3" t="s">
        <v>835</v>
      </c>
      <c r="D18" s="3" t="s">
        <v>758</v>
      </c>
      <c r="E18" s="3" t="s">
        <v>767</v>
      </c>
      <c r="F18" s="262"/>
    </row>
    <row r="19" spans="1:6" ht="22.5" customHeight="1" x14ac:dyDescent="0.2">
      <c r="A19" s="260" t="s">
        <v>771</v>
      </c>
      <c r="B19" s="3">
        <v>5</v>
      </c>
      <c r="C19" s="3" t="s">
        <v>835</v>
      </c>
      <c r="D19" s="3" t="s">
        <v>767</v>
      </c>
      <c r="E19" s="3" t="s">
        <v>767</v>
      </c>
      <c r="F19" s="262"/>
    </row>
    <row r="20" spans="1:6" ht="22.5" customHeight="1" x14ac:dyDescent="0.2">
      <c r="A20" s="260" t="s">
        <v>769</v>
      </c>
      <c r="B20" s="3">
        <v>5</v>
      </c>
      <c r="C20" s="3" t="s">
        <v>767</v>
      </c>
      <c r="D20" s="3" t="s">
        <v>767</v>
      </c>
      <c r="E20" s="3" t="s">
        <v>767</v>
      </c>
      <c r="F20" s="262"/>
    </row>
    <row r="21" spans="1:6" ht="22.5" customHeight="1" x14ac:dyDescent="0.2">
      <c r="A21" s="260" t="s">
        <v>780</v>
      </c>
      <c r="B21" s="3">
        <v>4</v>
      </c>
      <c r="C21" s="3" t="s">
        <v>838</v>
      </c>
      <c r="D21" s="3" t="s">
        <v>758</v>
      </c>
      <c r="E21" s="3" t="s">
        <v>838</v>
      </c>
      <c r="F21" s="262" t="s">
        <v>781</v>
      </c>
    </row>
    <row r="22" spans="1:6" ht="22.5" customHeight="1" x14ac:dyDescent="0.2">
      <c r="A22" s="260" t="s">
        <v>776</v>
      </c>
      <c r="B22" s="3">
        <v>4</v>
      </c>
      <c r="C22" s="3" t="s">
        <v>797</v>
      </c>
      <c r="D22" s="3" t="s">
        <v>835</v>
      </c>
      <c r="E22" s="3" t="s">
        <v>837</v>
      </c>
      <c r="F22" s="262"/>
    </row>
    <row r="23" spans="1:6" ht="22.5" customHeight="1" x14ac:dyDescent="0.2">
      <c r="A23" s="260" t="s">
        <v>777</v>
      </c>
      <c r="B23" s="3">
        <v>4</v>
      </c>
      <c r="C23" s="3" t="s">
        <v>835</v>
      </c>
      <c r="D23" s="3" t="s">
        <v>754</v>
      </c>
      <c r="E23" s="3" t="s">
        <v>849</v>
      </c>
      <c r="F23" s="262" t="s">
        <v>850</v>
      </c>
    </row>
    <row r="24" spans="1:6" ht="22.5" customHeight="1" x14ac:dyDescent="0.2">
      <c r="A24" s="260" t="s">
        <v>778</v>
      </c>
      <c r="B24" s="3">
        <v>4</v>
      </c>
      <c r="C24" s="3" t="s">
        <v>758</v>
      </c>
      <c r="D24" s="3" t="s">
        <v>834</v>
      </c>
      <c r="E24" s="3" t="s">
        <v>767</v>
      </c>
      <c r="F24" s="262"/>
    </row>
    <row r="25" spans="1:6" ht="22.5" customHeight="1" x14ac:dyDescent="0.2">
      <c r="A25" s="260" t="s">
        <v>779</v>
      </c>
      <c r="B25" s="3">
        <v>4</v>
      </c>
      <c r="C25" s="3" t="s">
        <v>767</v>
      </c>
      <c r="D25" s="3" t="s">
        <v>767</v>
      </c>
      <c r="E25" s="3" t="s">
        <v>758</v>
      </c>
      <c r="F25" s="262" t="s">
        <v>851</v>
      </c>
    </row>
    <row r="26" spans="1:6" ht="22.5" customHeight="1" x14ac:dyDescent="0.2">
      <c r="A26" s="260" t="s">
        <v>790</v>
      </c>
      <c r="B26" s="3">
        <v>3</v>
      </c>
      <c r="C26" s="3" t="s">
        <v>799</v>
      </c>
      <c r="D26" s="3" t="s">
        <v>798</v>
      </c>
      <c r="E26" s="3" t="s">
        <v>838</v>
      </c>
      <c r="F26" s="262" t="s">
        <v>852</v>
      </c>
    </row>
    <row r="27" spans="1:6" ht="22.5" customHeight="1" x14ac:dyDescent="0.2">
      <c r="A27" s="260" t="s">
        <v>788</v>
      </c>
      <c r="B27" s="3">
        <v>3</v>
      </c>
      <c r="C27" s="3" t="s">
        <v>837</v>
      </c>
      <c r="D27" s="3" t="s">
        <v>753</v>
      </c>
      <c r="E27" s="3" t="s">
        <v>849</v>
      </c>
      <c r="F27" s="262" t="s">
        <v>789</v>
      </c>
    </row>
    <row r="28" spans="1:6" ht="22.5" customHeight="1" x14ac:dyDescent="0.2">
      <c r="A28" s="260" t="s">
        <v>783</v>
      </c>
      <c r="B28" s="3">
        <v>3</v>
      </c>
      <c r="C28" s="3" t="s">
        <v>849</v>
      </c>
      <c r="D28" s="3" t="s">
        <v>758</v>
      </c>
      <c r="E28" s="3" t="s">
        <v>849</v>
      </c>
      <c r="F28" s="262"/>
    </row>
    <row r="29" spans="1:6" ht="22.5" customHeight="1" x14ac:dyDescent="0.2">
      <c r="A29" s="260" t="s">
        <v>896</v>
      </c>
      <c r="B29" s="3">
        <v>3</v>
      </c>
      <c r="C29" s="3" t="s">
        <v>834</v>
      </c>
      <c r="D29" s="3" t="s">
        <v>832</v>
      </c>
      <c r="E29" s="3" t="s">
        <v>835</v>
      </c>
      <c r="F29" s="262" t="s">
        <v>895</v>
      </c>
    </row>
    <row r="30" spans="1:6" ht="22.5" customHeight="1" x14ac:dyDescent="0.2">
      <c r="A30" s="260" t="s">
        <v>787</v>
      </c>
      <c r="B30" s="3">
        <v>3</v>
      </c>
      <c r="C30" s="3" t="s">
        <v>798</v>
      </c>
      <c r="D30" s="3" t="s">
        <v>834</v>
      </c>
      <c r="E30" s="3" t="s">
        <v>797</v>
      </c>
      <c r="F30" s="262" t="s">
        <v>853</v>
      </c>
    </row>
    <row r="31" spans="1:6" ht="22.5" customHeight="1" x14ac:dyDescent="0.2">
      <c r="A31" s="260" t="s">
        <v>784</v>
      </c>
      <c r="B31" s="3">
        <v>3</v>
      </c>
      <c r="C31" s="3" t="s">
        <v>758</v>
      </c>
      <c r="D31" s="3" t="s">
        <v>753</v>
      </c>
      <c r="E31" s="3" t="s">
        <v>767</v>
      </c>
      <c r="F31" s="262" t="s">
        <v>855</v>
      </c>
    </row>
    <row r="32" spans="1:6" ht="22.5" customHeight="1" x14ac:dyDescent="0.2">
      <c r="A32" s="260" t="s">
        <v>786</v>
      </c>
      <c r="B32" s="3">
        <v>3</v>
      </c>
      <c r="C32" s="3" t="s">
        <v>758</v>
      </c>
      <c r="D32" s="3" t="s">
        <v>796</v>
      </c>
      <c r="E32" s="3" t="s">
        <v>800</v>
      </c>
      <c r="F32" s="262" t="s">
        <v>856</v>
      </c>
    </row>
    <row r="33" spans="1:6" ht="22.5" customHeight="1" x14ac:dyDescent="0.2">
      <c r="A33" s="260" t="s">
        <v>782</v>
      </c>
      <c r="B33" s="3">
        <v>3</v>
      </c>
      <c r="C33" s="3" t="s">
        <v>837</v>
      </c>
      <c r="D33" s="3" t="s">
        <v>834</v>
      </c>
      <c r="E33" s="3" t="s">
        <v>849</v>
      </c>
      <c r="F33" s="262"/>
    </row>
    <row r="34" spans="1:6" ht="22.5" customHeight="1" x14ac:dyDescent="0.2">
      <c r="A34" s="260" t="s">
        <v>785</v>
      </c>
      <c r="B34" s="3">
        <v>3</v>
      </c>
      <c r="C34" s="3" t="s">
        <v>758</v>
      </c>
      <c r="D34" s="3" t="s">
        <v>758</v>
      </c>
      <c r="E34" s="3" t="s">
        <v>767</v>
      </c>
      <c r="F34" s="262"/>
    </row>
    <row r="35" spans="1:6" ht="22.5" customHeight="1" x14ac:dyDescent="0.2">
      <c r="A35" s="260" t="s">
        <v>793</v>
      </c>
      <c r="B35" s="3">
        <v>2</v>
      </c>
      <c r="C35" s="3" t="s">
        <v>796</v>
      </c>
      <c r="D35" s="3" t="s">
        <v>796</v>
      </c>
      <c r="E35" s="3" t="s">
        <v>797</v>
      </c>
      <c r="F35" s="262" t="s">
        <v>794</v>
      </c>
    </row>
    <row r="36" spans="1:6" ht="22.5" customHeight="1" x14ac:dyDescent="0.2">
      <c r="A36" s="260" t="s">
        <v>792</v>
      </c>
      <c r="B36" s="3">
        <v>2</v>
      </c>
      <c r="C36" s="3" t="s">
        <v>797</v>
      </c>
      <c r="D36" s="3" t="s">
        <v>767</v>
      </c>
      <c r="E36" s="3" t="s">
        <v>767</v>
      </c>
      <c r="F36" s="262" t="s">
        <v>804</v>
      </c>
    </row>
    <row r="37" spans="1:6" ht="22.5" customHeight="1" x14ac:dyDescent="0.2">
      <c r="A37" s="260" t="s">
        <v>791</v>
      </c>
      <c r="B37" s="3">
        <v>2</v>
      </c>
      <c r="C37" s="3" t="s">
        <v>767</v>
      </c>
      <c r="D37" s="3" t="s">
        <v>767</v>
      </c>
      <c r="E37" s="3" t="s">
        <v>767</v>
      </c>
      <c r="F37" s="262"/>
    </row>
  </sheetData>
  <sortState xmlns:xlrd2="http://schemas.microsoft.com/office/spreadsheetml/2017/richdata2" ref="A2:F35">
    <sortCondition descending="1" ref="B2:B35"/>
    <sortCondition ref="C2:C35" customList="SS,S,A,B,C,D"/>
  </sortState>
  <mergeCells count="2">
    <mergeCell ref="J2:J4"/>
    <mergeCell ref="J5:J7"/>
  </mergeCells>
  <phoneticPr fontId="1" type="noConversion"/>
  <conditionalFormatting sqref="B2:B37">
    <cfRule type="colorScale" priority="346">
      <colorScale>
        <cfvo type="min"/>
        <cfvo type="percentile" val="50"/>
        <cfvo type="max"/>
        <color rgb="FF63BE7B"/>
        <color rgb="FFFFEB84"/>
        <color rgb="FFF8696B"/>
      </colorScale>
    </cfRule>
  </conditionalFormatting>
  <conditionalFormatting sqref="C2:E37">
    <cfRule type="cellIs" dxfId="82" priority="44" operator="equal">
      <formula>"D"</formula>
    </cfRule>
    <cfRule type="cellIs" dxfId="81" priority="45" operator="equal">
      <formula>"C"</formula>
    </cfRule>
    <cfRule type="cellIs" dxfId="80" priority="46" operator="equal">
      <formula>"B"</formula>
    </cfRule>
    <cfRule type="cellIs" dxfId="79" priority="47" operator="equal">
      <formula>"A"</formula>
    </cfRule>
    <cfRule type="cellIs" dxfId="78" priority="48" operator="equal">
      <formula>"S"</formula>
    </cfRule>
    <cfRule type="cellIs" dxfId="77" priority="49" operator="equal">
      <formula>"SS"</formula>
    </cfRule>
  </conditionalFormatting>
  <conditionalFormatting sqref="H2:I7">
    <cfRule type="cellIs" dxfId="76" priority="1" operator="equal">
      <formula>"D"</formula>
    </cfRule>
    <cfRule type="cellIs" dxfId="75" priority="2" operator="equal">
      <formula>"C"</formula>
    </cfRule>
    <cfRule type="cellIs" dxfId="74" priority="3" operator="equal">
      <formula>"B"</formula>
    </cfRule>
    <cfRule type="cellIs" dxfId="73" priority="4" operator="equal">
      <formula>"A"</formula>
    </cfRule>
    <cfRule type="cellIs" dxfId="72" priority="5" operator="equal">
      <formula>"S"</formula>
    </cfRule>
    <cfRule type="cellIs" dxfId="71" priority="6" operator="equal">
      <formula>"SS"</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1AC4-9598-40F7-93D4-0A21A0F4325D}">
  <sheetPr>
    <tabColor rgb="FF7030A0"/>
  </sheetPr>
  <dimension ref="A1:N46"/>
  <sheetViews>
    <sheetView workbookViewId="0">
      <selection activeCell="J16" sqref="J16"/>
    </sheetView>
  </sheetViews>
  <sheetFormatPr defaultRowHeight="14.25" x14ac:dyDescent="0.2"/>
  <cols>
    <col min="1" max="1" width="14.375" customWidth="1"/>
    <col min="2" max="2" width="9.375" customWidth="1"/>
    <col min="3" max="3" width="8.25" customWidth="1"/>
    <col min="4" max="4" width="29.875" customWidth="1"/>
    <col min="5" max="5" width="16" customWidth="1"/>
    <col min="6" max="6" width="9.625" customWidth="1"/>
    <col min="8" max="8" width="22.875" customWidth="1"/>
    <col min="9" max="9" width="22" customWidth="1"/>
    <col min="11" max="11" width="28.25" customWidth="1"/>
  </cols>
  <sheetData>
    <row r="1" spans="1:14" ht="22.5" customHeight="1" x14ac:dyDescent="0.2">
      <c r="A1" s="260" t="s">
        <v>684</v>
      </c>
      <c r="B1" s="3" t="s">
        <v>859</v>
      </c>
      <c r="C1" s="3" t="s">
        <v>747</v>
      </c>
      <c r="D1" s="262" t="s">
        <v>795</v>
      </c>
      <c r="E1" s="260" t="s">
        <v>318</v>
      </c>
      <c r="F1" s="3" t="s">
        <v>859</v>
      </c>
      <c r="G1" s="3" t="s">
        <v>747</v>
      </c>
      <c r="H1" s="262" t="s">
        <v>795</v>
      </c>
      <c r="I1" s="260" t="s">
        <v>316</v>
      </c>
      <c r="J1" s="3" t="s">
        <v>747</v>
      </c>
      <c r="K1" s="262" t="s">
        <v>795</v>
      </c>
      <c r="L1" t="s">
        <v>879</v>
      </c>
    </row>
    <row r="2" spans="1:14" ht="22.5" customHeight="1" x14ac:dyDescent="0.2">
      <c r="A2" s="22" t="s">
        <v>828</v>
      </c>
      <c r="B2" s="3">
        <v>7</v>
      </c>
      <c r="C2" s="3" t="s">
        <v>801</v>
      </c>
      <c r="D2" s="262" t="s">
        <v>861</v>
      </c>
      <c r="E2" s="19" t="s">
        <v>183</v>
      </c>
      <c r="F2" s="3">
        <v>6</v>
      </c>
      <c r="G2" s="3" t="s">
        <v>799</v>
      </c>
      <c r="H2" s="262" t="s">
        <v>888</v>
      </c>
      <c r="I2" s="21" t="s">
        <v>107</v>
      </c>
      <c r="J2" s="3" t="s">
        <v>801</v>
      </c>
      <c r="K2" s="262" t="s">
        <v>922</v>
      </c>
      <c r="M2" s="274" t="s">
        <v>860</v>
      </c>
      <c r="N2" s="275" t="s">
        <v>862</v>
      </c>
    </row>
    <row r="3" spans="1:14" ht="22.5" customHeight="1" x14ac:dyDescent="0.2">
      <c r="A3" s="22" t="s">
        <v>106</v>
      </c>
      <c r="B3" s="3">
        <v>5</v>
      </c>
      <c r="C3" s="277" t="s">
        <v>799</v>
      </c>
      <c r="D3" s="262" t="s">
        <v>926</v>
      </c>
      <c r="E3" s="19" t="s">
        <v>6</v>
      </c>
      <c r="F3" s="3">
        <v>5</v>
      </c>
      <c r="G3" s="3" t="s">
        <v>801</v>
      </c>
      <c r="H3" s="262"/>
      <c r="I3" s="21" t="s">
        <v>137</v>
      </c>
      <c r="J3" s="3" t="s">
        <v>801</v>
      </c>
      <c r="K3" s="262" t="s">
        <v>881</v>
      </c>
      <c r="M3" s="3" t="s">
        <v>838</v>
      </c>
      <c r="N3" s="267" t="s">
        <v>846</v>
      </c>
    </row>
    <row r="4" spans="1:14" ht="22.5" customHeight="1" x14ac:dyDescent="0.2">
      <c r="A4" s="21" t="s">
        <v>255</v>
      </c>
      <c r="B4" s="3">
        <v>3</v>
      </c>
      <c r="C4" s="3" t="s">
        <v>799</v>
      </c>
      <c r="D4" s="262" t="s">
        <v>863</v>
      </c>
      <c r="E4" s="19" t="s">
        <v>9</v>
      </c>
      <c r="F4" s="3">
        <v>6</v>
      </c>
      <c r="G4" s="3" t="s">
        <v>801</v>
      </c>
      <c r="H4" s="262" t="s">
        <v>889</v>
      </c>
      <c r="I4" s="21" t="s">
        <v>557</v>
      </c>
      <c r="J4" s="3" t="s">
        <v>801</v>
      </c>
      <c r="K4" s="262" t="s">
        <v>901</v>
      </c>
      <c r="M4" s="3" t="s">
        <v>832</v>
      </c>
      <c r="N4" s="268" t="s">
        <v>839</v>
      </c>
    </row>
    <row r="5" spans="1:14" ht="22.5" customHeight="1" x14ac:dyDescent="0.2">
      <c r="A5" s="22" t="s">
        <v>152</v>
      </c>
      <c r="B5" s="3">
        <v>6</v>
      </c>
      <c r="C5" s="3" t="s">
        <v>796</v>
      </c>
      <c r="D5" s="262" t="s">
        <v>864</v>
      </c>
      <c r="E5" s="19" t="s">
        <v>12</v>
      </c>
      <c r="F5" s="3">
        <v>7</v>
      </c>
      <c r="G5" s="3" t="s">
        <v>801</v>
      </c>
      <c r="H5" s="262" t="s">
        <v>889</v>
      </c>
      <c r="I5" s="21" t="s">
        <v>743</v>
      </c>
      <c r="J5" s="3" t="s">
        <v>798</v>
      </c>
      <c r="K5" s="262"/>
      <c r="M5" s="3" t="s">
        <v>834</v>
      </c>
      <c r="N5" s="269" t="s">
        <v>840</v>
      </c>
    </row>
    <row r="6" spans="1:14" ht="22.5" customHeight="1" x14ac:dyDescent="0.2">
      <c r="A6" s="22" t="s">
        <v>151</v>
      </c>
      <c r="B6" s="3">
        <v>5</v>
      </c>
      <c r="C6" s="3" t="s">
        <v>796</v>
      </c>
      <c r="D6" s="262" t="s">
        <v>865</v>
      </c>
      <c r="E6" s="19" t="s">
        <v>600</v>
      </c>
      <c r="F6" s="3">
        <v>4</v>
      </c>
      <c r="G6" s="3" t="s">
        <v>800</v>
      </c>
      <c r="H6" s="262"/>
      <c r="I6" s="21" t="s">
        <v>105</v>
      </c>
      <c r="J6" s="3" t="s">
        <v>801</v>
      </c>
      <c r="K6" s="262" t="s">
        <v>900</v>
      </c>
      <c r="M6" s="3" t="s">
        <v>796</v>
      </c>
      <c r="N6" s="270" t="s">
        <v>841</v>
      </c>
    </row>
    <row r="7" spans="1:14" ht="22.5" customHeight="1" x14ac:dyDescent="0.2">
      <c r="A7" s="126" t="s">
        <v>653</v>
      </c>
      <c r="B7" s="3">
        <v>7</v>
      </c>
      <c r="C7" s="3" t="s">
        <v>798</v>
      </c>
      <c r="D7" s="262" t="s">
        <v>866</v>
      </c>
      <c r="E7" s="19" t="s">
        <v>11</v>
      </c>
      <c r="F7" s="3">
        <v>6</v>
      </c>
      <c r="G7" s="3" t="s">
        <v>797</v>
      </c>
      <c r="H7" s="262"/>
      <c r="I7" s="19" t="s">
        <v>104</v>
      </c>
      <c r="J7" s="3" t="s">
        <v>800</v>
      </c>
      <c r="K7" s="262" t="s">
        <v>923</v>
      </c>
      <c r="M7" s="3" t="s">
        <v>835</v>
      </c>
      <c r="N7" s="271" t="s">
        <v>842</v>
      </c>
    </row>
    <row r="8" spans="1:14" ht="22.5" customHeight="1" x14ac:dyDescent="0.2">
      <c r="A8" s="19" t="s">
        <v>8</v>
      </c>
      <c r="B8" s="3">
        <v>6</v>
      </c>
      <c r="C8" s="3" t="s">
        <v>801</v>
      </c>
      <c r="D8" s="262" t="s">
        <v>877</v>
      </c>
      <c r="E8" s="19" t="s">
        <v>10</v>
      </c>
      <c r="F8" s="3">
        <v>7</v>
      </c>
      <c r="G8" s="3" t="s">
        <v>799</v>
      </c>
      <c r="H8" s="262"/>
      <c r="I8" s="19" t="s">
        <v>75</v>
      </c>
      <c r="J8" s="3" t="s">
        <v>799</v>
      </c>
      <c r="K8" s="262"/>
      <c r="M8" s="3" t="s">
        <v>767</v>
      </c>
      <c r="N8" s="272" t="s">
        <v>843</v>
      </c>
    </row>
    <row r="9" spans="1:14" ht="22.5" customHeight="1" x14ac:dyDescent="0.2">
      <c r="A9" s="19" t="s">
        <v>807</v>
      </c>
      <c r="B9" s="3">
        <v>5</v>
      </c>
      <c r="C9" s="3" t="s">
        <v>801</v>
      </c>
      <c r="D9" s="262"/>
      <c r="E9" s="19" t="s">
        <v>15</v>
      </c>
      <c r="F9" s="3">
        <v>7</v>
      </c>
      <c r="G9" s="3" t="s">
        <v>801</v>
      </c>
      <c r="H9" s="262" t="s">
        <v>890</v>
      </c>
      <c r="I9" s="19" t="s">
        <v>77</v>
      </c>
      <c r="J9" s="3" t="s">
        <v>801</v>
      </c>
      <c r="K9" s="262" t="s">
        <v>899</v>
      </c>
    </row>
    <row r="10" spans="1:14" ht="22.5" customHeight="1" x14ac:dyDescent="0.2">
      <c r="A10" s="19" t="s">
        <v>14</v>
      </c>
      <c r="B10" s="3">
        <v>6</v>
      </c>
      <c r="C10" s="3" t="s">
        <v>799</v>
      </c>
      <c r="D10" s="262" t="s">
        <v>867</v>
      </c>
      <c r="E10" s="6" t="s">
        <v>829</v>
      </c>
      <c r="F10" s="3">
        <v>6</v>
      </c>
      <c r="G10" s="3" t="s">
        <v>799</v>
      </c>
      <c r="H10" s="262"/>
      <c r="I10" s="19" t="s">
        <v>74</v>
      </c>
      <c r="J10" s="3" t="s">
        <v>800</v>
      </c>
      <c r="K10" s="262"/>
    </row>
    <row r="11" spans="1:14" ht="22.5" customHeight="1" x14ac:dyDescent="0.2">
      <c r="A11" s="126" t="s">
        <v>685</v>
      </c>
      <c r="B11" s="3">
        <v>5</v>
      </c>
      <c r="C11" s="3" t="s">
        <v>799</v>
      </c>
      <c r="D11" s="262"/>
      <c r="E11" s="6" t="s">
        <v>26</v>
      </c>
      <c r="F11" s="3">
        <v>0</v>
      </c>
      <c r="G11" s="3" t="s">
        <v>798</v>
      </c>
      <c r="H11" s="262" t="s">
        <v>853</v>
      </c>
      <c r="I11" s="19" t="s">
        <v>76</v>
      </c>
      <c r="J11" s="3" t="s">
        <v>799</v>
      </c>
      <c r="K11" s="262"/>
    </row>
    <row r="12" spans="1:14" ht="22.5" customHeight="1" x14ac:dyDescent="0.2">
      <c r="A12" s="6" t="s">
        <v>16</v>
      </c>
      <c r="B12" s="3">
        <v>4</v>
      </c>
      <c r="C12" s="3" t="s">
        <v>798</v>
      </c>
      <c r="D12" s="262" t="s">
        <v>882</v>
      </c>
      <c r="E12" s="6" t="s">
        <v>18</v>
      </c>
      <c r="F12" s="3">
        <v>3</v>
      </c>
      <c r="G12" s="3" t="s">
        <v>801</v>
      </c>
      <c r="H12" s="262" t="s">
        <v>870</v>
      </c>
      <c r="I12" s="6" t="s">
        <v>71</v>
      </c>
      <c r="J12" s="3" t="s">
        <v>797</v>
      </c>
      <c r="K12" s="262" t="s">
        <v>943</v>
      </c>
    </row>
    <row r="13" spans="1:14" ht="22.5" customHeight="1" x14ac:dyDescent="0.2">
      <c r="A13" s="6" t="s">
        <v>17</v>
      </c>
      <c r="B13" s="3">
        <v>4</v>
      </c>
      <c r="C13" s="3" t="s">
        <v>798</v>
      </c>
      <c r="D13" s="262"/>
      <c r="E13" s="6" t="s">
        <v>187</v>
      </c>
      <c r="F13" s="3">
        <v>3</v>
      </c>
      <c r="G13" s="3" t="s">
        <v>801</v>
      </c>
      <c r="H13" s="262" t="s">
        <v>891</v>
      </c>
      <c r="I13" s="6" t="s">
        <v>73</v>
      </c>
      <c r="J13" s="3" t="s">
        <v>800</v>
      </c>
      <c r="K13" s="262"/>
    </row>
    <row r="14" spans="1:14" ht="22.5" customHeight="1" x14ac:dyDescent="0.2">
      <c r="A14" s="6" t="s">
        <v>20</v>
      </c>
      <c r="B14" s="3">
        <v>4</v>
      </c>
      <c r="C14" s="3" t="s">
        <v>797</v>
      </c>
      <c r="D14" s="262"/>
      <c r="E14" s="6" t="s">
        <v>19</v>
      </c>
      <c r="F14" s="3">
        <v>5</v>
      </c>
      <c r="G14" s="3" t="s">
        <v>796</v>
      </c>
      <c r="H14" s="262"/>
      <c r="I14" s="6" t="s">
        <v>72</v>
      </c>
      <c r="J14" s="3" t="s">
        <v>799</v>
      </c>
      <c r="K14" s="262"/>
    </row>
    <row r="15" spans="1:14" ht="22.5" customHeight="1" x14ac:dyDescent="0.2">
      <c r="A15" s="6" t="s">
        <v>23</v>
      </c>
      <c r="B15" s="276" t="s">
        <v>868</v>
      </c>
      <c r="C15" s="3" t="s">
        <v>801</v>
      </c>
      <c r="D15" s="262" t="s">
        <v>880</v>
      </c>
      <c r="E15" s="6" t="s">
        <v>28</v>
      </c>
      <c r="F15" s="3">
        <v>2</v>
      </c>
      <c r="G15" s="3" t="s">
        <v>798</v>
      </c>
      <c r="H15" s="262" t="s">
        <v>892</v>
      </c>
      <c r="I15" s="6" t="s">
        <v>70</v>
      </c>
      <c r="J15" s="3" t="s">
        <v>801</v>
      </c>
      <c r="K15" s="262" t="s">
        <v>898</v>
      </c>
    </row>
    <row r="16" spans="1:14" ht="22.5" customHeight="1" x14ac:dyDescent="0.2">
      <c r="A16" s="6" t="s">
        <v>24</v>
      </c>
      <c r="B16" s="3">
        <v>4</v>
      </c>
      <c r="C16" s="3" t="s">
        <v>801</v>
      </c>
      <c r="D16" s="262" t="s">
        <v>927</v>
      </c>
      <c r="E16" s="6" t="s">
        <v>417</v>
      </c>
      <c r="F16" s="3">
        <v>5</v>
      </c>
      <c r="G16" s="3" t="s">
        <v>799</v>
      </c>
      <c r="H16" s="262" t="s">
        <v>893</v>
      </c>
      <c r="I16" s="6" t="s">
        <v>43</v>
      </c>
      <c r="J16" s="3" t="s">
        <v>799</v>
      </c>
      <c r="K16" s="262"/>
    </row>
    <row r="17" spans="1:11" ht="22.5" customHeight="1" x14ac:dyDescent="0.2">
      <c r="A17" s="6" t="s">
        <v>25</v>
      </c>
      <c r="B17" s="3">
        <v>4</v>
      </c>
      <c r="C17" s="3" t="s">
        <v>796</v>
      </c>
      <c r="D17" s="262" t="s">
        <v>869</v>
      </c>
      <c r="E17" s="6" t="s">
        <v>108</v>
      </c>
      <c r="F17" s="3">
        <v>2</v>
      </c>
      <c r="G17" s="3" t="s">
        <v>800</v>
      </c>
      <c r="H17" s="262"/>
      <c r="I17" s="6" t="s">
        <v>44</v>
      </c>
      <c r="J17" s="3" t="s">
        <v>799</v>
      </c>
      <c r="K17" s="262"/>
    </row>
    <row r="18" spans="1:11" ht="22.5" customHeight="1" x14ac:dyDescent="0.2">
      <c r="A18" s="6" t="s">
        <v>32</v>
      </c>
      <c r="B18" s="3">
        <v>5</v>
      </c>
      <c r="C18" s="3" t="s">
        <v>798</v>
      </c>
      <c r="D18" s="262"/>
      <c r="E18" s="6" t="s">
        <v>33</v>
      </c>
      <c r="F18" s="3">
        <v>4</v>
      </c>
      <c r="G18" s="3" t="s">
        <v>800</v>
      </c>
      <c r="H18" s="262"/>
      <c r="I18" s="4" t="s">
        <v>68</v>
      </c>
      <c r="J18" s="3" t="s">
        <v>799</v>
      </c>
      <c r="K18" s="262"/>
    </row>
    <row r="19" spans="1:11" ht="22.5" customHeight="1" x14ac:dyDescent="0.2">
      <c r="A19" s="6" t="s">
        <v>27</v>
      </c>
      <c r="B19" s="3">
        <v>3</v>
      </c>
      <c r="C19" s="3" t="s">
        <v>799</v>
      </c>
      <c r="D19" s="262" t="s">
        <v>928</v>
      </c>
      <c r="E19" s="6" t="s">
        <v>30</v>
      </c>
      <c r="F19" s="3">
        <v>4</v>
      </c>
      <c r="G19" s="3" t="s">
        <v>800</v>
      </c>
      <c r="H19" s="262"/>
      <c r="I19" s="4" t="s">
        <v>69</v>
      </c>
      <c r="J19" s="3" t="s">
        <v>801</v>
      </c>
      <c r="K19" s="262" t="s">
        <v>897</v>
      </c>
    </row>
    <row r="20" spans="1:11" ht="22.5" customHeight="1" x14ac:dyDescent="0.2">
      <c r="A20" s="6" t="s">
        <v>31</v>
      </c>
      <c r="B20" s="3">
        <v>7</v>
      </c>
      <c r="C20" s="3" t="s">
        <v>798</v>
      </c>
      <c r="D20" s="262" t="s">
        <v>869</v>
      </c>
      <c r="E20" s="6" t="s">
        <v>35</v>
      </c>
      <c r="F20" s="3">
        <v>7</v>
      </c>
      <c r="G20" s="3" t="s">
        <v>798</v>
      </c>
      <c r="H20" s="262" t="s">
        <v>894</v>
      </c>
      <c r="I20" s="4" t="s">
        <v>67</v>
      </c>
      <c r="J20" s="3" t="s">
        <v>797</v>
      </c>
      <c r="K20" s="262"/>
    </row>
    <row r="21" spans="1:11" ht="22.5" customHeight="1" x14ac:dyDescent="0.2">
      <c r="A21" s="6" t="s">
        <v>40</v>
      </c>
      <c r="B21" s="3">
        <v>4</v>
      </c>
      <c r="C21" s="3" t="s">
        <v>798</v>
      </c>
      <c r="D21" s="262" t="s">
        <v>870</v>
      </c>
      <c r="E21" s="6" t="s">
        <v>34</v>
      </c>
      <c r="F21" s="3">
        <v>3</v>
      </c>
      <c r="G21" s="3" t="s">
        <v>801</v>
      </c>
      <c r="H21" s="262" t="s">
        <v>888</v>
      </c>
      <c r="I21" s="260"/>
      <c r="J21" s="3"/>
      <c r="K21" s="262"/>
    </row>
    <row r="22" spans="1:11" ht="22.5" customHeight="1" x14ac:dyDescent="0.2">
      <c r="A22" s="128" t="s">
        <v>651</v>
      </c>
      <c r="B22" s="3">
        <v>3</v>
      </c>
      <c r="C22" s="3" t="s">
        <v>801</v>
      </c>
      <c r="D22" s="262" t="s">
        <v>929</v>
      </c>
      <c r="E22" s="6" t="s">
        <v>36</v>
      </c>
      <c r="F22" s="3">
        <v>3</v>
      </c>
      <c r="G22" s="3" t="s">
        <v>801</v>
      </c>
      <c r="H22" s="262" t="s">
        <v>895</v>
      </c>
      <c r="I22" s="260"/>
      <c r="J22" s="3"/>
      <c r="K22" s="262"/>
    </row>
    <row r="23" spans="1:11" ht="22.5" customHeight="1" x14ac:dyDescent="0.2">
      <c r="A23" s="6" t="s">
        <v>41</v>
      </c>
      <c r="B23" s="3">
        <v>4</v>
      </c>
      <c r="C23" s="3" t="s">
        <v>801</v>
      </c>
      <c r="D23" s="262" t="s">
        <v>871</v>
      </c>
      <c r="E23" s="6" t="s">
        <v>37</v>
      </c>
      <c r="F23" s="3">
        <v>4</v>
      </c>
      <c r="G23" s="3" t="s">
        <v>798</v>
      </c>
      <c r="H23" s="262" t="s">
        <v>888</v>
      </c>
      <c r="I23" s="260"/>
      <c r="J23" s="3"/>
      <c r="K23" s="262"/>
    </row>
    <row r="24" spans="1:11" ht="22.5" customHeight="1" x14ac:dyDescent="0.2">
      <c r="A24" s="6" t="s">
        <v>38</v>
      </c>
      <c r="B24" s="3">
        <v>5</v>
      </c>
      <c r="C24" s="3" t="s">
        <v>799</v>
      </c>
      <c r="D24" s="262" t="s">
        <v>872</v>
      </c>
      <c r="E24" s="128" t="s">
        <v>256</v>
      </c>
      <c r="F24" s="3">
        <v>3</v>
      </c>
      <c r="G24" s="3" t="s">
        <v>801</v>
      </c>
      <c r="H24" s="262"/>
      <c r="I24" s="260"/>
      <c r="J24" s="3"/>
      <c r="K24" s="262"/>
    </row>
    <row r="25" spans="1:11" ht="22.5" customHeight="1" x14ac:dyDescent="0.2">
      <c r="A25" s="6" t="s">
        <v>39</v>
      </c>
      <c r="B25" s="3">
        <v>6</v>
      </c>
      <c r="C25" s="3" t="s">
        <v>797</v>
      </c>
      <c r="D25" s="262" t="s">
        <v>873</v>
      </c>
      <c r="E25" s="4" t="s">
        <v>45</v>
      </c>
      <c r="F25" s="3">
        <v>5</v>
      </c>
      <c r="G25" s="3" t="s">
        <v>799</v>
      </c>
      <c r="H25" s="262"/>
      <c r="I25" s="260"/>
      <c r="J25" s="3"/>
      <c r="K25" s="262"/>
    </row>
    <row r="26" spans="1:11" ht="22.5" customHeight="1" x14ac:dyDescent="0.2">
      <c r="A26" s="128" t="s">
        <v>42</v>
      </c>
      <c r="B26" s="3">
        <v>2</v>
      </c>
      <c r="C26" s="3" t="s">
        <v>798</v>
      </c>
      <c r="D26" s="262" t="s">
        <v>875</v>
      </c>
      <c r="E26" s="4" t="s">
        <v>46</v>
      </c>
      <c r="F26" s="3">
        <v>5</v>
      </c>
      <c r="G26" s="3" t="s">
        <v>797</v>
      </c>
      <c r="H26" s="262" t="s">
        <v>853</v>
      </c>
      <c r="I26" s="260"/>
      <c r="J26" s="3"/>
      <c r="K26" s="262"/>
    </row>
    <row r="27" spans="1:11" ht="22.5" customHeight="1" x14ac:dyDescent="0.2">
      <c r="A27" s="4" t="s">
        <v>50</v>
      </c>
      <c r="B27" s="3">
        <v>2</v>
      </c>
      <c r="C27" s="3" t="s">
        <v>799</v>
      </c>
      <c r="D27" s="262" t="s">
        <v>876</v>
      </c>
      <c r="E27" s="4" t="s">
        <v>47</v>
      </c>
      <c r="F27" s="3">
        <v>3</v>
      </c>
      <c r="G27" s="3" t="s">
        <v>798</v>
      </c>
      <c r="H27" s="262"/>
      <c r="I27" s="260"/>
      <c r="J27" s="3"/>
      <c r="K27" s="262"/>
    </row>
    <row r="28" spans="1:11" ht="22.5" customHeight="1" x14ac:dyDescent="0.2">
      <c r="A28" s="4" t="s">
        <v>51</v>
      </c>
      <c r="B28" s="3">
        <v>5</v>
      </c>
      <c r="C28" s="3" t="s">
        <v>798</v>
      </c>
      <c r="D28" s="262"/>
      <c r="E28" s="4" t="s">
        <v>48</v>
      </c>
      <c r="F28" s="3">
        <v>5</v>
      </c>
      <c r="G28" s="3" t="s">
        <v>797</v>
      </c>
      <c r="H28" s="262" t="s">
        <v>932</v>
      </c>
      <c r="I28" s="260"/>
      <c r="J28" s="3"/>
      <c r="K28" s="262"/>
    </row>
    <row r="29" spans="1:11" ht="22.5" customHeight="1" x14ac:dyDescent="0.2">
      <c r="A29" s="4" t="s">
        <v>56</v>
      </c>
      <c r="B29" s="3">
        <v>2</v>
      </c>
      <c r="C29" s="3" t="s">
        <v>798</v>
      </c>
      <c r="D29" s="262"/>
      <c r="E29" s="4" t="s">
        <v>52</v>
      </c>
      <c r="F29" s="3">
        <v>5</v>
      </c>
      <c r="G29" s="3" t="s">
        <v>796</v>
      </c>
      <c r="H29" s="262" t="s">
        <v>931</v>
      </c>
      <c r="I29" s="260"/>
      <c r="J29" s="3"/>
      <c r="K29" s="262"/>
    </row>
    <row r="30" spans="1:11" ht="22.5" customHeight="1" x14ac:dyDescent="0.2">
      <c r="A30" s="4" t="s">
        <v>49</v>
      </c>
      <c r="B30" s="3">
        <v>3</v>
      </c>
      <c r="C30" s="277" t="s">
        <v>797</v>
      </c>
      <c r="D30" s="262"/>
      <c r="E30" s="4" t="s">
        <v>57</v>
      </c>
      <c r="F30" s="3">
        <v>0</v>
      </c>
      <c r="G30" s="3" t="s">
        <v>798</v>
      </c>
      <c r="H30" s="262"/>
      <c r="I30" s="260"/>
      <c r="J30" s="3"/>
      <c r="K30" s="262"/>
    </row>
    <row r="31" spans="1:11" ht="22.5" customHeight="1" x14ac:dyDescent="0.2">
      <c r="A31" s="4" t="s">
        <v>53</v>
      </c>
      <c r="B31" s="3">
        <v>4</v>
      </c>
      <c r="C31" s="3" t="s">
        <v>798</v>
      </c>
      <c r="D31" s="262" t="s">
        <v>878</v>
      </c>
      <c r="E31" s="4" t="s">
        <v>61</v>
      </c>
      <c r="F31" s="3">
        <v>4</v>
      </c>
      <c r="G31" s="3" t="s">
        <v>798</v>
      </c>
      <c r="H31" s="262"/>
      <c r="I31" s="260"/>
      <c r="J31" s="3"/>
      <c r="K31" s="262"/>
    </row>
    <row r="32" spans="1:11" ht="22.5" customHeight="1" x14ac:dyDescent="0.2">
      <c r="A32" s="4" t="s">
        <v>62</v>
      </c>
      <c r="B32" s="3">
        <v>4</v>
      </c>
      <c r="C32" s="3" t="s">
        <v>797</v>
      </c>
      <c r="D32" s="262" t="s">
        <v>942</v>
      </c>
      <c r="E32" s="4" t="s">
        <v>58</v>
      </c>
      <c r="F32" s="3">
        <v>5</v>
      </c>
      <c r="G32" s="3" t="s">
        <v>798</v>
      </c>
      <c r="H32" s="262"/>
      <c r="I32" s="260"/>
      <c r="J32" s="3"/>
      <c r="K32" s="262"/>
    </row>
    <row r="33" spans="1:11" ht="22.5" customHeight="1" x14ac:dyDescent="0.2">
      <c r="A33" s="4" t="s">
        <v>63</v>
      </c>
      <c r="B33" s="3">
        <v>3</v>
      </c>
      <c r="C33" s="3" t="s">
        <v>799</v>
      </c>
      <c r="D33" s="262" t="s">
        <v>874</v>
      </c>
      <c r="E33" s="4" t="s">
        <v>59</v>
      </c>
      <c r="F33" s="3">
        <v>5</v>
      </c>
      <c r="G33" s="3" t="s">
        <v>797</v>
      </c>
      <c r="H33" s="262"/>
      <c r="I33" s="260"/>
      <c r="J33" s="3"/>
      <c r="K33" s="262"/>
    </row>
    <row r="34" spans="1:11" ht="22.5" customHeight="1" x14ac:dyDescent="0.2">
      <c r="A34" s="4" t="s">
        <v>64</v>
      </c>
      <c r="B34" s="3">
        <v>2</v>
      </c>
      <c r="C34" s="3" t="s">
        <v>799</v>
      </c>
      <c r="D34" s="262"/>
      <c r="E34" s="4" t="s">
        <v>60</v>
      </c>
      <c r="F34" s="3">
        <v>5</v>
      </c>
      <c r="G34" s="3" t="s">
        <v>798</v>
      </c>
      <c r="H34" s="262"/>
      <c r="I34" s="260"/>
      <c r="J34" s="3"/>
      <c r="K34" s="262"/>
    </row>
    <row r="35" spans="1:11" ht="22.5" customHeight="1" x14ac:dyDescent="0.2">
      <c r="A35" s="4" t="s">
        <v>55</v>
      </c>
      <c r="B35" s="3">
        <v>3</v>
      </c>
      <c r="C35" s="3" t="s">
        <v>797</v>
      </c>
      <c r="D35" s="262"/>
      <c r="E35" s="9" t="s">
        <v>81</v>
      </c>
      <c r="F35" s="3">
        <v>3</v>
      </c>
      <c r="G35" s="3" t="s">
        <v>797</v>
      </c>
      <c r="H35" s="3"/>
      <c r="I35" s="3"/>
      <c r="J35" s="3"/>
      <c r="K35" s="3"/>
    </row>
    <row r="36" spans="1:11" ht="22.5" customHeight="1" x14ac:dyDescent="0.2">
      <c r="A36" s="130" t="s">
        <v>66</v>
      </c>
      <c r="B36" s="3">
        <v>3</v>
      </c>
      <c r="C36" s="3" t="s">
        <v>796</v>
      </c>
      <c r="D36" s="262" t="s">
        <v>452</v>
      </c>
      <c r="E36" s="9" t="s">
        <v>83</v>
      </c>
      <c r="F36" s="3">
        <v>3</v>
      </c>
      <c r="G36" s="3" t="s">
        <v>800</v>
      </c>
      <c r="H36" s="3"/>
      <c r="I36" s="3"/>
      <c r="J36" s="3"/>
      <c r="K36" s="3"/>
    </row>
    <row r="37" spans="1:11" ht="22.5" customHeight="1" x14ac:dyDescent="0.2">
      <c r="A37" s="4" t="s">
        <v>65</v>
      </c>
      <c r="B37" s="3">
        <v>5</v>
      </c>
      <c r="C37" s="3" t="s">
        <v>798</v>
      </c>
      <c r="D37" s="262"/>
      <c r="E37" s="9" t="s">
        <v>84</v>
      </c>
      <c r="F37" s="3">
        <v>3</v>
      </c>
      <c r="G37" s="3" t="s">
        <v>797</v>
      </c>
      <c r="H37" s="3"/>
      <c r="I37" s="3"/>
      <c r="J37" s="3"/>
      <c r="K37" s="3"/>
    </row>
    <row r="38" spans="1:11" ht="22.5" customHeight="1" x14ac:dyDescent="0.2">
      <c r="A38" s="9" t="s">
        <v>82</v>
      </c>
      <c r="B38" s="3">
        <v>4</v>
      </c>
      <c r="C38" s="3" t="s">
        <v>798</v>
      </c>
      <c r="D38" s="262"/>
      <c r="E38" s="9" t="s">
        <v>138</v>
      </c>
      <c r="F38" s="3">
        <v>5</v>
      </c>
      <c r="G38" s="3" t="s">
        <v>796</v>
      </c>
      <c r="H38" s="3"/>
      <c r="I38" s="3"/>
      <c r="J38" s="3"/>
      <c r="K38" s="3"/>
    </row>
    <row r="39" spans="1:11" ht="22.5" customHeight="1" x14ac:dyDescent="0.2">
      <c r="A39" s="9" t="s">
        <v>79</v>
      </c>
      <c r="B39" s="3">
        <v>3</v>
      </c>
      <c r="C39" s="3" t="s">
        <v>798</v>
      </c>
      <c r="D39" s="262" t="s">
        <v>883</v>
      </c>
      <c r="E39" s="3"/>
      <c r="F39" s="3"/>
      <c r="G39" s="3"/>
      <c r="H39" s="3"/>
      <c r="I39" s="3"/>
      <c r="J39" s="3"/>
      <c r="K39" s="3"/>
    </row>
    <row r="40" spans="1:11" ht="22.5" customHeight="1" x14ac:dyDescent="0.2">
      <c r="A40" s="9" t="s">
        <v>80</v>
      </c>
      <c r="B40" s="3">
        <v>2</v>
      </c>
      <c r="C40" s="3" t="s">
        <v>798</v>
      </c>
      <c r="D40" s="262" t="s">
        <v>884</v>
      </c>
      <c r="E40" s="3"/>
      <c r="F40" s="3"/>
      <c r="G40" s="3"/>
      <c r="H40" s="3"/>
      <c r="I40" s="3"/>
      <c r="J40" s="3"/>
      <c r="K40" s="3"/>
    </row>
    <row r="41" spans="1:11" ht="22.5" customHeight="1" x14ac:dyDescent="0.2">
      <c r="A41" s="9" t="s">
        <v>85</v>
      </c>
      <c r="B41" s="3">
        <v>3</v>
      </c>
      <c r="C41" s="3" t="s">
        <v>796</v>
      </c>
      <c r="D41" s="262" t="s">
        <v>930</v>
      </c>
      <c r="E41" s="3"/>
      <c r="F41" s="3"/>
      <c r="G41" s="3"/>
      <c r="H41" s="3"/>
      <c r="I41" s="3"/>
      <c r="J41" s="3"/>
      <c r="K41" s="3"/>
    </row>
    <row r="42" spans="1:11" ht="22.5" customHeight="1" x14ac:dyDescent="0.2">
      <c r="A42" s="9" t="s">
        <v>86</v>
      </c>
      <c r="B42" s="3">
        <v>5</v>
      </c>
      <c r="C42" s="3" t="s">
        <v>801</v>
      </c>
      <c r="D42" s="262"/>
      <c r="E42" s="3"/>
      <c r="F42" s="3"/>
      <c r="G42" s="3"/>
      <c r="H42" s="3"/>
      <c r="I42" s="3"/>
      <c r="J42" s="3"/>
      <c r="K42" s="3"/>
    </row>
    <row r="43" spans="1:11" ht="22.5" customHeight="1" x14ac:dyDescent="0.2">
      <c r="A43" s="9" t="s">
        <v>78</v>
      </c>
      <c r="B43" s="3">
        <v>2</v>
      </c>
      <c r="C43" s="3" t="s">
        <v>798</v>
      </c>
      <c r="D43" s="262"/>
      <c r="E43" s="3"/>
      <c r="F43" s="3"/>
      <c r="G43" s="3"/>
      <c r="H43" s="3"/>
      <c r="I43" s="3"/>
      <c r="J43" s="3"/>
      <c r="K43" s="3"/>
    </row>
    <row r="44" spans="1:11" ht="22.5" customHeight="1" x14ac:dyDescent="0.2">
      <c r="A44" s="10" t="s">
        <v>54</v>
      </c>
      <c r="B44" s="3">
        <v>3</v>
      </c>
      <c r="C44" s="3" t="s">
        <v>799</v>
      </c>
      <c r="D44" s="262" t="s">
        <v>885</v>
      </c>
      <c r="E44" s="3"/>
      <c r="F44" s="3"/>
      <c r="G44" s="3"/>
      <c r="H44" s="3"/>
      <c r="I44" s="3"/>
      <c r="J44" s="3"/>
      <c r="K44" s="3"/>
    </row>
    <row r="45" spans="1:11" ht="22.5" customHeight="1" x14ac:dyDescent="0.2">
      <c r="A45" s="9" t="s">
        <v>87</v>
      </c>
      <c r="B45" s="3">
        <v>4</v>
      </c>
      <c r="C45" s="3" t="s">
        <v>796</v>
      </c>
      <c r="D45" s="262" t="s">
        <v>886</v>
      </c>
      <c r="E45" s="3"/>
      <c r="F45" s="3"/>
      <c r="G45" s="3"/>
      <c r="H45" s="3"/>
      <c r="I45" s="3"/>
      <c r="J45" s="3"/>
      <c r="K45" s="3"/>
    </row>
    <row r="46" spans="1:11" ht="22.5" customHeight="1" x14ac:dyDescent="0.2">
      <c r="A46" s="9" t="s">
        <v>88</v>
      </c>
      <c r="B46" s="3">
        <v>2</v>
      </c>
      <c r="C46" s="3" t="s">
        <v>799</v>
      </c>
      <c r="D46" s="262" t="s">
        <v>887</v>
      </c>
      <c r="E46" s="3"/>
      <c r="F46" s="3"/>
      <c r="G46" s="3"/>
      <c r="H46" s="3"/>
      <c r="I46" s="3"/>
      <c r="J46" s="3"/>
      <c r="K46" s="3"/>
    </row>
  </sheetData>
  <phoneticPr fontId="1" type="noConversion"/>
  <conditionalFormatting sqref="B2:B46">
    <cfRule type="colorScale" priority="332">
      <colorScale>
        <cfvo type="min"/>
        <cfvo type="percentile" val="50"/>
        <cfvo type="max"/>
        <color rgb="FF63BE7B"/>
        <color rgb="FFFFEB84"/>
        <color rgb="FFF8696B"/>
      </colorScale>
    </cfRule>
  </conditionalFormatting>
  <conditionalFormatting sqref="C2:C46">
    <cfRule type="cellIs" dxfId="70" priority="58" operator="equal">
      <formula>"SSS"</formula>
    </cfRule>
  </conditionalFormatting>
  <conditionalFormatting sqref="C2:D34 D13:D46 C28:C46">
    <cfRule type="cellIs" dxfId="69" priority="75" operator="equal">
      <formula>"D"</formula>
    </cfRule>
    <cfRule type="cellIs" dxfId="68" priority="76" operator="equal">
      <formula>"C"</formula>
    </cfRule>
    <cfRule type="cellIs" dxfId="67" priority="77" operator="equal">
      <formula>"B"</formula>
    </cfRule>
    <cfRule type="cellIs" dxfId="66" priority="78" operator="equal">
      <formula>"A"</formula>
    </cfRule>
    <cfRule type="cellIs" dxfId="65" priority="79" operator="equal">
      <formula>"S"</formula>
    </cfRule>
    <cfRule type="cellIs" dxfId="64" priority="80" operator="equal">
      <formula>"SS"</formula>
    </cfRule>
  </conditionalFormatting>
  <conditionalFormatting sqref="C35:D46">
    <cfRule type="colorScale" priority="333">
      <colorScale>
        <cfvo type="min"/>
        <cfvo type="percentile" val="50"/>
        <cfvo type="max"/>
        <color rgb="FF63BE7B"/>
        <color rgb="FFFFEB84"/>
        <color rgb="FFF8696B"/>
      </colorScale>
    </cfRule>
  </conditionalFormatting>
  <conditionalFormatting sqref="E39:E46 G44:K46">
    <cfRule type="colorScale" priority="60">
      <colorScale>
        <cfvo type="min"/>
        <cfvo type="percentile" val="50"/>
        <cfvo type="max"/>
        <color rgb="FF63BE7B"/>
        <color rgb="FFFFEB84"/>
        <color rgb="FFF8696B"/>
      </colorScale>
    </cfRule>
  </conditionalFormatting>
  <conditionalFormatting sqref="F2:F46">
    <cfRule type="colorScale" priority="56">
      <colorScale>
        <cfvo type="min"/>
        <cfvo type="percentile" val="50"/>
        <cfvo type="max"/>
        <color rgb="FF63BE7B"/>
        <color rgb="FFFFEB84"/>
        <color rgb="FFF8696B"/>
      </colorScale>
    </cfRule>
  </conditionalFormatting>
  <conditionalFormatting sqref="G2:H33 H34 G34:G38">
    <cfRule type="cellIs" dxfId="63" priority="68" operator="equal">
      <formula>"D"</formula>
    </cfRule>
    <cfRule type="cellIs" dxfId="62" priority="69" operator="equal">
      <formula>"C"</formula>
    </cfRule>
    <cfRule type="cellIs" dxfId="61" priority="70" operator="equal">
      <formula>"B"</formula>
    </cfRule>
    <cfRule type="cellIs" dxfId="60" priority="71" operator="equal">
      <formula>"A"</formula>
    </cfRule>
    <cfRule type="cellIs" dxfId="59" priority="72" operator="equal">
      <formula>"S"</formula>
    </cfRule>
    <cfRule type="cellIs" dxfId="58" priority="73" operator="equal">
      <formula>"SS"</formula>
    </cfRule>
  </conditionalFormatting>
  <conditionalFormatting sqref="G39:K43 H35:K38">
    <cfRule type="colorScale" priority="59">
      <colorScale>
        <cfvo type="min"/>
        <cfvo type="percentile" val="50"/>
        <cfvo type="max"/>
        <color rgb="FF63BE7B"/>
        <color rgb="FFFFEB84"/>
        <color rgb="FFF8696B"/>
      </colorScale>
    </cfRule>
  </conditionalFormatting>
  <conditionalFormatting sqref="J2:K34">
    <cfRule type="cellIs" dxfId="57" priority="61" operator="equal">
      <formula>"D"</formula>
    </cfRule>
    <cfRule type="cellIs" dxfId="56" priority="62" operator="equal">
      <formula>"C"</formula>
    </cfRule>
    <cfRule type="cellIs" dxfId="55" priority="63" operator="equal">
      <formula>"B"</formula>
    </cfRule>
    <cfRule type="cellIs" dxfId="54" priority="64" operator="equal">
      <formula>"A"</formula>
    </cfRule>
    <cfRule type="cellIs" dxfId="53" priority="65" operator="equal">
      <formula>"S"</formula>
    </cfRule>
    <cfRule type="cellIs" dxfId="52" priority="66" operator="equal">
      <formula>"SS"</formula>
    </cfRule>
  </conditionalFormatting>
  <conditionalFormatting sqref="M2:N2">
    <cfRule type="cellIs" dxfId="51" priority="7" operator="equal">
      <formula>"SSS"</formula>
    </cfRule>
  </conditionalFormatting>
  <conditionalFormatting sqref="M2:N8">
    <cfRule type="cellIs" dxfId="50" priority="8" operator="equal">
      <formula>"D"</formula>
    </cfRule>
    <cfRule type="cellIs" dxfId="49" priority="9" operator="equal">
      <formula>"C"</formula>
    </cfRule>
    <cfRule type="cellIs" dxfId="48" priority="10" operator="equal">
      <formula>"B"</formula>
    </cfRule>
    <cfRule type="cellIs" dxfId="47" priority="11" operator="equal">
      <formula>"A"</formula>
    </cfRule>
    <cfRule type="cellIs" dxfId="46" priority="12" operator="equal">
      <formula>"S"</formula>
    </cfRule>
    <cfRule type="cellIs" dxfId="45" priority="13" operator="equal">
      <formula>"SS"</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FADC5-C233-4D31-85CC-6DBDA1BEA510}">
  <sheetPr>
    <tabColor rgb="FF002060"/>
  </sheetPr>
  <dimension ref="A1:G37"/>
  <sheetViews>
    <sheetView workbookViewId="0">
      <selection activeCell="F7" sqref="F7"/>
    </sheetView>
  </sheetViews>
  <sheetFormatPr defaultRowHeight="14.25" x14ac:dyDescent="0.2"/>
  <cols>
    <col min="1" max="1" width="14.375" customWidth="1"/>
    <col min="2" max="2" width="8.25" customWidth="1"/>
    <col min="3" max="3" width="32.875" customWidth="1"/>
    <col min="6" max="6" width="11.625" customWidth="1"/>
  </cols>
  <sheetData>
    <row r="1" spans="1:7" ht="22.5" customHeight="1" x14ac:dyDescent="0.2">
      <c r="A1" s="260" t="s">
        <v>925</v>
      </c>
      <c r="B1" s="3" t="s">
        <v>747</v>
      </c>
      <c r="C1" s="262" t="s">
        <v>795</v>
      </c>
    </row>
    <row r="2" spans="1:7" ht="22.5" customHeight="1" x14ac:dyDescent="0.2">
      <c r="A2" s="260" t="s">
        <v>297</v>
      </c>
      <c r="B2" s="274" t="s">
        <v>860</v>
      </c>
      <c r="C2" s="262" t="s">
        <v>940</v>
      </c>
      <c r="E2" s="274" t="s">
        <v>860</v>
      </c>
      <c r="F2" s="275" t="s">
        <v>938</v>
      </c>
      <c r="G2" s="314" t="s">
        <v>918</v>
      </c>
    </row>
    <row r="3" spans="1:7" ht="22.5" customHeight="1" x14ac:dyDescent="0.2">
      <c r="A3" s="260" t="s">
        <v>70</v>
      </c>
      <c r="B3" s="3" t="s">
        <v>838</v>
      </c>
      <c r="C3" s="262" t="s">
        <v>907</v>
      </c>
      <c r="E3" s="3" t="s">
        <v>838</v>
      </c>
      <c r="F3" s="267" t="s">
        <v>903</v>
      </c>
      <c r="G3" s="314"/>
    </row>
    <row r="4" spans="1:7" ht="22.5" customHeight="1" x14ac:dyDescent="0.2">
      <c r="A4" s="260" t="s">
        <v>311</v>
      </c>
      <c r="B4" s="3" t="s">
        <v>838</v>
      </c>
      <c r="C4" s="262" t="s">
        <v>401</v>
      </c>
      <c r="E4" s="3" t="s">
        <v>832</v>
      </c>
      <c r="F4" s="268" t="s">
        <v>904</v>
      </c>
      <c r="G4" s="314"/>
    </row>
    <row r="5" spans="1:7" ht="22.5" customHeight="1" x14ac:dyDescent="0.2">
      <c r="A5" s="260" t="s">
        <v>75</v>
      </c>
      <c r="B5" s="3" t="s">
        <v>838</v>
      </c>
      <c r="C5" s="262" t="s">
        <v>908</v>
      </c>
      <c r="E5" s="3" t="s">
        <v>834</v>
      </c>
      <c r="F5" s="269" t="s">
        <v>905</v>
      </c>
      <c r="G5" s="314"/>
    </row>
    <row r="6" spans="1:7" ht="22.5" customHeight="1" x14ac:dyDescent="0.2">
      <c r="A6" s="260" t="s">
        <v>76</v>
      </c>
      <c r="B6" s="3" t="s">
        <v>801</v>
      </c>
      <c r="C6" s="262" t="s">
        <v>936</v>
      </c>
      <c r="E6" s="3" t="s">
        <v>796</v>
      </c>
      <c r="F6" s="270" t="s">
        <v>906</v>
      </c>
      <c r="G6" s="273" t="s">
        <v>847</v>
      </c>
    </row>
    <row r="7" spans="1:7" ht="22.5" customHeight="1" x14ac:dyDescent="0.2">
      <c r="A7" s="260" t="s">
        <v>301</v>
      </c>
      <c r="B7" s="3" t="s">
        <v>799</v>
      </c>
      <c r="C7" s="262" t="s">
        <v>921</v>
      </c>
    </row>
    <row r="8" spans="1:7" ht="22.5" customHeight="1" x14ac:dyDescent="0.2">
      <c r="A8" s="260" t="s">
        <v>335</v>
      </c>
      <c r="B8" s="3" t="s">
        <v>832</v>
      </c>
      <c r="C8" s="262" t="s">
        <v>917</v>
      </c>
    </row>
    <row r="9" spans="1:7" ht="22.5" customHeight="1" x14ac:dyDescent="0.2">
      <c r="A9" s="260" t="s">
        <v>619</v>
      </c>
      <c r="B9" s="3" t="s">
        <v>832</v>
      </c>
      <c r="C9" s="262" t="s">
        <v>909</v>
      </c>
    </row>
    <row r="10" spans="1:7" ht="22.5" customHeight="1" x14ac:dyDescent="0.2">
      <c r="A10" s="260" t="s">
        <v>902</v>
      </c>
      <c r="B10" s="3" t="s">
        <v>799</v>
      </c>
      <c r="C10" s="262" t="s">
        <v>941</v>
      </c>
    </row>
    <row r="11" spans="1:7" ht="22.5" customHeight="1" x14ac:dyDescent="0.2">
      <c r="A11" s="260" t="s">
        <v>618</v>
      </c>
      <c r="B11" s="3" t="s">
        <v>798</v>
      </c>
      <c r="C11" s="262" t="s">
        <v>937</v>
      </c>
    </row>
    <row r="12" spans="1:7" ht="22.5" customHeight="1" x14ac:dyDescent="0.2">
      <c r="A12" s="260" t="s">
        <v>298</v>
      </c>
      <c r="B12" s="3" t="s">
        <v>798</v>
      </c>
      <c r="C12" s="262" t="s">
        <v>939</v>
      </c>
    </row>
    <row r="13" spans="1:7" ht="22.5" customHeight="1" x14ac:dyDescent="0.2">
      <c r="A13" s="260" t="s">
        <v>299</v>
      </c>
      <c r="B13" s="3" t="s">
        <v>834</v>
      </c>
      <c r="C13" s="262" t="s">
        <v>802</v>
      </c>
    </row>
    <row r="14" spans="1:7" ht="22.5" customHeight="1" x14ac:dyDescent="0.2">
      <c r="A14" s="260" t="s">
        <v>649</v>
      </c>
      <c r="B14" s="3" t="s">
        <v>798</v>
      </c>
      <c r="C14" s="262" t="s">
        <v>910</v>
      </c>
    </row>
    <row r="15" spans="1:7" ht="22.5" customHeight="1" x14ac:dyDescent="0.2">
      <c r="A15" s="260" t="s">
        <v>300</v>
      </c>
      <c r="B15" s="3" t="s">
        <v>796</v>
      </c>
      <c r="C15" s="262" t="s">
        <v>911</v>
      </c>
    </row>
    <row r="16" spans="1:7" ht="22.5" customHeight="1" x14ac:dyDescent="0.2"/>
    <row r="17" ht="22.5" customHeight="1" x14ac:dyDescent="0.2"/>
    <row r="18" ht="22.5" customHeight="1" x14ac:dyDescent="0.2"/>
    <row r="19" ht="22.5" customHeight="1" x14ac:dyDescent="0.2"/>
    <row r="20" ht="22.5" customHeight="1" x14ac:dyDescent="0.2"/>
    <row r="21" ht="22.5" customHeight="1" x14ac:dyDescent="0.2"/>
    <row r="22" ht="22.5" customHeight="1" x14ac:dyDescent="0.2"/>
    <row r="23" ht="22.5" customHeight="1" x14ac:dyDescent="0.2"/>
    <row r="24" ht="22.5" customHeight="1" x14ac:dyDescent="0.2"/>
    <row r="25" ht="22.5" customHeight="1" x14ac:dyDescent="0.2"/>
    <row r="26" ht="22.5" customHeight="1" x14ac:dyDescent="0.2"/>
    <row r="27" ht="22.5" customHeight="1" x14ac:dyDescent="0.2"/>
    <row r="28" ht="22.5" customHeight="1" x14ac:dyDescent="0.2"/>
    <row r="29" ht="22.5" customHeight="1" x14ac:dyDescent="0.2"/>
    <row r="30" ht="22.5" customHeight="1" x14ac:dyDescent="0.2"/>
    <row r="31" ht="22.5" customHeight="1" x14ac:dyDescent="0.2"/>
    <row r="32" ht="22.5" customHeight="1" x14ac:dyDescent="0.2"/>
    <row r="33" ht="22.5" customHeight="1" x14ac:dyDescent="0.2"/>
    <row r="34" ht="22.5" customHeight="1" x14ac:dyDescent="0.2"/>
    <row r="35" ht="22.5" customHeight="1" x14ac:dyDescent="0.2"/>
    <row r="36" ht="22.5" customHeight="1" x14ac:dyDescent="0.2"/>
    <row r="37" ht="22.5" customHeight="1" x14ac:dyDescent="0.2"/>
  </sheetData>
  <sortState xmlns:xlrd2="http://schemas.microsoft.com/office/spreadsheetml/2017/richdata2" ref="A1:C15">
    <sortCondition descending="1" ref="B1:B15"/>
  </sortState>
  <mergeCells count="1">
    <mergeCell ref="G2:G5"/>
  </mergeCells>
  <phoneticPr fontId="1" type="noConversion"/>
  <conditionalFormatting sqref="B2">
    <cfRule type="cellIs" dxfId="44" priority="1" operator="equal">
      <formula>"SSS"</formula>
    </cfRule>
  </conditionalFormatting>
  <conditionalFormatting sqref="B2:B15">
    <cfRule type="cellIs" dxfId="43" priority="2" operator="equal">
      <formula>"D"</formula>
    </cfRule>
    <cfRule type="cellIs" dxfId="42" priority="3" operator="equal">
      <formula>"C"</formula>
    </cfRule>
    <cfRule type="cellIs" dxfId="41" priority="4" operator="equal">
      <formula>"B"</formula>
    </cfRule>
    <cfRule type="cellIs" dxfId="40" priority="5" operator="equal">
      <formula>"A"</formula>
    </cfRule>
    <cfRule type="cellIs" dxfId="39" priority="6" operator="equal">
      <formula>"S"</formula>
    </cfRule>
    <cfRule type="cellIs" dxfId="38" priority="7" operator="equal">
      <formula>"SS"</formula>
    </cfRule>
  </conditionalFormatting>
  <conditionalFormatting sqref="E2:F2">
    <cfRule type="cellIs" dxfId="37" priority="8" operator="equal">
      <formula>"SSS"</formula>
    </cfRule>
  </conditionalFormatting>
  <conditionalFormatting sqref="E2:F6">
    <cfRule type="cellIs" dxfId="36" priority="9" operator="equal">
      <formula>"D"</formula>
    </cfRule>
    <cfRule type="cellIs" dxfId="35" priority="10" operator="equal">
      <formula>"C"</formula>
    </cfRule>
    <cfRule type="cellIs" dxfId="34" priority="11" operator="equal">
      <formula>"B"</formula>
    </cfRule>
    <cfRule type="cellIs" dxfId="33" priority="12" operator="equal">
      <formula>"A"</formula>
    </cfRule>
    <cfRule type="cellIs" dxfId="32" priority="13" operator="equal">
      <formula>"S"</formula>
    </cfRule>
    <cfRule type="cellIs" dxfId="31" priority="14" operator="equal">
      <formula>"SS"</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27F0-3AA7-40AE-AE26-DD21CCBFBD6F}">
  <sheetPr codeName="Sheet14"/>
  <dimension ref="A1:V66"/>
  <sheetViews>
    <sheetView topLeftCell="A28" workbookViewId="0">
      <selection activeCell="D67" sqref="D67"/>
    </sheetView>
  </sheetViews>
  <sheetFormatPr defaultColWidth="8.625" defaultRowHeight="14.25" x14ac:dyDescent="0.2"/>
  <cols>
    <col min="11" max="11" width="6.625" customWidth="1"/>
    <col min="15" max="17" width="19.375" customWidth="1"/>
    <col min="21" max="21" width="15.75" customWidth="1"/>
  </cols>
  <sheetData>
    <row r="1" spans="1:21" ht="15.75" thickTop="1" thickBot="1" x14ac:dyDescent="0.25">
      <c r="A1" s="67" t="s">
        <v>113</v>
      </c>
      <c r="B1" s="67" t="s">
        <v>114</v>
      </c>
      <c r="C1" s="67" t="s">
        <v>116</v>
      </c>
      <c r="D1" s="67" t="s">
        <v>115</v>
      </c>
      <c r="E1" s="67" t="s">
        <v>117</v>
      </c>
      <c r="F1" s="67" t="s">
        <v>120</v>
      </c>
      <c r="K1" t="s">
        <v>593</v>
      </c>
      <c r="O1" s="67" t="s">
        <v>113</v>
      </c>
      <c r="P1" s="33" t="s">
        <v>130</v>
      </c>
      <c r="Q1" s="20" t="s">
        <v>127</v>
      </c>
      <c r="R1" s="28" t="s">
        <v>2</v>
      </c>
      <c r="S1" s="4" t="s">
        <v>4</v>
      </c>
      <c r="T1" s="29" t="s">
        <v>3</v>
      </c>
      <c r="U1" s="66" t="s">
        <v>5</v>
      </c>
    </row>
    <row r="2" spans="1:21" ht="15.75" thickTop="1" thickBot="1" x14ac:dyDescent="0.25">
      <c r="A2" s="33" t="s">
        <v>130</v>
      </c>
      <c r="B2" s="42" t="e">
        <f>概率!#REF!</f>
        <v>#REF!</v>
      </c>
      <c r="C2" s="3" t="e">
        <f>5*B2</f>
        <v>#REF!</v>
      </c>
      <c r="D2" s="102" t="e">
        <f>(1-B3-B2)^195</f>
        <v>#REF!</v>
      </c>
      <c r="E2" s="104" t="s">
        <v>192</v>
      </c>
      <c r="F2" s="23" t="e">
        <f>C2*40*(1-D2)+(C2*39+B2/(B2+B3))*D2</f>
        <v>#REF!</v>
      </c>
      <c r="J2" t="s">
        <v>585</v>
      </c>
      <c r="K2" s="227" t="e">
        <f>(卡牌!V2-结果!D2)/概率!#REF!*40</f>
        <v>#REF!</v>
      </c>
      <c r="O2" s="67" t="s">
        <v>114</v>
      </c>
      <c r="P2" s="42">
        <f>0.1835%</f>
        <v>1.835E-3</v>
      </c>
      <c r="Q2" s="42">
        <f>0.7334%</f>
        <v>7.3340000000000002E-3</v>
      </c>
      <c r="R2" s="27">
        <v>7.6160000000000005E-2</v>
      </c>
      <c r="S2" s="13">
        <v>0.33695999999999998</v>
      </c>
      <c r="T2" s="13">
        <v>0.57772000000000001</v>
      </c>
      <c r="U2" s="120">
        <f>SUM(P2:T2)</f>
        <v>1.0000089999999999</v>
      </c>
    </row>
    <row r="3" spans="1:21" ht="15.75" thickTop="1" thickBot="1" x14ac:dyDescent="0.25">
      <c r="A3" s="20" t="s">
        <v>127</v>
      </c>
      <c r="B3" s="42" t="e">
        <f>概率!#REF!</f>
        <v>#REF!</v>
      </c>
      <c r="C3" s="3" t="e">
        <f>5*$B$3</f>
        <v>#REF!</v>
      </c>
      <c r="D3" s="103"/>
      <c r="E3" s="105"/>
      <c r="F3" s="23" t="e">
        <f>C3*40*(1-D2)+(C3*39+B3/(B2+B3))*D2</f>
        <v>#REF!</v>
      </c>
      <c r="J3" t="s">
        <v>184</v>
      </c>
      <c r="K3" s="227" t="e">
        <f>(卡牌!V3-结果!D3)/概率!#REF!*40</f>
        <v>#REF!</v>
      </c>
      <c r="O3" s="67" t="s">
        <v>116</v>
      </c>
      <c r="P3" s="3" t="e">
        <f>5*概率!#REF!</f>
        <v>#REF!</v>
      </c>
      <c r="Q3" s="3" t="e">
        <f>5*概率!#REF!</f>
        <v>#REF!</v>
      </c>
      <c r="R3" s="3" t="e">
        <f>5*概率!#REF!</f>
        <v>#REF!</v>
      </c>
      <c r="S3" s="3" t="e">
        <f>5*概率!#REF!</f>
        <v>#REF!</v>
      </c>
      <c r="T3" s="3" t="e">
        <f>5*概率!#REF!</f>
        <v>#REF!</v>
      </c>
      <c r="U3" s="107" t="e">
        <f>SUM(P3:T3)</f>
        <v>#REF!</v>
      </c>
    </row>
    <row r="4" spans="1:21" ht="15.75" thickTop="1" thickBot="1" x14ac:dyDescent="0.25">
      <c r="A4" s="28" t="s">
        <v>2</v>
      </c>
      <c r="B4" s="42" t="e">
        <f>概率!#REF!</f>
        <v>#REF!</v>
      </c>
      <c r="C4" s="3" t="e">
        <f>5*$B$4</f>
        <v>#REF!</v>
      </c>
      <c r="D4" s="27" t="e">
        <f>(1-B4)^49</f>
        <v>#REF!</v>
      </c>
      <c r="E4" s="3" t="s">
        <v>128</v>
      </c>
      <c r="F4" s="23" t="e">
        <f>(C4*10*(1-D4)+(C4*9+B4/(B2+B3+B4))*D4)*4</f>
        <v>#REF!</v>
      </c>
      <c r="J4" t="s">
        <v>2</v>
      </c>
      <c r="K4" s="227" t="e">
        <f>(卡牌!V4-结果!D4)/概率!#REF!*40</f>
        <v>#REF!</v>
      </c>
      <c r="O4" s="67" t="s">
        <v>115</v>
      </c>
      <c r="P4" s="102">
        <f>(1-Q2-P2)^195</f>
        <v>0.16592783209086517</v>
      </c>
      <c r="Q4" s="103"/>
      <c r="R4" s="27">
        <f>(1-R2)^49</f>
        <v>2.0617753728474384E-2</v>
      </c>
      <c r="S4" s="45"/>
      <c r="T4" s="13"/>
      <c r="U4" s="106"/>
    </row>
    <row r="5" spans="1:21" ht="15.75" thickTop="1" thickBot="1" x14ac:dyDescent="0.25">
      <c r="A5" s="4" t="s">
        <v>4</v>
      </c>
      <c r="B5" s="42" t="e">
        <f>概率!#REF!</f>
        <v>#REF!</v>
      </c>
      <c r="C5" s="3" t="e">
        <f>5*$B$5</f>
        <v>#REF!</v>
      </c>
      <c r="D5" s="45"/>
      <c r="E5" s="3"/>
      <c r="F5" s="23" t="e">
        <f>C5*40</f>
        <v>#REF!</v>
      </c>
      <c r="J5" t="s">
        <v>4</v>
      </c>
      <c r="K5" s="227" t="e">
        <f>(卡牌!V5-结果!D5)/概率!#REF!*40</f>
        <v>#REF!</v>
      </c>
      <c r="O5" s="67" t="s">
        <v>117</v>
      </c>
      <c r="P5" s="104" t="s">
        <v>192</v>
      </c>
      <c r="Q5" s="105"/>
      <c r="R5" s="3" t="s">
        <v>128</v>
      </c>
      <c r="S5" s="3"/>
      <c r="T5" s="3"/>
      <c r="U5" s="106"/>
    </row>
    <row r="6" spans="1:21" ht="15.75" thickTop="1" thickBot="1" x14ac:dyDescent="0.25">
      <c r="A6" s="29" t="s">
        <v>3</v>
      </c>
      <c r="B6" s="42" t="e">
        <f>概率!#REF!</f>
        <v>#REF!</v>
      </c>
      <c r="C6" s="3" t="e">
        <f>5*$B$6</f>
        <v>#REF!</v>
      </c>
      <c r="D6" s="13"/>
      <c r="E6" s="3"/>
      <c r="F6" s="23" t="e">
        <f>C6*40</f>
        <v>#REF!</v>
      </c>
      <c r="J6" t="s">
        <v>3</v>
      </c>
      <c r="K6" s="227" t="e">
        <f>(卡牌!V6-结果!D6)/概率!#REF!*40</f>
        <v>#REF!</v>
      </c>
      <c r="O6" s="67" t="s">
        <v>120</v>
      </c>
      <c r="P6" s="23" t="e">
        <f>P3*40*(1-P4)+(P3*39+P2/(P2+Q2))*P4</f>
        <v>#REF!</v>
      </c>
      <c r="Q6" s="23" t="e">
        <f>Q3*40*(1-P4)+(Q3*39+Q2/(P2+Q2))*P4</f>
        <v>#REF!</v>
      </c>
      <c r="R6" s="23" t="e">
        <f>(R3*10*(1-R4)+(R3*9+R2/(P2+Q2+R2))*R4)*4</f>
        <v>#REF!</v>
      </c>
      <c r="S6" s="23" t="e">
        <f>S3*40</f>
        <v>#REF!</v>
      </c>
      <c r="T6" s="23" t="e">
        <f>T3*40</f>
        <v>#REF!</v>
      </c>
      <c r="U6" s="108" t="e">
        <f>SUM(P6:T6)</f>
        <v>#REF!</v>
      </c>
    </row>
    <row r="7" spans="1:21" ht="15.75" thickTop="1" thickBot="1" x14ac:dyDescent="0.25">
      <c r="A7" s="66" t="s">
        <v>5</v>
      </c>
      <c r="B7" s="120" t="e">
        <f>SUM(B2:B6)</f>
        <v>#REF!</v>
      </c>
      <c r="C7" s="107" t="e">
        <f>SUM(C2:C6)</f>
        <v>#REF!</v>
      </c>
      <c r="D7" s="106"/>
      <c r="E7" s="106"/>
      <c r="F7" s="108" t="e">
        <f>SUM(F2:F6)</f>
        <v>#REF!</v>
      </c>
    </row>
    <row r="8" spans="1:21" ht="15" thickTop="1" x14ac:dyDescent="0.2"/>
    <row r="9" spans="1:21" x14ac:dyDescent="0.2">
      <c r="A9" t="s">
        <v>97</v>
      </c>
      <c r="G9" t="s">
        <v>586</v>
      </c>
      <c r="O9" s="250" t="s">
        <v>668</v>
      </c>
    </row>
    <row r="10" spans="1:21" x14ac:dyDescent="0.2">
      <c r="A10">
        <v>1</v>
      </c>
      <c r="B10">
        <v>0</v>
      </c>
      <c r="C10">
        <v>0</v>
      </c>
      <c r="D10">
        <v>0</v>
      </c>
      <c r="E10">
        <v>0</v>
      </c>
      <c r="G10">
        <v>1</v>
      </c>
      <c r="H10">
        <v>0</v>
      </c>
      <c r="I10">
        <v>0</v>
      </c>
      <c r="J10">
        <v>0</v>
      </c>
      <c r="K10">
        <v>0</v>
      </c>
      <c r="O10" s="250" t="s">
        <v>293</v>
      </c>
      <c r="P10" t="s">
        <v>666</v>
      </c>
      <c r="Q10" t="s">
        <v>217</v>
      </c>
    </row>
    <row r="11" spans="1:21" x14ac:dyDescent="0.2">
      <c r="A11">
        <v>2</v>
      </c>
      <c r="B11">
        <v>100</v>
      </c>
      <c r="C11">
        <v>0</v>
      </c>
      <c r="D11">
        <v>0</v>
      </c>
      <c r="E11">
        <v>0</v>
      </c>
      <c r="G11">
        <v>2</v>
      </c>
      <c r="H11">
        <v>200</v>
      </c>
      <c r="I11">
        <v>0</v>
      </c>
      <c r="J11">
        <v>0</v>
      </c>
      <c r="K11">
        <v>0</v>
      </c>
      <c r="N11">
        <v>1</v>
      </c>
      <c r="O11" s="251">
        <f>概率!F31*概率!C31/(概率!C31+概率!B31)*概率!$G$31</f>
        <v>9.9918358572156845E-5</v>
      </c>
      <c r="P11" s="251">
        <f>概率!B31/(概率!C31+概率!B31)*概率!F31*概率!$G$31</f>
        <v>9.9918358572156848E-6</v>
      </c>
      <c r="Q11" s="251">
        <f>概率!D31*(1-概率!F31*概率!$G$31)</f>
        <v>0.99984009530108031</v>
      </c>
    </row>
    <row r="12" spans="1:21" x14ac:dyDescent="0.2">
      <c r="A12">
        <v>3</v>
      </c>
      <c r="B12">
        <v>250</v>
      </c>
      <c r="C12">
        <v>0</v>
      </c>
      <c r="D12">
        <v>0</v>
      </c>
      <c r="E12">
        <v>0</v>
      </c>
      <c r="G12">
        <v>3</v>
      </c>
      <c r="H12">
        <v>450</v>
      </c>
      <c r="I12">
        <v>0</v>
      </c>
      <c r="J12">
        <v>0</v>
      </c>
      <c r="K12">
        <v>0</v>
      </c>
      <c r="N12">
        <v>2</v>
      </c>
      <c r="O12" s="251">
        <f>概率!F32*概率!C32/(概率!C32+概率!B32)*概率!$G$31</f>
        <v>3.9865431699037066E-4</v>
      </c>
      <c r="P12" s="251">
        <f>概率!B32/(概率!C32+概率!B32)*概率!F32*概率!$G$31</f>
        <v>3.9965345061691291E-5</v>
      </c>
      <c r="Q12" s="251">
        <f>概率!D32*(1-概率!F32*概率!$G$31)</f>
        <v>0.99916155578581278</v>
      </c>
    </row>
    <row r="13" spans="1:21" x14ac:dyDescent="0.2">
      <c r="A13">
        <v>4</v>
      </c>
      <c r="B13">
        <v>450</v>
      </c>
      <c r="C13">
        <v>200</v>
      </c>
      <c r="D13">
        <v>0</v>
      </c>
      <c r="E13">
        <v>0</v>
      </c>
      <c r="G13">
        <v>4</v>
      </c>
      <c r="H13">
        <v>750</v>
      </c>
      <c r="I13">
        <v>300</v>
      </c>
      <c r="J13">
        <v>0</v>
      </c>
      <c r="K13">
        <v>0</v>
      </c>
      <c r="N13">
        <v>3</v>
      </c>
      <c r="O13" s="251">
        <f>概率!F33*概率!C33/(概率!C33+概率!B33)*概率!$G$31</f>
        <v>9.108453834595989E-4</v>
      </c>
      <c r="P13" s="251">
        <f>概率!B33/(概率!C33+概率!B33)*概率!F33*概率!$G$31</f>
        <v>8.9886057578249907E-5</v>
      </c>
      <c r="Q13" s="251">
        <f>概率!D33*(1-概率!F33*概率!$G$31)</f>
        <v>0.99792034934891849</v>
      </c>
    </row>
    <row r="14" spans="1:21" x14ac:dyDescent="0.2">
      <c r="A14">
        <v>5</v>
      </c>
      <c r="B14">
        <v>750</v>
      </c>
      <c r="C14">
        <v>500</v>
      </c>
      <c r="D14">
        <v>0</v>
      </c>
      <c r="E14">
        <v>0</v>
      </c>
      <c r="G14">
        <v>5</v>
      </c>
      <c r="H14">
        <v>1150</v>
      </c>
      <c r="I14">
        <v>700</v>
      </c>
      <c r="J14">
        <v>0</v>
      </c>
      <c r="K14">
        <v>0</v>
      </c>
      <c r="N14">
        <v>4</v>
      </c>
      <c r="O14" s="251">
        <f>概率!F34*概率!C34/(概率!C34+概率!B34)*概率!$G$31</f>
        <v>1.6680797291500145E-3</v>
      </c>
      <c r="P14" s="251">
        <f>概率!B34/(概率!C34+概率!B34)*概率!F34*概率!$G$31</f>
        <v>1.6461313116611985E-4</v>
      </c>
      <c r="Q14" s="251">
        <f>概率!D34*(1-概率!F34*概率!$G$31)</f>
        <v>0.99641053267911794</v>
      </c>
    </row>
    <row r="15" spans="1:21" x14ac:dyDescent="0.2">
      <c r="A15">
        <v>6</v>
      </c>
      <c r="B15">
        <v>1250</v>
      </c>
      <c r="C15">
        <v>1000</v>
      </c>
      <c r="D15">
        <v>0</v>
      </c>
      <c r="E15">
        <v>0</v>
      </c>
      <c r="G15">
        <v>6</v>
      </c>
      <c r="H15">
        <v>1650</v>
      </c>
      <c r="I15">
        <v>1200</v>
      </c>
      <c r="J15">
        <v>0</v>
      </c>
      <c r="K15">
        <v>0</v>
      </c>
      <c r="N15">
        <v>5</v>
      </c>
      <c r="O15" s="251">
        <f>概率!F35*概率!C35/(概率!C35+概率!B35)*概率!$G$31</f>
        <v>2.6490925822243118E-3</v>
      </c>
      <c r="P15" s="251">
        <f>概率!B35/(概率!C35+概率!B35)*概率!F35*概率!$G$31</f>
        <v>2.6391335875542961E-4</v>
      </c>
      <c r="Q15" s="251">
        <f>概率!D35*(1-概率!F35*概率!$G$31)</f>
        <v>0.99431509221553616</v>
      </c>
    </row>
    <row r="16" spans="1:21" x14ac:dyDescent="0.2">
      <c r="A16">
        <v>7</v>
      </c>
      <c r="B16">
        <v>2000</v>
      </c>
      <c r="C16">
        <v>1750</v>
      </c>
      <c r="D16">
        <v>750</v>
      </c>
      <c r="E16">
        <v>0</v>
      </c>
      <c r="G16">
        <v>7</v>
      </c>
      <c r="H16">
        <v>2250</v>
      </c>
      <c r="I16">
        <v>1800</v>
      </c>
      <c r="J16">
        <v>600</v>
      </c>
      <c r="K16">
        <v>0</v>
      </c>
      <c r="N16">
        <v>6</v>
      </c>
      <c r="O16" s="251">
        <f>概率!F36*概率!C36/(概率!C36+概率!B36)*概率!$G$31</f>
        <v>3.887114211415858E-3</v>
      </c>
      <c r="P16" s="251">
        <f>概率!B36/(概率!C36+概率!B36)*概率!F36*概率!$G$31</f>
        <v>3.8732103792850912E-4</v>
      </c>
      <c r="Q16" s="251">
        <f>概率!D36*(1-概率!F36*概率!$G$31)</f>
        <v>0.99160326091258788</v>
      </c>
    </row>
    <row r="17" spans="1:17" x14ac:dyDescent="0.2">
      <c r="A17">
        <v>8</v>
      </c>
      <c r="B17">
        <v>3000</v>
      </c>
      <c r="C17">
        <v>2750</v>
      </c>
      <c r="D17">
        <v>1750</v>
      </c>
      <c r="E17">
        <v>0</v>
      </c>
      <c r="G17">
        <v>8</v>
      </c>
      <c r="H17">
        <v>2950</v>
      </c>
      <c r="I17">
        <v>2500</v>
      </c>
      <c r="J17">
        <v>1300</v>
      </c>
      <c r="K17">
        <v>0</v>
      </c>
      <c r="N17">
        <v>7</v>
      </c>
      <c r="O17" s="251">
        <f>概率!F37*概率!C37/(概率!C37+概率!B37)*概率!$G$31</f>
        <v>5.3555395349294647E-3</v>
      </c>
      <c r="P17" s="251">
        <f>概率!B37/(概率!C37+概率!B37)*概率!F37*概率!$G$31</f>
        <v>5.3407042453590241E-4</v>
      </c>
      <c r="Q17" s="251">
        <f>概率!D37*(1-概率!F37*概率!$G$31)</f>
        <v>0.98830478536269795</v>
      </c>
    </row>
    <row r="18" spans="1:17" x14ac:dyDescent="0.2">
      <c r="A18">
        <v>9</v>
      </c>
      <c r="B18">
        <v>4500</v>
      </c>
      <c r="C18">
        <v>4250</v>
      </c>
      <c r="D18">
        <v>3250</v>
      </c>
      <c r="E18">
        <v>0</v>
      </c>
      <c r="G18">
        <v>9</v>
      </c>
      <c r="H18">
        <v>3700</v>
      </c>
      <c r="I18">
        <v>3250</v>
      </c>
      <c r="J18">
        <v>2050</v>
      </c>
      <c r="K18">
        <v>0</v>
      </c>
      <c r="N18">
        <v>8</v>
      </c>
      <c r="O18" s="251">
        <f>概率!F38*概率!C38/(概率!C38+概率!B38)*概率!$G$31</f>
        <v>7.042972703105773E-3</v>
      </c>
      <c r="P18" s="251">
        <f>概率!B38/(概率!C38+概率!B38)*概率!F38*概率!$G$31</f>
        <v>7.0301905384903345E-4</v>
      </c>
      <c r="Q18" s="251">
        <f>概率!D38*(1-概率!F38*概率!$G$31)</f>
        <v>0.98443504665809001</v>
      </c>
    </row>
    <row r="19" spans="1:17" x14ac:dyDescent="0.2">
      <c r="A19">
        <v>10</v>
      </c>
      <c r="B19">
        <v>6500</v>
      </c>
      <c r="C19">
        <v>6250</v>
      </c>
      <c r="D19">
        <v>5250</v>
      </c>
      <c r="E19">
        <v>2000</v>
      </c>
      <c r="G19">
        <v>10</v>
      </c>
      <c r="H19">
        <v>4500</v>
      </c>
      <c r="I19">
        <v>4050</v>
      </c>
      <c r="J19">
        <v>2850</v>
      </c>
      <c r="K19">
        <v>800</v>
      </c>
      <c r="N19">
        <v>9</v>
      </c>
      <c r="O19" s="251">
        <f>概率!F39*概率!C39/(概率!C39+概率!B39)*概率!$G$31</f>
        <v>8.9521219622630231E-3</v>
      </c>
      <c r="P19" s="251">
        <f>概率!B39/(概率!C39+概率!B39)*概率!F39*概率!$G$31</f>
        <v>8.974558358158419E-4</v>
      </c>
      <c r="Q19" s="251">
        <f>概率!D39*(1-概率!F39*概率!$G$31)</f>
        <v>0.97999147887012938</v>
      </c>
    </row>
    <row r="20" spans="1:17" x14ac:dyDescent="0.2">
      <c r="A20">
        <v>11</v>
      </c>
      <c r="B20">
        <v>9500</v>
      </c>
      <c r="C20">
        <v>9250</v>
      </c>
      <c r="D20">
        <v>8250</v>
      </c>
      <c r="E20">
        <v>5000</v>
      </c>
      <c r="G20">
        <v>11</v>
      </c>
      <c r="H20">
        <v>5350</v>
      </c>
      <c r="I20">
        <v>4900</v>
      </c>
      <c r="J20">
        <v>3700</v>
      </c>
      <c r="K20">
        <v>1650</v>
      </c>
      <c r="N20">
        <v>10</v>
      </c>
      <c r="O20" s="251">
        <f>概率!F40*概率!C40/(概率!C40+概率!B40)*概率!$G$31</f>
        <v>1.1043239049565182E-2</v>
      </c>
      <c r="P20" s="251">
        <f>概率!B40/(概率!C40+概率!B40)*概率!F40*概率!$G$31</f>
        <v>1.1054824892247012E-3</v>
      </c>
      <c r="Q20" s="251">
        <f>概率!D40*(1-概率!F40*概率!$G$31)</f>
        <v>0.97536483830146048</v>
      </c>
    </row>
    <row r="21" spans="1:17" x14ac:dyDescent="0.2">
      <c r="A21">
        <v>12</v>
      </c>
      <c r="B21">
        <v>14500</v>
      </c>
      <c r="C21">
        <v>14250</v>
      </c>
      <c r="D21">
        <v>13250</v>
      </c>
      <c r="E21">
        <v>10000</v>
      </c>
      <c r="G21">
        <v>12</v>
      </c>
      <c r="H21">
        <v>6250</v>
      </c>
      <c r="I21">
        <v>5800</v>
      </c>
      <c r="J21">
        <v>4600</v>
      </c>
      <c r="K21">
        <v>2550</v>
      </c>
      <c r="N21">
        <v>11</v>
      </c>
      <c r="O21" s="251">
        <f>概率!F41*概率!C41/(概率!C41+概率!B41)*概率!$G$31</f>
        <v>1.3330711371880908E-2</v>
      </c>
      <c r="P21" s="251">
        <f>概率!B41/(概率!C41+概率!B41)*概率!F41*概率!$G$31</f>
        <v>1.3345963902054684E-3</v>
      </c>
      <c r="Q21" s="251">
        <f>概率!D41*(1-概率!F41*概率!$G$31)</f>
        <v>0.97019995136513915</v>
      </c>
    </row>
    <row r="22" spans="1:17" x14ac:dyDescent="0.2">
      <c r="A22">
        <v>13</v>
      </c>
      <c r="B22">
        <v>22000</v>
      </c>
      <c r="C22">
        <v>21750</v>
      </c>
      <c r="D22">
        <v>20750</v>
      </c>
      <c r="E22">
        <v>17500</v>
      </c>
      <c r="G22">
        <v>13</v>
      </c>
      <c r="H22">
        <v>7200</v>
      </c>
      <c r="I22">
        <v>6750</v>
      </c>
      <c r="J22">
        <v>5550</v>
      </c>
      <c r="K22">
        <v>3500</v>
      </c>
      <c r="N22">
        <v>12</v>
      </c>
      <c r="O22" s="251">
        <f>概率!F42*概率!C42/(概率!C42+概率!B42)*概率!$G$31</f>
        <v>1.5747575139564381E-2</v>
      </c>
      <c r="P22" s="251">
        <f>概率!B42/(概率!C42+概率!B42)*概率!F42*概率!$G$31</f>
        <v>1.5769163875822951E-3</v>
      </c>
      <c r="Q22" s="251">
        <f>概率!D42*(1-概率!F42*概率!$G$31)</f>
        <v>0.96457462560678342</v>
      </c>
    </row>
    <row r="23" spans="1:17" x14ac:dyDescent="0.2">
      <c r="A23">
        <v>14</v>
      </c>
      <c r="B23">
        <v>32000</v>
      </c>
      <c r="C23">
        <v>31750</v>
      </c>
      <c r="D23">
        <v>30750</v>
      </c>
      <c r="E23">
        <v>27500</v>
      </c>
      <c r="G23">
        <v>14</v>
      </c>
      <c r="H23">
        <v>8200</v>
      </c>
      <c r="I23">
        <v>7750</v>
      </c>
      <c r="J23">
        <v>6550</v>
      </c>
      <c r="K23">
        <v>4500</v>
      </c>
      <c r="N23">
        <v>13</v>
      </c>
      <c r="O23" s="251">
        <f>概率!F43*概率!C43/(概率!C43+概率!B43)*概率!$G$31</f>
        <v>1.8298029769154376E-2</v>
      </c>
      <c r="P23" s="251">
        <f>概率!B43/(概率!C43+概率!B43)*概率!F43*概率!$G$31</f>
        <v>1.8334883806957307E-3</v>
      </c>
      <c r="Q23" s="251">
        <f>概率!D43*(1-概率!F43*概率!$G$31)</f>
        <v>0.95855634236990905</v>
      </c>
    </row>
    <row r="24" spans="1:17" x14ac:dyDescent="0.2">
      <c r="A24">
        <v>15</v>
      </c>
      <c r="B24">
        <v>47000</v>
      </c>
      <c r="C24">
        <v>46750</v>
      </c>
      <c r="D24">
        <v>45750</v>
      </c>
      <c r="E24">
        <v>42500</v>
      </c>
      <c r="G24">
        <v>15</v>
      </c>
      <c r="H24">
        <v>9400</v>
      </c>
      <c r="I24">
        <v>8950</v>
      </c>
      <c r="J24">
        <v>7750</v>
      </c>
      <c r="K24">
        <v>5700</v>
      </c>
      <c r="N24">
        <v>14</v>
      </c>
      <c r="O24" s="251">
        <f>概率!F44*概率!C44/(概率!C44+概率!B44)*概率!$G$31</f>
        <v>2.0910428238815018E-2</v>
      </c>
      <c r="P24" s="251">
        <f>概率!B44/(概率!C44+概率!B44)*概率!F44*概率!$G$31</f>
        <v>2.0910428238815012E-3</v>
      </c>
      <c r="Q24" s="251">
        <f>概率!D44*(1-概率!F44*概率!$G$31)</f>
        <v>0.95198736659650851</v>
      </c>
    </row>
    <row r="25" spans="1:17" x14ac:dyDescent="0.2">
      <c r="N25">
        <v>15</v>
      </c>
      <c r="O25" s="251">
        <f>概率!F45*概率!C45/(概率!C45+概率!B45)*概率!$G$31</f>
        <v>2.3554342785330789E-2</v>
      </c>
      <c r="P25" s="251">
        <f>概率!B45/(概率!C45+概率!B45)*概率!F45*概率!$G$31</f>
        <v>2.3580689924911696E-3</v>
      </c>
      <c r="Q25" s="251">
        <f>概率!D45*(1-概率!F45*概率!$G$31)</f>
        <v>0.94540070874903492</v>
      </c>
    </row>
    <row r="26" spans="1:17" x14ac:dyDescent="0.2">
      <c r="N26">
        <v>16</v>
      </c>
      <c r="O26" s="251">
        <f>概率!F46*概率!C46/(概率!C46+概率!B46)*概率!$G$31</f>
        <v>2.6167878034388362E-2</v>
      </c>
      <c r="P26" s="251">
        <f>概率!B46/(概率!C46+概率!B46)*概率!F46*概率!$G$31</f>
        <v>2.6210496728255443E-3</v>
      </c>
      <c r="Q26" s="251">
        <f>概率!D46*(1-概率!F46*概率!$G$31)</f>
        <v>0.93852981971013394</v>
      </c>
    </row>
    <row r="27" spans="1:17" x14ac:dyDescent="0.2">
      <c r="A27" t="s">
        <v>827</v>
      </c>
      <c r="C27" t="s">
        <v>217</v>
      </c>
      <c r="E27" t="s">
        <v>218</v>
      </c>
      <c r="G27" t="s">
        <v>219</v>
      </c>
      <c r="N27">
        <v>17</v>
      </c>
      <c r="O27" s="251">
        <f>概率!F47*概率!C47/(概率!C47+概率!B47)*概率!$G$31</f>
        <v>2.873035939335401E-2</v>
      </c>
      <c r="P27" s="251">
        <f>概率!B47/(概率!C47+概率!B47)*概率!F47*概率!$G$31</f>
        <v>2.8746833223281384E-3</v>
      </c>
      <c r="Q27" s="251">
        <f>概率!D47*(1-概率!F47*概率!$G$31)</f>
        <v>0.9314022699160569</v>
      </c>
    </row>
    <row r="28" spans="1:17" x14ac:dyDescent="0.2">
      <c r="A28">
        <v>9</v>
      </c>
      <c r="B28">
        <v>1</v>
      </c>
      <c r="C28">
        <v>6</v>
      </c>
      <c r="D28">
        <v>1</v>
      </c>
      <c r="E28">
        <v>3</v>
      </c>
      <c r="F28">
        <v>1</v>
      </c>
      <c r="G28">
        <v>1</v>
      </c>
      <c r="H28">
        <v>1</v>
      </c>
      <c r="N28">
        <v>18</v>
      </c>
      <c r="O28" s="251">
        <f>概率!F48*概率!C48/(概率!C48+概率!B48)*概率!$G$31</f>
        <v>3.115826750590257E-2</v>
      </c>
      <c r="P28" s="251">
        <f>概率!B48/(概率!C48+概率!B48)*概率!F48*概率!$G$31</f>
        <v>3.117411203552673E-3</v>
      </c>
      <c r="Q28" s="251">
        <f>概率!D48*(1-概率!F48*概率!$G$31)</f>
        <v>0.92396640163794164</v>
      </c>
    </row>
    <row r="29" spans="1:17" x14ac:dyDescent="0.2">
      <c r="A29">
        <v>10</v>
      </c>
      <c r="B29">
        <v>2</v>
      </c>
      <c r="C29">
        <v>7</v>
      </c>
      <c r="D29">
        <v>2</v>
      </c>
      <c r="E29">
        <v>4</v>
      </c>
      <c r="F29">
        <v>2</v>
      </c>
      <c r="G29">
        <v>2</v>
      </c>
      <c r="H29">
        <v>2</v>
      </c>
      <c r="N29">
        <v>19</v>
      </c>
      <c r="O29" s="251">
        <f>概率!F49*概率!C49/(概率!C49+概率!B49)*概率!$G$31</f>
        <v>3.3382541524599012E-2</v>
      </c>
      <c r="P29" s="251">
        <f>概率!B49/(概率!C49+概率!B49)*概率!F49*概率!$G$31</f>
        <v>3.3426503819872313E-3</v>
      </c>
      <c r="Q29" s="251">
        <f>概率!D49*(1-概率!F49*概率!$G$31)</f>
        <v>0.91671010387017804</v>
      </c>
    </row>
    <row r="30" spans="1:17" x14ac:dyDescent="0.2">
      <c r="A30">
        <v>11</v>
      </c>
      <c r="B30">
        <v>4</v>
      </c>
      <c r="C30">
        <v>8</v>
      </c>
      <c r="D30">
        <v>4</v>
      </c>
      <c r="E30">
        <v>5</v>
      </c>
      <c r="F30">
        <v>4</v>
      </c>
      <c r="G30">
        <v>3</v>
      </c>
      <c r="H30">
        <v>4</v>
      </c>
      <c r="N30">
        <v>20</v>
      </c>
      <c r="O30" s="251">
        <f>概率!F50*概率!C50/(概率!C50+概率!B50)*概率!$G$31</f>
        <v>3.5387022297052768E-2</v>
      </c>
      <c r="P30" s="251">
        <f>概率!B50/(概率!C50+概率!B50)*概率!F50*概率!$G$31</f>
        <v>3.5417318170029174E-3</v>
      </c>
      <c r="Q30" s="251">
        <f>概率!D50*(1-概率!F50*概率!$G$31)</f>
        <v>0.90905807005859707</v>
      </c>
    </row>
    <row r="31" spans="1:17" x14ac:dyDescent="0.2">
      <c r="A31">
        <v>12</v>
      </c>
      <c r="B31">
        <v>7</v>
      </c>
      <c r="C31">
        <v>9</v>
      </c>
      <c r="D31">
        <v>7</v>
      </c>
      <c r="E31">
        <v>6</v>
      </c>
      <c r="F31">
        <v>7</v>
      </c>
      <c r="G31">
        <v>4</v>
      </c>
      <c r="H31">
        <v>7</v>
      </c>
      <c r="N31">
        <v>21</v>
      </c>
      <c r="O31" s="251">
        <f>概率!F51*概率!C51/(概率!C51+概率!B51)*概率!$G$31</f>
        <v>3.7116680047663858E-2</v>
      </c>
      <c r="P31" s="251">
        <f>概率!B51/(概率!C51+概率!B51)*概率!F51*概率!$G$31</f>
        <v>3.7116680047663865E-3</v>
      </c>
      <c r="Q31" s="251">
        <f>概率!D51*(1-概率!F51*概率!$G$31)</f>
        <v>0.90171726999591029</v>
      </c>
    </row>
    <row r="32" spans="1:17" x14ac:dyDescent="0.2">
      <c r="A32">
        <v>13</v>
      </c>
      <c r="B32">
        <v>11</v>
      </c>
      <c r="C32">
        <v>10</v>
      </c>
      <c r="D32">
        <v>11</v>
      </c>
      <c r="E32">
        <v>7</v>
      </c>
      <c r="F32">
        <v>12</v>
      </c>
      <c r="G32">
        <v>5</v>
      </c>
      <c r="H32">
        <v>12</v>
      </c>
      <c r="N32">
        <v>22</v>
      </c>
      <c r="O32" s="251">
        <f>概率!F52*概率!C52/(概率!C52+概率!B52)*概率!$G$31</f>
        <v>3.8485357624421457E-2</v>
      </c>
      <c r="P32" s="251">
        <f>概率!B52/(概率!C52+概率!B52)*概率!F52*概率!$G$31</f>
        <v>3.8485357624421465E-3</v>
      </c>
      <c r="Q32" s="251">
        <f>概率!D52*(1-概率!F52*概率!$G$31)</f>
        <v>0.89444099025453716</v>
      </c>
    </row>
    <row r="33" spans="1:21" x14ac:dyDescent="0.2">
      <c r="A33">
        <v>14</v>
      </c>
      <c r="B33">
        <v>16</v>
      </c>
      <c r="C33">
        <v>11</v>
      </c>
      <c r="D33">
        <v>17</v>
      </c>
      <c r="E33">
        <v>8</v>
      </c>
      <c r="F33">
        <v>20</v>
      </c>
      <c r="G33">
        <v>6</v>
      </c>
      <c r="H33">
        <v>20</v>
      </c>
      <c r="N33">
        <v>23</v>
      </c>
      <c r="O33" s="251">
        <f>概率!F53*概率!C53/(概率!C53+概率!B53)*概率!$G$31</f>
        <v>3.9419194564416019E-2</v>
      </c>
      <c r="P33" s="251">
        <f>概率!B53/(概率!C53+概率!B53)*概率!F53*概率!$G$31</f>
        <v>3.9449148359677732E-3</v>
      </c>
      <c r="Q33" s="251">
        <f>概率!D53*(1-概率!F53*概率!$G$31)</f>
        <v>0.88727978853114398</v>
      </c>
    </row>
    <row r="34" spans="1:21" x14ac:dyDescent="0.2">
      <c r="A34">
        <v>15</v>
      </c>
      <c r="B34">
        <v>22</v>
      </c>
      <c r="C34">
        <v>12</v>
      </c>
      <c r="D34">
        <v>25</v>
      </c>
      <c r="E34">
        <v>9</v>
      </c>
      <c r="F34">
        <v>30</v>
      </c>
      <c r="G34">
        <v>7</v>
      </c>
      <c r="H34">
        <v>32</v>
      </c>
      <c r="N34">
        <v>24</v>
      </c>
      <c r="O34" s="251">
        <f>概率!F54*概率!C54/(概率!C54+概率!B54)*概率!$G$31</f>
        <v>3.9972950377419332E-2</v>
      </c>
      <c r="P34" s="251">
        <f>概率!B54/(概率!C54+概率!B54)*概率!F54*概率!$G$31</f>
        <v>4.0034071096650857E-3</v>
      </c>
      <c r="Q34" s="251">
        <f>概率!D54*(1-概率!F54*概率!$G$31)</f>
        <v>0.88035437120801829</v>
      </c>
    </row>
    <row r="35" spans="1:21" x14ac:dyDescent="0.2">
      <c r="A35">
        <v>16</v>
      </c>
      <c r="B35">
        <v>30</v>
      </c>
      <c r="C35">
        <v>13</v>
      </c>
      <c r="D35">
        <v>35</v>
      </c>
      <c r="E35">
        <v>10</v>
      </c>
      <c r="F35">
        <v>42</v>
      </c>
      <c r="G35">
        <v>8</v>
      </c>
      <c r="H35">
        <v>52</v>
      </c>
      <c r="N35">
        <v>25</v>
      </c>
      <c r="O35" s="251">
        <f>概率!F55*概率!C55/(概率!C55+概率!B55)*概率!$G$31</f>
        <v>4.0104206010683228E-2</v>
      </c>
      <c r="P35" s="251">
        <f>概率!B55/(概率!C55+概率!B55)*概率!F55*概率!$G$31</f>
        <v>4.0140022474331452E-3</v>
      </c>
      <c r="Q35" s="251">
        <f>概率!D55*(1-概率!F55*概率!$G$31)</f>
        <v>0.87353257538332041</v>
      </c>
    </row>
    <row r="36" spans="1:21" x14ac:dyDescent="0.2">
      <c r="A36">
        <v>17</v>
      </c>
      <c r="B36">
        <v>40</v>
      </c>
      <c r="C36">
        <v>14</v>
      </c>
      <c r="D36">
        <v>48</v>
      </c>
      <c r="E36">
        <v>11</v>
      </c>
      <c r="F36">
        <v>60</v>
      </c>
      <c r="G36">
        <v>9</v>
      </c>
      <c r="H36">
        <v>82</v>
      </c>
      <c r="N36">
        <v>26</v>
      </c>
      <c r="O36" s="251">
        <f>概率!F56*概率!C56/(概率!C56+概率!B56)*概率!$G$31</f>
        <v>3.9800744370794686E-2</v>
      </c>
      <c r="P36" s="251">
        <f>概率!B56/(概率!C56+概率!B56)*概率!F56*概率!$G$31</f>
        <v>3.983815108542889E-3</v>
      </c>
      <c r="Q36" s="251">
        <f>概率!D56*(1-概率!F56*概率!$G$31)</f>
        <v>0.86680929683198049</v>
      </c>
    </row>
    <row r="37" spans="1:21" x14ac:dyDescent="0.2">
      <c r="A37">
        <v>18</v>
      </c>
      <c r="B37">
        <v>52</v>
      </c>
      <c r="C37">
        <v>15</v>
      </c>
      <c r="D37">
        <v>64</v>
      </c>
      <c r="E37">
        <v>12</v>
      </c>
      <c r="F37">
        <v>85</v>
      </c>
      <c r="G37">
        <v>10</v>
      </c>
      <c r="H37">
        <v>127</v>
      </c>
      <c r="N37">
        <v>27</v>
      </c>
      <c r="O37" s="251">
        <f>概率!F57*概率!C57/(概率!C57+概率!B57)*概率!$G$31</f>
        <v>3.9054905915221254E-2</v>
      </c>
      <c r="P37" s="251">
        <f>概率!B57/(概率!C57+概率!B57)*概率!F57*概率!$G$31</f>
        <v>3.9101531047093128E-3</v>
      </c>
      <c r="Q37" s="251">
        <f>概率!D57*(1-概率!F57*概率!$G$31)</f>
        <v>0.86018300495288647</v>
      </c>
    </row>
    <row r="38" spans="1:21" x14ac:dyDescent="0.2">
      <c r="C38">
        <v>16</v>
      </c>
      <c r="D38">
        <v>84</v>
      </c>
      <c r="E38">
        <v>13</v>
      </c>
      <c r="F38">
        <v>120</v>
      </c>
      <c r="G38">
        <v>11</v>
      </c>
      <c r="H38">
        <v>197</v>
      </c>
      <c r="N38">
        <v>28</v>
      </c>
      <c r="O38" s="251">
        <f>概率!F58*概率!C58/(概率!C58+概率!B58)*概率!$G$31</f>
        <v>3.7883628347900905E-2</v>
      </c>
      <c r="P38" s="251">
        <f>概率!B58/(概率!C58+概率!B58)*概率!F58*概率!$G$31</f>
        <v>3.7925535016427349E-3</v>
      </c>
      <c r="Q38" s="251">
        <f>概率!D58*(1-概率!F58*概率!$G$31)</f>
        <v>0.85362694101751901</v>
      </c>
    </row>
    <row r="39" spans="1:21" x14ac:dyDescent="0.2">
      <c r="C39">
        <v>17</v>
      </c>
      <c r="D39">
        <v>109</v>
      </c>
      <c r="E39">
        <v>14</v>
      </c>
      <c r="F39">
        <v>170</v>
      </c>
      <c r="G39">
        <v>12</v>
      </c>
      <c r="H39">
        <v>297</v>
      </c>
      <c r="N39">
        <v>29</v>
      </c>
      <c r="O39" s="251">
        <f>概率!F59*概率!C59/(概率!C59+概率!B59)*概率!$G$31</f>
        <v>3.6330679598376672E-2</v>
      </c>
      <c r="P39" s="251">
        <f>概率!B59/(概率!C59+概率!B59)*概率!F59*概率!$G$31</f>
        <v>3.6361220987913877E-3</v>
      </c>
      <c r="Q39" s="251">
        <f>概率!D59*(1-概率!F59*概率!$G$31)</f>
        <v>0.84708529252250375</v>
      </c>
    </row>
    <row r="40" spans="1:21" x14ac:dyDescent="0.2">
      <c r="C40">
        <v>18</v>
      </c>
      <c r="D40">
        <v>139</v>
      </c>
      <c r="E40">
        <v>15</v>
      </c>
      <c r="F40">
        <v>240</v>
      </c>
      <c r="G40">
        <v>13</v>
      </c>
      <c r="H40">
        <v>437</v>
      </c>
      <c r="N40">
        <v>30</v>
      </c>
      <c r="O40" s="251">
        <f>概率!F60*概率!C60/(概率!C60+概率!B60)*概率!$G$31</f>
        <v>0.27220401770685232</v>
      </c>
      <c r="P40" s="251">
        <f>概率!B60/(概率!C60+概率!B60)*概率!F60*概率!$G$31</f>
        <v>2.7220371828246281E-2</v>
      </c>
      <c r="Q40" s="251">
        <f>概率!D60*(1-概率!F60*概率!$G$31)</f>
        <v>0</v>
      </c>
    </row>
    <row r="41" spans="1:21" x14ac:dyDescent="0.2">
      <c r="E41">
        <v>16</v>
      </c>
      <c r="F41">
        <v>335</v>
      </c>
      <c r="G41">
        <v>14</v>
      </c>
      <c r="H41">
        <v>627</v>
      </c>
    </row>
    <row r="42" spans="1:21" x14ac:dyDescent="0.2">
      <c r="E42">
        <v>17</v>
      </c>
      <c r="F42">
        <v>460</v>
      </c>
      <c r="G42">
        <v>15</v>
      </c>
      <c r="H42">
        <v>877</v>
      </c>
    </row>
    <row r="43" spans="1:21" x14ac:dyDescent="0.2">
      <c r="E43">
        <v>18</v>
      </c>
      <c r="F43">
        <v>615</v>
      </c>
      <c r="G43">
        <v>16</v>
      </c>
      <c r="H43">
        <v>1197</v>
      </c>
    </row>
    <row r="44" spans="1:21" x14ac:dyDescent="0.2">
      <c r="G44">
        <v>17</v>
      </c>
      <c r="H44">
        <v>1607</v>
      </c>
    </row>
    <row r="45" spans="1:21" x14ac:dyDescent="0.2">
      <c r="G45">
        <v>18</v>
      </c>
      <c r="H45">
        <v>2107</v>
      </c>
    </row>
    <row r="47" spans="1:21" x14ac:dyDescent="0.2">
      <c r="A47" t="s">
        <v>827</v>
      </c>
      <c r="C47" t="s">
        <v>217</v>
      </c>
      <c r="E47" t="s">
        <v>218</v>
      </c>
      <c r="G47" t="s">
        <v>219</v>
      </c>
      <c r="K47" t="s">
        <v>830</v>
      </c>
      <c r="L47" t="s">
        <v>827</v>
      </c>
      <c r="M47" t="s">
        <v>217</v>
      </c>
      <c r="N47" t="s">
        <v>218</v>
      </c>
      <c r="O47" t="s">
        <v>219</v>
      </c>
      <c r="Q47" t="s">
        <v>830</v>
      </c>
      <c r="R47" t="s">
        <v>827</v>
      </c>
      <c r="S47" t="s">
        <v>217</v>
      </c>
      <c r="T47" t="s">
        <v>218</v>
      </c>
      <c r="U47" t="s">
        <v>219</v>
      </c>
    </row>
    <row r="48" spans="1:21" x14ac:dyDescent="0.2">
      <c r="A48">
        <v>9</v>
      </c>
      <c r="B48">
        <v>0</v>
      </c>
      <c r="C48">
        <v>6</v>
      </c>
      <c r="D48">
        <v>0</v>
      </c>
      <c r="E48">
        <v>3</v>
      </c>
      <c r="F48">
        <v>0</v>
      </c>
      <c r="G48">
        <v>1</v>
      </c>
      <c r="H48">
        <v>0</v>
      </c>
      <c r="J48">
        <v>1</v>
      </c>
      <c r="P48">
        <v>1</v>
      </c>
    </row>
    <row r="49" spans="1:21" x14ac:dyDescent="0.2">
      <c r="A49">
        <v>10</v>
      </c>
      <c r="B49">
        <v>2000</v>
      </c>
      <c r="C49">
        <v>7</v>
      </c>
      <c r="D49">
        <v>750</v>
      </c>
      <c r="E49">
        <v>4</v>
      </c>
      <c r="F49">
        <v>200</v>
      </c>
      <c r="G49">
        <v>2</v>
      </c>
      <c r="H49">
        <v>100</v>
      </c>
      <c r="J49">
        <v>2</v>
      </c>
      <c r="O49">
        <f>COUNTIFS(统计!$O$3:$O$99,"2")</f>
        <v>0</v>
      </c>
      <c r="P49">
        <v>2</v>
      </c>
      <c r="U49">
        <f>COUNTIFS(统计!$O$3:$O$99,P49)*H49</f>
        <v>0</v>
      </c>
    </row>
    <row r="50" spans="1:21" x14ac:dyDescent="0.2">
      <c r="A50">
        <v>11</v>
      </c>
      <c r="B50">
        <v>5000</v>
      </c>
      <c r="C50">
        <v>8</v>
      </c>
      <c r="D50">
        <v>1750</v>
      </c>
      <c r="E50">
        <v>5</v>
      </c>
      <c r="F50">
        <v>500</v>
      </c>
      <c r="G50">
        <v>3</v>
      </c>
      <c r="H50">
        <v>150</v>
      </c>
      <c r="J50">
        <v>3</v>
      </c>
      <c r="O50">
        <f>COUNTIFS(统计!$O$3:$O$99,"3")</f>
        <v>0</v>
      </c>
      <c r="P50">
        <v>3</v>
      </c>
      <c r="U50">
        <f>COUNTIFS(统计!$O$3:$O$99,P50)*H50</f>
        <v>0</v>
      </c>
    </row>
    <row r="51" spans="1:21" x14ac:dyDescent="0.2">
      <c r="A51">
        <v>12</v>
      </c>
      <c r="B51">
        <v>10000</v>
      </c>
      <c r="C51">
        <v>9</v>
      </c>
      <c r="D51">
        <v>3250</v>
      </c>
      <c r="E51">
        <v>6</v>
      </c>
      <c r="F51">
        <v>1000</v>
      </c>
      <c r="G51">
        <v>4</v>
      </c>
      <c r="H51">
        <f>250+F49</f>
        <v>450</v>
      </c>
      <c r="J51">
        <v>4</v>
      </c>
      <c r="N51">
        <f>COUNTIFS(统计!$K$3:$K$99,"4")</f>
        <v>0</v>
      </c>
      <c r="O51">
        <f>COUNTIFS(统计!$O$3:$O$99,"4")</f>
        <v>0</v>
      </c>
      <c r="P51">
        <v>4</v>
      </c>
      <c r="T51">
        <f>COUNTIFS(统计!$K$3:$K$99,P51)*F49</f>
        <v>0</v>
      </c>
      <c r="U51">
        <f>COUNTIFS(统计!$O$3:$O$99,P51)*H51</f>
        <v>0</v>
      </c>
    </row>
    <row r="52" spans="1:21" x14ac:dyDescent="0.2">
      <c r="A52">
        <v>13</v>
      </c>
      <c r="B52">
        <v>17500</v>
      </c>
      <c r="C52">
        <v>10</v>
      </c>
      <c r="D52">
        <f>3250+B49</f>
        <v>5250</v>
      </c>
      <c r="E52">
        <v>7</v>
      </c>
      <c r="F52">
        <f>1000+D49</f>
        <v>1750</v>
      </c>
      <c r="G52">
        <v>5</v>
      </c>
      <c r="H52">
        <f t="shared" ref="H52:H65" si="0">250+F50</f>
        <v>750</v>
      </c>
      <c r="J52">
        <v>5</v>
      </c>
      <c r="N52">
        <f>COUNTIFS(统计!$K$3:$K$99,"5")</f>
        <v>0</v>
      </c>
      <c r="O52">
        <f>COUNTIFS(统计!$O$3:$O$99,"5")</f>
        <v>0</v>
      </c>
      <c r="P52">
        <v>5</v>
      </c>
      <c r="T52">
        <f>COUNTIFS(统计!$K$3:$K$99,P52)*F50</f>
        <v>0</v>
      </c>
      <c r="U52">
        <f>COUNTIFS(统计!$O$3:$O$99,P52)*H52</f>
        <v>0</v>
      </c>
    </row>
    <row r="53" spans="1:21" x14ac:dyDescent="0.2">
      <c r="A53">
        <v>14</v>
      </c>
      <c r="B53">
        <v>27500</v>
      </c>
      <c r="C53">
        <v>11</v>
      </c>
      <c r="D53">
        <f t="shared" ref="D53:D60" si="1">3250+B50</f>
        <v>8250</v>
      </c>
      <c r="E53">
        <v>8</v>
      </c>
      <c r="F53">
        <f t="shared" ref="F53:F63" si="2">1000+D50</f>
        <v>2750</v>
      </c>
      <c r="G53">
        <v>6</v>
      </c>
      <c r="H53">
        <f t="shared" si="0"/>
        <v>1250</v>
      </c>
      <c r="J53">
        <v>6</v>
      </c>
      <c r="N53">
        <f>COUNTIFS(统计!$K$3:$K$99,"6")</f>
        <v>0</v>
      </c>
      <c r="O53">
        <f>COUNTIFS(统计!$O$3:$O$99,"6")</f>
        <v>0</v>
      </c>
      <c r="P53">
        <v>6</v>
      </c>
      <c r="T53">
        <f>COUNTIFS(统计!$K$3:$K$99,P53)*F51</f>
        <v>0</v>
      </c>
      <c r="U53">
        <f>COUNTIFS(统计!$O$3:$O$99,P53)*H53</f>
        <v>0</v>
      </c>
    </row>
    <row r="54" spans="1:21" x14ac:dyDescent="0.2">
      <c r="A54">
        <v>15</v>
      </c>
      <c r="B54">
        <v>42500</v>
      </c>
      <c r="C54">
        <v>12</v>
      </c>
      <c r="D54">
        <f t="shared" si="1"/>
        <v>13250</v>
      </c>
      <c r="E54">
        <v>9</v>
      </c>
      <c r="F54">
        <f t="shared" si="2"/>
        <v>4250</v>
      </c>
      <c r="G54">
        <v>7</v>
      </c>
      <c r="H54">
        <f t="shared" si="0"/>
        <v>2000</v>
      </c>
      <c r="J54">
        <v>7</v>
      </c>
      <c r="M54">
        <f>COUNTIFS(统计!$G$3:$G$99,"7")</f>
        <v>0</v>
      </c>
      <c r="N54">
        <f>COUNTIFS(统计!$K$3:$K$99,"7")</f>
        <v>0</v>
      </c>
      <c r="O54">
        <f>COUNTIFS(统计!$O$3:$O$99,"7")</f>
        <v>0</v>
      </c>
      <c r="P54">
        <v>7</v>
      </c>
      <c r="S54">
        <f>COUNTIFS(统计!$G$3:$G$99,P54)*D49</f>
        <v>0</v>
      </c>
      <c r="T54">
        <f>COUNTIFS(统计!$K$3:$K$99,P54)*F52</f>
        <v>0</v>
      </c>
      <c r="U54">
        <f>COUNTIFS(统计!$O$3:$O$99,P54)*H54</f>
        <v>0</v>
      </c>
    </row>
    <row r="55" spans="1:21" x14ac:dyDescent="0.2">
      <c r="A55">
        <v>16</v>
      </c>
      <c r="B55">
        <v>62500</v>
      </c>
      <c r="C55">
        <v>13</v>
      </c>
      <c r="D55">
        <f t="shared" si="1"/>
        <v>20750</v>
      </c>
      <c r="E55">
        <v>10</v>
      </c>
      <c r="F55">
        <f t="shared" si="2"/>
        <v>6250</v>
      </c>
      <c r="G55">
        <v>8</v>
      </c>
      <c r="H55">
        <f t="shared" si="0"/>
        <v>3000</v>
      </c>
      <c r="J55">
        <v>8</v>
      </c>
      <c r="M55">
        <f>COUNTIFS(统计!$G$3:$G$99,"8")</f>
        <v>0</v>
      </c>
      <c r="N55">
        <f>COUNTIFS(统计!$K$3:$K$99,"8")</f>
        <v>0</v>
      </c>
      <c r="O55">
        <f>COUNTIFS(统计!$O$3:$O$99,"8")</f>
        <v>0</v>
      </c>
      <c r="P55">
        <v>8</v>
      </c>
      <c r="S55">
        <f>COUNTIFS(统计!$G$3:$G$99,P55)*D50</f>
        <v>0</v>
      </c>
      <c r="T55">
        <f>COUNTIFS(统计!$K$3:$K$99,P55)*F53</f>
        <v>0</v>
      </c>
      <c r="U55">
        <f>COUNTIFS(统计!$O$3:$O$99,P55)*H55</f>
        <v>0</v>
      </c>
    </row>
    <row r="56" spans="1:21" x14ac:dyDescent="0.2">
      <c r="A56">
        <v>17</v>
      </c>
      <c r="B56">
        <v>87500</v>
      </c>
      <c r="C56">
        <v>14</v>
      </c>
      <c r="D56">
        <f t="shared" si="1"/>
        <v>30750</v>
      </c>
      <c r="E56">
        <v>11</v>
      </c>
      <c r="F56">
        <f t="shared" si="2"/>
        <v>9250</v>
      </c>
      <c r="G56">
        <v>9</v>
      </c>
      <c r="H56">
        <f t="shared" si="0"/>
        <v>4500</v>
      </c>
      <c r="J56">
        <v>9</v>
      </c>
      <c r="M56">
        <f>COUNTIFS(统计!$G$3:$G$99,"9")</f>
        <v>0</v>
      </c>
      <c r="N56">
        <f>COUNTIFS(统计!$K$3:$K$99,"9")</f>
        <v>0</v>
      </c>
      <c r="O56">
        <f>COUNTIFS(统计!$O$3:$O$99,"9")</f>
        <v>0</v>
      </c>
      <c r="P56">
        <v>9</v>
      </c>
      <c r="S56">
        <f>COUNTIFS(统计!$G$3:$G$99,P56)*D51</f>
        <v>0</v>
      </c>
      <c r="T56">
        <f>COUNTIFS(统计!$K$3:$K$99,P56)*F54</f>
        <v>0</v>
      </c>
      <c r="U56">
        <f>COUNTIFS(统计!$O$3:$O$99,P56)*H56</f>
        <v>0</v>
      </c>
    </row>
    <row r="57" spans="1:21" x14ac:dyDescent="0.2">
      <c r="A57">
        <v>18</v>
      </c>
      <c r="B57">
        <v>117500</v>
      </c>
      <c r="C57">
        <v>15</v>
      </c>
      <c r="D57">
        <f t="shared" si="1"/>
        <v>45750</v>
      </c>
      <c r="E57">
        <v>12</v>
      </c>
      <c r="F57">
        <f t="shared" si="2"/>
        <v>14250</v>
      </c>
      <c r="G57">
        <v>10</v>
      </c>
      <c r="H57">
        <f t="shared" si="0"/>
        <v>6500</v>
      </c>
      <c r="J57">
        <v>10</v>
      </c>
      <c r="K57">
        <f>COUNTIFS(统计!$C$3:$C$9,"10")</f>
        <v>1</v>
      </c>
      <c r="L57">
        <f>COUNTIFS(统计!$C$10:$C$99,"10")</f>
        <v>0</v>
      </c>
      <c r="M57">
        <f>COUNTIFS(统计!$G$3:$G$99,"10")</f>
        <v>1</v>
      </c>
      <c r="N57">
        <f>COUNTIFS(统计!$K$3:$K$99,"10")</f>
        <v>0</v>
      </c>
      <c r="O57">
        <f>COUNTIFS(统计!$O$3:$O$99,"10")</f>
        <v>0</v>
      </c>
      <c r="P57">
        <v>10</v>
      </c>
      <c r="Q57">
        <f>COUNTIFS(统计!$C$3:$C$9,P57)*B49</f>
        <v>2000</v>
      </c>
      <c r="R57">
        <f>COUNTIFS(统计!$C$10:$C$99,P57)*B49</f>
        <v>0</v>
      </c>
      <c r="S57">
        <f>COUNTIFS(统计!$G$3:$G$99,P57)*D52</f>
        <v>5250</v>
      </c>
      <c r="T57">
        <f>COUNTIFS(统计!$K$3:$K$99,P57)*F55</f>
        <v>0</v>
      </c>
      <c r="U57">
        <f>COUNTIFS(统计!$O$3:$O$99,P57)*H57</f>
        <v>0</v>
      </c>
    </row>
    <row r="58" spans="1:21" x14ac:dyDescent="0.2">
      <c r="C58">
        <v>16</v>
      </c>
      <c r="D58">
        <f t="shared" si="1"/>
        <v>65750</v>
      </c>
      <c r="E58">
        <v>13</v>
      </c>
      <c r="F58">
        <f t="shared" si="2"/>
        <v>21750</v>
      </c>
      <c r="G58">
        <v>11</v>
      </c>
      <c r="H58">
        <f t="shared" si="0"/>
        <v>9500</v>
      </c>
      <c r="J58">
        <v>11</v>
      </c>
      <c r="K58">
        <f>COUNTIFS(统计!$C$3:$C$9,"11")</f>
        <v>4</v>
      </c>
      <c r="L58">
        <f>COUNTIFS(统计!$C$10:$C$99,"11")</f>
        <v>3</v>
      </c>
      <c r="M58">
        <f>COUNTIFS(统计!$G$3:$G$99,"11")</f>
        <v>0</v>
      </c>
      <c r="N58">
        <f>COUNTIFS(统计!$K$3:$K$99,"11")</f>
        <v>0</v>
      </c>
      <c r="O58">
        <f>COUNTIFS(统计!$O$3:$O$99,"11")</f>
        <v>0</v>
      </c>
      <c r="P58">
        <v>11</v>
      </c>
      <c r="Q58">
        <f>COUNTIFS(统计!$C$3:$C$9,P58)*B50</f>
        <v>20000</v>
      </c>
      <c r="R58">
        <f>COUNTIFS(统计!$C$10:$C$99,P58)*B50</f>
        <v>15000</v>
      </c>
      <c r="S58">
        <f>COUNTIFS(统计!$G$3:$G$99,P58)*D53</f>
        <v>0</v>
      </c>
      <c r="T58">
        <f>COUNTIFS(统计!$K$3:$K$99,P58)*F56</f>
        <v>0</v>
      </c>
      <c r="U58">
        <f>COUNTIFS(统计!$O$3:$O$99,P58)*H58</f>
        <v>0</v>
      </c>
    </row>
    <row r="59" spans="1:21" x14ac:dyDescent="0.2">
      <c r="C59">
        <v>17</v>
      </c>
      <c r="D59">
        <f t="shared" si="1"/>
        <v>90750</v>
      </c>
      <c r="E59">
        <v>14</v>
      </c>
      <c r="F59">
        <f t="shared" si="2"/>
        <v>31750</v>
      </c>
      <c r="G59">
        <v>12</v>
      </c>
      <c r="H59">
        <f t="shared" si="0"/>
        <v>14500</v>
      </c>
      <c r="J59">
        <v>12</v>
      </c>
      <c r="K59">
        <f>COUNTIFS(统计!$C$3:$C$9,"12")</f>
        <v>1</v>
      </c>
      <c r="L59">
        <f>COUNTIFS(统计!$C$10:$C$99,"12")</f>
        <v>7</v>
      </c>
      <c r="M59">
        <f>COUNTIFS(统计!$G$3:$G$99,"12")</f>
        <v>0</v>
      </c>
      <c r="N59">
        <f>COUNTIFS(统计!$K$3:$K$99,"12")</f>
        <v>0</v>
      </c>
      <c r="O59">
        <f>COUNTIFS(统计!$O$3:$O$99,"12")</f>
        <v>0</v>
      </c>
      <c r="P59">
        <v>12</v>
      </c>
      <c r="Q59">
        <f>COUNTIFS(统计!$C$3:$C$9,P59)*B51</f>
        <v>10000</v>
      </c>
      <c r="R59">
        <f>COUNTIFS(统计!$C$10:$C$99,P59)*B51</f>
        <v>70000</v>
      </c>
      <c r="S59">
        <f>COUNTIFS(统计!$G$3:$G$99,P59)*D54</f>
        <v>0</v>
      </c>
      <c r="T59">
        <f>COUNTIFS(统计!$K$3:$K$99,P59)*F57</f>
        <v>0</v>
      </c>
      <c r="U59">
        <f>COUNTIFS(统计!$O$3:$O$99,P59)*H59</f>
        <v>0</v>
      </c>
    </row>
    <row r="60" spans="1:21" x14ac:dyDescent="0.2">
      <c r="C60">
        <v>18</v>
      </c>
      <c r="D60">
        <f t="shared" si="1"/>
        <v>120750</v>
      </c>
      <c r="E60">
        <v>15</v>
      </c>
      <c r="F60">
        <f t="shared" si="2"/>
        <v>46750</v>
      </c>
      <c r="G60">
        <v>13</v>
      </c>
      <c r="H60">
        <f t="shared" si="0"/>
        <v>22000</v>
      </c>
      <c r="J60">
        <v>13</v>
      </c>
      <c r="K60">
        <f>COUNTIFS(统计!$C$3:$C$9,"13")</f>
        <v>0</v>
      </c>
      <c r="L60">
        <f>COUNTIFS(统计!$C$10:$C$99,"13")</f>
        <v>5</v>
      </c>
      <c r="M60">
        <f>COUNTIFS(统计!$G$3:$G$99,"13")</f>
        <v>9</v>
      </c>
      <c r="N60">
        <f>COUNTIFS(统计!$K$3:$K$99,"13")</f>
        <v>0</v>
      </c>
      <c r="O60">
        <f>COUNTIFS(统计!$O$3:$O$99,"13")</f>
        <v>0</v>
      </c>
      <c r="P60">
        <v>13</v>
      </c>
      <c r="Q60">
        <f>COUNTIFS(统计!$C$3:$C$9,P60)*B52</f>
        <v>0</v>
      </c>
      <c r="R60">
        <f>COUNTIFS(统计!$C$10:$C$99,P60)*B52</f>
        <v>87500</v>
      </c>
      <c r="S60">
        <f>COUNTIFS(统计!$G$3:$G$99,P60)*D55</f>
        <v>186750</v>
      </c>
      <c r="T60">
        <f>COUNTIFS(统计!$K$3:$K$99,P60)*F58</f>
        <v>0</v>
      </c>
      <c r="U60">
        <f>COUNTIFS(统计!$O$3:$O$99,P60)*H60</f>
        <v>0</v>
      </c>
    </row>
    <row r="61" spans="1:21" x14ac:dyDescent="0.2">
      <c r="E61">
        <v>16</v>
      </c>
      <c r="F61">
        <f t="shared" si="2"/>
        <v>66750</v>
      </c>
      <c r="G61">
        <v>14</v>
      </c>
      <c r="H61">
        <f t="shared" si="0"/>
        <v>32000</v>
      </c>
      <c r="J61">
        <v>14</v>
      </c>
      <c r="K61">
        <f>COUNTIFS(统计!$C$3:$C$9,"14")</f>
        <v>0</v>
      </c>
      <c r="L61">
        <f>COUNTIFS(统计!$C$10:$C$99,"14")</f>
        <v>5</v>
      </c>
      <c r="M61">
        <f>COUNTIFS(统计!$G$3:$G$99,"14")</f>
        <v>11</v>
      </c>
      <c r="N61">
        <f>COUNTIFS(统计!$K$3:$K$99,"14")</f>
        <v>0</v>
      </c>
      <c r="O61">
        <f>COUNTIFS(统计!$O$3:$O$99,"14")</f>
        <v>0</v>
      </c>
      <c r="P61">
        <v>14</v>
      </c>
      <c r="Q61">
        <f>COUNTIFS(统计!$C$3:$C$9,P61)*B53</f>
        <v>0</v>
      </c>
      <c r="R61">
        <f>COUNTIFS(统计!$C$10:$C$99,P61)*B53</f>
        <v>137500</v>
      </c>
      <c r="S61">
        <f>COUNTIFS(统计!$G$3:$G$99,P61)*D56</f>
        <v>338250</v>
      </c>
      <c r="T61">
        <f>COUNTIFS(统计!$K$3:$K$99,P61)*F59</f>
        <v>0</v>
      </c>
      <c r="U61">
        <f>COUNTIFS(统计!$O$3:$O$99,P61)*H61</f>
        <v>0</v>
      </c>
    </row>
    <row r="62" spans="1:21" x14ac:dyDescent="0.2">
      <c r="E62">
        <v>17</v>
      </c>
      <c r="F62">
        <f t="shared" si="2"/>
        <v>91750</v>
      </c>
      <c r="G62">
        <v>15</v>
      </c>
      <c r="H62">
        <f t="shared" si="0"/>
        <v>47000</v>
      </c>
      <c r="J62">
        <v>15</v>
      </c>
      <c r="K62">
        <f>COUNTIFS(统计!$C$3:$C$9,"15")</f>
        <v>0</v>
      </c>
      <c r="L62">
        <f>COUNTIFS(统计!$C$10:$C$99,"15")</f>
        <v>0</v>
      </c>
      <c r="M62">
        <f>COUNTIFS(统计!$G$3:$G$99,"15")</f>
        <v>6</v>
      </c>
      <c r="N62">
        <f>COUNTIFS(统计!$K$3:$K$99,"15")</f>
        <v>6</v>
      </c>
      <c r="O62">
        <f>COUNTIFS(统计!$O$3:$O$99,"15")</f>
        <v>6</v>
      </c>
      <c r="P62">
        <v>15</v>
      </c>
      <c r="Q62">
        <f>COUNTIFS(统计!$C$3:$C$9,P62)*B54</f>
        <v>0</v>
      </c>
      <c r="R62">
        <f>COUNTIFS(统计!$C$10:$C$99,P62)*B54</f>
        <v>0</v>
      </c>
      <c r="S62">
        <f>COUNTIFS(统计!$G$3:$G$99,P62)*D57</f>
        <v>274500</v>
      </c>
      <c r="T62">
        <f>COUNTIFS(统计!$K$3:$K$99,P62)*F60</f>
        <v>280500</v>
      </c>
      <c r="U62">
        <f>COUNTIFS(统计!$O$3:$O$99,P62)*H62</f>
        <v>282000</v>
      </c>
    </row>
    <row r="63" spans="1:21" x14ac:dyDescent="0.2">
      <c r="E63">
        <v>18</v>
      </c>
      <c r="F63">
        <f t="shared" si="2"/>
        <v>121750</v>
      </c>
      <c r="G63">
        <v>16</v>
      </c>
      <c r="H63">
        <f t="shared" si="0"/>
        <v>67000</v>
      </c>
      <c r="J63">
        <v>16</v>
      </c>
      <c r="K63">
        <f>COUNTIFS(统计!$C$3:$C$9,"16")</f>
        <v>0</v>
      </c>
      <c r="L63">
        <f>COUNTIFS(统计!$C$10:$C$99,"16")</f>
        <v>1</v>
      </c>
      <c r="M63">
        <f>COUNTIFS(统计!$G$3:$G$99,"16")</f>
        <v>7</v>
      </c>
      <c r="N63">
        <f>COUNTIFS(统计!$K$3:$K$99,"16")</f>
        <v>17</v>
      </c>
      <c r="O63">
        <f>COUNTIFS(统计!$O$3:$O$99,"16")</f>
        <v>7</v>
      </c>
      <c r="P63">
        <v>16</v>
      </c>
      <c r="Q63">
        <f>COUNTIFS(统计!$C$3:$C$9,P63)*B55</f>
        <v>0</v>
      </c>
      <c r="R63">
        <f>COUNTIFS(统计!$C$10:$C$99,P63)*B55</f>
        <v>62500</v>
      </c>
      <c r="S63">
        <f>COUNTIFS(统计!$G$3:$G$99,P63)*D58</f>
        <v>460250</v>
      </c>
      <c r="T63">
        <f>COUNTIFS(统计!$K$3:$K$99,P63)*F61</f>
        <v>1134750</v>
      </c>
      <c r="U63">
        <f>COUNTIFS(统计!$O$3:$O$99,P63)*H63</f>
        <v>469000</v>
      </c>
    </row>
    <row r="64" spans="1:21" x14ac:dyDescent="0.2">
      <c r="G64">
        <v>17</v>
      </c>
      <c r="H64">
        <f t="shared" si="0"/>
        <v>92000</v>
      </c>
      <c r="J64">
        <v>17</v>
      </c>
      <c r="K64">
        <f>COUNTIFS(统计!$C$3:$C$9,"17")</f>
        <v>0</v>
      </c>
      <c r="L64">
        <f>COUNTIFS(统计!$C$10:$C$99,"17")</f>
        <v>0</v>
      </c>
      <c r="M64">
        <f>COUNTIFS(统计!$G$3:$G$99,"17")</f>
        <v>1</v>
      </c>
      <c r="N64">
        <f>COUNTIFS(统计!$K$3:$K$99,"17")</f>
        <v>1</v>
      </c>
      <c r="O64">
        <f>COUNTIFS(统计!$O$3:$O$99,"17")</f>
        <v>0</v>
      </c>
      <c r="P64">
        <v>17</v>
      </c>
      <c r="Q64">
        <f>COUNTIFS(统计!$C$3:$C$9,P64)*B56</f>
        <v>0</v>
      </c>
      <c r="R64">
        <f>COUNTIFS(统计!$C$10:$C$99,P64)*B56</f>
        <v>0</v>
      </c>
      <c r="S64">
        <f>COUNTIFS(统计!$G$3:$G$99,P64)*D59</f>
        <v>90750</v>
      </c>
      <c r="T64">
        <f>COUNTIFS(统计!$K$3:$K$99,P64)*F62</f>
        <v>91750</v>
      </c>
      <c r="U64">
        <f>COUNTIFS(统计!$O$3:$O$99,P64)*H64</f>
        <v>0</v>
      </c>
    </row>
    <row r="65" spans="7:22" x14ac:dyDescent="0.2">
      <c r="G65">
        <v>18</v>
      </c>
      <c r="H65">
        <f t="shared" si="0"/>
        <v>122000</v>
      </c>
      <c r="J65">
        <v>18</v>
      </c>
      <c r="K65">
        <f>COUNTIFS(统计!$C$3:$C$9,"18")</f>
        <v>0</v>
      </c>
      <c r="L65">
        <f>COUNTIFS(统计!$C$10:$C$99,"18")</f>
        <v>0</v>
      </c>
      <c r="M65">
        <f>COUNTIFS(统计!$G$3:$G$99,"18")</f>
        <v>0</v>
      </c>
      <c r="N65">
        <f>COUNTIFS(统计!$K$3:$K$99,"18")</f>
        <v>0</v>
      </c>
      <c r="O65">
        <f>COUNTIFS(统计!$O$3:$O$99,"18")</f>
        <v>0</v>
      </c>
      <c r="P65">
        <v>18</v>
      </c>
      <c r="Q65">
        <f>COUNTIFS(统计!$C$3:$C$9,P65)*B57</f>
        <v>0</v>
      </c>
      <c r="R65">
        <f>COUNTIFS(统计!$C$10:$C$99,P65)*B57</f>
        <v>0</v>
      </c>
      <c r="S65">
        <f>COUNTIFS(统计!$G$3:$G$99,P65)*D60</f>
        <v>0</v>
      </c>
      <c r="T65">
        <f>COUNTIFS(统计!$K$3:$K$99,P65)*F63</f>
        <v>0</v>
      </c>
      <c r="U65">
        <f>COUNTIFS(统计!$O$3:$O$99,P65)*H65</f>
        <v>0</v>
      </c>
    </row>
    <row r="66" spans="7:22" x14ac:dyDescent="0.2">
      <c r="P66" t="s">
        <v>831</v>
      </c>
      <c r="Q66">
        <f>SUM(Q57:Q65)</f>
        <v>32000</v>
      </c>
      <c r="R66">
        <f>SUM(R57:R65)</f>
        <v>372500</v>
      </c>
      <c r="S66">
        <f>SUM(S54:S65)</f>
        <v>1355750</v>
      </c>
      <c r="T66">
        <f>SUM(T57:T65)</f>
        <v>1507000</v>
      </c>
      <c r="U66">
        <f t="shared" ref="U66" si="3">SUM(U57:U65)</f>
        <v>751000</v>
      </c>
      <c r="V66">
        <f>SUM(Q66:U66)</f>
        <v>4018250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2C26-6DD9-4EAA-A867-C123AB4E09C7}">
  <dimension ref="A1:C13"/>
  <sheetViews>
    <sheetView zoomScaleNormal="100" workbookViewId="0">
      <selection activeCell="A5" sqref="A5:E17"/>
    </sheetView>
  </sheetViews>
  <sheetFormatPr defaultRowHeight="14.25" x14ac:dyDescent="0.2"/>
  <cols>
    <col min="1" max="1" width="11.125" bestFit="1" customWidth="1"/>
    <col min="2" max="2" width="9.125" bestFit="1" customWidth="1"/>
    <col min="3" max="3" width="16.375" customWidth="1"/>
    <col min="4" max="11" width="3.5" bestFit="1" customWidth="1"/>
    <col min="12" max="12" width="5.25" bestFit="1" customWidth="1"/>
    <col min="13" max="13" width="10" bestFit="1" customWidth="1"/>
    <col min="14" max="14" width="8.625" bestFit="1" customWidth="1"/>
    <col min="15" max="15" width="11.5" bestFit="1" customWidth="1"/>
    <col min="16" max="16" width="10" bestFit="1" customWidth="1"/>
    <col min="17" max="17" width="8.625" bestFit="1" customWidth="1"/>
    <col min="18" max="18" width="10" bestFit="1" customWidth="1"/>
    <col min="19" max="19" width="8.625" bestFit="1" customWidth="1"/>
    <col min="20" max="21" width="10" bestFit="1" customWidth="1"/>
    <col min="22" max="22" width="8.625" bestFit="1" customWidth="1"/>
    <col min="23" max="23" width="11.5" bestFit="1" customWidth="1"/>
    <col min="24" max="24" width="11.75" bestFit="1" customWidth="1"/>
    <col min="25" max="25" width="5.25" bestFit="1" customWidth="1"/>
  </cols>
  <sheetData>
    <row r="1" spans="1:3" x14ac:dyDescent="0.2">
      <c r="A1" t="s">
        <v>165</v>
      </c>
      <c r="B1" t="s">
        <v>1</v>
      </c>
      <c r="C1" t="s">
        <v>278</v>
      </c>
    </row>
    <row r="2" spans="1:3" x14ac:dyDescent="0.2">
      <c r="A2" s="177">
        <v>44560</v>
      </c>
      <c r="B2">
        <v>73</v>
      </c>
    </row>
    <row r="3" spans="1:3" x14ac:dyDescent="0.2">
      <c r="A3" s="177">
        <v>44587</v>
      </c>
      <c r="B3">
        <v>77</v>
      </c>
      <c r="C3" s="178">
        <f>(A3-A2)/(B3-B2)</f>
        <v>6.75</v>
      </c>
    </row>
    <row r="4" spans="1:3" x14ac:dyDescent="0.2">
      <c r="A4" s="177">
        <v>44591</v>
      </c>
      <c r="B4">
        <v>78</v>
      </c>
      <c r="C4" s="178">
        <f>(A4-A3)/(B4-B3)</f>
        <v>4</v>
      </c>
    </row>
    <row r="5" spans="1:3" x14ac:dyDescent="0.2">
      <c r="A5" s="177">
        <v>44600</v>
      </c>
      <c r="B5">
        <v>80</v>
      </c>
      <c r="C5" s="178">
        <f t="shared" ref="C5:C12" si="0">(A5-A4)/(B5-B4)</f>
        <v>4.5</v>
      </c>
    </row>
    <row r="6" spans="1:3" x14ac:dyDescent="0.2">
      <c r="A6" s="177">
        <v>44664</v>
      </c>
      <c r="B6">
        <v>84</v>
      </c>
      <c r="C6" s="178">
        <f t="shared" si="0"/>
        <v>16</v>
      </c>
    </row>
    <row r="7" spans="1:3" x14ac:dyDescent="0.2">
      <c r="A7" s="177">
        <v>44694</v>
      </c>
      <c r="B7">
        <v>85</v>
      </c>
      <c r="C7" s="178">
        <f t="shared" si="0"/>
        <v>30</v>
      </c>
    </row>
    <row r="8" spans="1:3" x14ac:dyDescent="0.2">
      <c r="A8" s="177">
        <v>44763</v>
      </c>
      <c r="B8">
        <v>89</v>
      </c>
      <c r="C8" s="178">
        <f t="shared" si="0"/>
        <v>17.25</v>
      </c>
    </row>
    <row r="9" spans="1:3" x14ac:dyDescent="0.2">
      <c r="A9" s="177">
        <v>44783</v>
      </c>
      <c r="B9">
        <v>91</v>
      </c>
      <c r="C9" s="178">
        <f t="shared" si="0"/>
        <v>10</v>
      </c>
    </row>
    <row r="10" spans="1:3" x14ac:dyDescent="0.2">
      <c r="A10" s="177">
        <v>44813</v>
      </c>
      <c r="B10">
        <v>92</v>
      </c>
      <c r="C10" s="178">
        <f t="shared" si="0"/>
        <v>30</v>
      </c>
    </row>
    <row r="11" spans="1:3" x14ac:dyDescent="0.2">
      <c r="A11" s="177">
        <v>44829</v>
      </c>
      <c r="B11">
        <v>94</v>
      </c>
      <c r="C11" s="178">
        <f t="shared" si="0"/>
        <v>8</v>
      </c>
    </row>
    <row r="12" spans="1:3" x14ac:dyDescent="0.2">
      <c r="A12" s="177">
        <v>44843</v>
      </c>
      <c r="B12">
        <v>95</v>
      </c>
      <c r="C12" s="178">
        <f t="shared" si="0"/>
        <v>14</v>
      </c>
    </row>
    <row r="13" spans="1:3" x14ac:dyDescent="0.2">
      <c r="A13" s="177">
        <v>44916</v>
      </c>
      <c r="B13">
        <v>100</v>
      </c>
      <c r="C13" s="178">
        <f>(A13-A12)/(B13-B12)</f>
        <v>14.6</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3657-EBDA-4AA0-B4FA-DCD5F7B41ACC}">
  <sheetPr codeName="Sheet5">
    <tabColor rgb="FF0070C0"/>
  </sheetPr>
  <dimension ref="A1:Z156"/>
  <sheetViews>
    <sheetView topLeftCell="A37" workbookViewId="0">
      <selection activeCell="B55" sqref="B55"/>
    </sheetView>
  </sheetViews>
  <sheetFormatPr defaultRowHeight="14.25" x14ac:dyDescent="0.2"/>
  <cols>
    <col min="1" max="1" width="14.25" customWidth="1"/>
    <col min="2" max="2" width="193.875" customWidth="1"/>
  </cols>
  <sheetData>
    <row r="1" spans="1:26" ht="22.5" customHeight="1" x14ac:dyDescent="0.2">
      <c r="A1" s="58" t="s">
        <v>165</v>
      </c>
      <c r="B1" s="59" t="s">
        <v>166</v>
      </c>
      <c r="C1" s="56"/>
      <c r="D1" s="56"/>
      <c r="E1" s="56"/>
      <c r="F1" s="56"/>
      <c r="G1" s="56"/>
      <c r="H1" s="56"/>
      <c r="I1" s="56"/>
      <c r="J1" s="56"/>
      <c r="K1" s="56"/>
      <c r="L1" s="56"/>
      <c r="M1" s="56"/>
      <c r="N1" s="56"/>
      <c r="O1" s="56"/>
      <c r="P1" s="56"/>
      <c r="Q1" s="56"/>
      <c r="R1" s="56"/>
      <c r="S1" s="56"/>
      <c r="T1" s="56"/>
      <c r="U1" s="56"/>
      <c r="V1" s="56"/>
      <c r="W1" s="56"/>
      <c r="X1" s="56"/>
      <c r="Y1" s="56"/>
      <c r="Z1" s="56"/>
    </row>
    <row r="2" spans="1:26" ht="22.5" customHeight="1" x14ac:dyDescent="0.2">
      <c r="A2" s="60">
        <v>44560</v>
      </c>
      <c r="B2" s="61" t="s">
        <v>167</v>
      </c>
      <c r="C2" s="56"/>
      <c r="D2" s="56"/>
      <c r="E2" s="56"/>
      <c r="F2" s="56"/>
      <c r="G2" s="56"/>
      <c r="H2" s="56"/>
      <c r="I2" s="56"/>
      <c r="J2" s="56"/>
      <c r="K2" s="56"/>
      <c r="L2" s="56"/>
      <c r="M2" s="56"/>
      <c r="N2" s="56"/>
      <c r="O2" s="56"/>
      <c r="P2" s="56"/>
      <c r="Q2" s="56"/>
      <c r="R2" s="56"/>
      <c r="S2" s="56"/>
      <c r="T2" s="56"/>
      <c r="U2" s="56"/>
      <c r="V2" s="56"/>
      <c r="W2" s="56"/>
      <c r="X2" s="56"/>
      <c r="Y2" s="56"/>
      <c r="Z2" s="56"/>
    </row>
    <row r="3" spans="1:26" ht="80.25" customHeight="1" x14ac:dyDescent="0.2">
      <c r="A3" s="60">
        <v>44580</v>
      </c>
      <c r="B3" s="63" t="s">
        <v>229</v>
      </c>
      <c r="C3" s="56"/>
      <c r="D3" s="56"/>
      <c r="E3" s="56"/>
      <c r="F3" s="56"/>
      <c r="G3" s="56"/>
      <c r="H3" s="56"/>
      <c r="I3" s="56"/>
      <c r="J3" s="56"/>
      <c r="K3" s="56"/>
      <c r="L3" s="56"/>
      <c r="M3" s="56"/>
      <c r="N3" s="56"/>
      <c r="O3" s="56"/>
      <c r="P3" s="56"/>
      <c r="Q3" s="56"/>
      <c r="R3" s="56"/>
      <c r="S3" s="56"/>
      <c r="T3" s="56"/>
      <c r="U3" s="56"/>
      <c r="V3" s="56"/>
      <c r="W3" s="56"/>
      <c r="X3" s="56"/>
      <c r="Y3" s="56"/>
      <c r="Z3" s="56"/>
    </row>
    <row r="4" spans="1:26" ht="33" customHeight="1" x14ac:dyDescent="0.2">
      <c r="A4" s="62" t="s">
        <v>171</v>
      </c>
      <c r="B4" s="61" t="s">
        <v>230</v>
      </c>
      <c r="C4" s="56"/>
      <c r="D4" s="56"/>
      <c r="E4" s="56"/>
      <c r="F4" s="56"/>
      <c r="G4" s="56"/>
      <c r="H4" s="56"/>
      <c r="I4" s="56"/>
      <c r="J4" s="56"/>
      <c r="K4" s="56"/>
      <c r="L4" s="56"/>
      <c r="M4" s="56"/>
      <c r="N4" s="56"/>
      <c r="O4" s="56"/>
      <c r="P4" s="56"/>
      <c r="Q4" s="56"/>
      <c r="R4" s="56"/>
      <c r="S4" s="56"/>
      <c r="T4" s="56"/>
      <c r="U4" s="56"/>
      <c r="V4" s="56"/>
      <c r="W4" s="56"/>
      <c r="X4" s="56"/>
      <c r="Y4" s="56"/>
      <c r="Z4" s="56"/>
    </row>
    <row r="5" spans="1:26" ht="48.75" customHeight="1" x14ac:dyDescent="0.2">
      <c r="A5" s="62" t="s">
        <v>172</v>
      </c>
      <c r="B5" s="61" t="s">
        <v>231</v>
      </c>
      <c r="C5" s="56"/>
      <c r="D5" s="56"/>
      <c r="E5" s="56"/>
      <c r="F5" s="56"/>
      <c r="G5" s="56"/>
      <c r="H5" s="56"/>
      <c r="I5" s="56"/>
      <c r="J5" s="56"/>
      <c r="K5" s="56"/>
      <c r="L5" s="56"/>
      <c r="M5" s="56"/>
      <c r="N5" s="56"/>
      <c r="O5" s="56"/>
      <c r="P5" s="56"/>
      <c r="Q5" s="56"/>
      <c r="R5" s="56"/>
      <c r="S5" s="56"/>
      <c r="T5" s="56"/>
      <c r="U5" s="56"/>
      <c r="V5" s="56"/>
      <c r="W5" s="56"/>
      <c r="X5" s="56"/>
      <c r="Y5" s="56"/>
      <c r="Z5" s="56"/>
    </row>
    <row r="6" spans="1:26" ht="22.5" customHeight="1" x14ac:dyDescent="0.2">
      <c r="A6" s="62" t="s">
        <v>173</v>
      </c>
      <c r="B6" s="124" t="s">
        <v>182</v>
      </c>
      <c r="C6" s="56"/>
      <c r="D6" s="56"/>
      <c r="E6" s="56"/>
      <c r="F6" s="56"/>
      <c r="G6" s="56"/>
      <c r="H6" s="56"/>
      <c r="I6" s="56"/>
      <c r="J6" s="56"/>
      <c r="K6" s="56"/>
      <c r="L6" s="56"/>
      <c r="M6" s="56"/>
      <c r="N6" s="56"/>
      <c r="O6" s="56"/>
      <c r="P6" s="56"/>
      <c r="Q6" s="56"/>
      <c r="R6" s="56"/>
      <c r="S6" s="56"/>
      <c r="T6" s="56"/>
      <c r="U6" s="56"/>
      <c r="V6" s="56"/>
      <c r="W6" s="56"/>
      <c r="X6" s="56"/>
      <c r="Y6" s="56"/>
      <c r="Z6" s="56"/>
    </row>
    <row r="7" spans="1:26" ht="51.75" customHeight="1" x14ac:dyDescent="0.2">
      <c r="A7" s="62" t="s">
        <v>174</v>
      </c>
      <c r="B7" s="61" t="s">
        <v>232</v>
      </c>
      <c r="C7" s="56"/>
      <c r="D7" s="56"/>
      <c r="E7" s="56"/>
      <c r="F7" s="56"/>
      <c r="G7" s="56"/>
      <c r="H7" s="56"/>
      <c r="I7" s="56"/>
      <c r="J7" s="56"/>
      <c r="K7" s="56"/>
      <c r="L7" s="56"/>
      <c r="M7" s="56"/>
      <c r="N7" s="56"/>
      <c r="O7" s="56"/>
      <c r="P7" s="56"/>
      <c r="Q7" s="56"/>
      <c r="R7" s="56"/>
      <c r="S7" s="56"/>
      <c r="T7" s="56"/>
      <c r="U7" s="56"/>
      <c r="V7" s="56"/>
      <c r="W7" s="56"/>
      <c r="X7" s="56"/>
      <c r="Y7" s="56"/>
      <c r="Z7" s="56"/>
    </row>
    <row r="8" spans="1:26" ht="22.5" customHeight="1" x14ac:dyDescent="0.2">
      <c r="A8" s="62" t="s">
        <v>175</v>
      </c>
      <c r="B8" s="61" t="s">
        <v>169</v>
      </c>
      <c r="C8" s="56"/>
      <c r="D8" s="56"/>
      <c r="E8" s="56"/>
      <c r="F8" s="56"/>
      <c r="G8" s="56"/>
      <c r="H8" s="56"/>
      <c r="I8" s="56"/>
      <c r="J8" s="56"/>
      <c r="K8" s="56"/>
      <c r="L8" s="56"/>
      <c r="M8" s="56"/>
      <c r="N8" s="56"/>
      <c r="O8" s="56"/>
      <c r="P8" s="56"/>
      <c r="Q8" s="56"/>
      <c r="R8" s="56"/>
      <c r="S8" s="56"/>
      <c r="T8" s="56"/>
      <c r="U8" s="56"/>
      <c r="V8" s="56"/>
      <c r="W8" s="56"/>
      <c r="X8" s="56"/>
      <c r="Y8" s="56"/>
      <c r="Z8" s="56"/>
    </row>
    <row r="9" spans="1:26" ht="50.25" customHeight="1" x14ac:dyDescent="0.2">
      <c r="A9" s="62" t="s">
        <v>176</v>
      </c>
      <c r="B9" s="61" t="s">
        <v>233</v>
      </c>
      <c r="C9" s="56"/>
      <c r="D9" s="56"/>
      <c r="E9" s="56"/>
      <c r="F9" s="56"/>
      <c r="G9" s="56"/>
      <c r="H9" s="56"/>
      <c r="I9" s="56"/>
      <c r="J9" s="56"/>
      <c r="K9" s="56"/>
      <c r="L9" s="56"/>
      <c r="M9" s="56"/>
      <c r="N9" s="56"/>
      <c r="O9" s="56"/>
      <c r="P9" s="56"/>
      <c r="Q9" s="56"/>
      <c r="R9" s="56"/>
      <c r="S9" s="56"/>
      <c r="T9" s="56"/>
      <c r="U9" s="56"/>
      <c r="V9" s="56"/>
      <c r="W9" s="56"/>
      <c r="X9" s="56"/>
      <c r="Y9" s="56"/>
      <c r="Z9" s="56"/>
    </row>
    <row r="10" spans="1:26" ht="22.5" customHeight="1" x14ac:dyDescent="0.2">
      <c r="A10" s="62" t="s">
        <v>221</v>
      </c>
      <c r="B10" s="61" t="s">
        <v>170</v>
      </c>
      <c r="C10" s="56"/>
      <c r="D10" s="56"/>
      <c r="E10" s="56"/>
      <c r="F10" s="56"/>
      <c r="G10" s="56"/>
      <c r="H10" s="56"/>
      <c r="I10" s="56"/>
      <c r="J10" s="56"/>
      <c r="K10" s="56"/>
      <c r="L10" s="56"/>
      <c r="M10" s="56"/>
      <c r="N10" s="56"/>
      <c r="O10" s="56"/>
      <c r="P10" s="56"/>
      <c r="Q10" s="56"/>
      <c r="R10" s="56"/>
      <c r="S10" s="56"/>
      <c r="T10" s="56"/>
      <c r="U10" s="56"/>
      <c r="V10" s="56"/>
      <c r="W10" s="56"/>
      <c r="X10" s="56"/>
      <c r="Y10" s="56"/>
      <c r="Z10" s="56"/>
    </row>
    <row r="11" spans="1:26" ht="36" customHeight="1" x14ac:dyDescent="0.2">
      <c r="A11" s="62" t="s">
        <v>222</v>
      </c>
      <c r="B11" s="61" t="s">
        <v>234</v>
      </c>
      <c r="C11" s="56"/>
      <c r="D11" s="56"/>
      <c r="E11" s="56"/>
      <c r="F11" s="56"/>
      <c r="G11" s="56"/>
      <c r="H11" s="56"/>
      <c r="I11" s="56"/>
      <c r="J11" s="56"/>
      <c r="K11" s="56"/>
      <c r="L11" s="56"/>
      <c r="M11" s="56"/>
      <c r="N11" s="56"/>
      <c r="O11" s="56"/>
      <c r="P11" s="56"/>
      <c r="Q11" s="56"/>
      <c r="R11" s="56"/>
      <c r="S11" s="56"/>
      <c r="T11" s="56"/>
      <c r="U11" s="56"/>
      <c r="V11" s="56"/>
      <c r="W11" s="56"/>
      <c r="X11" s="56"/>
      <c r="Y11" s="56"/>
      <c r="Z11" s="56"/>
    </row>
    <row r="12" spans="1:26" ht="22.5" customHeight="1" x14ac:dyDescent="0.2">
      <c r="A12" s="62" t="s">
        <v>223</v>
      </c>
      <c r="B12" s="64" t="s">
        <v>189</v>
      </c>
      <c r="C12" s="56"/>
      <c r="D12" s="56"/>
      <c r="E12" s="56"/>
      <c r="F12" s="56"/>
      <c r="G12" s="56"/>
      <c r="H12" s="56"/>
      <c r="I12" s="56"/>
      <c r="J12" s="56"/>
      <c r="K12" s="56"/>
      <c r="L12" s="56"/>
      <c r="M12" s="56"/>
      <c r="N12" s="56"/>
      <c r="O12" s="56"/>
      <c r="P12" s="56"/>
      <c r="Q12" s="56"/>
      <c r="R12" s="56"/>
      <c r="S12" s="56"/>
      <c r="T12" s="56"/>
      <c r="U12" s="56"/>
      <c r="V12" s="56"/>
      <c r="W12" s="56"/>
      <c r="X12" s="56"/>
      <c r="Y12" s="56"/>
      <c r="Z12" s="56"/>
    </row>
    <row r="13" spans="1:26" ht="22.5" customHeight="1" x14ac:dyDescent="0.2">
      <c r="A13" s="62" t="s">
        <v>224</v>
      </c>
      <c r="B13" s="64" t="s">
        <v>190</v>
      </c>
      <c r="C13" s="56"/>
      <c r="D13" s="56"/>
      <c r="E13" s="56"/>
      <c r="F13" s="56"/>
      <c r="G13" s="56"/>
      <c r="H13" s="56"/>
      <c r="I13" s="56"/>
      <c r="J13" s="56"/>
      <c r="K13" s="56"/>
      <c r="L13" s="56"/>
      <c r="M13" s="56"/>
      <c r="N13" s="56"/>
      <c r="O13" s="56"/>
      <c r="P13" s="56"/>
      <c r="Q13" s="56"/>
      <c r="R13" s="56"/>
      <c r="S13" s="56"/>
      <c r="T13" s="56"/>
      <c r="U13" s="56"/>
      <c r="V13" s="56"/>
      <c r="W13" s="56"/>
      <c r="X13" s="56"/>
      <c r="Y13" s="56"/>
      <c r="Z13" s="56"/>
    </row>
    <row r="14" spans="1:26" ht="35.25" customHeight="1" x14ac:dyDescent="0.2">
      <c r="A14" s="62" t="s">
        <v>177</v>
      </c>
      <c r="B14" s="63" t="s">
        <v>235</v>
      </c>
      <c r="C14" s="56"/>
      <c r="D14" s="56"/>
      <c r="E14" s="56"/>
      <c r="F14" s="56"/>
      <c r="G14" s="56"/>
      <c r="H14" s="56"/>
      <c r="I14" s="56"/>
      <c r="J14" s="56"/>
      <c r="K14" s="56"/>
      <c r="L14" s="56"/>
      <c r="M14" s="56"/>
      <c r="N14" s="56"/>
      <c r="O14" s="56"/>
      <c r="P14" s="56"/>
      <c r="Q14" s="56"/>
      <c r="R14" s="56"/>
      <c r="S14" s="56"/>
      <c r="T14" s="56"/>
      <c r="U14" s="56"/>
      <c r="V14" s="56"/>
      <c r="W14" s="56"/>
      <c r="X14" s="56"/>
      <c r="Y14" s="56"/>
      <c r="Z14" s="56"/>
    </row>
    <row r="15" spans="1:26" ht="34.5" customHeight="1" x14ac:dyDescent="0.2">
      <c r="A15" s="62" t="s">
        <v>178</v>
      </c>
      <c r="B15" s="63" t="s">
        <v>242</v>
      </c>
      <c r="C15" s="56"/>
      <c r="D15" s="56"/>
      <c r="E15" s="56"/>
      <c r="F15" s="56"/>
      <c r="G15" s="56"/>
      <c r="H15" s="56"/>
      <c r="I15" s="56"/>
      <c r="J15" s="56"/>
      <c r="K15" s="56"/>
      <c r="L15" s="56"/>
      <c r="M15" s="56"/>
      <c r="N15" s="56"/>
      <c r="O15" s="56"/>
      <c r="P15" s="56"/>
      <c r="Q15" s="56"/>
      <c r="R15" s="56"/>
      <c r="S15" s="56"/>
      <c r="T15" s="56"/>
      <c r="U15" s="56"/>
      <c r="V15" s="56"/>
      <c r="W15" s="56"/>
      <c r="X15" s="56"/>
      <c r="Y15" s="56"/>
      <c r="Z15" s="56"/>
    </row>
    <row r="16" spans="1:26" ht="37.5" customHeight="1" x14ac:dyDescent="0.2">
      <c r="A16" s="62" t="s">
        <v>179</v>
      </c>
      <c r="B16" s="63" t="s">
        <v>241</v>
      </c>
      <c r="C16" s="56"/>
      <c r="D16" s="56"/>
      <c r="E16" s="56"/>
      <c r="F16" s="56"/>
      <c r="G16" s="56"/>
      <c r="H16" s="56"/>
      <c r="I16" s="56"/>
      <c r="J16" s="56"/>
      <c r="K16" s="56"/>
      <c r="L16" s="56"/>
      <c r="M16" s="56"/>
      <c r="N16" s="56"/>
      <c r="O16" s="56"/>
      <c r="P16" s="56"/>
      <c r="Q16" s="56"/>
      <c r="R16" s="56"/>
      <c r="S16" s="56"/>
      <c r="T16" s="56"/>
      <c r="U16" s="56"/>
      <c r="V16" s="56"/>
      <c r="W16" s="56"/>
      <c r="X16" s="56"/>
      <c r="Y16" s="56"/>
      <c r="Z16" s="56"/>
    </row>
    <row r="17" spans="1:26" ht="22.5" customHeight="1" x14ac:dyDescent="0.2">
      <c r="A17" s="62" t="s">
        <v>180</v>
      </c>
      <c r="B17" s="64" t="s">
        <v>211</v>
      </c>
      <c r="C17" s="56"/>
      <c r="D17" s="56"/>
      <c r="E17" s="56"/>
      <c r="F17" s="56"/>
      <c r="G17" s="56"/>
      <c r="H17" s="56"/>
      <c r="I17" s="56"/>
      <c r="J17" s="56"/>
      <c r="K17" s="56"/>
      <c r="L17" s="56"/>
      <c r="M17" s="56"/>
      <c r="N17" s="56"/>
      <c r="O17" s="56"/>
      <c r="P17" s="56"/>
      <c r="Q17" s="56"/>
      <c r="R17" s="56"/>
      <c r="S17" s="56"/>
      <c r="T17" s="56"/>
      <c r="U17" s="56"/>
      <c r="V17" s="56"/>
      <c r="W17" s="56"/>
      <c r="X17" s="56"/>
      <c r="Y17" s="56"/>
      <c r="Z17" s="56"/>
    </row>
    <row r="18" spans="1:26" ht="50.25" customHeight="1" x14ac:dyDescent="0.2">
      <c r="A18" s="62" t="s">
        <v>181</v>
      </c>
      <c r="B18" s="61" t="s">
        <v>236</v>
      </c>
      <c r="C18" s="56"/>
      <c r="D18" s="56"/>
      <c r="E18" s="56"/>
      <c r="F18" s="56"/>
      <c r="G18" s="56"/>
      <c r="H18" s="56"/>
      <c r="I18" s="56"/>
      <c r="J18" s="56"/>
      <c r="K18" s="56"/>
      <c r="L18" s="56"/>
      <c r="M18" s="56"/>
      <c r="N18" s="56"/>
      <c r="O18" s="56"/>
      <c r="P18" s="56"/>
      <c r="Q18" s="56"/>
      <c r="R18" s="56"/>
      <c r="S18" s="56"/>
      <c r="T18" s="56"/>
      <c r="U18" s="56"/>
      <c r="V18" s="56"/>
      <c r="W18" s="56"/>
      <c r="X18" s="56"/>
      <c r="Y18" s="56"/>
      <c r="Z18" s="56"/>
    </row>
    <row r="19" spans="1:26" ht="22.5" customHeight="1" x14ac:dyDescent="0.2">
      <c r="A19" s="65" t="s">
        <v>185</v>
      </c>
      <c r="B19" s="53" t="s">
        <v>186</v>
      </c>
      <c r="C19" s="56"/>
      <c r="D19" s="56"/>
      <c r="E19" s="56"/>
      <c r="F19" s="56"/>
      <c r="G19" s="56"/>
      <c r="H19" s="56"/>
      <c r="I19" s="56"/>
      <c r="J19" s="56"/>
      <c r="K19" s="56"/>
      <c r="L19" s="56"/>
      <c r="M19" s="56"/>
      <c r="N19" s="56"/>
      <c r="O19" s="56"/>
      <c r="P19" s="56"/>
      <c r="Q19" s="56"/>
      <c r="R19" s="56"/>
      <c r="S19" s="56"/>
      <c r="T19" s="56"/>
      <c r="U19" s="56"/>
      <c r="V19" s="56"/>
      <c r="W19" s="56"/>
      <c r="X19" s="56"/>
      <c r="Y19" s="56"/>
      <c r="Z19" s="56"/>
    </row>
    <row r="20" spans="1:26" ht="23.25" customHeight="1" x14ac:dyDescent="0.2">
      <c r="A20" s="62" t="s">
        <v>188</v>
      </c>
      <c r="B20" s="64" t="s">
        <v>654</v>
      </c>
      <c r="C20" s="56"/>
      <c r="D20" s="56"/>
      <c r="E20" s="56"/>
      <c r="F20" s="56"/>
      <c r="G20" s="56"/>
      <c r="H20" s="56"/>
      <c r="I20" s="56"/>
      <c r="J20" s="56"/>
      <c r="K20" s="56"/>
      <c r="L20" s="56"/>
      <c r="M20" s="56"/>
      <c r="N20" s="56"/>
      <c r="O20" s="56"/>
      <c r="P20" s="56"/>
      <c r="Q20" s="56"/>
      <c r="R20" s="56"/>
      <c r="S20" s="56"/>
      <c r="T20" s="56"/>
      <c r="U20" s="56"/>
      <c r="V20" s="56"/>
      <c r="W20" s="56"/>
      <c r="X20" s="56"/>
      <c r="Y20" s="56"/>
      <c r="Z20" s="56"/>
    </row>
    <row r="21" spans="1:26" ht="63" customHeight="1" x14ac:dyDescent="0.2">
      <c r="A21" s="62" t="s">
        <v>191</v>
      </c>
      <c r="B21" s="95" t="s">
        <v>237</v>
      </c>
      <c r="C21" s="56"/>
      <c r="D21" s="56"/>
      <c r="E21" s="56"/>
      <c r="F21" s="56"/>
      <c r="G21" s="56"/>
      <c r="H21" s="56"/>
      <c r="I21" s="56"/>
      <c r="J21" s="56"/>
      <c r="K21" s="56"/>
      <c r="L21" s="56"/>
      <c r="M21" s="56"/>
      <c r="N21" s="56"/>
      <c r="O21" s="56"/>
      <c r="P21" s="56"/>
      <c r="Q21" s="56"/>
      <c r="R21" s="56"/>
      <c r="S21" s="56"/>
      <c r="T21" s="56"/>
      <c r="U21" s="56"/>
      <c r="V21" s="56"/>
      <c r="W21" s="56"/>
      <c r="X21" s="56"/>
      <c r="Y21" s="56"/>
      <c r="Z21" s="56"/>
    </row>
    <row r="22" spans="1:26" ht="51" customHeight="1" x14ac:dyDescent="0.2">
      <c r="A22" s="62" t="s">
        <v>209</v>
      </c>
      <c r="B22" s="95" t="s">
        <v>238</v>
      </c>
      <c r="C22" s="56"/>
      <c r="D22" s="56"/>
      <c r="E22" s="56"/>
      <c r="F22" s="56"/>
      <c r="G22" s="56"/>
      <c r="H22" s="56"/>
      <c r="I22" s="56"/>
      <c r="J22" s="56"/>
      <c r="K22" s="56"/>
      <c r="L22" s="56"/>
      <c r="M22" s="56"/>
      <c r="N22" s="56"/>
      <c r="O22" s="56"/>
      <c r="P22" s="56"/>
      <c r="Q22" s="56"/>
      <c r="R22" s="56"/>
      <c r="S22" s="56"/>
      <c r="T22" s="56"/>
      <c r="U22" s="56"/>
      <c r="V22" s="56"/>
      <c r="W22" s="56"/>
      <c r="X22" s="56"/>
      <c r="Y22" s="56"/>
      <c r="Z22" s="56"/>
    </row>
    <row r="23" spans="1:26" ht="37.5" customHeight="1" x14ac:dyDescent="0.2">
      <c r="A23" s="62" t="s">
        <v>225</v>
      </c>
      <c r="B23" s="116" t="s">
        <v>239</v>
      </c>
      <c r="C23" s="56"/>
      <c r="D23" s="56"/>
      <c r="E23" s="56"/>
      <c r="F23" s="56"/>
      <c r="G23" s="56"/>
      <c r="H23" s="56"/>
      <c r="I23" s="56"/>
      <c r="J23" s="56"/>
      <c r="K23" s="56"/>
      <c r="L23" s="56"/>
      <c r="M23" s="56"/>
      <c r="N23" s="56"/>
      <c r="O23" s="56"/>
      <c r="P23" s="56"/>
      <c r="Q23" s="56"/>
      <c r="R23" s="56"/>
      <c r="S23" s="56"/>
      <c r="T23" s="56"/>
      <c r="U23" s="56"/>
      <c r="V23" s="56"/>
      <c r="W23" s="56"/>
      <c r="X23" s="56"/>
      <c r="Y23" s="56"/>
      <c r="Z23" s="56"/>
    </row>
    <row r="24" spans="1:26" ht="81.75" customHeight="1" x14ac:dyDescent="0.2">
      <c r="A24" s="62" t="s">
        <v>227</v>
      </c>
      <c r="B24" s="95" t="s">
        <v>240</v>
      </c>
      <c r="C24" s="56"/>
      <c r="D24" s="56"/>
      <c r="E24" s="56"/>
      <c r="F24" s="56"/>
      <c r="G24" s="56"/>
      <c r="H24" s="56"/>
      <c r="I24" s="56"/>
      <c r="J24" s="56"/>
      <c r="K24" s="56"/>
      <c r="L24" s="56"/>
      <c r="M24" s="56"/>
      <c r="N24" s="56"/>
      <c r="O24" s="56"/>
      <c r="P24" s="56"/>
      <c r="Q24" s="56"/>
      <c r="R24" s="56"/>
      <c r="S24" s="56"/>
      <c r="T24" s="56"/>
      <c r="U24" s="56"/>
      <c r="V24" s="56"/>
      <c r="W24" s="56"/>
      <c r="X24" s="56"/>
      <c r="Y24" s="56"/>
      <c r="Z24" s="56"/>
    </row>
    <row r="25" spans="1:26" ht="22.5" customHeight="1" x14ac:dyDescent="0.2">
      <c r="A25" s="62" t="s">
        <v>249</v>
      </c>
      <c r="B25" s="95" t="s">
        <v>250</v>
      </c>
      <c r="C25" s="56"/>
      <c r="D25" s="56"/>
      <c r="E25" s="56"/>
      <c r="F25" s="56"/>
      <c r="G25" s="56"/>
      <c r="H25" s="56"/>
      <c r="I25" s="56"/>
      <c r="J25" s="56"/>
      <c r="K25" s="56"/>
      <c r="L25" s="56"/>
      <c r="M25" s="56"/>
      <c r="N25" s="56"/>
      <c r="O25" s="56"/>
      <c r="P25" s="56"/>
      <c r="Q25" s="56"/>
      <c r="R25" s="56"/>
      <c r="S25" s="56"/>
      <c r="T25" s="56"/>
      <c r="U25" s="56"/>
      <c r="V25" s="56"/>
      <c r="W25" s="56"/>
      <c r="X25" s="56"/>
      <c r="Y25" s="56"/>
      <c r="Z25" s="56"/>
    </row>
    <row r="26" spans="1:26" ht="36.75" customHeight="1" x14ac:dyDescent="0.2">
      <c r="A26" s="62" t="s">
        <v>251</v>
      </c>
      <c r="B26" s="95" t="s">
        <v>254</v>
      </c>
      <c r="C26" s="56"/>
      <c r="D26" s="56"/>
      <c r="E26" s="56"/>
      <c r="F26" s="56"/>
      <c r="G26" s="56"/>
      <c r="H26" s="56"/>
      <c r="I26" s="56"/>
      <c r="J26" s="56"/>
      <c r="K26" s="56"/>
      <c r="L26" s="56"/>
      <c r="M26" s="56"/>
      <c r="N26" s="56"/>
      <c r="O26" s="56"/>
      <c r="P26" s="56"/>
      <c r="Q26" s="56"/>
      <c r="R26" s="56"/>
      <c r="S26" s="56"/>
      <c r="T26" s="56"/>
      <c r="U26" s="56"/>
      <c r="V26" s="56"/>
      <c r="W26" s="56"/>
      <c r="X26" s="56"/>
      <c r="Y26" s="56"/>
      <c r="Z26" s="56"/>
    </row>
    <row r="27" spans="1:26" ht="22.5" customHeight="1" x14ac:dyDescent="0.2">
      <c r="A27" s="62" t="s">
        <v>257</v>
      </c>
      <c r="B27" s="64" t="s">
        <v>258</v>
      </c>
      <c r="C27" s="56"/>
      <c r="D27" s="56"/>
      <c r="E27" s="56"/>
      <c r="F27" s="56"/>
      <c r="G27" s="56"/>
      <c r="H27" s="56"/>
      <c r="I27" s="56"/>
      <c r="J27" s="56"/>
      <c r="K27" s="56"/>
      <c r="L27" s="56"/>
      <c r="M27" s="56"/>
      <c r="N27" s="56"/>
      <c r="O27" s="56"/>
      <c r="P27" s="56"/>
      <c r="Q27" s="56"/>
      <c r="R27" s="56"/>
      <c r="S27" s="56"/>
      <c r="T27" s="56"/>
      <c r="U27" s="56"/>
      <c r="V27" s="56"/>
      <c r="W27" s="56"/>
      <c r="X27" s="56"/>
      <c r="Y27" s="56"/>
      <c r="Z27" s="56"/>
    </row>
    <row r="28" spans="1:26" ht="22.5" customHeight="1" x14ac:dyDescent="0.2">
      <c r="A28" s="62" t="s">
        <v>259</v>
      </c>
      <c r="B28" s="95" t="s">
        <v>260</v>
      </c>
      <c r="C28" s="56"/>
      <c r="D28" s="56"/>
      <c r="E28" s="56"/>
      <c r="F28" s="56"/>
      <c r="G28" s="56"/>
      <c r="H28" s="56"/>
      <c r="I28" s="56"/>
      <c r="J28" s="56"/>
      <c r="K28" s="56"/>
      <c r="L28" s="56"/>
      <c r="M28" s="56"/>
      <c r="N28" s="56"/>
      <c r="O28" s="56"/>
      <c r="P28" s="56"/>
      <c r="Q28" s="56"/>
      <c r="R28" s="56"/>
      <c r="S28" s="56"/>
      <c r="T28" s="56"/>
      <c r="U28" s="56"/>
      <c r="V28" s="56"/>
      <c r="W28" s="56"/>
      <c r="X28" s="56"/>
      <c r="Y28" s="56"/>
      <c r="Z28" s="56"/>
    </row>
    <row r="29" spans="1:26" ht="22.5" customHeight="1" x14ac:dyDescent="0.2">
      <c r="A29" s="62" t="s">
        <v>263</v>
      </c>
      <c r="B29" s="95" t="s">
        <v>741</v>
      </c>
      <c r="C29" s="56"/>
      <c r="D29" s="56"/>
      <c r="E29" s="56"/>
      <c r="F29" s="56"/>
      <c r="G29" s="56"/>
      <c r="H29" s="56"/>
      <c r="I29" s="56"/>
      <c r="J29" s="56"/>
      <c r="K29" s="56"/>
      <c r="L29" s="56"/>
      <c r="M29" s="56"/>
      <c r="N29" s="56"/>
      <c r="O29" s="56"/>
      <c r="P29" s="56"/>
      <c r="Q29" s="56"/>
      <c r="R29" s="56"/>
      <c r="S29" s="56"/>
      <c r="T29" s="56"/>
      <c r="U29" s="56"/>
      <c r="V29" s="56"/>
      <c r="W29" s="56"/>
      <c r="X29" s="56"/>
      <c r="Y29" s="56"/>
      <c r="Z29" s="56"/>
    </row>
    <row r="30" spans="1:26" ht="22.5" customHeight="1" x14ac:dyDescent="0.2">
      <c r="A30" s="62" t="s">
        <v>275</v>
      </c>
      <c r="B30" s="95" t="s">
        <v>276</v>
      </c>
      <c r="C30" s="56"/>
      <c r="D30" s="56"/>
      <c r="E30" s="56"/>
      <c r="F30" s="56"/>
      <c r="G30" s="56"/>
      <c r="H30" s="56"/>
      <c r="I30" s="56"/>
      <c r="J30" s="56"/>
      <c r="K30" s="56"/>
      <c r="L30" s="56"/>
      <c r="M30" s="56"/>
      <c r="N30" s="56"/>
      <c r="O30" s="56"/>
      <c r="P30" s="56"/>
      <c r="Q30" s="56"/>
      <c r="R30" s="56"/>
      <c r="S30" s="56"/>
      <c r="T30" s="56"/>
      <c r="U30" s="56"/>
      <c r="V30" s="56"/>
      <c r="W30" s="56"/>
      <c r="X30" s="56"/>
      <c r="Y30" s="56"/>
      <c r="Z30" s="56"/>
    </row>
    <row r="31" spans="1:26" ht="22.5" customHeight="1" x14ac:dyDescent="0.2">
      <c r="A31" s="62" t="s">
        <v>279</v>
      </c>
      <c r="B31" s="95" t="s">
        <v>280</v>
      </c>
      <c r="C31" s="56"/>
      <c r="D31" s="56"/>
      <c r="E31" s="56"/>
      <c r="F31" s="56"/>
      <c r="G31" s="56"/>
      <c r="H31" s="56"/>
      <c r="I31" s="56"/>
      <c r="J31" s="56"/>
      <c r="K31" s="56"/>
      <c r="L31" s="56"/>
      <c r="M31" s="56"/>
      <c r="N31" s="56"/>
      <c r="O31" s="56"/>
      <c r="P31" s="56"/>
      <c r="Q31" s="56"/>
      <c r="R31" s="56"/>
      <c r="S31" s="56"/>
      <c r="T31" s="56"/>
      <c r="U31" s="56"/>
      <c r="V31" s="56"/>
      <c r="W31" s="56"/>
      <c r="X31" s="56"/>
      <c r="Y31" s="56"/>
      <c r="Z31" s="56"/>
    </row>
    <row r="32" spans="1:26" ht="22.5" customHeight="1" x14ac:dyDescent="0.2">
      <c r="A32" s="62" t="s">
        <v>538</v>
      </c>
      <c r="B32" s="64" t="s">
        <v>543</v>
      </c>
      <c r="C32" s="56"/>
      <c r="D32" s="56"/>
      <c r="E32" s="56"/>
      <c r="F32" s="56"/>
      <c r="G32" s="56"/>
      <c r="H32" s="56"/>
      <c r="I32" s="56"/>
      <c r="J32" s="56"/>
      <c r="K32" s="56"/>
      <c r="L32" s="56"/>
      <c r="M32" s="56"/>
      <c r="N32" s="56"/>
      <c r="O32" s="56"/>
      <c r="P32" s="56"/>
      <c r="Q32" s="56"/>
      <c r="R32" s="56"/>
      <c r="S32" s="56"/>
      <c r="T32" s="56"/>
      <c r="U32" s="56"/>
      <c r="V32" s="56"/>
      <c r="W32" s="56"/>
      <c r="X32" s="56"/>
      <c r="Y32" s="56"/>
      <c r="Z32" s="56"/>
    </row>
    <row r="33" spans="1:26" ht="22.5" customHeight="1" x14ac:dyDescent="0.2">
      <c r="A33" s="62" t="s">
        <v>544</v>
      </c>
      <c r="B33" s="95" t="s">
        <v>545</v>
      </c>
      <c r="C33" s="56"/>
      <c r="D33" s="56"/>
      <c r="E33" s="56"/>
      <c r="F33" s="56"/>
      <c r="G33" s="56"/>
      <c r="H33" s="56"/>
      <c r="I33" s="56"/>
      <c r="J33" s="56"/>
      <c r="K33" s="56"/>
      <c r="L33" s="56"/>
      <c r="M33" s="56"/>
      <c r="N33" s="56"/>
      <c r="O33" s="56"/>
      <c r="P33" s="56"/>
      <c r="Q33" s="56"/>
      <c r="R33" s="56"/>
      <c r="S33" s="56"/>
      <c r="T33" s="56"/>
      <c r="U33" s="56"/>
      <c r="V33" s="56"/>
      <c r="W33" s="56"/>
      <c r="X33" s="56"/>
      <c r="Y33" s="56"/>
      <c r="Z33" s="56"/>
    </row>
    <row r="34" spans="1:26" ht="22.5" customHeight="1" x14ac:dyDescent="0.2">
      <c r="A34" s="62" t="s">
        <v>549</v>
      </c>
      <c r="B34" s="95" t="s">
        <v>550</v>
      </c>
      <c r="C34" s="56"/>
      <c r="D34" s="56"/>
      <c r="E34" s="56"/>
      <c r="F34" s="56"/>
      <c r="G34" s="56"/>
      <c r="H34" s="56"/>
      <c r="I34" s="56"/>
      <c r="J34" s="56"/>
      <c r="K34" s="56"/>
      <c r="L34" s="56"/>
      <c r="M34" s="56"/>
      <c r="N34" s="56"/>
      <c r="O34" s="56"/>
      <c r="P34" s="56"/>
      <c r="Q34" s="56"/>
      <c r="R34" s="56"/>
      <c r="S34" s="56"/>
      <c r="T34" s="56"/>
      <c r="U34" s="56"/>
      <c r="V34" s="56"/>
      <c r="W34" s="56"/>
      <c r="X34" s="56"/>
      <c r="Y34" s="56"/>
      <c r="Z34" s="56"/>
    </row>
    <row r="35" spans="1:26" ht="22.5" customHeight="1" x14ac:dyDescent="0.2">
      <c r="A35" s="62" t="s">
        <v>553</v>
      </c>
      <c r="B35" s="95" t="s">
        <v>552</v>
      </c>
      <c r="C35" s="56"/>
      <c r="D35" s="56"/>
      <c r="E35" s="56"/>
      <c r="F35" s="56"/>
      <c r="G35" s="56"/>
      <c r="H35" s="56"/>
      <c r="I35" s="56"/>
      <c r="J35" s="56"/>
      <c r="K35" s="56"/>
      <c r="L35" s="56"/>
      <c r="M35" s="56"/>
      <c r="N35" s="56"/>
      <c r="O35" s="56"/>
      <c r="P35" s="56"/>
      <c r="Q35" s="56"/>
      <c r="R35" s="56"/>
      <c r="S35" s="56"/>
      <c r="T35" s="56"/>
      <c r="U35" s="56"/>
      <c r="V35" s="56"/>
      <c r="W35" s="56"/>
      <c r="X35" s="56"/>
      <c r="Y35" s="56"/>
      <c r="Z35" s="56"/>
    </row>
    <row r="36" spans="1:26" ht="22.5" customHeight="1" x14ac:dyDescent="0.2">
      <c r="A36" s="62" t="s">
        <v>555</v>
      </c>
      <c r="B36" s="64" t="s">
        <v>556</v>
      </c>
      <c r="C36" s="56"/>
      <c r="D36" s="56"/>
      <c r="E36" s="56"/>
      <c r="F36" s="56"/>
      <c r="G36" s="56"/>
      <c r="H36" s="56"/>
      <c r="I36" s="56"/>
      <c r="J36" s="56"/>
      <c r="K36" s="56"/>
      <c r="L36" s="56"/>
      <c r="M36" s="56"/>
      <c r="N36" s="56"/>
      <c r="O36" s="56"/>
      <c r="P36" s="56"/>
      <c r="Q36" s="56"/>
      <c r="R36" s="56"/>
      <c r="S36" s="56"/>
      <c r="T36" s="56"/>
      <c r="U36" s="56"/>
      <c r="V36" s="56"/>
      <c r="W36" s="56"/>
      <c r="X36" s="56"/>
      <c r="Y36" s="56"/>
      <c r="Z36" s="56"/>
    </row>
    <row r="37" spans="1:26" ht="22.5" customHeight="1" x14ac:dyDescent="0.2">
      <c r="A37" s="62" t="s">
        <v>558</v>
      </c>
      <c r="B37" s="95" t="s">
        <v>583</v>
      </c>
      <c r="C37" s="56"/>
      <c r="D37" s="56"/>
      <c r="E37" s="56"/>
      <c r="F37" s="56"/>
      <c r="G37" s="56"/>
      <c r="H37" s="56"/>
      <c r="I37" s="56"/>
      <c r="J37" s="56"/>
      <c r="K37" s="56"/>
      <c r="L37" s="56"/>
      <c r="M37" s="56"/>
      <c r="N37" s="56"/>
      <c r="O37" s="56"/>
      <c r="P37" s="56"/>
      <c r="Q37" s="56"/>
      <c r="R37" s="56"/>
      <c r="S37" s="56"/>
      <c r="T37" s="56"/>
      <c r="U37" s="56"/>
      <c r="V37" s="56"/>
      <c r="W37" s="56"/>
      <c r="X37" s="56"/>
      <c r="Y37" s="56"/>
      <c r="Z37" s="56"/>
    </row>
    <row r="38" spans="1:26" ht="22.5" customHeight="1" x14ac:dyDescent="0.2">
      <c r="A38" s="62" t="s">
        <v>595</v>
      </c>
      <c r="B38" s="95" t="s">
        <v>596</v>
      </c>
      <c r="C38" s="56"/>
      <c r="D38" s="56"/>
      <c r="E38" s="56"/>
      <c r="F38" s="56"/>
      <c r="G38" s="56"/>
      <c r="H38" s="56"/>
      <c r="I38" s="56"/>
      <c r="J38" s="56"/>
      <c r="K38" s="56"/>
      <c r="L38" s="56"/>
      <c r="M38" s="56"/>
      <c r="N38" s="56"/>
      <c r="O38" s="56"/>
      <c r="P38" s="56"/>
      <c r="Q38" s="56"/>
      <c r="R38" s="56"/>
      <c r="S38" s="56"/>
      <c r="T38" s="56"/>
      <c r="U38" s="56"/>
      <c r="V38" s="56"/>
      <c r="W38" s="56"/>
      <c r="X38" s="56"/>
      <c r="Y38" s="56"/>
      <c r="Z38" s="56"/>
    </row>
    <row r="39" spans="1:26" ht="22.5" customHeight="1" x14ac:dyDescent="0.2">
      <c r="A39" s="62" t="s">
        <v>597</v>
      </c>
      <c r="B39" s="95" t="s">
        <v>598</v>
      </c>
      <c r="C39" s="56"/>
      <c r="D39" s="56"/>
      <c r="E39" s="56"/>
      <c r="F39" s="56"/>
      <c r="G39" s="56"/>
      <c r="H39" s="56"/>
      <c r="I39" s="56"/>
      <c r="J39" s="56"/>
      <c r="K39" s="56"/>
      <c r="L39" s="56"/>
      <c r="M39" s="56"/>
      <c r="N39" s="56"/>
      <c r="O39" s="56"/>
      <c r="P39" s="56"/>
      <c r="Q39" s="56"/>
      <c r="R39" s="56"/>
      <c r="S39" s="56"/>
      <c r="T39" s="56"/>
      <c r="U39" s="56"/>
      <c r="V39" s="56"/>
      <c r="W39" s="56"/>
      <c r="X39" s="56"/>
      <c r="Y39" s="56"/>
      <c r="Z39" s="56"/>
    </row>
    <row r="40" spans="1:26" ht="22.5" customHeight="1" x14ac:dyDescent="0.2">
      <c r="A40" s="62" t="s">
        <v>599</v>
      </c>
      <c r="B40" s="64" t="s">
        <v>601</v>
      </c>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6" ht="22.5" customHeight="1" x14ac:dyDescent="0.2">
      <c r="A41" s="62" t="s">
        <v>602</v>
      </c>
      <c r="B41" s="95" t="s">
        <v>607</v>
      </c>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ht="22.5" customHeight="1" x14ac:dyDescent="0.2">
      <c r="A42" s="62" t="s">
        <v>634</v>
      </c>
      <c r="B42" s="95" t="s">
        <v>635</v>
      </c>
      <c r="C42" s="56"/>
      <c r="D42" s="56"/>
      <c r="E42" s="56"/>
      <c r="F42" s="56"/>
      <c r="G42" s="56"/>
      <c r="H42" s="56"/>
      <c r="I42" s="56"/>
      <c r="J42" s="56"/>
      <c r="K42" s="56"/>
      <c r="L42" s="56"/>
      <c r="M42" s="56"/>
      <c r="N42" s="56"/>
      <c r="O42" s="56"/>
      <c r="P42" s="56"/>
      <c r="Q42" s="56"/>
      <c r="R42" s="56"/>
      <c r="S42" s="56"/>
      <c r="T42" s="56"/>
      <c r="U42" s="56"/>
      <c r="V42" s="56"/>
      <c r="W42" s="56"/>
      <c r="X42" s="56"/>
      <c r="Y42" s="56"/>
      <c r="Z42" s="56"/>
    </row>
    <row r="43" spans="1:26" ht="22.5" customHeight="1" x14ac:dyDescent="0.2">
      <c r="A43" s="62" t="s">
        <v>640</v>
      </c>
      <c r="B43" s="95" t="s">
        <v>641</v>
      </c>
      <c r="C43" s="56"/>
      <c r="D43" s="56"/>
      <c r="E43" s="56"/>
      <c r="F43" s="56"/>
      <c r="G43" s="56"/>
      <c r="H43" s="56"/>
      <c r="I43" s="56"/>
      <c r="J43" s="56"/>
      <c r="K43" s="56"/>
      <c r="L43" s="56"/>
      <c r="M43" s="56"/>
      <c r="N43" s="56"/>
      <c r="O43" s="56"/>
      <c r="P43" s="56"/>
      <c r="Q43" s="56"/>
      <c r="R43" s="56"/>
      <c r="S43" s="56"/>
      <c r="T43" s="56"/>
      <c r="U43" s="56"/>
      <c r="V43" s="56"/>
      <c r="W43" s="56"/>
      <c r="X43" s="56"/>
      <c r="Y43" s="56"/>
      <c r="Z43" s="56"/>
    </row>
    <row r="44" spans="1:26" ht="22.5" customHeight="1" x14ac:dyDescent="0.2">
      <c r="A44" s="62" t="s">
        <v>643</v>
      </c>
      <c r="B44" s="95" t="s">
        <v>644</v>
      </c>
      <c r="C44" s="56"/>
      <c r="D44" s="56"/>
      <c r="E44" s="56"/>
      <c r="F44" s="56"/>
      <c r="G44" s="56"/>
      <c r="H44" s="56"/>
      <c r="I44" s="56"/>
      <c r="J44" s="56"/>
      <c r="K44" s="56"/>
      <c r="L44" s="56"/>
      <c r="M44" s="56"/>
      <c r="N44" s="56"/>
      <c r="O44" s="56"/>
      <c r="P44" s="56"/>
      <c r="Q44" s="56"/>
      <c r="R44" s="56"/>
      <c r="S44" s="56"/>
      <c r="T44" s="56"/>
      <c r="U44" s="56"/>
      <c r="V44" s="56"/>
      <c r="W44" s="56"/>
      <c r="X44" s="56"/>
      <c r="Y44" s="56"/>
      <c r="Z44" s="56"/>
    </row>
    <row r="45" spans="1:26" ht="22.5" customHeight="1" x14ac:dyDescent="0.2">
      <c r="A45" s="62" t="s">
        <v>648</v>
      </c>
      <c r="B45" s="95" t="s">
        <v>655</v>
      </c>
      <c r="C45" s="56"/>
      <c r="D45" s="56"/>
      <c r="E45" s="56"/>
      <c r="F45" s="56"/>
      <c r="G45" s="56"/>
      <c r="H45" s="56"/>
      <c r="I45" s="56"/>
      <c r="J45" s="56"/>
      <c r="K45" s="56"/>
      <c r="L45" s="56"/>
      <c r="M45" s="56"/>
      <c r="N45" s="56"/>
      <c r="O45" s="56"/>
      <c r="P45" s="56"/>
      <c r="Q45" s="56"/>
      <c r="R45" s="56"/>
      <c r="S45" s="56"/>
      <c r="T45" s="56"/>
      <c r="U45" s="56"/>
      <c r="V45" s="56"/>
      <c r="W45" s="56"/>
      <c r="X45" s="56"/>
      <c r="Y45" s="56"/>
      <c r="Z45" s="56"/>
    </row>
    <row r="46" spans="1:26" ht="22.5" customHeight="1" x14ac:dyDescent="0.2">
      <c r="A46" s="62" t="s">
        <v>650</v>
      </c>
      <c r="B46" s="64" t="s">
        <v>652</v>
      </c>
      <c r="C46" s="56"/>
      <c r="D46" s="56"/>
      <c r="E46" s="56"/>
      <c r="F46" s="56"/>
      <c r="G46" s="56"/>
      <c r="H46" s="56"/>
      <c r="I46" s="56"/>
      <c r="J46" s="56"/>
      <c r="K46" s="56"/>
      <c r="L46" s="56"/>
      <c r="M46" s="56"/>
      <c r="N46" s="56"/>
      <c r="O46" s="56"/>
      <c r="P46" s="56"/>
      <c r="Q46" s="56"/>
      <c r="R46" s="56"/>
      <c r="S46" s="56"/>
      <c r="T46" s="56"/>
      <c r="U46" s="56"/>
      <c r="V46" s="56"/>
      <c r="W46" s="56"/>
      <c r="X46" s="56"/>
      <c r="Y46" s="56"/>
      <c r="Z46" s="56"/>
    </row>
    <row r="47" spans="1:26" ht="22.5" customHeight="1" x14ac:dyDescent="0.2">
      <c r="A47" s="62" t="s">
        <v>669</v>
      </c>
      <c r="B47" s="95" t="s">
        <v>670</v>
      </c>
      <c r="C47" s="56"/>
      <c r="D47" s="56"/>
      <c r="E47" s="56"/>
      <c r="F47" s="56"/>
      <c r="G47" s="56"/>
      <c r="H47" s="56"/>
      <c r="I47" s="56"/>
      <c r="J47" s="56"/>
      <c r="K47" s="56"/>
      <c r="L47" s="56"/>
      <c r="M47" s="56"/>
      <c r="N47" s="56"/>
      <c r="O47" s="56"/>
      <c r="P47" s="56"/>
      <c r="Q47" s="56"/>
      <c r="R47" s="56"/>
      <c r="S47" s="56"/>
      <c r="T47" s="56"/>
      <c r="U47" s="56"/>
      <c r="V47" s="56"/>
      <c r="W47" s="56"/>
      <c r="X47" s="56"/>
      <c r="Y47" s="56"/>
      <c r="Z47" s="56"/>
    </row>
    <row r="48" spans="1:26" ht="22.5" customHeight="1" x14ac:dyDescent="0.2">
      <c r="A48" s="62" t="s">
        <v>171</v>
      </c>
      <c r="B48" s="95" t="s">
        <v>276</v>
      </c>
      <c r="C48" s="56"/>
      <c r="D48" s="56"/>
      <c r="E48" s="56"/>
      <c r="F48" s="56"/>
      <c r="G48" s="56"/>
      <c r="H48" s="56"/>
      <c r="I48" s="56"/>
      <c r="J48" s="56"/>
      <c r="K48" s="56"/>
      <c r="L48" s="56"/>
      <c r="M48" s="56"/>
      <c r="N48" s="56"/>
      <c r="O48" s="56"/>
      <c r="P48" s="56"/>
      <c r="Q48" s="56"/>
      <c r="R48" s="56"/>
      <c r="S48" s="56"/>
      <c r="T48" s="56"/>
      <c r="U48" s="56"/>
      <c r="V48" s="56"/>
      <c r="W48" s="56"/>
      <c r="X48" s="56"/>
      <c r="Y48" s="56"/>
      <c r="Z48" s="56"/>
    </row>
    <row r="49" spans="1:26" ht="22.5" customHeight="1" x14ac:dyDescent="0.2">
      <c r="A49" s="62" t="s">
        <v>739</v>
      </c>
      <c r="B49" s="95" t="s">
        <v>740</v>
      </c>
      <c r="C49" s="56"/>
      <c r="D49" s="56"/>
      <c r="E49" s="56"/>
      <c r="F49" s="56"/>
      <c r="G49" s="56"/>
      <c r="H49" s="56"/>
      <c r="I49" s="56"/>
      <c r="J49" s="56"/>
      <c r="K49" s="56"/>
      <c r="L49" s="56"/>
      <c r="M49" s="56"/>
      <c r="N49" s="56"/>
      <c r="O49" s="56"/>
      <c r="P49" s="56"/>
      <c r="Q49" s="56"/>
      <c r="R49" s="56"/>
      <c r="S49" s="56"/>
      <c r="T49" s="56"/>
      <c r="U49" s="56"/>
      <c r="V49" s="56"/>
      <c r="W49" s="56"/>
      <c r="X49" s="56"/>
      <c r="Y49" s="56"/>
      <c r="Z49" s="56"/>
    </row>
    <row r="50" spans="1:26" ht="22.5" customHeight="1" x14ac:dyDescent="0.2">
      <c r="A50" s="62" t="s">
        <v>744</v>
      </c>
      <c r="B50" s="64" t="s">
        <v>745</v>
      </c>
      <c r="C50" s="56"/>
      <c r="D50" s="56"/>
      <c r="E50" s="56"/>
      <c r="F50" s="56"/>
      <c r="G50" s="56"/>
      <c r="H50" s="56"/>
      <c r="I50" s="56"/>
      <c r="J50" s="56"/>
      <c r="K50" s="56"/>
      <c r="L50" s="56"/>
      <c r="M50" s="56"/>
      <c r="N50" s="56"/>
      <c r="O50" s="56"/>
      <c r="P50" s="56"/>
      <c r="Q50" s="56"/>
      <c r="R50" s="56"/>
      <c r="S50" s="56"/>
      <c r="T50" s="56"/>
      <c r="U50" s="56"/>
      <c r="V50" s="56"/>
      <c r="W50" s="56"/>
      <c r="X50" s="56"/>
      <c r="Y50" s="56"/>
      <c r="Z50" s="56"/>
    </row>
    <row r="51" spans="1:26" ht="22.5" customHeight="1" x14ac:dyDescent="0.2">
      <c r="A51" s="62" t="s">
        <v>806</v>
      </c>
      <c r="B51" s="64" t="s">
        <v>808</v>
      </c>
      <c r="C51" s="56"/>
      <c r="D51" s="56"/>
      <c r="E51" s="56"/>
      <c r="F51" s="56"/>
      <c r="G51" s="56"/>
      <c r="H51" s="56"/>
      <c r="I51" s="56"/>
      <c r="J51" s="56"/>
      <c r="K51" s="56"/>
      <c r="L51" s="56"/>
      <c r="M51" s="56"/>
      <c r="N51" s="56"/>
      <c r="O51" s="56"/>
      <c r="P51" s="56"/>
      <c r="Q51" s="56"/>
      <c r="R51" s="56"/>
      <c r="S51" s="56"/>
      <c r="T51" s="56"/>
      <c r="U51" s="56"/>
      <c r="V51" s="56"/>
      <c r="W51" s="56"/>
      <c r="X51" s="56"/>
      <c r="Y51" s="56"/>
      <c r="Z51" s="56"/>
    </row>
    <row r="52" spans="1:26" ht="22.5" customHeight="1" x14ac:dyDescent="0.2">
      <c r="A52" s="62" t="s">
        <v>817</v>
      </c>
      <c r="B52" s="95" t="s">
        <v>813</v>
      </c>
      <c r="C52" s="56"/>
      <c r="D52" s="56"/>
      <c r="E52" s="56"/>
      <c r="F52" s="56"/>
      <c r="G52" s="56"/>
      <c r="H52" s="56"/>
      <c r="I52" s="56"/>
      <c r="J52" s="56"/>
      <c r="K52" s="56"/>
      <c r="L52" s="56"/>
      <c r="M52" s="56"/>
      <c r="N52" s="56"/>
      <c r="O52" s="56"/>
      <c r="P52" s="56"/>
      <c r="Q52" s="56"/>
      <c r="R52" s="56"/>
      <c r="S52" s="56"/>
      <c r="T52" s="56"/>
      <c r="U52" s="56"/>
      <c r="V52" s="56"/>
      <c r="W52" s="56"/>
      <c r="X52" s="56"/>
      <c r="Y52" s="56"/>
      <c r="Z52" s="56"/>
    </row>
    <row r="53" spans="1:26" ht="22.5" customHeight="1" x14ac:dyDescent="0.2">
      <c r="A53" s="62" t="s">
        <v>916</v>
      </c>
      <c r="B53" s="95" t="s">
        <v>919</v>
      </c>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ht="22.5" customHeight="1" x14ac:dyDescent="0.2">
      <c r="A54" s="62" t="s">
        <v>934</v>
      </c>
      <c r="B54" s="95" t="s">
        <v>935</v>
      </c>
      <c r="C54" s="56"/>
      <c r="D54" s="56"/>
      <c r="E54" s="56"/>
      <c r="F54" s="56"/>
      <c r="G54" s="56"/>
      <c r="H54" s="56"/>
      <c r="I54" s="56"/>
      <c r="J54" s="56"/>
      <c r="K54" s="56"/>
      <c r="L54" s="56"/>
      <c r="M54" s="56"/>
      <c r="N54" s="56"/>
      <c r="O54" s="56"/>
      <c r="P54" s="56"/>
      <c r="Q54" s="56"/>
      <c r="R54" s="56"/>
      <c r="S54" s="56"/>
      <c r="T54" s="56"/>
      <c r="U54" s="56"/>
      <c r="V54" s="56"/>
      <c r="W54" s="56"/>
      <c r="X54" s="56"/>
      <c r="Y54" s="56"/>
      <c r="Z54" s="56"/>
    </row>
    <row r="55" spans="1:26" ht="22.5" customHeight="1" x14ac:dyDescent="0.2">
      <c r="A55" s="62" t="s">
        <v>168</v>
      </c>
      <c r="B55" s="95"/>
      <c r="C55" s="56"/>
      <c r="D55" s="56"/>
      <c r="E55" s="56"/>
      <c r="F55" s="56"/>
      <c r="G55" s="56"/>
      <c r="H55" s="56"/>
      <c r="I55" s="56"/>
      <c r="J55" s="56"/>
      <c r="K55" s="56"/>
      <c r="L55" s="56"/>
      <c r="M55" s="56"/>
      <c r="N55" s="56"/>
      <c r="O55" s="56"/>
      <c r="P55" s="56"/>
      <c r="Q55" s="56"/>
      <c r="R55" s="56"/>
      <c r="S55" s="56"/>
      <c r="T55" s="56"/>
      <c r="U55" s="56"/>
      <c r="V55" s="56"/>
      <c r="W55" s="56"/>
      <c r="X55" s="56"/>
      <c r="Y55" s="56"/>
      <c r="Z55" s="56"/>
    </row>
    <row r="56" spans="1:26" ht="22.5" customHeight="1" x14ac:dyDescent="0.2">
      <c r="A56" s="62" t="s">
        <v>168</v>
      </c>
      <c r="B56" s="95"/>
      <c r="C56" s="56"/>
      <c r="D56" s="56"/>
      <c r="E56" s="56"/>
      <c r="F56" s="56"/>
      <c r="G56" s="56"/>
      <c r="H56" s="56"/>
      <c r="I56" s="56"/>
      <c r="J56" s="56"/>
      <c r="K56" s="56"/>
      <c r="L56" s="56"/>
      <c r="M56" s="56"/>
      <c r="N56" s="56"/>
      <c r="O56" s="56"/>
      <c r="P56" s="56"/>
      <c r="Q56" s="56"/>
      <c r="R56" s="56"/>
      <c r="S56" s="56"/>
      <c r="T56" s="56"/>
      <c r="U56" s="56"/>
      <c r="V56" s="56"/>
      <c r="W56" s="56"/>
      <c r="X56" s="56"/>
      <c r="Y56" s="56"/>
      <c r="Z56" s="56"/>
    </row>
    <row r="57" spans="1:26" ht="22.5" customHeight="1" x14ac:dyDescent="0.2">
      <c r="A57" s="62" t="s">
        <v>168</v>
      </c>
      <c r="B57" s="95"/>
      <c r="C57" s="56"/>
      <c r="D57" s="56"/>
      <c r="E57" s="56"/>
      <c r="F57" s="56"/>
      <c r="G57" s="56"/>
      <c r="H57" s="56"/>
      <c r="I57" s="56"/>
      <c r="J57" s="56"/>
      <c r="K57" s="56"/>
      <c r="L57" s="56"/>
      <c r="M57" s="56"/>
      <c r="N57" s="56"/>
      <c r="O57" s="56"/>
      <c r="P57" s="56"/>
      <c r="Q57" s="56"/>
      <c r="R57" s="56"/>
      <c r="S57" s="56"/>
      <c r="T57" s="56"/>
      <c r="U57" s="56"/>
      <c r="V57" s="56"/>
      <c r="W57" s="56"/>
      <c r="X57" s="56"/>
      <c r="Y57" s="56"/>
      <c r="Z57" s="56"/>
    </row>
    <row r="58" spans="1:26" ht="22.5" customHeight="1" x14ac:dyDescent="0.2">
      <c r="A58" s="62" t="s">
        <v>168</v>
      </c>
      <c r="B58" s="95"/>
      <c r="C58" s="56"/>
      <c r="D58" s="56"/>
      <c r="E58" s="56"/>
      <c r="F58" s="56"/>
      <c r="G58" s="56"/>
      <c r="H58" s="56"/>
      <c r="I58" s="56"/>
      <c r="J58" s="56"/>
      <c r="K58" s="56"/>
      <c r="L58" s="56"/>
      <c r="M58" s="56"/>
      <c r="N58" s="56"/>
      <c r="O58" s="56"/>
      <c r="P58" s="56"/>
      <c r="Q58" s="56"/>
      <c r="R58" s="56"/>
      <c r="S58" s="56"/>
      <c r="T58" s="56"/>
      <c r="U58" s="56"/>
      <c r="V58" s="56"/>
      <c r="W58" s="56"/>
      <c r="X58" s="56"/>
      <c r="Y58" s="56"/>
      <c r="Z58" s="56"/>
    </row>
    <row r="59" spans="1:26" ht="22.5" customHeight="1" x14ac:dyDescent="0.2">
      <c r="A59" s="62" t="s">
        <v>168</v>
      </c>
      <c r="B59" s="95"/>
      <c r="C59" s="56"/>
      <c r="D59" s="56"/>
      <c r="E59" s="56"/>
      <c r="F59" s="56"/>
      <c r="G59" s="56"/>
      <c r="H59" s="56"/>
      <c r="I59" s="56"/>
      <c r="J59" s="56"/>
      <c r="K59" s="56"/>
      <c r="L59" s="56"/>
      <c r="M59" s="56"/>
      <c r="N59" s="56"/>
      <c r="O59" s="56"/>
      <c r="P59" s="56"/>
      <c r="Q59" s="56"/>
      <c r="R59" s="56"/>
      <c r="S59" s="56"/>
      <c r="T59" s="56"/>
      <c r="U59" s="56"/>
      <c r="V59" s="56"/>
      <c r="W59" s="56"/>
      <c r="X59" s="56"/>
      <c r="Y59" s="56"/>
      <c r="Z59" s="56"/>
    </row>
    <row r="60" spans="1:26" ht="22.5" customHeight="1" x14ac:dyDescent="0.2">
      <c r="A60" s="62" t="s">
        <v>168</v>
      </c>
      <c r="B60" s="95"/>
      <c r="C60" s="56"/>
      <c r="D60" s="56"/>
      <c r="E60" s="56"/>
      <c r="F60" s="56"/>
      <c r="G60" s="56"/>
      <c r="H60" s="56"/>
      <c r="I60" s="56"/>
      <c r="J60" s="56"/>
      <c r="K60" s="56"/>
      <c r="L60" s="56"/>
      <c r="M60" s="56"/>
      <c r="N60" s="56"/>
      <c r="O60" s="56"/>
      <c r="P60" s="56"/>
      <c r="Q60" s="56"/>
      <c r="R60" s="56"/>
      <c r="S60" s="56"/>
      <c r="T60" s="56"/>
      <c r="U60" s="56"/>
      <c r="V60" s="56"/>
      <c r="W60" s="56"/>
      <c r="X60" s="56"/>
      <c r="Y60" s="56"/>
      <c r="Z60" s="56"/>
    </row>
    <row r="61" spans="1:26" ht="22.5" customHeight="1" x14ac:dyDescent="0.2">
      <c r="A61" s="62" t="s">
        <v>168</v>
      </c>
      <c r="B61" s="95"/>
      <c r="C61" s="56"/>
      <c r="D61" s="56"/>
      <c r="E61" s="56"/>
      <c r="F61" s="56"/>
      <c r="G61" s="56"/>
      <c r="H61" s="56"/>
      <c r="I61" s="56"/>
      <c r="J61" s="56"/>
      <c r="K61" s="56"/>
      <c r="L61" s="56"/>
      <c r="M61" s="56"/>
      <c r="N61" s="56"/>
      <c r="O61" s="56"/>
      <c r="P61" s="56"/>
      <c r="Q61" s="56"/>
      <c r="R61" s="56"/>
      <c r="S61" s="56"/>
      <c r="T61" s="56"/>
      <c r="U61" s="56"/>
      <c r="V61" s="56"/>
      <c r="W61" s="56"/>
      <c r="X61" s="56"/>
      <c r="Y61" s="56"/>
      <c r="Z61" s="56"/>
    </row>
    <row r="62" spans="1:26" ht="22.5" customHeight="1" x14ac:dyDescent="0.2">
      <c r="A62" s="62" t="s">
        <v>168</v>
      </c>
      <c r="B62" s="95"/>
      <c r="C62" s="56"/>
      <c r="D62" s="56"/>
      <c r="E62" s="56"/>
      <c r="F62" s="56"/>
      <c r="G62" s="56"/>
      <c r="H62" s="56"/>
      <c r="I62" s="56"/>
      <c r="J62" s="56"/>
      <c r="K62" s="56"/>
      <c r="L62" s="56"/>
      <c r="M62" s="56"/>
      <c r="N62" s="56"/>
      <c r="O62" s="56"/>
      <c r="P62" s="56"/>
      <c r="Q62" s="56"/>
      <c r="R62" s="56"/>
      <c r="S62" s="56"/>
      <c r="T62" s="56"/>
      <c r="U62" s="56"/>
      <c r="V62" s="56"/>
      <c r="W62" s="56"/>
      <c r="X62" s="56"/>
      <c r="Y62" s="56"/>
      <c r="Z62" s="56"/>
    </row>
    <row r="63" spans="1:26" ht="22.5" customHeight="1" x14ac:dyDescent="0.2">
      <c r="A63" s="62" t="s">
        <v>168</v>
      </c>
      <c r="B63" s="95"/>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ht="22.5" customHeight="1" x14ac:dyDescent="0.2">
      <c r="A64" s="62" t="s">
        <v>168</v>
      </c>
      <c r="B64" s="95"/>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ht="22.5" customHeight="1" x14ac:dyDescent="0.2">
      <c r="A65" s="62" t="s">
        <v>168</v>
      </c>
      <c r="B65" s="95"/>
      <c r="C65" s="56"/>
      <c r="D65" s="56"/>
      <c r="E65" s="56"/>
      <c r="F65" s="56"/>
      <c r="G65" s="56"/>
      <c r="H65" s="56"/>
      <c r="I65" s="56"/>
      <c r="J65" s="56"/>
      <c r="K65" s="56"/>
      <c r="L65" s="56"/>
      <c r="M65" s="56"/>
      <c r="N65" s="56"/>
      <c r="O65" s="56"/>
      <c r="P65" s="56"/>
      <c r="Q65" s="56"/>
      <c r="R65" s="56"/>
      <c r="S65" s="56"/>
      <c r="T65" s="56"/>
      <c r="U65" s="56"/>
      <c r="V65" s="56"/>
      <c r="W65" s="56"/>
      <c r="X65" s="56"/>
      <c r="Y65" s="56"/>
      <c r="Z65" s="56"/>
    </row>
    <row r="66" spans="1:26" ht="22.5" customHeight="1" x14ac:dyDescent="0.2">
      <c r="A66" s="62" t="s">
        <v>168</v>
      </c>
      <c r="B66" s="95"/>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ht="22.5" customHeight="1" x14ac:dyDescent="0.2">
      <c r="A67" s="62" t="s">
        <v>168</v>
      </c>
      <c r="B67" s="95"/>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ht="22.5" customHeight="1" x14ac:dyDescent="0.2">
      <c r="A68" s="62" t="s">
        <v>168</v>
      </c>
      <c r="B68" s="95"/>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ht="22.5" customHeight="1" x14ac:dyDescent="0.2">
      <c r="A69" s="62" t="s">
        <v>168</v>
      </c>
      <c r="B69" s="95"/>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ht="22.5" customHeight="1" x14ac:dyDescent="0.2">
      <c r="A70" s="62" t="s">
        <v>168</v>
      </c>
      <c r="B70" s="95"/>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ht="22.5" customHeight="1" x14ac:dyDescent="0.2">
      <c r="A71" s="62" t="s">
        <v>168</v>
      </c>
      <c r="B71" s="95"/>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ht="22.5" customHeight="1" x14ac:dyDescent="0.2">
      <c r="A72" s="62" t="s">
        <v>168</v>
      </c>
      <c r="B72" s="95"/>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ht="22.5" customHeight="1" x14ac:dyDescent="0.2">
      <c r="A73" s="62" t="s">
        <v>168</v>
      </c>
      <c r="B73" s="95"/>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ht="22.5" customHeight="1" x14ac:dyDescent="0.2">
      <c r="A74" s="62" t="s">
        <v>168</v>
      </c>
      <c r="B74" s="95"/>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ht="22.5" customHeight="1" x14ac:dyDescent="0.2">
      <c r="A75" s="62" t="s">
        <v>168</v>
      </c>
      <c r="B75" s="95"/>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ht="22.5" customHeight="1" x14ac:dyDescent="0.2">
      <c r="A76" s="62" t="s">
        <v>168</v>
      </c>
      <c r="B76" s="95"/>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ht="22.5" customHeight="1" x14ac:dyDescent="0.2">
      <c r="A77" s="62" t="s">
        <v>168</v>
      </c>
      <c r="B77" s="95"/>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ht="22.5" customHeight="1" x14ac:dyDescent="0.2">
      <c r="A78" s="62" t="s">
        <v>168</v>
      </c>
      <c r="B78" s="95"/>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ht="22.5" customHeight="1" x14ac:dyDescent="0.2">
      <c r="A79" s="62" t="s">
        <v>168</v>
      </c>
      <c r="B79" s="95"/>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ht="22.5" customHeight="1" x14ac:dyDescent="0.2">
      <c r="A80" s="62" t="s">
        <v>168</v>
      </c>
      <c r="B80" s="95"/>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ht="22.5" customHeight="1" x14ac:dyDescent="0.2">
      <c r="A81" s="62" t="s">
        <v>168</v>
      </c>
      <c r="B81" s="95"/>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ht="22.5" customHeight="1" x14ac:dyDescent="0.2">
      <c r="A82" s="62" t="s">
        <v>168</v>
      </c>
      <c r="B82" s="95"/>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ht="22.5" customHeight="1" x14ac:dyDescent="0.2">
      <c r="A83" s="62" t="s">
        <v>168</v>
      </c>
      <c r="B83" s="95"/>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ht="22.5" customHeight="1" x14ac:dyDescent="0.2">
      <c r="A84" s="62" t="s">
        <v>168</v>
      </c>
      <c r="B84" s="95"/>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ht="22.5" customHeight="1" x14ac:dyDescent="0.2">
      <c r="A85" s="62" t="s">
        <v>168</v>
      </c>
      <c r="B85" s="95"/>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22.5" customHeight="1" x14ac:dyDescent="0.2">
      <c r="A86" s="62" t="s">
        <v>168</v>
      </c>
      <c r="B86" s="95"/>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22.5" customHeight="1" x14ac:dyDescent="0.2">
      <c r="A87" s="62" t="s">
        <v>168</v>
      </c>
      <c r="B87" s="95"/>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22.5" customHeight="1" x14ac:dyDescent="0.2">
      <c r="A88" s="62" t="s">
        <v>168</v>
      </c>
      <c r="B88" s="95"/>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22.5" customHeight="1" x14ac:dyDescent="0.2">
      <c r="A89" s="62" t="s">
        <v>168</v>
      </c>
      <c r="B89" s="95"/>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22.5" customHeight="1" x14ac:dyDescent="0.2">
      <c r="A90" s="62" t="s">
        <v>168</v>
      </c>
      <c r="B90" s="95"/>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22.5" customHeight="1" x14ac:dyDescent="0.2">
      <c r="A91" s="62" t="s">
        <v>168</v>
      </c>
      <c r="B91" s="95"/>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22.5" customHeight="1" x14ac:dyDescent="0.2">
      <c r="A92" s="62" t="s">
        <v>168</v>
      </c>
      <c r="B92" s="95"/>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22.5" customHeight="1" x14ac:dyDescent="0.2">
      <c r="A93" s="62" t="s">
        <v>168</v>
      </c>
      <c r="B93" s="95"/>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22.5" customHeight="1" x14ac:dyDescent="0.2">
      <c r="A94" s="62" t="s">
        <v>168</v>
      </c>
      <c r="B94" s="95"/>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22.5" customHeight="1" x14ac:dyDescent="0.2">
      <c r="A95" s="62" t="s">
        <v>168</v>
      </c>
      <c r="B95" s="95"/>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22.5" customHeight="1" x14ac:dyDescent="0.2">
      <c r="A96" s="62" t="s">
        <v>168</v>
      </c>
      <c r="B96" s="95"/>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22.5" customHeight="1" x14ac:dyDescent="0.2">
      <c r="A97" s="62" t="s">
        <v>168</v>
      </c>
      <c r="B97" s="95"/>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22.5" customHeight="1" x14ac:dyDescent="0.2">
      <c r="A98" s="62" t="s">
        <v>168</v>
      </c>
      <c r="B98" s="95"/>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22.5" customHeight="1" x14ac:dyDescent="0.2">
      <c r="A99" s="62" t="s">
        <v>168</v>
      </c>
      <c r="B99" s="95"/>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22.5" customHeight="1" x14ac:dyDescent="0.2">
      <c r="A100" s="62" t="s">
        <v>168</v>
      </c>
      <c r="B100" s="95"/>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22.5" customHeight="1" x14ac:dyDescent="0.2">
      <c r="A101" s="62" t="s">
        <v>168</v>
      </c>
      <c r="B101" s="95"/>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22.5" customHeight="1" x14ac:dyDescent="0.2">
      <c r="A102" s="62" t="s">
        <v>168</v>
      </c>
      <c r="B102" s="95"/>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22.5" customHeight="1" x14ac:dyDescent="0.2">
      <c r="A103" s="62" t="s">
        <v>168</v>
      </c>
      <c r="B103" s="95"/>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22.5" customHeight="1" x14ac:dyDescent="0.2">
      <c r="A104" s="62" t="s">
        <v>168</v>
      </c>
      <c r="B104" s="95"/>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22.5" customHeight="1" x14ac:dyDescent="0.2">
      <c r="A105" s="62" t="s">
        <v>168</v>
      </c>
      <c r="B105" s="95"/>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22.5" customHeight="1" x14ac:dyDescent="0.2">
      <c r="A106" s="62" t="s">
        <v>168</v>
      </c>
      <c r="B106" s="95"/>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22.5" customHeight="1" x14ac:dyDescent="0.2">
      <c r="A107" s="62" t="s">
        <v>168</v>
      </c>
      <c r="B107" s="95"/>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22.5" customHeight="1" x14ac:dyDescent="0.2">
      <c r="A108" s="62" t="s">
        <v>168</v>
      </c>
      <c r="B108" s="95"/>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22.5" customHeight="1" x14ac:dyDescent="0.2">
      <c r="A109" s="62" t="s">
        <v>168</v>
      </c>
      <c r="B109" s="95"/>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22.5" customHeight="1" x14ac:dyDescent="0.2">
      <c r="A110" s="62" t="s">
        <v>168</v>
      </c>
      <c r="B110" s="95"/>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22.5" customHeight="1" x14ac:dyDescent="0.2">
      <c r="A111" s="62" t="s">
        <v>168</v>
      </c>
      <c r="B111" s="95"/>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22.5" customHeight="1" x14ac:dyDescent="0.2">
      <c r="A112" s="62" t="s">
        <v>168</v>
      </c>
      <c r="B112" s="95"/>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22.5" customHeight="1" x14ac:dyDescent="0.2">
      <c r="A113" s="62" t="s">
        <v>168</v>
      </c>
      <c r="B113" s="95"/>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22.5" customHeight="1" x14ac:dyDescent="0.2">
      <c r="A114" s="62" t="s">
        <v>168</v>
      </c>
      <c r="B114" s="95"/>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22.5" customHeight="1" x14ac:dyDescent="0.2">
      <c r="A115" s="62" t="s">
        <v>168</v>
      </c>
      <c r="B115" s="95"/>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22.5" customHeight="1" x14ac:dyDescent="0.2">
      <c r="A116" s="62" t="s">
        <v>168</v>
      </c>
      <c r="B116" s="95"/>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22.5" customHeight="1" x14ac:dyDescent="0.2">
      <c r="A117" s="62" t="s">
        <v>168</v>
      </c>
      <c r="B117" s="95"/>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22.5" customHeight="1" x14ac:dyDescent="0.2">
      <c r="A118" s="62" t="s">
        <v>168</v>
      </c>
      <c r="B118" s="95"/>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22.5" customHeight="1" x14ac:dyDescent="0.2">
      <c r="A119" s="62" t="s">
        <v>168</v>
      </c>
      <c r="B119" s="95"/>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22.5" customHeight="1" x14ac:dyDescent="0.2">
      <c r="A120" s="62" t="s">
        <v>168</v>
      </c>
      <c r="B120" s="95"/>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22.5" customHeight="1" x14ac:dyDescent="0.2">
      <c r="A121" s="62" t="s">
        <v>168</v>
      </c>
      <c r="B121" s="95"/>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22.5" customHeight="1" x14ac:dyDescent="0.2">
      <c r="A122" s="62" t="s">
        <v>168</v>
      </c>
      <c r="B122" s="95"/>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22.5" customHeight="1" x14ac:dyDescent="0.2">
      <c r="A123" s="62" t="s">
        <v>168</v>
      </c>
      <c r="B123" s="95"/>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22.5" customHeight="1" x14ac:dyDescent="0.2">
      <c r="A124" s="62" t="s">
        <v>168</v>
      </c>
      <c r="B124" s="95"/>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22.5" customHeight="1" x14ac:dyDescent="0.2">
      <c r="A125" s="62" t="s">
        <v>168</v>
      </c>
      <c r="B125" s="95"/>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22.5" customHeight="1" x14ac:dyDescent="0.2">
      <c r="A126" s="62" t="s">
        <v>168</v>
      </c>
      <c r="B126" s="95"/>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22.5" customHeight="1" x14ac:dyDescent="0.2">
      <c r="A127" s="62" t="s">
        <v>168</v>
      </c>
      <c r="B127" s="95"/>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22.5" customHeight="1" x14ac:dyDescent="0.2">
      <c r="A128" s="62" t="s">
        <v>168</v>
      </c>
      <c r="B128" s="95"/>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22.5" customHeight="1" x14ac:dyDescent="0.2">
      <c r="A129" s="62" t="s">
        <v>168</v>
      </c>
      <c r="B129" s="95"/>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22.5" customHeight="1" x14ac:dyDescent="0.2">
      <c r="A130" s="62" t="s">
        <v>168</v>
      </c>
      <c r="B130" s="95"/>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22.5" customHeight="1" x14ac:dyDescent="0.2">
      <c r="A131" s="62" t="s">
        <v>168</v>
      </c>
      <c r="B131" s="95"/>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22.5" customHeight="1" x14ac:dyDescent="0.2">
      <c r="A132" s="62" t="s">
        <v>168</v>
      </c>
      <c r="B132" s="95"/>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22.5" customHeight="1" x14ac:dyDescent="0.2">
      <c r="A133" s="62" t="s">
        <v>168</v>
      </c>
      <c r="B133" s="95"/>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22.5" customHeight="1" x14ac:dyDescent="0.2">
      <c r="A134" s="62" t="s">
        <v>168</v>
      </c>
      <c r="B134" s="95"/>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22.5" customHeight="1" x14ac:dyDescent="0.2">
      <c r="A135" s="62" t="s">
        <v>168</v>
      </c>
      <c r="B135" s="95"/>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22.5" customHeight="1" x14ac:dyDescent="0.2">
      <c r="A136" s="62" t="s">
        <v>168</v>
      </c>
      <c r="B136" s="95"/>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22.5" customHeight="1" x14ac:dyDescent="0.2">
      <c r="A137" s="62" t="s">
        <v>168</v>
      </c>
      <c r="B137" s="95"/>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5" customHeight="1" x14ac:dyDescent="0.2">
      <c r="A138" s="62" t="s">
        <v>168</v>
      </c>
      <c r="B138" s="95"/>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28.5" customHeight="1" x14ac:dyDescent="0.2">
      <c r="A139" s="62" t="s">
        <v>168</v>
      </c>
      <c r="B139" s="95"/>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28.5" customHeight="1" x14ac:dyDescent="0.2">
      <c r="A140" s="62" t="s">
        <v>168</v>
      </c>
      <c r="B140" s="95"/>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28.5" customHeight="1" x14ac:dyDescent="0.2">
      <c r="A141" s="62" t="s">
        <v>168</v>
      </c>
      <c r="B141" s="95"/>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24" customHeight="1" x14ac:dyDescent="0.2">
      <c r="A142" s="62" t="s">
        <v>168</v>
      </c>
      <c r="B142" s="95"/>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28.5" customHeight="1" x14ac:dyDescent="0.2">
      <c r="A143" s="62" t="s">
        <v>168</v>
      </c>
      <c r="B143" s="95"/>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28.5" customHeight="1" x14ac:dyDescent="0.2">
      <c r="A144" s="62" t="s">
        <v>168</v>
      </c>
      <c r="B144" s="95"/>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28.5" customHeight="1" x14ac:dyDescent="0.2">
      <c r="A145" s="62" t="s">
        <v>168</v>
      </c>
      <c r="B145" s="95"/>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28.5" customHeight="1" x14ac:dyDescent="0.2">
      <c r="A146" s="62" t="s">
        <v>168</v>
      </c>
      <c r="B146" s="95"/>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28.5" customHeight="1" x14ac:dyDescent="0.2">
      <c r="A147" s="62" t="s">
        <v>168</v>
      </c>
      <c r="B147" s="95"/>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28.5" customHeight="1" x14ac:dyDescent="0.2">
      <c r="A148" s="62" t="s">
        <v>168</v>
      </c>
      <c r="B148" s="95"/>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28.5" customHeight="1" x14ac:dyDescent="0.2">
      <c r="A149" s="62" t="s">
        <v>168</v>
      </c>
      <c r="B149" s="95"/>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28.5" customHeight="1" x14ac:dyDescent="0.2">
      <c r="A150" s="62" t="s">
        <v>168</v>
      </c>
      <c r="B150" s="95"/>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28.5" customHeight="1" x14ac:dyDescent="0.2">
      <c r="A151" s="62" t="s">
        <v>168</v>
      </c>
      <c r="B151" s="95"/>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28.5" customHeight="1" x14ac:dyDescent="0.2">
      <c r="A152" s="62" t="s">
        <v>168</v>
      </c>
      <c r="B152" s="95"/>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28.5" customHeight="1" x14ac:dyDescent="0.2">
      <c r="A153" s="57" t="s">
        <v>168</v>
      </c>
      <c r="B153" s="95"/>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28.5" customHeight="1" x14ac:dyDescent="0.2">
      <c r="A154" s="57" t="s">
        <v>168</v>
      </c>
      <c r="B154" s="95"/>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28.5" customHeight="1" x14ac:dyDescent="0.2">
      <c r="A155" s="57" t="s">
        <v>168</v>
      </c>
      <c r="B155" s="95"/>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x14ac:dyDescent="0.2">
      <c r="A156" s="57" t="s">
        <v>168</v>
      </c>
      <c r="B156" s="95"/>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E7205-B4A7-4CCF-A95C-47B302CC6998}">
  <dimension ref="A1:V30"/>
  <sheetViews>
    <sheetView workbookViewId="0">
      <selection activeCell="I8" sqref="I8"/>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8" width="16.375" customWidth="1"/>
    <col min="9" max="9" width="24.625" customWidth="1"/>
    <col min="10" max="10" width="23.375" customWidth="1"/>
    <col min="11" max="11" width="26" customWidth="1"/>
    <col min="12" max="12" width="12.625" customWidth="1"/>
    <col min="13" max="13" width="16.875" customWidth="1"/>
  </cols>
  <sheetData>
    <row r="1" spans="1:14" s="132" customFormat="1" ht="30.75" customHeight="1" x14ac:dyDescent="0.25">
      <c r="A1" s="133" t="s">
        <v>201</v>
      </c>
      <c r="B1" s="133" t="s">
        <v>22</v>
      </c>
      <c r="C1" s="133" t="s">
        <v>200</v>
      </c>
      <c r="D1" s="133" t="s">
        <v>202</v>
      </c>
      <c r="E1" s="133" t="s">
        <v>93</v>
      </c>
      <c r="F1" s="133" t="s">
        <v>203</v>
      </c>
      <c r="G1" s="133" t="s">
        <v>207</v>
      </c>
      <c r="H1" s="133" t="s">
        <v>208</v>
      </c>
      <c r="I1" s="133" t="s">
        <v>226</v>
      </c>
      <c r="J1" s="239"/>
      <c r="K1" s="239"/>
      <c r="L1" s="239"/>
      <c r="M1" s="239"/>
    </row>
    <row r="2" spans="1:14" s="132" customFormat="1" ht="30.75" customHeight="1" x14ac:dyDescent="0.25">
      <c r="A2" s="136" t="s">
        <v>261</v>
      </c>
      <c r="B2" s="137" t="s">
        <v>912</v>
      </c>
      <c r="C2" s="156">
        <v>10.714285714285714</v>
      </c>
      <c r="D2" s="188">
        <v>33</v>
      </c>
      <c r="E2" s="166">
        <v>9.0659340659340656E-2</v>
      </c>
      <c r="F2" s="139">
        <v>0</v>
      </c>
      <c r="G2" s="233">
        <v>32000</v>
      </c>
      <c r="H2" s="233">
        <v>790500</v>
      </c>
      <c r="I2" s="134">
        <v>114</v>
      </c>
      <c r="J2" s="239"/>
      <c r="K2" s="239"/>
      <c r="L2" s="239"/>
      <c r="M2" s="239"/>
    </row>
    <row r="3" spans="1:14" s="132" customFormat="1" ht="30.75" customHeight="1" x14ac:dyDescent="0.25">
      <c r="A3" s="146" t="s">
        <v>262</v>
      </c>
      <c r="B3" s="139" t="s">
        <v>818</v>
      </c>
      <c r="C3" s="156">
        <v>12.761904761904763</v>
      </c>
      <c r="D3" s="188">
        <v>293</v>
      </c>
      <c r="E3" s="166">
        <v>0.26831501831501831</v>
      </c>
      <c r="F3" s="139">
        <v>0</v>
      </c>
      <c r="G3" s="233">
        <v>372500</v>
      </c>
      <c r="H3" s="233">
        <v>2095000</v>
      </c>
      <c r="I3" s="133" t="s">
        <v>163</v>
      </c>
      <c r="J3" s="239"/>
      <c r="K3" s="239"/>
      <c r="L3" s="239"/>
      <c r="M3" s="239"/>
    </row>
    <row r="4" spans="1:14" s="132" customFormat="1" ht="30.75" customHeight="1" x14ac:dyDescent="0.25">
      <c r="A4" s="147" t="s">
        <v>2</v>
      </c>
      <c r="B4" s="139" t="s">
        <v>913</v>
      </c>
      <c r="C4" s="156">
        <v>14.055555555555555</v>
      </c>
      <c r="D4" s="188">
        <v>2681</v>
      </c>
      <c r="E4" s="166">
        <v>0.53577138289368509</v>
      </c>
      <c r="F4" s="139">
        <v>0</v>
      </c>
      <c r="G4" s="233">
        <v>1355750</v>
      </c>
      <c r="H4" s="233">
        <v>2991250</v>
      </c>
      <c r="I4" s="149">
        <v>1.146715212357942</v>
      </c>
      <c r="J4" s="239"/>
      <c r="K4" s="239"/>
      <c r="L4" s="239"/>
      <c r="M4" s="239"/>
    </row>
    <row r="5" spans="1:14" s="132" customFormat="1" ht="30.75" customHeight="1" x14ac:dyDescent="0.25">
      <c r="A5" s="150" t="s">
        <v>4</v>
      </c>
      <c r="B5" s="139" t="s">
        <v>246</v>
      </c>
      <c r="C5" s="156">
        <v>15.791666666666666</v>
      </c>
      <c r="D5" s="188">
        <v>10351</v>
      </c>
      <c r="E5" s="166">
        <v>0.70128726287262877</v>
      </c>
      <c r="F5" s="139">
        <v>0</v>
      </c>
      <c r="G5" s="233">
        <v>1507000</v>
      </c>
      <c r="H5" s="233">
        <v>1415000</v>
      </c>
      <c r="I5" s="133" t="s">
        <v>642</v>
      </c>
      <c r="J5" s="239"/>
      <c r="K5" s="239"/>
      <c r="L5" s="239"/>
      <c r="M5" s="239"/>
    </row>
    <row r="6" spans="1:14" s="132" customFormat="1" ht="30.75" customHeight="1" x14ac:dyDescent="0.25">
      <c r="A6" s="134" t="s">
        <v>3</v>
      </c>
      <c r="B6" s="139" t="s">
        <v>247</v>
      </c>
      <c r="C6" s="156">
        <v>15.538461538461538</v>
      </c>
      <c r="D6" s="188">
        <v>16659</v>
      </c>
      <c r="E6" s="166">
        <v>0.60819247197984738</v>
      </c>
      <c r="F6" s="139">
        <v>0</v>
      </c>
      <c r="G6" s="233">
        <v>751000</v>
      </c>
      <c r="H6" s="233">
        <v>835000</v>
      </c>
      <c r="I6" s="149">
        <v>0.36295845247134967</v>
      </c>
      <c r="J6" s="239"/>
      <c r="K6" s="239"/>
      <c r="L6" s="239"/>
      <c r="M6" s="239"/>
    </row>
    <row r="7" spans="1:14" s="132" customFormat="1" ht="30.75" customHeight="1" x14ac:dyDescent="0.25">
      <c r="A7" s="133" t="s">
        <v>5</v>
      </c>
      <c r="B7" s="139" t="s">
        <v>914</v>
      </c>
      <c r="C7" s="156">
        <v>14.158415841584159</v>
      </c>
      <c r="D7" s="139"/>
      <c r="E7" s="161"/>
      <c r="F7" s="139">
        <v>0</v>
      </c>
      <c r="G7" s="232">
        <v>4018250</v>
      </c>
      <c r="H7" s="231">
        <v>8126750</v>
      </c>
      <c r="I7" s="165" t="s">
        <v>915</v>
      </c>
      <c r="J7" s="239"/>
      <c r="K7" s="239"/>
      <c r="L7" s="239"/>
      <c r="M7" s="239"/>
    </row>
    <row r="8" spans="1:14" ht="34.5" customHeight="1" x14ac:dyDescent="0.25">
      <c r="A8" s="239"/>
      <c r="B8" s="239"/>
      <c r="C8" s="239"/>
      <c r="D8" s="239"/>
      <c r="E8" s="239"/>
      <c r="F8" s="239"/>
      <c r="G8" s="239"/>
      <c r="H8" s="239"/>
      <c r="I8" s="239"/>
      <c r="J8" s="239"/>
      <c r="K8" s="239"/>
      <c r="L8" s="239"/>
      <c r="M8" s="239"/>
    </row>
    <row r="9" spans="1:14" s="2" customFormat="1" ht="22.5" customHeight="1" x14ac:dyDescent="0.25">
      <c r="A9" s="286" t="s">
        <v>564</v>
      </c>
      <c r="B9" s="287"/>
      <c r="C9" s="287"/>
      <c r="D9" s="287"/>
      <c r="E9" s="287"/>
      <c r="F9" s="287"/>
      <c r="G9" s="287"/>
      <c r="H9" s="239"/>
      <c r="I9" s="239"/>
      <c r="J9" s="239"/>
      <c r="K9" s="239"/>
      <c r="L9" s="239"/>
      <c r="M9" s="239"/>
      <c r="N9" s="239"/>
    </row>
    <row r="10" spans="1:14" s="2" customFormat="1" ht="22.5" customHeight="1" x14ac:dyDescent="0.25">
      <c r="A10" s="153" t="s">
        <v>144</v>
      </c>
      <c r="B10" s="153" t="s">
        <v>155</v>
      </c>
      <c r="C10" s="153" t="s">
        <v>210</v>
      </c>
      <c r="D10" s="153" t="s">
        <v>265</v>
      </c>
      <c r="E10" s="153" t="s">
        <v>160</v>
      </c>
      <c r="F10" s="153" t="s">
        <v>144</v>
      </c>
      <c r="G10" s="153" t="s">
        <v>826</v>
      </c>
      <c r="H10" s="239"/>
      <c r="I10" s="285" t="s">
        <v>216</v>
      </c>
      <c r="J10" s="239"/>
      <c r="K10" s="239"/>
      <c r="L10" s="239"/>
      <c r="M10" s="239"/>
      <c r="N10" s="239"/>
    </row>
    <row r="11" spans="1:14" s="2" customFormat="1" ht="22.5" customHeight="1" x14ac:dyDescent="0.25">
      <c r="A11" s="283" t="s">
        <v>228</v>
      </c>
      <c r="B11" s="154">
        <v>7.6228897908774336</v>
      </c>
      <c r="C11" s="144">
        <v>2774.7318838793858</v>
      </c>
      <c r="D11" s="166">
        <v>0.27747318838793861</v>
      </c>
      <c r="E11" s="190">
        <v>30.518557290781057</v>
      </c>
      <c r="F11" s="133" t="s">
        <v>815</v>
      </c>
      <c r="G11" s="198">
        <v>7.1622005162698635E-2</v>
      </c>
      <c r="H11" s="239"/>
      <c r="I11" s="285"/>
      <c r="J11" s="239"/>
      <c r="K11" s="239"/>
      <c r="L11" s="239"/>
      <c r="M11" s="239"/>
      <c r="N11" s="239"/>
    </row>
    <row r="12" spans="1:14" s="2" customFormat="1" ht="22.5" customHeight="1" x14ac:dyDescent="0.25">
      <c r="A12" s="284"/>
      <c r="B12" s="191">
        <v>2.5756521819005664</v>
      </c>
      <c r="C12" s="192">
        <v>2812.6121826354188</v>
      </c>
      <c r="D12" s="193">
        <v>0.28126121826354189</v>
      </c>
      <c r="E12" s="194">
        <v>3.484168481950229</v>
      </c>
      <c r="F12" s="133" t="s">
        <v>816</v>
      </c>
      <c r="G12" s="156">
        <v>0.91410311205702344</v>
      </c>
      <c r="H12" s="239"/>
      <c r="I12" s="285"/>
      <c r="J12" s="239"/>
      <c r="K12" s="239"/>
      <c r="L12" s="239"/>
      <c r="M12" s="239"/>
      <c r="N12" s="239"/>
    </row>
    <row r="13" spans="1:14" s="2" customFormat="1" ht="22.5" customHeight="1" x14ac:dyDescent="0.25">
      <c r="A13" s="147" t="s">
        <v>2</v>
      </c>
      <c r="B13" s="157">
        <v>0.48254878625046033</v>
      </c>
      <c r="C13" s="144">
        <v>2414.6741263973036</v>
      </c>
      <c r="D13" s="166">
        <v>0.24146741263973034</v>
      </c>
      <c r="E13" s="144">
        <v>0.32690279154784546</v>
      </c>
      <c r="F13" s="133" t="s">
        <v>822</v>
      </c>
      <c r="G13" s="191">
        <v>0.3752409288658225</v>
      </c>
      <c r="H13" s="239"/>
      <c r="I13" s="285"/>
      <c r="K13" s="239"/>
      <c r="L13" s="239"/>
      <c r="M13" s="239"/>
      <c r="N13" s="239"/>
    </row>
    <row r="14" spans="1:14" s="2" customFormat="1" ht="22.5" customHeight="1" x14ac:dyDescent="0.25">
      <c r="A14" s="150" t="s">
        <v>4</v>
      </c>
      <c r="B14" s="195">
        <v>8.3322918618972994E-2</v>
      </c>
      <c r="C14" s="192">
        <v>1229.8462788160414</v>
      </c>
      <c r="D14" s="193">
        <v>0.12298462788160414</v>
      </c>
      <c r="E14" s="196">
        <v>4.3124635507363396E-2</v>
      </c>
      <c r="F14" s="133" t="s">
        <v>121</v>
      </c>
      <c r="G14" s="157">
        <v>8.3053055918193411E-2</v>
      </c>
      <c r="H14" s="239"/>
      <c r="I14" s="285"/>
      <c r="J14" s="239"/>
      <c r="K14" s="239"/>
      <c r="L14" s="239"/>
      <c r="M14" s="239"/>
      <c r="N14" s="239"/>
    </row>
    <row r="15" spans="1:14" s="2" customFormat="1" ht="22.5" customHeight="1" x14ac:dyDescent="0.25">
      <c r="A15" s="134" t="s">
        <v>3</v>
      </c>
      <c r="B15" s="159">
        <v>2.8043354688468861E-2</v>
      </c>
      <c r="C15" s="144">
        <v>768.1355282718506</v>
      </c>
      <c r="D15" s="166">
        <v>7.6813552827185064E-2</v>
      </c>
      <c r="E15" s="158">
        <v>1.673577541447948E-2</v>
      </c>
      <c r="F15" s="133" t="s">
        <v>119</v>
      </c>
      <c r="G15" s="191">
        <v>1.177516267739851</v>
      </c>
      <c r="H15" s="239"/>
      <c r="I15" s="285"/>
      <c r="J15" s="239"/>
      <c r="K15" s="239"/>
      <c r="L15" s="239"/>
      <c r="M15" s="239"/>
      <c r="N15" s="239"/>
    </row>
    <row r="16" spans="1:14" s="2" customFormat="1" ht="22.5" customHeight="1" x14ac:dyDescent="0.25">
      <c r="A16" s="133" t="s">
        <v>210</v>
      </c>
      <c r="B16" s="200">
        <v>10000</v>
      </c>
      <c r="C16" s="200">
        <v>10000</v>
      </c>
      <c r="D16" s="201">
        <v>1.0000000000000002</v>
      </c>
      <c r="E16" s="200"/>
      <c r="F16" s="239"/>
      <c r="G16" s="239"/>
      <c r="H16" s="239"/>
      <c r="I16" s="239"/>
      <c r="J16" s="239"/>
      <c r="K16" s="239"/>
      <c r="L16" s="239"/>
      <c r="M16" s="239"/>
      <c r="N16" s="239"/>
    </row>
    <row r="17" spans="1:22" s="2" customFormat="1" ht="22.5" customHeight="1" x14ac:dyDescent="0.25">
      <c r="A17" s="239"/>
      <c r="B17" s="239"/>
      <c r="C17" s="239"/>
      <c r="D17" s="239"/>
      <c r="E17" s="239"/>
      <c r="F17" s="239"/>
      <c r="G17" s="239"/>
      <c r="H17" s="239"/>
      <c r="I17" s="239"/>
      <c r="J17" s="239"/>
      <c r="K17" s="239"/>
      <c r="L17" s="239"/>
      <c r="M17" s="239"/>
      <c r="N17" s="239"/>
    </row>
    <row r="18" spans="1:22" s="2" customFormat="1" ht="22.5" customHeight="1" x14ac:dyDescent="0.25">
      <c r="A18" s="239"/>
      <c r="B18" s="239"/>
      <c r="C18" s="239"/>
      <c r="D18" s="239"/>
      <c r="E18" s="239"/>
      <c r="F18" s="239"/>
      <c r="G18" s="239"/>
      <c r="H18" s="239"/>
      <c r="I18" s="239"/>
      <c r="J18" s="239"/>
      <c r="K18" s="239"/>
      <c r="L18" s="239"/>
      <c r="M18" s="239"/>
      <c r="N18" s="239"/>
    </row>
    <row r="19" spans="1:22" s="2" customFormat="1" ht="22.5" customHeight="1" x14ac:dyDescent="0.25">
      <c r="A19" s="239"/>
      <c r="B19" s="239"/>
      <c r="C19" s="239"/>
      <c r="D19" s="239"/>
      <c r="E19" s="239"/>
      <c r="F19" s="239"/>
      <c r="G19" s="239"/>
      <c r="H19" s="239"/>
      <c r="I19" s="239"/>
      <c r="J19" s="239"/>
      <c r="K19" s="239"/>
      <c r="L19" s="239"/>
      <c r="M19" s="239"/>
      <c r="N19" s="239"/>
    </row>
    <row r="20" spans="1:22" s="2" customFormat="1" ht="22.5" customHeight="1" x14ac:dyDescent="0.25">
      <c r="A20" s="239"/>
      <c r="B20" s="239"/>
      <c r="C20" s="239"/>
      <c r="D20" s="239"/>
      <c r="E20" s="239"/>
      <c r="F20" s="239"/>
      <c r="G20" s="239"/>
      <c r="H20" s="239"/>
      <c r="I20" s="239"/>
      <c r="J20" s="239"/>
      <c r="K20" s="239"/>
      <c r="L20" s="239"/>
      <c r="M20" s="239"/>
      <c r="N20" s="239"/>
    </row>
    <row r="21" spans="1:22" ht="15.75" x14ac:dyDescent="0.25">
      <c r="A21" s="239"/>
      <c r="B21" s="239"/>
      <c r="C21" s="239"/>
      <c r="D21" s="239"/>
      <c r="E21" s="239"/>
      <c r="F21" s="239"/>
      <c r="G21" s="239"/>
      <c r="H21" s="239"/>
      <c r="I21" s="239"/>
      <c r="J21" s="239"/>
      <c r="K21" s="239"/>
      <c r="L21" s="239"/>
      <c r="M21" s="239"/>
      <c r="N21" s="239"/>
    </row>
    <row r="22" spans="1:22" ht="15.75" x14ac:dyDescent="0.25">
      <c r="A22" s="239"/>
      <c r="B22" s="239"/>
      <c r="C22" s="239"/>
      <c r="D22" s="239"/>
      <c r="E22" s="239"/>
      <c r="F22" s="239"/>
      <c r="G22" s="239"/>
      <c r="H22" s="239"/>
      <c r="I22" s="239"/>
      <c r="J22" s="239"/>
      <c r="K22" s="239"/>
      <c r="L22" s="239"/>
      <c r="M22" s="239"/>
      <c r="N22" s="239"/>
    </row>
    <row r="23" spans="1:22" ht="15.75" x14ac:dyDescent="0.25">
      <c r="A23" s="239"/>
      <c r="B23" s="239"/>
      <c r="C23" s="239"/>
      <c r="D23" s="239"/>
      <c r="E23" s="239"/>
      <c r="F23" s="239"/>
      <c r="G23" s="239"/>
      <c r="H23" s="239"/>
      <c r="I23" s="239"/>
      <c r="J23" s="239"/>
      <c r="K23" s="239"/>
      <c r="L23" s="239"/>
      <c r="M23" s="239"/>
      <c r="N23" s="239"/>
    </row>
    <row r="24" spans="1:22" ht="15.75" x14ac:dyDescent="0.25">
      <c r="A24" s="239"/>
      <c r="B24" s="239"/>
      <c r="C24" s="239"/>
      <c r="D24" s="239"/>
      <c r="E24" s="239"/>
      <c r="F24" s="239"/>
      <c r="G24" s="239"/>
      <c r="H24" s="239"/>
      <c r="I24" s="239"/>
      <c r="J24" s="239"/>
      <c r="K24" s="239"/>
      <c r="L24" s="239"/>
      <c r="M24" s="239"/>
      <c r="N24" s="239"/>
    </row>
    <row r="25" spans="1:22" ht="15.75" x14ac:dyDescent="0.25">
      <c r="A25" s="239"/>
      <c r="B25" s="239"/>
      <c r="C25" s="239"/>
      <c r="D25" s="239"/>
      <c r="E25" s="239"/>
      <c r="F25" s="239"/>
      <c r="G25" s="239"/>
      <c r="H25" s="239"/>
      <c r="I25" s="239"/>
      <c r="J25" s="239"/>
      <c r="K25" s="239"/>
      <c r="L25" s="239"/>
      <c r="M25" s="239"/>
      <c r="N25" s="239"/>
      <c r="S25" s="2"/>
      <c r="T25" s="2"/>
      <c r="V25" s="2"/>
    </row>
    <row r="26" spans="1:22" ht="15.75" x14ac:dyDescent="0.25">
      <c r="A26" s="239"/>
      <c r="B26" s="239"/>
      <c r="C26" s="239"/>
      <c r="D26" s="239"/>
      <c r="E26" s="239"/>
      <c r="F26" s="239"/>
      <c r="G26" s="239"/>
      <c r="H26" s="239"/>
      <c r="I26" s="239"/>
      <c r="J26" s="239"/>
      <c r="K26" s="239"/>
      <c r="L26" s="239"/>
      <c r="M26" s="239"/>
      <c r="N26" s="239"/>
      <c r="S26" s="2"/>
      <c r="T26" s="2"/>
      <c r="U26" s="2"/>
      <c r="V26" s="2"/>
    </row>
    <row r="27" spans="1:22" ht="15.75" x14ac:dyDescent="0.25">
      <c r="A27" s="239"/>
      <c r="B27" s="239"/>
      <c r="C27" s="239"/>
      <c r="D27" s="239"/>
      <c r="E27" s="239"/>
      <c r="F27" s="239"/>
      <c r="G27" s="239"/>
      <c r="H27" s="239"/>
      <c r="I27" s="239"/>
      <c r="J27" s="239"/>
      <c r="K27" s="239"/>
      <c r="L27" s="239"/>
      <c r="M27" s="239"/>
      <c r="N27" s="239"/>
      <c r="S27" s="2"/>
      <c r="T27" s="2"/>
      <c r="U27" s="2"/>
      <c r="V27" s="2"/>
    </row>
    <row r="28" spans="1:22" ht="15.75" x14ac:dyDescent="0.25">
      <c r="I28" s="239"/>
      <c r="J28" s="239"/>
      <c r="K28" s="239"/>
      <c r="L28" s="239"/>
      <c r="M28" s="239"/>
      <c r="N28" s="239"/>
    </row>
    <row r="29" spans="1:22" ht="15.75" x14ac:dyDescent="0.25">
      <c r="I29" s="239"/>
      <c r="J29" s="239"/>
      <c r="K29" s="239"/>
      <c r="L29" s="239"/>
      <c r="M29" s="239"/>
      <c r="N29" s="239"/>
    </row>
    <row r="30" spans="1:22" ht="15.75" x14ac:dyDescent="0.25">
      <c r="I30" s="239"/>
      <c r="J30" s="239"/>
      <c r="K30" s="239"/>
      <c r="L30" s="239"/>
      <c r="M30" s="239"/>
      <c r="N30" s="239"/>
    </row>
  </sheetData>
  <mergeCells count="3">
    <mergeCell ref="A9:G9"/>
    <mergeCell ref="I10:I15"/>
    <mergeCell ref="A11:A12"/>
  </mergeCells>
  <phoneticPr fontId="1" type="noConversion"/>
  <conditionalFormatting sqref="B11:E15">
    <cfRule type="cellIs" dxfId="30" priority="2" operator="equal">
      <formula>0</formula>
    </cfRule>
  </conditionalFormatting>
  <conditionalFormatting sqref="E2:E6">
    <cfRule type="dataBar" priority="1">
      <dataBar>
        <cfvo type="min"/>
        <cfvo type="num" val="1"/>
        <color theme="8" tint="0.39997558519241921"/>
      </dataBar>
      <extLst>
        <ext xmlns:x14="http://schemas.microsoft.com/office/spreadsheetml/2009/9/main" uri="{B025F937-C7B1-47D3-B67F-A62EFF666E3E}">
          <x14:id>{FD317929-B650-4CBC-9F91-FE872BE48F59}</x14:id>
        </ext>
      </extLst>
    </cfRule>
  </conditionalFormatting>
  <hyperlinks>
    <hyperlink ref="I10:I15" location="统计!A1" display="跳转到统计表" xr:uid="{2FACD650-64CA-4296-AAB6-EA22D1634138}"/>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FD317929-B650-4CBC-9F91-FE872BE48F59}">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3" id="{6CCCB0E8-F528-4615-B860-9636201E74A2}">
            <x14:dataBar minLength="0" maxLength="100">
              <x14:cfvo type="num">
                <xm:f>0</xm:f>
              </x14:cfvo>
              <x14:cfvo type="num">
                <xm:f>卡牌!$V$7</xm:f>
              </x14:cfvo>
              <x14:fillColor theme="4"/>
              <x14:negativeFillColor rgb="FFFF0000"/>
              <x14:axisColor rgb="FF000000"/>
            </x14:dataBar>
          </x14:cfRule>
          <xm:sqref>G7</xm:sqref>
        </x14:conditionalFormatting>
        <x14:conditionalFormatting xmlns:xm="http://schemas.microsoft.com/office/excel/2006/main">
          <x14:cfRule type="dataBar" priority="4" id="{B020B0F0-7AF3-4D06-AE6A-6977490876A4}">
            <x14:dataBar minLength="0" maxLength="100">
              <x14:cfvo type="autoMin"/>
              <x14:cfvo type="num">
                <xm:f>卡牌!$V$7</xm:f>
              </x14:cfvo>
              <x14:fillColor rgb="FFFF0000"/>
              <x14:negativeFillColor rgb="FFFF0000"/>
              <x14:axisColor rgb="FF000000"/>
            </x14:dataBar>
          </x14:cfRule>
          <xm:sqref>H7</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CAB61-28F8-400D-9A3A-34E91044BA93}">
  <dimension ref="A1:V27"/>
  <sheetViews>
    <sheetView workbookViewId="0">
      <selection activeCell="D21" sqref="D21"/>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8" width="16.375" customWidth="1"/>
    <col min="9" max="9" width="24.625" customWidth="1"/>
    <col min="10" max="10" width="23.375" customWidth="1"/>
    <col min="11" max="11" width="26" customWidth="1"/>
    <col min="12" max="12" width="12.625" customWidth="1"/>
    <col min="13" max="13" width="16.875" customWidth="1"/>
  </cols>
  <sheetData>
    <row r="1" spans="1:13" s="132" customFormat="1" ht="30.75" customHeight="1" x14ac:dyDescent="0.25">
      <c r="A1" s="133" t="s">
        <v>201</v>
      </c>
      <c r="B1" s="133" t="s">
        <v>22</v>
      </c>
      <c r="C1" s="133" t="s">
        <v>200</v>
      </c>
      <c r="D1" s="133" t="s">
        <v>202</v>
      </c>
      <c r="E1" s="133" t="s">
        <v>93</v>
      </c>
      <c r="F1" s="133" t="s">
        <v>203</v>
      </c>
      <c r="G1" s="133" t="s">
        <v>207</v>
      </c>
      <c r="H1" s="133" t="s">
        <v>208</v>
      </c>
      <c r="I1" s="133" t="s">
        <v>226</v>
      </c>
      <c r="J1" s="239"/>
      <c r="K1" s="239"/>
      <c r="L1" s="239"/>
      <c r="M1" s="239"/>
    </row>
    <row r="2" spans="1:13" s="132" customFormat="1" ht="30.75" customHeight="1" x14ac:dyDescent="0.25">
      <c r="A2" s="136" t="s">
        <v>261</v>
      </c>
      <c r="B2" s="137" t="s">
        <v>809</v>
      </c>
      <c r="C2" s="156">
        <v>11</v>
      </c>
      <c r="D2" s="188">
        <v>28</v>
      </c>
      <c r="E2" s="166">
        <v>0.14583333333333334</v>
      </c>
      <c r="F2" s="139">
        <v>0</v>
      </c>
      <c r="G2" s="233">
        <v>32000</v>
      </c>
      <c r="H2" s="233">
        <v>223000</v>
      </c>
      <c r="I2" s="134">
        <v>100</v>
      </c>
      <c r="J2" s="239"/>
      <c r="K2" s="239"/>
      <c r="L2" s="239"/>
      <c r="M2" s="239"/>
    </row>
    <row r="3" spans="1:13" s="132" customFormat="1" ht="30.75" customHeight="1" x14ac:dyDescent="0.25">
      <c r="A3" s="146" t="s">
        <v>262</v>
      </c>
      <c r="B3" s="139" t="s">
        <v>818</v>
      </c>
      <c r="C3" s="156">
        <v>12.333333333333334</v>
      </c>
      <c r="D3" s="188">
        <v>256</v>
      </c>
      <c r="E3" s="166">
        <v>0.38095238095238093</v>
      </c>
      <c r="F3" s="139">
        <v>0</v>
      </c>
      <c r="G3" s="233">
        <v>290000</v>
      </c>
      <c r="H3" s="233">
        <v>602500</v>
      </c>
      <c r="I3" s="133" t="s">
        <v>163</v>
      </c>
      <c r="J3" s="239"/>
      <c r="K3" s="239"/>
      <c r="L3" s="239"/>
      <c r="M3" s="239"/>
    </row>
    <row r="4" spans="1:13" s="132" customFormat="1" ht="30.75" customHeight="1" x14ac:dyDescent="0.25">
      <c r="A4" s="147" t="s">
        <v>2</v>
      </c>
      <c r="B4" s="139" t="s">
        <v>672</v>
      </c>
      <c r="C4" s="156">
        <v>13.428571428571429</v>
      </c>
      <c r="D4" s="188">
        <v>2462</v>
      </c>
      <c r="E4" s="166">
        <v>0.63948051948051943</v>
      </c>
      <c r="F4" s="139">
        <v>1</v>
      </c>
      <c r="G4" s="233">
        <v>908750</v>
      </c>
      <c r="H4" s="233">
        <v>692500</v>
      </c>
      <c r="I4" s="149">
        <v>1.0919245656515668</v>
      </c>
      <c r="J4" s="239"/>
      <c r="K4" s="239"/>
      <c r="L4" s="239"/>
      <c r="M4" s="239"/>
    </row>
    <row r="5" spans="1:13" s="132" customFormat="1" ht="30.75" customHeight="1" x14ac:dyDescent="0.25">
      <c r="A5" s="150" t="s">
        <v>4</v>
      </c>
      <c r="B5" s="139" t="s">
        <v>246</v>
      </c>
      <c r="C5" s="156">
        <v>15</v>
      </c>
      <c r="D5" s="188">
        <v>9504</v>
      </c>
      <c r="E5" s="166">
        <v>1</v>
      </c>
      <c r="F5" s="139">
        <v>24</v>
      </c>
      <c r="G5" s="233">
        <v>1122000</v>
      </c>
      <c r="H5" s="233">
        <v>0</v>
      </c>
      <c r="I5" s="133" t="s">
        <v>642</v>
      </c>
      <c r="J5" s="239"/>
      <c r="K5" s="239"/>
      <c r="L5" s="239"/>
      <c r="M5" s="239"/>
    </row>
    <row r="6" spans="1:13" s="132" customFormat="1" ht="30.75" customHeight="1" x14ac:dyDescent="0.25">
      <c r="A6" s="134" t="s">
        <v>3</v>
      </c>
      <c r="B6" s="139" t="s">
        <v>247</v>
      </c>
      <c r="C6" s="156">
        <v>15</v>
      </c>
      <c r="D6" s="188">
        <v>15301</v>
      </c>
      <c r="E6" s="166">
        <v>1</v>
      </c>
      <c r="F6" s="139">
        <v>13</v>
      </c>
      <c r="G6" s="233">
        <v>611000</v>
      </c>
      <c r="H6" s="233">
        <v>0</v>
      </c>
      <c r="I6" s="149">
        <v>0.52659635416887707</v>
      </c>
      <c r="J6" s="239"/>
      <c r="K6" s="239"/>
      <c r="L6" s="239"/>
      <c r="M6" s="239"/>
    </row>
    <row r="7" spans="1:13" s="132" customFormat="1" ht="30.75" customHeight="1" x14ac:dyDescent="0.25">
      <c r="A7" s="133" t="s">
        <v>5</v>
      </c>
      <c r="B7" s="139" t="s">
        <v>819</v>
      </c>
      <c r="C7" s="156">
        <v>13.636363636363637</v>
      </c>
      <c r="D7" s="139"/>
      <c r="E7" s="161"/>
      <c r="F7" s="139">
        <v>38</v>
      </c>
      <c r="G7" s="232">
        <v>2963750</v>
      </c>
      <c r="H7" s="231">
        <v>1518000</v>
      </c>
      <c r="I7" s="165" t="s">
        <v>820</v>
      </c>
      <c r="J7" s="239"/>
      <c r="K7" s="239"/>
      <c r="L7" s="239"/>
      <c r="M7" s="239"/>
    </row>
    <row r="8" spans="1:13" ht="34.5" customHeight="1" x14ac:dyDescent="0.25">
      <c r="A8" s="239"/>
      <c r="B8" s="239"/>
      <c r="C8" s="239"/>
      <c r="D8" s="239"/>
      <c r="E8" s="239"/>
      <c r="F8" s="239"/>
      <c r="G8" s="239"/>
      <c r="H8" s="239"/>
      <c r="I8" s="239"/>
      <c r="J8" s="239"/>
      <c r="K8" s="239"/>
      <c r="L8" s="239"/>
      <c r="M8" s="239"/>
    </row>
    <row r="9" spans="1:13" s="2" customFormat="1" ht="22.5" customHeight="1" x14ac:dyDescent="0.25">
      <c r="A9" s="316" t="s">
        <v>564</v>
      </c>
      <c r="B9" s="317"/>
      <c r="C9" s="317"/>
      <c r="D9" s="317"/>
      <c r="E9" s="318"/>
      <c r="F9" s="239"/>
      <c r="G9" s="239"/>
      <c r="H9" s="239"/>
      <c r="I9" s="239"/>
      <c r="J9" s="239"/>
      <c r="K9" s="239"/>
      <c r="L9" s="236"/>
      <c r="M9" s="236"/>
    </row>
    <row r="10" spans="1:13" s="2" customFormat="1" ht="22.5" customHeight="1" x14ac:dyDescent="0.25">
      <c r="A10" s="153" t="s">
        <v>144</v>
      </c>
      <c r="B10" s="153" t="s">
        <v>155</v>
      </c>
      <c r="C10" s="153" t="s">
        <v>210</v>
      </c>
      <c r="D10" s="153" t="s">
        <v>265</v>
      </c>
      <c r="E10" s="153" t="s">
        <v>160</v>
      </c>
      <c r="F10" s="239"/>
      <c r="G10" s="239"/>
      <c r="H10" s="239"/>
      <c r="I10" s="239"/>
      <c r="J10" s="239"/>
      <c r="K10" s="239"/>
      <c r="L10" s="239"/>
      <c r="M10" s="239"/>
    </row>
    <row r="11" spans="1:13" s="2" customFormat="1" ht="22.5" customHeight="1" x14ac:dyDescent="0.25">
      <c r="A11" s="136" t="s">
        <v>269</v>
      </c>
      <c r="B11" s="154">
        <v>11.398189484174829</v>
      </c>
      <c r="C11" s="144">
        <v>2188.4523809615671</v>
      </c>
      <c r="D11" s="166">
        <v>0.21884523809615672</v>
      </c>
      <c r="E11" s="190">
        <v>41.158251610234267</v>
      </c>
      <c r="F11" s="239"/>
      <c r="G11" s="239"/>
      <c r="H11" s="239"/>
      <c r="I11" s="239"/>
      <c r="J11" s="239"/>
      <c r="K11" s="239"/>
      <c r="L11" s="239"/>
      <c r="M11" s="239"/>
    </row>
    <row r="12" spans="1:13" s="2" customFormat="1" ht="22.5" customHeight="1" x14ac:dyDescent="0.25">
      <c r="A12" s="146" t="s">
        <v>262</v>
      </c>
      <c r="B12" s="191">
        <v>4.3633694119106758</v>
      </c>
      <c r="C12" s="192">
        <v>2932.1842448039743</v>
      </c>
      <c r="D12" s="193">
        <v>0.29321842448039742</v>
      </c>
      <c r="E12" s="194">
        <v>6.0315528635359161</v>
      </c>
      <c r="F12" s="239"/>
      <c r="G12" s="319" t="s">
        <v>216</v>
      </c>
      <c r="H12" s="319"/>
      <c r="I12" s="319"/>
      <c r="J12" s="239"/>
      <c r="K12" s="239"/>
      <c r="L12" s="239"/>
      <c r="M12" s="239"/>
    </row>
    <row r="13" spans="1:13" s="2" customFormat="1" ht="22.5" customHeight="1" x14ac:dyDescent="0.25">
      <c r="A13" s="147" t="s">
        <v>2</v>
      </c>
      <c r="B13" s="157">
        <v>0.75617558180959454</v>
      </c>
      <c r="C13" s="144">
        <v>2911.2759899669391</v>
      </c>
      <c r="D13" s="166">
        <v>0.29112759899669388</v>
      </c>
      <c r="E13" s="144">
        <v>0.62269184496181085</v>
      </c>
      <c r="F13" s="239"/>
      <c r="G13" s="319"/>
      <c r="H13" s="319"/>
      <c r="I13" s="319"/>
      <c r="J13" s="239"/>
      <c r="K13" s="239"/>
      <c r="L13" s="239"/>
      <c r="M13" s="239"/>
    </row>
    <row r="14" spans="1:13" s="2" customFormat="1" ht="22.5" customHeight="1" x14ac:dyDescent="0.25">
      <c r="A14" s="150" t="s">
        <v>4</v>
      </c>
      <c r="B14" s="195">
        <v>0.13432209829835659</v>
      </c>
      <c r="C14" s="192">
        <v>1276.5972222275811</v>
      </c>
      <c r="D14" s="193">
        <v>0.12765972222275812</v>
      </c>
      <c r="E14" s="196">
        <v>7.0733527248228123E-2</v>
      </c>
      <c r="F14" s="239"/>
      <c r="G14" s="319"/>
      <c r="H14" s="319"/>
      <c r="I14" s="319"/>
      <c r="J14" s="239"/>
      <c r="K14" s="239"/>
      <c r="L14" s="239"/>
      <c r="M14" s="239"/>
    </row>
    <row r="15" spans="1:13" s="2" customFormat="1" ht="22.5" customHeight="1" x14ac:dyDescent="0.25">
      <c r="A15" s="134" t="s">
        <v>3</v>
      </c>
      <c r="B15" s="159">
        <v>4.5192481670475113E-2</v>
      </c>
      <c r="C15" s="144">
        <v>691.49016203993972</v>
      </c>
      <c r="D15" s="166">
        <v>6.9149016203993968E-2</v>
      </c>
      <c r="E15" s="158">
        <v>2.3798196083515997E-2</v>
      </c>
      <c r="F15" s="239"/>
      <c r="G15" s="319"/>
      <c r="H15" s="319"/>
      <c r="I15" s="319"/>
      <c r="J15" s="239"/>
      <c r="K15" s="239"/>
      <c r="L15" s="239"/>
      <c r="M15" s="239"/>
    </row>
    <row r="16" spans="1:13" s="2" customFormat="1" ht="22.5" customHeight="1" x14ac:dyDescent="0.25">
      <c r="A16" s="133" t="s">
        <v>815</v>
      </c>
      <c r="B16" s="191">
        <v>0</v>
      </c>
      <c r="C16" s="191"/>
      <c r="D16" s="193"/>
      <c r="E16" s="197" t="e">
        <v>#REF!</v>
      </c>
      <c r="F16" s="239"/>
      <c r="G16" s="319"/>
      <c r="H16" s="319"/>
      <c r="I16" s="319"/>
      <c r="J16" s="239"/>
      <c r="K16" s="239"/>
      <c r="L16" s="239"/>
      <c r="M16" s="239"/>
    </row>
    <row r="17" spans="1:22" s="2" customFormat="1" ht="22.5" customHeight="1" x14ac:dyDescent="0.25">
      <c r="A17" s="133" t="s">
        <v>816</v>
      </c>
      <c r="B17" s="162">
        <v>0</v>
      </c>
      <c r="C17" s="156"/>
      <c r="D17" s="161"/>
      <c r="E17" s="154" t="e">
        <v>#REF!</v>
      </c>
      <c r="F17" s="239"/>
      <c r="G17" s="319"/>
      <c r="H17" s="319"/>
      <c r="I17" s="319"/>
      <c r="J17" s="239"/>
      <c r="K17" s="239"/>
      <c r="L17" s="239"/>
      <c r="M17" s="239"/>
    </row>
    <row r="18" spans="1:22" s="2" customFormat="1" ht="22.5" customHeight="1" x14ac:dyDescent="0.25">
      <c r="A18" s="133" t="s">
        <v>121</v>
      </c>
      <c r="B18" s="198">
        <v>0.13374577580552707</v>
      </c>
      <c r="C18" s="191"/>
      <c r="D18" s="199"/>
      <c r="E18" s="191">
        <v>0.11174378828148857</v>
      </c>
      <c r="F18" s="239"/>
      <c r="G18" s="319"/>
      <c r="H18" s="319"/>
      <c r="I18" s="319"/>
      <c r="J18" s="239"/>
      <c r="K18" s="239"/>
      <c r="L18" s="239"/>
      <c r="M18" s="239"/>
    </row>
    <row r="19" spans="1:22" s="2" customFormat="1" ht="22.5" customHeight="1" x14ac:dyDescent="0.25">
      <c r="A19" s="133" t="s">
        <v>119</v>
      </c>
      <c r="B19" s="156">
        <v>1.8782113387647992</v>
      </c>
      <c r="C19" s="156"/>
      <c r="D19" s="161"/>
      <c r="E19" s="154">
        <v>1.4527330581270168</v>
      </c>
      <c r="F19" s="239"/>
      <c r="G19" s="319"/>
      <c r="H19" s="319"/>
      <c r="I19" s="319"/>
      <c r="J19" s="239"/>
      <c r="K19" s="239"/>
      <c r="L19" s="239"/>
      <c r="M19" s="239"/>
    </row>
    <row r="20" spans="1:22" s="2" customFormat="1" ht="22.5" customHeight="1" x14ac:dyDescent="0.25">
      <c r="A20" s="133" t="s">
        <v>210</v>
      </c>
      <c r="B20" s="200">
        <v>10000</v>
      </c>
      <c r="C20" s="200">
        <v>10000</v>
      </c>
      <c r="D20" s="201">
        <v>1</v>
      </c>
      <c r="E20" s="200"/>
      <c r="F20" s="239"/>
      <c r="G20" s="319"/>
      <c r="H20" s="319"/>
      <c r="I20" s="319"/>
      <c r="J20" s="239"/>
      <c r="K20" s="239"/>
      <c r="L20" s="239"/>
      <c r="M20" s="239"/>
    </row>
    <row r="21" spans="1:22" ht="15.75" x14ac:dyDescent="0.25">
      <c r="A21" s="239"/>
      <c r="B21" s="239"/>
      <c r="C21" s="239"/>
      <c r="D21" s="239"/>
      <c r="E21" s="239"/>
      <c r="F21" s="239"/>
      <c r="G21" s="239"/>
      <c r="H21" s="239"/>
      <c r="I21" s="239"/>
      <c r="J21" s="239"/>
      <c r="K21" s="239"/>
      <c r="L21" s="239"/>
      <c r="M21" s="239"/>
    </row>
    <row r="22" spans="1:22" ht="15.75" x14ac:dyDescent="0.25">
      <c r="A22" s="239"/>
      <c r="B22" s="239"/>
      <c r="C22" s="239"/>
      <c r="D22" s="239"/>
      <c r="E22" s="239"/>
      <c r="F22" s="239"/>
      <c r="G22" s="239"/>
      <c r="H22" s="239"/>
      <c r="I22" s="239"/>
      <c r="J22" s="239"/>
      <c r="K22" s="239"/>
      <c r="L22" s="239"/>
      <c r="M22" s="239"/>
    </row>
    <row r="23" spans="1:22" ht="15.75" x14ac:dyDescent="0.25">
      <c r="A23" s="239"/>
      <c r="B23" s="239"/>
      <c r="C23" s="239"/>
      <c r="D23" s="239"/>
      <c r="E23" s="239"/>
      <c r="F23" s="239"/>
      <c r="G23" s="239"/>
      <c r="H23" s="239"/>
      <c r="I23" s="239"/>
      <c r="J23" s="239"/>
      <c r="K23" s="239"/>
      <c r="L23" s="239"/>
      <c r="M23" s="239"/>
    </row>
    <row r="24" spans="1:22" ht="15.75" x14ac:dyDescent="0.25">
      <c r="A24" s="239"/>
      <c r="B24" s="239"/>
      <c r="C24" s="239"/>
      <c r="D24" s="239"/>
      <c r="E24" s="239"/>
      <c r="F24" s="239"/>
      <c r="G24" s="239"/>
      <c r="H24" s="239"/>
      <c r="I24" s="239"/>
      <c r="J24" s="239"/>
      <c r="K24" s="239"/>
      <c r="L24" s="239"/>
      <c r="M24" s="239"/>
    </row>
    <row r="25" spans="1:22" ht="15.75" x14ac:dyDescent="0.25">
      <c r="A25" s="239"/>
      <c r="B25" s="239"/>
      <c r="C25" s="239"/>
      <c r="D25" s="239"/>
      <c r="E25" s="239"/>
      <c r="F25" s="239"/>
      <c r="G25" s="239"/>
      <c r="H25" s="239"/>
      <c r="I25" s="239"/>
      <c r="J25" s="239"/>
      <c r="K25" s="239"/>
      <c r="L25" s="239"/>
      <c r="M25" s="239"/>
      <c r="S25" s="2"/>
      <c r="T25" s="2"/>
      <c r="V25" s="2"/>
    </row>
    <row r="26" spans="1:22" x14ac:dyDescent="0.2">
      <c r="S26" s="2"/>
      <c r="T26" s="2"/>
      <c r="U26" s="2"/>
      <c r="V26" s="2"/>
    </row>
    <row r="27" spans="1:22" x14ac:dyDescent="0.2">
      <c r="S27" s="2"/>
      <c r="T27" s="2"/>
      <c r="U27" s="2"/>
      <c r="V27" s="2"/>
    </row>
  </sheetData>
  <mergeCells count="2">
    <mergeCell ref="A9:E9"/>
    <mergeCell ref="G12:I20"/>
  </mergeCells>
  <phoneticPr fontId="1" type="noConversion"/>
  <conditionalFormatting sqref="B11:E15 D16">
    <cfRule type="cellIs" dxfId="29" priority="2" operator="equal">
      <formula>0</formula>
    </cfRule>
  </conditionalFormatting>
  <conditionalFormatting sqref="E2:E6">
    <cfRule type="dataBar" priority="1">
      <dataBar>
        <cfvo type="min"/>
        <cfvo type="num" val="1"/>
        <color theme="8" tint="0.39997558519241921"/>
      </dataBar>
      <extLst>
        <ext xmlns:x14="http://schemas.microsoft.com/office/spreadsheetml/2009/9/main" uri="{B025F937-C7B1-47D3-B67F-A62EFF666E3E}">
          <x14:id>{D9C4CF3E-3E08-4ED1-BC1B-60ACA430061C}</x14:id>
        </ext>
      </extLst>
    </cfRule>
  </conditionalFormatting>
  <hyperlinks>
    <hyperlink ref="G12:I20" location="统计!A1" display="跳转到统计表" xr:uid="{1CFE8BEE-6F5A-4EB6-BEC5-A13B30CB3184}"/>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D9C4CF3E-3E08-4ED1-BC1B-60ACA430061C}">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3" id="{6FF1D1D2-B8B6-4D3E-8881-AD6B87F1C298}">
            <x14:dataBar minLength="0" maxLength="100">
              <x14:cfvo type="num">
                <xm:f>0</xm:f>
              </x14:cfvo>
              <x14:cfvo type="num">
                <xm:f>卡牌!$V$7</xm:f>
              </x14:cfvo>
              <x14:fillColor theme="4"/>
              <x14:negativeFillColor rgb="FFFF0000"/>
              <x14:axisColor rgb="FF000000"/>
            </x14:dataBar>
          </x14:cfRule>
          <xm:sqref>G7</xm:sqref>
        </x14:conditionalFormatting>
        <x14:conditionalFormatting xmlns:xm="http://schemas.microsoft.com/office/excel/2006/main">
          <x14:cfRule type="dataBar" priority="4" id="{BD47A864-C63B-4FF3-B33A-86320036A84A}">
            <x14:dataBar minLength="0" maxLength="100">
              <x14:cfvo type="autoMin"/>
              <x14:cfvo type="num">
                <xm:f>卡牌!$V$7</xm:f>
              </x14:cfvo>
              <x14:fillColor rgb="FFFF0000"/>
              <x14:negativeFillColor rgb="FFFF0000"/>
              <x14:axisColor rgb="FF000000"/>
            </x14:dataBar>
          </x14:cfRule>
          <xm:sqref>H7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63A7-77B4-42A6-AC3C-AC928AAB4386}">
  <dimension ref="A1:X27"/>
  <sheetViews>
    <sheetView workbookViewId="0">
      <selection activeCell="M6" sqref="M6"/>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2" customFormat="1" ht="30.75" customHeight="1" x14ac:dyDescent="0.25">
      <c r="A1" s="133" t="s">
        <v>201</v>
      </c>
      <c r="B1" s="133" t="s">
        <v>22</v>
      </c>
      <c r="C1" s="133" t="s">
        <v>200</v>
      </c>
      <c r="D1" s="133" t="s">
        <v>202</v>
      </c>
      <c r="E1" s="133" t="s">
        <v>93</v>
      </c>
      <c r="F1" s="133" t="s">
        <v>203</v>
      </c>
      <c r="G1" s="133" t="s">
        <v>204</v>
      </c>
      <c r="H1" s="133" t="s">
        <v>594</v>
      </c>
      <c r="I1" s="133" t="s">
        <v>214</v>
      </c>
      <c r="J1" s="133" t="s">
        <v>207</v>
      </c>
      <c r="K1" s="133" t="s">
        <v>208</v>
      </c>
      <c r="L1" s="133" t="s">
        <v>270</v>
      </c>
      <c r="M1" s="133" t="s">
        <v>226</v>
      </c>
      <c r="N1" s="239"/>
      <c r="O1" s="239"/>
    </row>
    <row r="2" spans="1:15" s="132" customFormat="1" ht="30.75" customHeight="1" x14ac:dyDescent="0.25">
      <c r="A2" s="136" t="s">
        <v>261</v>
      </c>
      <c r="B2" s="137" t="s">
        <v>809</v>
      </c>
      <c r="C2" s="156">
        <v>11</v>
      </c>
      <c r="D2" s="188">
        <v>30.698483755055346</v>
      </c>
      <c r="E2" s="166">
        <v>0.1598879362242466</v>
      </c>
      <c r="F2" s="139">
        <v>0</v>
      </c>
      <c r="G2" s="163">
        <v>3126.3564328299194</v>
      </c>
      <c r="H2" s="143">
        <v>8737.0511789506891</v>
      </c>
      <c r="I2" s="230">
        <v>5.159409034463084E-2</v>
      </c>
      <c r="J2" s="233">
        <v>32000</v>
      </c>
      <c r="K2" s="233">
        <v>223000</v>
      </c>
      <c r="L2" s="163"/>
      <c r="M2" s="134">
        <v>100</v>
      </c>
      <c r="N2" s="239"/>
      <c r="O2" s="239"/>
    </row>
    <row r="3" spans="1:15" s="132" customFormat="1" ht="30.75" customHeight="1" x14ac:dyDescent="0.25">
      <c r="A3" s="146" t="s">
        <v>262</v>
      </c>
      <c r="B3" s="139" t="s">
        <v>810</v>
      </c>
      <c r="C3" s="156">
        <v>12.45</v>
      </c>
      <c r="D3" s="188">
        <v>256.96054378093527</v>
      </c>
      <c r="E3" s="166">
        <v>0.38238176157877274</v>
      </c>
      <c r="F3" s="139">
        <v>0</v>
      </c>
      <c r="G3" s="163">
        <v>961.03655766261409</v>
      </c>
      <c r="H3" s="143">
        <v>5485.7251349726266</v>
      </c>
      <c r="I3" s="229">
        <v>0.43186646013602564</v>
      </c>
      <c r="J3" s="233">
        <v>282500</v>
      </c>
      <c r="K3" s="233">
        <v>610000</v>
      </c>
      <c r="L3" s="163">
        <v>0</v>
      </c>
      <c r="M3" s="133" t="s">
        <v>163</v>
      </c>
      <c r="N3" s="239"/>
      <c r="O3" s="239"/>
    </row>
    <row r="4" spans="1:15" s="132" customFormat="1" ht="30.75" customHeight="1" x14ac:dyDescent="0.25">
      <c r="A4" s="147" t="s">
        <v>2</v>
      </c>
      <c r="B4" s="139" t="s">
        <v>672</v>
      </c>
      <c r="C4" s="156">
        <v>13.371428571428572</v>
      </c>
      <c r="D4" s="188">
        <v>2470.177373809549</v>
      </c>
      <c r="E4" s="166">
        <v>0.64160451267780494</v>
      </c>
      <c r="F4" s="139">
        <v>1</v>
      </c>
      <c r="G4" s="163">
        <v>354.40857978476481</v>
      </c>
      <c r="H4" s="143">
        <v>3608.6742090753296</v>
      </c>
      <c r="I4" s="228">
        <v>4.1515586114446199</v>
      </c>
      <c r="J4" s="233">
        <v>888750</v>
      </c>
      <c r="K4" s="233">
        <v>712500</v>
      </c>
      <c r="L4" s="163">
        <v>266.88591073572553</v>
      </c>
      <c r="M4" s="149">
        <v>1.0867106170133796</v>
      </c>
      <c r="N4" s="239"/>
      <c r="O4" s="239"/>
    </row>
    <row r="5" spans="1:15" s="132" customFormat="1" ht="30.75" customHeight="1" x14ac:dyDescent="0.25">
      <c r="A5" s="150" t="s">
        <v>4</v>
      </c>
      <c r="B5" s="139" t="s">
        <v>246</v>
      </c>
      <c r="C5" s="156">
        <v>15</v>
      </c>
      <c r="D5" s="188">
        <v>9504</v>
      </c>
      <c r="E5" s="166">
        <v>1</v>
      </c>
      <c r="F5" s="139">
        <v>24</v>
      </c>
      <c r="G5" s="163" t="s">
        <v>168</v>
      </c>
      <c r="H5" s="143">
        <v>0</v>
      </c>
      <c r="I5" s="163">
        <v>20.842105263157894</v>
      </c>
      <c r="J5" s="233">
        <v>1122000</v>
      </c>
      <c r="K5" s="233">
        <v>0</v>
      </c>
      <c r="L5" s="163">
        <v>3126.3157894736837</v>
      </c>
      <c r="M5" s="133" t="s">
        <v>642</v>
      </c>
      <c r="N5" s="239"/>
      <c r="O5" s="239"/>
    </row>
    <row r="6" spans="1:15" s="132" customFormat="1" ht="30.75" customHeight="1" x14ac:dyDescent="0.25">
      <c r="A6" s="134" t="s">
        <v>3</v>
      </c>
      <c r="B6" s="139" t="s">
        <v>247</v>
      </c>
      <c r="C6" s="156">
        <v>15</v>
      </c>
      <c r="D6" s="188">
        <v>15301</v>
      </c>
      <c r="E6" s="166">
        <v>1</v>
      </c>
      <c r="F6" s="139">
        <v>13</v>
      </c>
      <c r="G6" s="163" t="s">
        <v>168</v>
      </c>
      <c r="H6" s="143">
        <v>0</v>
      </c>
      <c r="I6" s="163">
        <v>30.602</v>
      </c>
      <c r="J6" s="233">
        <v>611000</v>
      </c>
      <c r="K6" s="233">
        <v>0</v>
      </c>
      <c r="L6" s="163">
        <v>918.06000000000006</v>
      </c>
      <c r="M6" s="149">
        <v>0.51792739651304398</v>
      </c>
      <c r="N6" s="239"/>
      <c r="O6" s="239"/>
    </row>
    <row r="7" spans="1:15" s="132" customFormat="1" ht="30.75" customHeight="1" x14ac:dyDescent="0.25">
      <c r="A7" s="133" t="s">
        <v>5</v>
      </c>
      <c r="B7" s="139" t="s">
        <v>811</v>
      </c>
      <c r="C7" s="156">
        <v>13.653061224489797</v>
      </c>
      <c r="D7" s="139"/>
      <c r="E7" s="161"/>
      <c r="F7" s="139">
        <v>38</v>
      </c>
      <c r="G7" s="175"/>
      <c r="H7" s="143"/>
      <c r="I7" s="163"/>
      <c r="J7" s="232">
        <v>2936250</v>
      </c>
      <c r="K7" s="231">
        <v>1545500</v>
      </c>
      <c r="L7" s="163">
        <v>4311.2617002094094</v>
      </c>
      <c r="M7" s="165" t="s">
        <v>812</v>
      </c>
      <c r="N7" s="239"/>
      <c r="O7" s="239"/>
    </row>
    <row r="8" spans="1:15" ht="34.5" customHeight="1" x14ac:dyDescent="0.25">
      <c r="A8" s="239"/>
      <c r="B8" s="239"/>
      <c r="C8" s="239"/>
      <c r="D8" s="239"/>
      <c r="E8" s="239"/>
      <c r="F8" s="239"/>
      <c r="G8" s="239"/>
      <c r="H8" s="239"/>
      <c r="I8" s="239"/>
      <c r="J8" s="239"/>
      <c r="K8" s="239"/>
      <c r="L8" s="239"/>
      <c r="M8" s="239"/>
      <c r="N8" s="237"/>
      <c r="O8" s="237"/>
    </row>
    <row r="9" spans="1:15" s="2" customFormat="1" ht="22.5" customHeight="1" x14ac:dyDescent="0.25">
      <c r="A9" s="316" t="s">
        <v>564</v>
      </c>
      <c r="B9" s="317"/>
      <c r="C9" s="317"/>
      <c r="D9" s="317"/>
      <c r="E9" s="318"/>
      <c r="F9" s="239"/>
      <c r="G9" s="239"/>
      <c r="H9" s="239"/>
      <c r="I9" s="239"/>
      <c r="J9" s="239"/>
      <c r="K9" s="239"/>
      <c r="L9" s="239"/>
      <c r="M9" s="239"/>
      <c r="N9" s="236"/>
      <c r="O9" s="236"/>
    </row>
    <row r="10" spans="1:15" s="2" customFormat="1" ht="22.5" customHeight="1" x14ac:dyDescent="0.25">
      <c r="A10" s="153" t="s">
        <v>144</v>
      </c>
      <c r="B10" s="153" t="s">
        <v>155</v>
      </c>
      <c r="C10" s="153" t="s">
        <v>210</v>
      </c>
      <c r="D10" s="153" t="s">
        <v>265</v>
      </c>
      <c r="E10" s="153" t="s">
        <v>160</v>
      </c>
      <c r="F10" s="239"/>
      <c r="G10" s="239"/>
      <c r="H10" s="239"/>
      <c r="I10" s="239"/>
      <c r="J10" s="239"/>
      <c r="K10" s="239"/>
      <c r="L10" s="239"/>
      <c r="M10" s="239"/>
      <c r="N10" s="236"/>
      <c r="O10" s="236"/>
    </row>
    <row r="11" spans="1:15" s="2" customFormat="1" ht="22.5" customHeight="1" x14ac:dyDescent="0.25">
      <c r="A11" s="136" t="s">
        <v>269</v>
      </c>
      <c r="B11" s="154">
        <v>11.085326687437131</v>
      </c>
      <c r="C11" s="144">
        <v>2128.3827239879292</v>
      </c>
      <c r="D11" s="166">
        <v>0.21283827239879291</v>
      </c>
      <c r="E11" s="190">
        <v>38.929799388650828</v>
      </c>
      <c r="F11" s="239"/>
      <c r="G11" s="239"/>
      <c r="H11" s="239"/>
      <c r="I11" s="239"/>
      <c r="J11" s="239"/>
      <c r="K11" s="239"/>
      <c r="L11" s="239"/>
      <c r="M11" s="239"/>
      <c r="N11" s="236"/>
      <c r="O11" s="236"/>
    </row>
    <row r="12" spans="1:15" s="2" customFormat="1" ht="22.5" customHeight="1" x14ac:dyDescent="0.25">
      <c r="A12" s="146" t="s">
        <v>262</v>
      </c>
      <c r="B12" s="191">
        <v>4.6351844792700989</v>
      </c>
      <c r="C12" s="192">
        <v>3114.8439700695067</v>
      </c>
      <c r="D12" s="193">
        <v>0.31148439700695069</v>
      </c>
      <c r="E12" s="194">
        <v>6.8064274576952828</v>
      </c>
      <c r="F12" s="239"/>
      <c r="G12" s="239"/>
      <c r="H12" s="320" t="s">
        <v>216</v>
      </c>
      <c r="I12" s="320"/>
      <c r="J12" s="320"/>
      <c r="K12" s="320"/>
      <c r="L12" s="320"/>
      <c r="M12" s="320"/>
      <c r="N12" s="236"/>
      <c r="O12" s="236"/>
    </row>
    <row r="13" spans="1:15" s="2" customFormat="1" ht="22.5" customHeight="1" x14ac:dyDescent="0.25">
      <c r="A13" s="147" t="s">
        <v>2</v>
      </c>
      <c r="B13" s="157">
        <v>0.80362618014573595</v>
      </c>
      <c r="C13" s="144">
        <v>3093.9607935610834</v>
      </c>
      <c r="D13" s="166">
        <v>0.30939607935610836</v>
      </c>
      <c r="E13" s="144">
        <v>0.70329257574561765</v>
      </c>
      <c r="F13" s="239"/>
      <c r="G13" s="239"/>
      <c r="H13" s="320"/>
      <c r="I13" s="320"/>
      <c r="J13" s="320"/>
      <c r="K13" s="320"/>
      <c r="L13" s="320"/>
      <c r="M13" s="320"/>
      <c r="N13" s="236"/>
      <c r="O13" s="236"/>
    </row>
    <row r="14" spans="1:15" s="2" customFormat="1" ht="22.5" customHeight="1" x14ac:dyDescent="0.25">
      <c r="A14" s="150" t="s">
        <v>4</v>
      </c>
      <c r="B14" s="195">
        <v>0</v>
      </c>
      <c r="C14" s="192">
        <v>0</v>
      </c>
      <c r="D14" s="193">
        <v>0</v>
      </c>
      <c r="E14" s="196">
        <v>0</v>
      </c>
      <c r="F14" s="239"/>
      <c r="G14" s="239"/>
      <c r="H14" s="320"/>
      <c r="I14" s="320"/>
      <c r="J14" s="320"/>
      <c r="K14" s="320"/>
      <c r="L14" s="320"/>
      <c r="M14" s="320"/>
      <c r="N14" s="236"/>
      <c r="O14" s="236"/>
    </row>
    <row r="15" spans="1:15" s="2" customFormat="1" ht="22.5" customHeight="1" x14ac:dyDescent="0.25">
      <c r="A15" s="134" t="s">
        <v>3</v>
      </c>
      <c r="B15" s="159">
        <v>0</v>
      </c>
      <c r="C15" s="144">
        <v>0</v>
      </c>
      <c r="D15" s="166">
        <v>0</v>
      </c>
      <c r="E15" s="158">
        <v>0</v>
      </c>
      <c r="F15" s="239"/>
      <c r="G15" s="239"/>
      <c r="H15" s="320"/>
      <c r="I15" s="320"/>
      <c r="J15" s="320"/>
      <c r="K15" s="320"/>
      <c r="L15" s="320"/>
      <c r="M15" s="320"/>
      <c r="N15" s="236"/>
      <c r="O15" s="236"/>
    </row>
    <row r="16" spans="1:15" s="2" customFormat="1" ht="22.5" customHeight="1" x14ac:dyDescent="0.25">
      <c r="A16" s="133" t="s">
        <v>738</v>
      </c>
      <c r="B16" s="191">
        <v>0.86262076457490355</v>
      </c>
      <c r="C16" s="191">
        <v>79.36111034089113</v>
      </c>
      <c r="D16" s="193">
        <v>7.9361110340891126E-3</v>
      </c>
      <c r="E16" s="197">
        <v>1.5025875434208591</v>
      </c>
      <c r="F16" s="239"/>
      <c r="G16" s="239"/>
      <c r="H16" s="320"/>
      <c r="I16" s="320"/>
      <c r="J16" s="320"/>
      <c r="K16" s="320"/>
      <c r="L16" s="320"/>
      <c r="M16" s="320"/>
      <c r="N16" s="236"/>
      <c r="O16" s="236"/>
    </row>
    <row r="17" spans="1:24" s="2" customFormat="1" ht="22.5" customHeight="1" x14ac:dyDescent="0.25">
      <c r="A17" s="133" t="s">
        <v>161</v>
      </c>
      <c r="B17" s="162">
        <v>0.76939725891312261</v>
      </c>
      <c r="C17" s="156"/>
      <c r="D17" s="161"/>
      <c r="E17" s="154">
        <v>0.81984029727999874</v>
      </c>
      <c r="F17" s="239"/>
      <c r="G17" s="239"/>
      <c r="H17" s="320"/>
      <c r="I17" s="320"/>
      <c r="J17" s="320"/>
      <c r="K17" s="320"/>
      <c r="L17" s="320"/>
      <c r="M17" s="320"/>
      <c r="N17" s="236"/>
      <c r="O17" s="236"/>
    </row>
    <row r="18" spans="1:24" s="2" customFormat="1" ht="22.5" customHeight="1" x14ac:dyDescent="0.25">
      <c r="A18" s="133" t="s">
        <v>121</v>
      </c>
      <c r="B18" s="198">
        <v>5.1218677734980275E-2</v>
      </c>
      <c r="C18" s="191"/>
      <c r="D18" s="199"/>
      <c r="E18" s="191">
        <v>7.1908699680834312E-2</v>
      </c>
      <c r="F18" s="239"/>
      <c r="G18" s="239"/>
      <c r="H18" s="320"/>
      <c r="I18" s="320"/>
      <c r="J18" s="320"/>
      <c r="K18" s="320"/>
      <c r="L18" s="320"/>
      <c r="M18" s="320"/>
      <c r="N18" s="236"/>
      <c r="O18" s="236"/>
    </row>
    <row r="19" spans="1:24" s="2" customFormat="1" ht="22.5" customHeight="1" x14ac:dyDescent="0.25">
      <c r="A19" s="133" t="s">
        <v>119</v>
      </c>
      <c r="B19" s="156">
        <v>1.0473352367076247</v>
      </c>
      <c r="C19" s="156"/>
      <c r="D19" s="161"/>
      <c r="E19" s="154">
        <v>1.088515977050567</v>
      </c>
      <c r="F19" s="239"/>
      <c r="G19" s="237"/>
      <c r="H19" s="320"/>
      <c r="I19" s="320"/>
      <c r="J19" s="320"/>
      <c r="K19" s="320"/>
      <c r="L19" s="320"/>
      <c r="M19" s="320"/>
      <c r="N19" s="236"/>
      <c r="O19" s="236"/>
    </row>
    <row r="20" spans="1:24" s="2" customFormat="1" ht="22.5" customHeight="1" x14ac:dyDescent="0.25">
      <c r="A20" s="133" t="s">
        <v>210</v>
      </c>
      <c r="B20" s="200">
        <v>8337.1874876185193</v>
      </c>
      <c r="C20" s="200">
        <v>8337.1874876185193</v>
      </c>
      <c r="D20" s="201">
        <v>0.83371874876185192</v>
      </c>
      <c r="E20" s="200"/>
      <c r="F20" s="239"/>
      <c r="G20" s="237"/>
      <c r="H20" s="320"/>
      <c r="I20" s="320"/>
      <c r="J20" s="320"/>
      <c r="K20" s="320"/>
      <c r="L20" s="320"/>
      <c r="M20" s="320"/>
      <c r="N20" s="239"/>
      <c r="O20" s="239"/>
    </row>
    <row r="21" spans="1:24" ht="15.75" x14ac:dyDescent="0.25">
      <c r="A21" s="239"/>
      <c r="B21" s="239"/>
      <c r="C21" s="239"/>
      <c r="D21" s="239"/>
      <c r="E21" s="239"/>
      <c r="F21" s="239"/>
      <c r="G21" s="239"/>
      <c r="H21" s="239"/>
      <c r="I21" s="239"/>
      <c r="J21" s="239"/>
      <c r="K21" s="239"/>
      <c r="L21" s="239"/>
      <c r="M21" s="239"/>
      <c r="N21" s="239"/>
      <c r="O21" s="239"/>
    </row>
    <row r="22" spans="1:24" ht="15.75" x14ac:dyDescent="0.25">
      <c r="A22" s="239"/>
      <c r="B22" s="239"/>
      <c r="C22" s="239"/>
      <c r="D22" s="239"/>
      <c r="E22" s="239"/>
      <c r="F22" s="239"/>
      <c r="G22" s="239"/>
      <c r="H22" s="239"/>
      <c r="I22" s="239"/>
      <c r="J22" s="239"/>
      <c r="K22" s="239"/>
      <c r="L22" s="239"/>
      <c r="M22" s="239"/>
      <c r="N22" s="239"/>
      <c r="O22" s="239"/>
    </row>
    <row r="23" spans="1:24" ht="15.75" x14ac:dyDescent="0.25">
      <c r="A23" s="239"/>
      <c r="B23" s="239"/>
      <c r="C23" s="239"/>
      <c r="D23" s="239"/>
      <c r="E23" s="239"/>
      <c r="F23" s="239"/>
      <c r="G23" s="239"/>
      <c r="H23" s="239"/>
      <c r="I23" s="239"/>
      <c r="J23" s="239"/>
      <c r="K23" s="239"/>
      <c r="L23" s="239"/>
      <c r="M23" s="239"/>
      <c r="N23" s="239"/>
      <c r="O23" s="239"/>
    </row>
    <row r="24" spans="1:24" ht="15.75" x14ac:dyDescent="0.25">
      <c r="A24" s="239"/>
      <c r="B24" s="239"/>
      <c r="C24" s="239"/>
      <c r="D24" s="239"/>
      <c r="E24" s="239"/>
      <c r="F24" s="239"/>
      <c r="G24" s="239"/>
      <c r="H24" s="239"/>
      <c r="I24" s="239"/>
      <c r="J24" s="239"/>
      <c r="K24" s="239"/>
      <c r="L24" s="239"/>
      <c r="M24" s="239"/>
      <c r="N24" s="239"/>
      <c r="O24" s="239"/>
    </row>
    <row r="25" spans="1:24" ht="15.75" x14ac:dyDescent="0.25">
      <c r="A25" s="239"/>
      <c r="B25" s="239"/>
      <c r="C25" s="239"/>
      <c r="D25" s="239"/>
      <c r="E25" s="239"/>
      <c r="F25" s="239"/>
      <c r="G25" s="239"/>
      <c r="H25" s="239"/>
      <c r="I25" s="239"/>
      <c r="J25" s="239"/>
      <c r="K25" s="239"/>
      <c r="L25" s="239"/>
      <c r="M25" s="239"/>
      <c r="N25" s="239"/>
      <c r="O25" s="239"/>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8"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{E31C50C4-A576-4EDA-9681-359BC833F9DD}</x14:id>
        </ext>
      </extLst>
    </cfRule>
  </conditionalFormatting>
  <hyperlinks>
    <hyperlink ref="H12:M20" location="统计!A1" display="跳转到统计表" xr:uid="{3CEF8F08-E4F6-4435-A889-DDCE2584808F}"/>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E31C50C4-A576-4EDA-9681-359BC833F9DD}">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38" id="{57CE8E6C-21AC-494F-876C-6B064F693C36}">
            <x14:dataBar minLength="0" maxLength="100">
              <x14:cfvo type="num">
                <xm:f>0</xm:f>
              </x14:cfvo>
              <x14:cfvo type="num">
                <xm:f>卡牌!$V$7</xm:f>
              </x14:cfvo>
              <x14:fillColor theme="4"/>
              <x14:negativeFillColor rgb="FFFF0000"/>
              <x14:axisColor rgb="FF000000"/>
            </x14:dataBar>
          </x14:cfRule>
          <xm:sqref>J7</xm:sqref>
        </x14:conditionalFormatting>
        <x14:conditionalFormatting xmlns:xm="http://schemas.microsoft.com/office/excel/2006/main">
          <x14:cfRule type="dataBar" priority="239" id="{B241079F-F2A4-4BE6-A86F-54B590BCD552}">
            <x14:dataBar minLength="0" maxLength="100">
              <x14:cfvo type="autoMin"/>
              <x14:cfvo type="num">
                <xm:f>卡牌!$V$7</xm:f>
              </x14:cfvo>
              <x14:fillColor rgb="FFFF0000"/>
              <x14:negativeFillColor rgb="FFFF0000"/>
              <x14:axisColor rgb="FF000000"/>
            </x14:dataBar>
          </x14:cfRule>
          <xm:sqref>K7</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6DC5-4F34-4BAA-AD8E-436BD8ABDD98}">
  <dimension ref="A1:X27"/>
  <sheetViews>
    <sheetView workbookViewId="0">
      <selection activeCell="G23" sqref="G23"/>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2" customFormat="1" ht="30.75" customHeight="1" x14ac:dyDescent="0.25">
      <c r="A1" s="133">
        <v>0</v>
      </c>
      <c r="B1" s="133" t="s">
        <v>22</v>
      </c>
      <c r="C1" s="133" t="s">
        <v>200</v>
      </c>
      <c r="D1" s="133" t="s">
        <v>202</v>
      </c>
      <c r="E1" s="133" t="s">
        <v>93</v>
      </c>
      <c r="F1" s="133" t="s">
        <v>203</v>
      </c>
      <c r="G1" s="133" t="s">
        <v>204</v>
      </c>
      <c r="H1" s="133" t="s">
        <v>594</v>
      </c>
      <c r="I1" s="133" t="s">
        <v>214</v>
      </c>
      <c r="J1" s="133" t="s">
        <v>207</v>
      </c>
      <c r="K1" s="133" t="s">
        <v>208</v>
      </c>
      <c r="L1" s="133" t="s">
        <v>270</v>
      </c>
      <c r="M1" s="133" t="s">
        <v>226</v>
      </c>
      <c r="N1" s="239"/>
      <c r="O1" s="239"/>
    </row>
    <row r="2" spans="1:15" s="132" customFormat="1" ht="30.75" customHeight="1" x14ac:dyDescent="0.25">
      <c r="A2" s="136" t="s">
        <v>261</v>
      </c>
      <c r="B2" s="137" t="s">
        <v>588</v>
      </c>
      <c r="C2" s="156">
        <v>11.2</v>
      </c>
      <c r="D2" s="188">
        <v>28.104642913872929</v>
      </c>
      <c r="E2" s="166">
        <v>0.17565401821170581</v>
      </c>
      <c r="F2" s="139">
        <v>0</v>
      </c>
      <c r="G2" s="163">
        <v>2552.9971853666775</v>
      </c>
      <c r="H2" s="143">
        <v>7144.2383925116101</v>
      </c>
      <c r="I2" s="230">
        <v>5.1662946532854651E-2</v>
      </c>
      <c r="J2" s="233">
        <v>30000</v>
      </c>
      <c r="K2" s="233">
        <v>182500</v>
      </c>
      <c r="L2" s="163"/>
      <c r="M2" s="134">
        <v>100</v>
      </c>
      <c r="N2" s="239"/>
      <c r="O2" s="239"/>
    </row>
    <row r="3" spans="1:15" s="132" customFormat="1" ht="30.75" customHeight="1" x14ac:dyDescent="0.25">
      <c r="A3" s="146" t="s">
        <v>262</v>
      </c>
      <c r="B3" s="139" t="s">
        <v>671</v>
      </c>
      <c r="C3" s="156">
        <v>12.25</v>
      </c>
      <c r="D3" s="188">
        <v>248.62502164159369</v>
      </c>
      <c r="E3" s="166">
        <v>0.38847659631499015</v>
      </c>
      <c r="F3" s="139">
        <v>0</v>
      </c>
      <c r="G3" s="163">
        <v>856.34175844895981</v>
      </c>
      <c r="H3" s="143">
        <v>5172.9432558982244</v>
      </c>
      <c r="I3" s="229">
        <v>0.45703128978234137</v>
      </c>
      <c r="J3" s="233">
        <v>260000</v>
      </c>
      <c r="K3" s="233">
        <v>590000</v>
      </c>
      <c r="L3" s="163">
        <v>0</v>
      </c>
      <c r="M3" s="133" t="s">
        <v>163</v>
      </c>
      <c r="N3" s="239"/>
      <c r="O3" s="239"/>
    </row>
    <row r="4" spans="1:15" s="132" customFormat="1" ht="30.75" customHeight="1" x14ac:dyDescent="0.25">
      <c r="A4" s="147" t="s">
        <v>2</v>
      </c>
      <c r="B4" s="139" t="s">
        <v>672</v>
      </c>
      <c r="C4" s="156">
        <v>13.028571428571428</v>
      </c>
      <c r="D4" s="188">
        <v>2329.5893545031367</v>
      </c>
      <c r="E4" s="166">
        <v>0.60508814402678879</v>
      </c>
      <c r="F4" s="139">
        <v>1</v>
      </c>
      <c r="G4" s="163">
        <v>376.56934463262519</v>
      </c>
      <c r="H4" s="143">
        <v>3976.3565109496926</v>
      </c>
      <c r="I4" s="228">
        <v>4.2823333722484129</v>
      </c>
      <c r="J4" s="233">
        <v>800500</v>
      </c>
      <c r="K4" s="233">
        <v>800750</v>
      </c>
      <c r="L4" s="163">
        <v>275.29285964454084</v>
      </c>
      <c r="M4" s="149">
        <v>1.0429664716590961</v>
      </c>
      <c r="N4" s="239"/>
      <c r="O4" s="239"/>
    </row>
    <row r="5" spans="1:15" s="132" customFormat="1" ht="30.75" customHeight="1" x14ac:dyDescent="0.25">
      <c r="A5" s="150" t="s">
        <v>4</v>
      </c>
      <c r="B5" s="139" t="s">
        <v>246</v>
      </c>
      <c r="C5" s="156">
        <v>14.916666666666666</v>
      </c>
      <c r="D5" s="188">
        <v>9504</v>
      </c>
      <c r="E5" s="166">
        <v>1</v>
      </c>
      <c r="F5" s="139">
        <v>24</v>
      </c>
      <c r="G5" s="163" t="s">
        <v>168</v>
      </c>
      <c r="H5" s="143">
        <v>0</v>
      </c>
      <c r="I5" s="163">
        <v>20.842105263157894</v>
      </c>
      <c r="J5" s="233">
        <v>1092000</v>
      </c>
      <c r="K5" s="233">
        <v>30000</v>
      </c>
      <c r="L5" s="163">
        <v>3126.3157894736837</v>
      </c>
      <c r="M5" s="133" t="s">
        <v>642</v>
      </c>
      <c r="N5" s="239"/>
      <c r="O5" s="239"/>
    </row>
    <row r="6" spans="1:15" s="132" customFormat="1" ht="30.75" customHeight="1" x14ac:dyDescent="0.25">
      <c r="A6" s="134" t="s">
        <v>3</v>
      </c>
      <c r="B6" s="139" t="s">
        <v>247</v>
      </c>
      <c r="C6" s="156">
        <v>14.538461538461538</v>
      </c>
      <c r="D6" s="188">
        <v>15290.2263</v>
      </c>
      <c r="E6" s="166">
        <v>0.99929588262205082</v>
      </c>
      <c r="F6" s="139">
        <v>12</v>
      </c>
      <c r="G6" s="163" t="s">
        <v>168</v>
      </c>
      <c r="H6" s="143">
        <v>3.7305701275990706</v>
      </c>
      <c r="I6" s="163">
        <v>30.580452600000001</v>
      </c>
      <c r="J6" s="233">
        <v>526000</v>
      </c>
      <c r="K6" s="233">
        <v>85000</v>
      </c>
      <c r="L6" s="163">
        <v>846.84330276923072</v>
      </c>
      <c r="M6" s="149">
        <v>0.54204377433459827</v>
      </c>
      <c r="N6" s="239"/>
      <c r="O6" s="239"/>
    </row>
    <row r="7" spans="1:15" s="132" customFormat="1" ht="30.75" customHeight="1" x14ac:dyDescent="0.25">
      <c r="A7" s="133" t="s">
        <v>5</v>
      </c>
      <c r="B7" s="139" t="s">
        <v>673</v>
      </c>
      <c r="C7" s="156">
        <v>13.443298969072165</v>
      </c>
      <c r="D7" s="139"/>
      <c r="E7" s="161"/>
      <c r="F7" s="139">
        <v>37</v>
      </c>
      <c r="G7" s="175"/>
      <c r="H7" s="143"/>
      <c r="I7" s="163"/>
      <c r="J7" s="232">
        <v>2708500</v>
      </c>
      <c r="K7" s="231">
        <v>1688250</v>
      </c>
      <c r="L7" s="163">
        <v>4248.4519518874549</v>
      </c>
      <c r="M7" s="165" t="s">
        <v>742</v>
      </c>
      <c r="N7" s="239"/>
      <c r="O7" s="239"/>
    </row>
    <row r="8" spans="1:15" ht="34.5" customHeight="1" x14ac:dyDescent="0.25">
      <c r="A8" s="239"/>
      <c r="B8" s="239"/>
      <c r="C8" s="239"/>
      <c r="D8" s="239"/>
      <c r="E8" s="239"/>
      <c r="F8" s="239"/>
      <c r="G8" s="239"/>
      <c r="H8" s="239"/>
      <c r="I8" s="239"/>
      <c r="J8" s="239"/>
      <c r="K8" s="239"/>
      <c r="L8" s="239"/>
      <c r="M8" s="239"/>
      <c r="N8" s="237"/>
      <c r="O8" s="237"/>
    </row>
    <row r="9" spans="1:15" s="2" customFormat="1" ht="22.5" customHeight="1" x14ac:dyDescent="0.25">
      <c r="A9" s="316" t="s">
        <v>564</v>
      </c>
      <c r="B9" s="317"/>
      <c r="C9" s="317"/>
      <c r="D9" s="317"/>
      <c r="E9" s="318"/>
      <c r="F9" s="239"/>
      <c r="G9" s="239"/>
      <c r="H9" s="239"/>
      <c r="I9" s="239"/>
      <c r="J9" s="239"/>
      <c r="K9" s="239"/>
      <c r="L9" s="239"/>
      <c r="M9" s="239"/>
      <c r="N9" s="236"/>
      <c r="O9" s="236"/>
    </row>
    <row r="10" spans="1:15" s="2" customFormat="1" ht="22.5" customHeight="1" x14ac:dyDescent="0.25">
      <c r="A10" s="153" t="s">
        <v>144</v>
      </c>
      <c r="B10" s="153" t="s">
        <v>155</v>
      </c>
      <c r="C10" s="153" t="s">
        <v>210</v>
      </c>
      <c r="D10" s="153" t="s">
        <v>265</v>
      </c>
      <c r="E10" s="153" t="s">
        <v>160</v>
      </c>
      <c r="F10" s="239"/>
      <c r="G10" s="239"/>
      <c r="H10" s="239"/>
      <c r="I10" s="239"/>
      <c r="J10" s="239"/>
      <c r="K10" s="239"/>
      <c r="L10" s="239"/>
      <c r="M10" s="239"/>
      <c r="N10" s="236"/>
      <c r="O10" s="236"/>
    </row>
    <row r="11" spans="1:15" s="2" customFormat="1" ht="22.5" customHeight="1" x14ac:dyDescent="0.25">
      <c r="A11" s="136" t="s">
        <v>269</v>
      </c>
      <c r="B11" s="154">
        <v>10.473370650733109</v>
      </c>
      <c r="C11" s="144">
        <v>1675.7393041172975</v>
      </c>
      <c r="D11" s="166">
        <v>0.16757393041172974</v>
      </c>
      <c r="E11" s="190">
        <v>34.048239361282732</v>
      </c>
      <c r="F11" s="239"/>
      <c r="G11" s="239"/>
      <c r="H11" s="239"/>
      <c r="I11" s="239"/>
      <c r="J11" s="239"/>
      <c r="K11" s="239"/>
      <c r="L11" s="239"/>
      <c r="M11" s="239"/>
      <c r="N11" s="236"/>
      <c r="O11" s="236"/>
    </row>
    <row r="12" spans="1:15" s="2" customFormat="1" ht="22.5" customHeight="1" x14ac:dyDescent="0.25">
      <c r="A12" s="146" t="s">
        <v>262</v>
      </c>
      <c r="B12" s="191">
        <v>4.735651147257621</v>
      </c>
      <c r="C12" s="192">
        <v>3030.8167342448774</v>
      </c>
      <c r="D12" s="193">
        <v>0.30308167342448772</v>
      </c>
      <c r="E12" s="194">
        <v>6.9611520111573597</v>
      </c>
      <c r="F12" s="239"/>
      <c r="G12" s="239"/>
      <c r="H12" s="320" t="s">
        <v>216</v>
      </c>
      <c r="I12" s="320"/>
      <c r="J12" s="320"/>
      <c r="K12" s="320"/>
      <c r="L12" s="320"/>
      <c r="M12" s="320"/>
      <c r="N12" s="236"/>
      <c r="O12" s="236"/>
    </row>
    <row r="13" spans="1:15" s="2" customFormat="1" ht="22.5" customHeight="1" x14ac:dyDescent="0.25">
      <c r="A13" s="147" t="s">
        <v>2</v>
      </c>
      <c r="B13" s="157">
        <v>0.88447021434122985</v>
      </c>
      <c r="C13" s="144">
        <v>3405.2103252137349</v>
      </c>
      <c r="D13" s="166">
        <v>0.3405210325213735</v>
      </c>
      <c r="E13" s="144">
        <v>0.83470082658062816</v>
      </c>
      <c r="F13" s="239"/>
      <c r="G13" s="239"/>
      <c r="H13" s="320"/>
      <c r="I13" s="320"/>
      <c r="J13" s="320"/>
      <c r="K13" s="320"/>
      <c r="L13" s="320"/>
      <c r="M13" s="320"/>
      <c r="N13" s="236"/>
      <c r="O13" s="236"/>
    </row>
    <row r="14" spans="1:15" s="2" customFormat="1" ht="22.5" customHeight="1" x14ac:dyDescent="0.25">
      <c r="A14" s="150" t="s">
        <v>4</v>
      </c>
      <c r="B14" s="195">
        <v>0</v>
      </c>
      <c r="C14" s="192">
        <v>0</v>
      </c>
      <c r="D14" s="193">
        <v>0</v>
      </c>
      <c r="E14" s="196">
        <v>0</v>
      </c>
      <c r="F14" s="239"/>
      <c r="G14" s="239"/>
      <c r="H14" s="320"/>
      <c r="I14" s="320"/>
      <c r="J14" s="320"/>
      <c r="K14" s="320"/>
      <c r="L14" s="320"/>
      <c r="M14" s="320"/>
      <c r="N14" s="236"/>
      <c r="O14" s="236"/>
    </row>
    <row r="15" spans="1:15" s="2" customFormat="1" ht="22.5" customHeight="1" x14ac:dyDescent="0.25">
      <c r="A15" s="134" t="s">
        <v>3</v>
      </c>
      <c r="B15" s="159">
        <v>0</v>
      </c>
      <c r="C15" s="144">
        <v>0</v>
      </c>
      <c r="D15" s="166">
        <v>0</v>
      </c>
      <c r="E15" s="158">
        <v>0</v>
      </c>
      <c r="F15" s="239"/>
      <c r="G15" s="239"/>
      <c r="H15" s="320"/>
      <c r="I15" s="320"/>
      <c r="J15" s="320"/>
      <c r="K15" s="320"/>
      <c r="L15" s="320"/>
      <c r="M15" s="320"/>
      <c r="N15" s="236"/>
      <c r="O15" s="236"/>
    </row>
    <row r="16" spans="1:15" s="2" customFormat="1" ht="22.5" customHeight="1" x14ac:dyDescent="0.25">
      <c r="A16" s="133" t="s">
        <v>738</v>
      </c>
      <c r="B16" s="191">
        <v>0.88983583049956505</v>
      </c>
      <c r="C16" s="191">
        <v>101.44128467695042</v>
      </c>
      <c r="D16" s="193">
        <v>1.0144128467695041E-2</v>
      </c>
      <c r="E16" s="197">
        <v>1.4744170410711672</v>
      </c>
      <c r="F16" s="239"/>
      <c r="G16" s="239"/>
      <c r="H16" s="320"/>
      <c r="I16" s="320"/>
      <c r="J16" s="320"/>
      <c r="K16" s="320"/>
      <c r="L16" s="320"/>
      <c r="M16" s="320"/>
      <c r="N16" s="236"/>
      <c r="O16" s="236"/>
    </row>
    <row r="17" spans="1:24" s="2" customFormat="1" ht="22.5" customHeight="1" x14ac:dyDescent="0.25">
      <c r="A17" s="133" t="s">
        <v>161</v>
      </c>
      <c r="B17" s="162">
        <v>0.82954525345589514</v>
      </c>
      <c r="C17" s="156"/>
      <c r="D17" s="161"/>
      <c r="E17" s="154">
        <v>0.91322251056235582</v>
      </c>
      <c r="F17" s="239"/>
      <c r="G17" s="239"/>
      <c r="H17" s="320"/>
      <c r="I17" s="320"/>
      <c r="J17" s="320"/>
      <c r="K17" s="320"/>
      <c r="L17" s="320"/>
      <c r="M17" s="320"/>
      <c r="N17" s="236"/>
      <c r="O17" s="236"/>
    </row>
    <row r="18" spans="1:24" s="2" customFormat="1" ht="22.5" customHeight="1" x14ac:dyDescent="0.25">
      <c r="A18" s="133" t="s">
        <v>121</v>
      </c>
      <c r="B18" s="198">
        <v>5.3798208812888298E-2</v>
      </c>
      <c r="C18" s="191"/>
      <c r="D18" s="199"/>
      <c r="E18" s="191">
        <v>7.4106731866105835E-2</v>
      </c>
      <c r="F18" s="239"/>
      <c r="G18" s="239"/>
      <c r="H18" s="320"/>
      <c r="I18" s="320"/>
      <c r="J18" s="320"/>
      <c r="K18" s="320"/>
      <c r="L18" s="320"/>
      <c r="M18" s="320"/>
      <c r="N18" s="236"/>
      <c r="O18" s="236"/>
    </row>
    <row r="19" spans="1:24" s="2" customFormat="1" ht="22.5" customHeight="1" x14ac:dyDescent="0.25">
      <c r="A19" s="133" t="s">
        <v>119</v>
      </c>
      <c r="B19" s="156">
        <v>1.136374745729049</v>
      </c>
      <c r="C19" s="156"/>
      <c r="D19" s="161"/>
      <c r="E19" s="154">
        <v>1.2212016048856649</v>
      </c>
      <c r="F19" s="239"/>
      <c r="G19" s="237"/>
      <c r="H19" s="320"/>
      <c r="I19" s="320"/>
      <c r="J19" s="320"/>
      <c r="K19" s="320"/>
      <c r="L19" s="320"/>
      <c r="M19" s="320"/>
      <c r="N19" s="236"/>
      <c r="O19" s="236"/>
    </row>
    <row r="20" spans="1:24" s="2" customFormat="1" ht="22.5" customHeight="1" x14ac:dyDescent="0.25">
      <c r="A20" s="133" t="s">
        <v>210</v>
      </c>
      <c r="B20" s="200">
        <v>8111.76636357591</v>
      </c>
      <c r="C20" s="200">
        <v>8111.76636357591</v>
      </c>
      <c r="D20" s="201">
        <v>0.81117663635759096</v>
      </c>
      <c r="E20" s="200"/>
      <c r="F20" s="239"/>
      <c r="G20" s="237"/>
      <c r="H20" s="320"/>
      <c r="I20" s="320"/>
      <c r="J20" s="320"/>
      <c r="K20" s="320"/>
      <c r="L20" s="320"/>
      <c r="M20" s="320"/>
      <c r="N20" s="239"/>
      <c r="O20" s="239"/>
    </row>
    <row r="21" spans="1:24" ht="15.75" x14ac:dyDescent="0.25">
      <c r="A21" s="239"/>
      <c r="B21" s="239"/>
      <c r="C21" s="239"/>
      <c r="D21" s="239"/>
      <c r="E21" s="239"/>
      <c r="F21" s="239"/>
      <c r="G21" s="239"/>
      <c r="H21" s="239"/>
      <c r="I21" s="239"/>
      <c r="J21" s="239"/>
      <c r="K21" s="239"/>
      <c r="L21" s="239"/>
      <c r="M21" s="239"/>
      <c r="N21" s="239"/>
      <c r="O21" s="239"/>
    </row>
    <row r="22" spans="1:24" ht="15.75" x14ac:dyDescent="0.25">
      <c r="A22" s="239"/>
      <c r="B22" s="239"/>
      <c r="C22" s="239"/>
      <c r="D22" s="239"/>
      <c r="E22" s="239"/>
      <c r="F22" s="239"/>
      <c r="G22" s="239"/>
      <c r="H22" s="239"/>
      <c r="I22" s="239"/>
      <c r="J22" s="239"/>
      <c r="K22" s="239"/>
      <c r="L22" s="239"/>
      <c r="M22" s="239"/>
      <c r="N22" s="239"/>
      <c r="O22" s="239"/>
    </row>
    <row r="23" spans="1:24" ht="15.75" x14ac:dyDescent="0.25">
      <c r="A23" s="239"/>
      <c r="B23" s="239"/>
      <c r="C23" s="239"/>
      <c r="D23" s="239"/>
      <c r="E23" s="239"/>
      <c r="F23" s="239"/>
      <c r="G23" s="239"/>
      <c r="H23" s="239"/>
      <c r="I23" s="239"/>
      <c r="J23" s="239"/>
      <c r="K23" s="239"/>
      <c r="L23" s="239"/>
      <c r="M23" s="239"/>
      <c r="N23" s="239"/>
      <c r="O23" s="239"/>
    </row>
    <row r="24" spans="1:24" ht="15.75" x14ac:dyDescent="0.25">
      <c r="A24" s="239"/>
      <c r="B24" s="239"/>
      <c r="C24" s="239"/>
      <c r="D24" s="239"/>
      <c r="E24" s="239"/>
      <c r="F24" s="239"/>
      <c r="G24" s="239"/>
      <c r="H24" s="239"/>
      <c r="I24" s="239"/>
      <c r="J24" s="239"/>
      <c r="K24" s="239"/>
      <c r="L24" s="239"/>
      <c r="M24" s="239"/>
      <c r="N24" s="239"/>
      <c r="O24" s="239"/>
    </row>
    <row r="25" spans="1:24" ht="15.75" x14ac:dyDescent="0.25">
      <c r="A25" s="239"/>
      <c r="B25" s="239"/>
      <c r="C25" s="239"/>
      <c r="D25" s="239"/>
      <c r="E25" s="239"/>
      <c r="F25" s="239"/>
      <c r="G25" s="239"/>
      <c r="H25" s="239"/>
      <c r="I25" s="239"/>
      <c r="J25" s="239"/>
      <c r="K25" s="239"/>
      <c r="L25" s="239"/>
      <c r="M25" s="239"/>
      <c r="N25" s="239"/>
      <c r="O25" s="239"/>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7"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{8A74F2EC-5D46-4908-8ECE-1431D51263F2}</x14:id>
        </ext>
      </extLst>
    </cfRule>
  </conditionalFormatting>
  <hyperlinks>
    <hyperlink ref="H12:M20" location="统计!A1" display="跳转到统计表" xr:uid="{F1067B4D-D19E-4F26-A179-6C883E774AC2}"/>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8A74F2EC-5D46-4908-8ECE-1431D51263F2}">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40" id="{4A74C7EC-E511-4A29-90CD-DA57099C87BD}">
            <x14:dataBar minLength="0" maxLength="100">
              <x14:cfvo type="num">
                <xm:f>0</xm:f>
              </x14:cfvo>
              <x14:cfvo type="num">
                <xm:f>卡牌!$V$7</xm:f>
              </x14:cfvo>
              <x14:fillColor theme="4"/>
              <x14:negativeFillColor rgb="FFFF0000"/>
              <x14:axisColor rgb="FF000000"/>
            </x14:dataBar>
          </x14:cfRule>
          <xm:sqref>J7</xm:sqref>
        </x14:conditionalFormatting>
        <x14:conditionalFormatting xmlns:xm="http://schemas.microsoft.com/office/excel/2006/main">
          <x14:cfRule type="dataBar" priority="241" id="{32AD00CE-C4A4-412A-80C8-BA9CCBE6FD45}">
            <x14:dataBar minLength="0" maxLength="100">
              <x14:cfvo type="autoMin"/>
              <x14:cfvo type="num">
                <xm:f>卡牌!$V$7</xm:f>
              </x14:cfvo>
              <x14:fillColor rgb="FFFF0000"/>
              <x14:negativeFillColor rgb="FFFF0000"/>
              <x14:axisColor rgb="FF000000"/>
            </x14:dataBar>
          </x14:cfRule>
          <xm:sqref>K7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8CC1D-D5F0-40CB-9321-5C6323BBF3EA}">
  <sheetPr codeName="Sheet13">
    <tabColor theme="7" tint="0.39997558519241921"/>
  </sheetPr>
  <dimension ref="A1:V30"/>
  <sheetViews>
    <sheetView workbookViewId="0">
      <selection activeCell="I6" sqref="I6"/>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8" width="16.375" customWidth="1"/>
    <col min="9" max="9" width="24.625" customWidth="1"/>
    <col min="10" max="10" width="23.375" customWidth="1"/>
    <col min="11" max="11" width="26" customWidth="1"/>
    <col min="12" max="12" width="12.625" customWidth="1"/>
    <col min="13" max="13" width="16.875" customWidth="1"/>
  </cols>
  <sheetData>
    <row r="1" spans="1:14" s="132" customFormat="1" ht="30.75" customHeight="1" x14ac:dyDescent="0.25">
      <c r="A1" s="133" t="s">
        <v>201</v>
      </c>
      <c r="B1" s="133" t="s">
        <v>22</v>
      </c>
      <c r="C1" s="133" t="s">
        <v>200</v>
      </c>
      <c r="D1" s="133" t="s">
        <v>202</v>
      </c>
      <c r="E1" s="133" t="s">
        <v>93</v>
      </c>
      <c r="F1" s="133" t="s">
        <v>203</v>
      </c>
      <c r="G1" s="133" t="s">
        <v>207</v>
      </c>
      <c r="H1" s="133" t="s">
        <v>208</v>
      </c>
      <c r="I1" s="133" t="s">
        <v>226</v>
      </c>
      <c r="J1" s="239"/>
      <c r="K1" s="239"/>
      <c r="L1" s="239"/>
      <c r="M1" s="239"/>
    </row>
    <row r="2" spans="1:14" s="132" customFormat="1" ht="30.75" customHeight="1" x14ac:dyDescent="0.25">
      <c r="A2" s="136" t="s">
        <v>261</v>
      </c>
      <c r="B2" s="137" t="str">
        <f>COUNTIFS(统计!C3:C9,"&gt;0")&amp;"/"&amp;卡牌!U2</f>
        <v>7/7</v>
      </c>
      <c r="C2" s="156">
        <f>SUM(统计!C3:C9)/(COUNTIFS(统计!C3:C9,"&gt;0"))</f>
        <v>10.714285714285714</v>
      </c>
      <c r="D2" s="188">
        <f>SUM(统计!E3:E9)</f>
        <v>33</v>
      </c>
      <c r="E2" s="166">
        <f>D2/卡牌!V2</f>
        <v>9.0659340659340656E-2</v>
      </c>
      <c r="F2" s="139">
        <f>COUNTIFS(统计!E3:E9,"=52")</f>
        <v>0</v>
      </c>
      <c r="G2" s="233">
        <f>隐藏数据!Q66</f>
        <v>32000</v>
      </c>
      <c r="H2" s="233">
        <f>SUM(卡牌!K7:S7)*卡牌!U2-G2</f>
        <v>790500</v>
      </c>
      <c r="I2" s="134">
        <f>统计!T14</f>
        <v>114</v>
      </c>
      <c r="J2" s="239"/>
      <c r="K2" s="239"/>
      <c r="L2" s="239"/>
      <c r="M2" s="239"/>
    </row>
    <row r="3" spans="1:14" s="132" customFormat="1" ht="30.75" customHeight="1" x14ac:dyDescent="0.25">
      <c r="A3" s="146" t="s">
        <v>262</v>
      </c>
      <c r="B3" s="139" t="str">
        <f>COUNTIFS(统计!C10:C99,"&gt;0")&amp;"/"&amp;卡牌!U3</f>
        <v>21/21</v>
      </c>
      <c r="C3" s="156">
        <f>SUM(统计!C10:C35)/(COUNTIFS(统计!C10:C35,"&gt;0"))</f>
        <v>12.761904761904763</v>
      </c>
      <c r="D3" s="188">
        <f>SUM(统计!E10:E1048576)</f>
        <v>293</v>
      </c>
      <c r="E3" s="166">
        <f>D3/卡牌!V3</f>
        <v>0.26831501831501831</v>
      </c>
      <c r="F3" s="139">
        <f>COUNTIFS(统计!E10:E99,"=52")</f>
        <v>0</v>
      </c>
      <c r="G3" s="233">
        <f>隐藏数据!R66</f>
        <v>372500</v>
      </c>
      <c r="H3" s="233">
        <f>SUM(卡牌!$K$7:$S$7)*卡牌!U3-G3</f>
        <v>2095000</v>
      </c>
      <c r="I3" s="133" t="s">
        <v>163</v>
      </c>
      <c r="J3" s="239"/>
      <c r="K3" s="239"/>
      <c r="L3" s="239"/>
      <c r="M3" s="239"/>
    </row>
    <row r="4" spans="1:14" s="132" customFormat="1" ht="30.75" customHeight="1" x14ac:dyDescent="0.25">
      <c r="A4" s="147" t="s">
        <v>2</v>
      </c>
      <c r="B4" s="139" t="str">
        <f>COUNTIFS(统计!G3:G99,"&gt;0")&amp;"/"&amp;卡牌!U4</f>
        <v>36/36</v>
      </c>
      <c r="C4" s="156">
        <f>SUM(统计!G3:G38)/(COUNTIFS(统计!G3:G38,"&gt;0"))</f>
        <v>14.055555555555555</v>
      </c>
      <c r="D4" s="188">
        <f>SUM(统计!I3:I1048576)</f>
        <v>2681</v>
      </c>
      <c r="E4" s="166">
        <f>D4/卡牌!V4</f>
        <v>0.53577138289368509</v>
      </c>
      <c r="F4" s="139">
        <f>COUNTIFS(统计!I3:I79,"=139")</f>
        <v>0</v>
      </c>
      <c r="G4" s="233">
        <f>隐藏数据!S66</f>
        <v>1355750</v>
      </c>
      <c r="H4" s="233">
        <f>SUM(卡牌!H7:S7)*卡牌!U4-G4</f>
        <v>2991250</v>
      </c>
      <c r="I4" s="149">
        <f>(COUNTIFS(统计!C3:C35,"&gt;9")*800+COUNTIFS(统计!C3:C35,"&gt;10")*850+COUNTIFS(统计!C3:C35,"&gt;11")*900+COUNTIFS(统计!C3:C35,"&gt;12")*950+COUNTIFS(统计!C3:C35,"&gt;13")*1000+COUNTIFS(统计!C3:C35,"&gt;14")*1200+COUNTIFS(统计!G3:G38,"&gt;6")*600+COUNTIFS(统计!G3:G38,"&gt;7")*700+COUNTIFS(统计!G3:G38,"&gt;8")*750+COUNTIFS(统计!G3:G38,"&gt;9")*800+COUNTIFS(统计!G3:G38,"&gt;10")*850+COUNTIFS(统计!G3:G38,"&gt;11")*900+COUNTIFS(统计!G3:G38,"&gt;12")*950+COUNTIFS(统计!G3:G38,"&gt;13")*1000+COUNTIFS(统计!G3:G38,"&gt;14")*1200+COUNTIFS(统计!K3:K34,"&gt;3")*300+COUNTIFS(统计!K3:K34,"&gt;4")*400+COUNTIFS(统计!K3:K34,"&gt;5")*500+COUNTIFS(统计!K3:K34,"&gt;6")*600+COUNTIFS(统计!K3:K34,"&gt;7")*700+COUNTIFS(统计!K3:K34,"&gt;8")*750+COUNTIFS(统计!K3:K34,"&gt;9")*800+COUNTIFS(统计!K3:K34,"&gt;10")*850+COUNTIFS(统计!K3:K34,"&gt;11")*900+COUNTIFS(统计!K3:K34,"&gt;12")*950+COUNTIFS(统计!K3:K34,"&gt;13")*1000+COUNTIFS(统计!K3:K34,"&gt;14")*1200+COUNTIFS(统计!O3:O34,"&gt;1")*200+COUNTIFS(统计!O3:O34,"&gt;2")*250+COUNTIFS(统计!O3:O34,"&gt;3")*300+COUNTIFS(统计!O3:O34,"&gt;4")*400+COUNTIFS(统计!O3:O34,"&gt;5")*500+COUNTIFS(统计!O3:O34,"&gt;6")*600+COUNTIFS(统计!O3:O34,"&gt;7")*700+COUNTIFS(统计!O3:O34,"&gt;8")*750+COUNTIFS(统计!O3:O34,"&gt;9")*800+COUNTIFS(统计!O3:O34,"&gt;10")*850+COUNTIFS(统计!O3:O34,"&gt;11")*900+COUNTIFS(统计!O3:O34,"&gt;12")*950+COUNTIFS(统计!O3:O34,"&gt;13")*1000+COUNTIFS(统计!O3:O34,"&gt;14")*1200)/565790</f>
        <v>1.146715212357942</v>
      </c>
      <c r="J4" s="239"/>
      <c r="K4" s="239"/>
      <c r="L4" s="239"/>
      <c r="M4" s="239"/>
    </row>
    <row r="5" spans="1:14" s="132" customFormat="1" ht="30.75" customHeight="1" x14ac:dyDescent="0.25">
      <c r="A5" s="150" t="s">
        <v>4</v>
      </c>
      <c r="B5" s="139" t="str">
        <f>COUNTIFS(统计!K3:K99,"&gt;0")&amp;"/"&amp;卡牌!U5</f>
        <v>24/24</v>
      </c>
      <c r="C5" s="156">
        <f>SUM(统计!K3:K38)/(COUNTIFS(统计!K3:K38,"&gt;0"))</f>
        <v>15.791666666666666</v>
      </c>
      <c r="D5" s="188">
        <f>SUM(统计!M3:M1048576)</f>
        <v>10351</v>
      </c>
      <c r="E5" s="166">
        <f>D5/卡牌!V5</f>
        <v>0.70128726287262877</v>
      </c>
      <c r="F5" s="139">
        <f>COUNTIFS(统计!M3:M206,"=615")</f>
        <v>0</v>
      </c>
      <c r="G5" s="233">
        <f>隐藏数据!T66</f>
        <v>1507000</v>
      </c>
      <c r="H5" s="233">
        <f>SUM(卡牌!E7:S7)*卡牌!U5-G5</f>
        <v>1415000</v>
      </c>
      <c r="I5" s="133" t="s">
        <v>920</v>
      </c>
      <c r="J5" s="239"/>
      <c r="K5" s="239"/>
      <c r="L5" s="239"/>
      <c r="M5" s="239"/>
    </row>
    <row r="6" spans="1:14" s="132" customFormat="1" ht="30.75" customHeight="1" x14ac:dyDescent="0.25">
      <c r="A6" s="134" t="s">
        <v>3</v>
      </c>
      <c r="B6" s="139" t="str">
        <f>COUNTIFS(统计!O3:O99,"&gt;0")&amp;"/"&amp;卡牌!U6</f>
        <v>13/13</v>
      </c>
      <c r="C6" s="156">
        <f>SUM(统计!O3:O40)/(COUNTIFS(统计!O3:O40,"&gt;0"))</f>
        <v>15.538461538461538</v>
      </c>
      <c r="D6" s="188">
        <f>SUM(统计!Q3:Q1048576)</f>
        <v>16659</v>
      </c>
      <c r="E6" s="166">
        <f>D6/卡牌!V6</f>
        <v>0.60819247197984738</v>
      </c>
      <c r="F6" s="139">
        <f>COUNTIFS(统计!Q3:Q32,"=2107")</f>
        <v>0</v>
      </c>
      <c r="G6" s="233">
        <f>隐藏数据!U66</f>
        <v>751000</v>
      </c>
      <c r="H6" s="233">
        <f>SUM(卡牌!C7:S7)*卡牌!U6-G6</f>
        <v>835000</v>
      </c>
      <c r="I6" s="149">
        <f>(B11*D2+B12*D3+D4*B13+D5*B14+B15*D6+10000-B16)/10000</f>
        <v>0.36295845247134967</v>
      </c>
      <c r="J6" s="239"/>
      <c r="K6" s="239"/>
      <c r="L6" s="239"/>
      <c r="M6" s="239"/>
    </row>
    <row r="7" spans="1:14" s="132" customFormat="1" ht="30.75" customHeight="1" x14ac:dyDescent="0.25">
      <c r="A7" s="133" t="s">
        <v>5</v>
      </c>
      <c r="B7" s="139" t="str">
        <f>COUNTIFS(统计!C3:C99,"&gt;0")+COUNTIFS(统计!G3:G99,"&gt;0")+COUNTIFS(统计!K3:K99,"&gt;0")+COUNTIFS(统计!O3:O99,"&gt;0")&amp;"/"&amp;卡牌!U7</f>
        <v>101/101</v>
      </c>
      <c r="C7" s="156">
        <f>SUM(统计!C3:C32,统计!G3:G38,统计!K3:K33,统计!O3:O33)/(COUNTIFS(统计!C3:C35,"&gt;0")+COUNTIFS(统计!G3:G38,"&gt;0")+COUNTIFS(统计!K3:K34,"&gt;0")+COUNTIFS(统计!O3:O34,"&gt;0"))</f>
        <v>14.158415841584159</v>
      </c>
      <c r="D7" s="139"/>
      <c r="E7" s="161"/>
      <c r="F7" s="139">
        <f>SUM(F2:F6)</f>
        <v>0</v>
      </c>
      <c r="G7" s="232">
        <f>SUM(G2:G6)</f>
        <v>4018250</v>
      </c>
      <c r="H7" s="231">
        <f>SUM(H2:H6)</f>
        <v>8126750</v>
      </c>
      <c r="I7" s="165" t="str">
        <f>统计!S3</f>
        <v>ver23.08.25</v>
      </c>
      <c r="J7" s="239"/>
      <c r="K7" s="239"/>
      <c r="L7" s="239"/>
      <c r="M7" s="239"/>
    </row>
    <row r="8" spans="1:14" ht="34.5" customHeight="1" x14ac:dyDescent="0.25">
      <c r="A8" s="239"/>
      <c r="B8" s="239"/>
      <c r="C8" s="239"/>
      <c r="D8" s="239"/>
      <c r="E8" s="239"/>
      <c r="F8" s="239"/>
      <c r="G8" s="239"/>
      <c r="H8" s="239"/>
      <c r="I8" s="239"/>
      <c r="J8" s="239"/>
      <c r="K8" s="239"/>
      <c r="L8" s="239"/>
      <c r="M8" s="239"/>
    </row>
    <row r="9" spans="1:14" s="2" customFormat="1" ht="22.5" customHeight="1" x14ac:dyDescent="0.25">
      <c r="A9" s="286" t="s">
        <v>564</v>
      </c>
      <c r="B9" s="287"/>
      <c r="C9" s="287"/>
      <c r="D9" s="287"/>
      <c r="E9" s="287"/>
      <c r="F9" s="287"/>
      <c r="G9" s="287"/>
      <c r="H9" s="239"/>
      <c r="I9" s="239"/>
      <c r="J9" s="239"/>
      <c r="K9" s="239"/>
      <c r="L9" s="239"/>
      <c r="M9" s="239"/>
      <c r="N9" s="239"/>
    </row>
    <row r="10" spans="1:14" s="2" customFormat="1" ht="22.5" customHeight="1" x14ac:dyDescent="0.25">
      <c r="A10" s="153" t="s">
        <v>144</v>
      </c>
      <c r="B10" s="153" t="s">
        <v>155</v>
      </c>
      <c r="C10" s="153" t="s">
        <v>210</v>
      </c>
      <c r="D10" s="153" t="s">
        <v>265</v>
      </c>
      <c r="E10" s="153" t="s">
        <v>160</v>
      </c>
      <c r="F10" s="153" t="s">
        <v>144</v>
      </c>
      <c r="G10" s="153" t="s">
        <v>826</v>
      </c>
      <c r="H10" s="239"/>
      <c r="I10" s="285" t="s">
        <v>216</v>
      </c>
      <c r="J10" s="239"/>
      <c r="K10" s="239"/>
      <c r="L10" s="239"/>
      <c r="M10" s="239"/>
      <c r="N10" s="239"/>
    </row>
    <row r="11" spans="1:14" s="2" customFormat="1" ht="22.5" customHeight="1" x14ac:dyDescent="0.25">
      <c r="A11" s="283" t="s">
        <v>228</v>
      </c>
      <c r="B11" s="154">
        <f>IFERROR(1/(1/(D2/(卡牌!V2))*卡牌!U2/卡牌!U7+1/(D3/(卡牌!V3))*卡牌!U3/卡牌!U7+1/(D4/卡牌!V4)*卡牌!U4/卡牌!U7+1/(D5/卡牌!V5)*卡牌!U5/卡牌!U7+1/(D6/卡牌!V6)*卡牌!U6/卡牌!U7)/D2*10000*卡牌!U2/卡牌!U7,"∞")</f>
        <v>7.6228897908774336</v>
      </c>
      <c r="C11" s="144">
        <f>B11*(卡牌!V2)</f>
        <v>2774.7318838793858</v>
      </c>
      <c r="D11" s="166">
        <f t="shared" ref="D11:D15" si="0">C11/10000</f>
        <v>0.27747318838793861</v>
      </c>
      <c r="E11" s="190">
        <f>B11/(卡牌!U2/卡牌!$U$7)*C11/10000</f>
        <v>30.518557290781057</v>
      </c>
      <c r="F11" s="133" t="s">
        <v>815</v>
      </c>
      <c r="G11" s="198">
        <f>B13*概率!D3+概率!E3*结果!B14+结果!F3*结果!B15</f>
        <v>7.1622005162698635E-2</v>
      </c>
      <c r="H11" s="239"/>
      <c r="I11" s="285"/>
      <c r="J11" s="239"/>
      <c r="K11" s="239"/>
      <c r="L11" s="239"/>
      <c r="M11" s="239"/>
      <c r="N11" s="239"/>
    </row>
    <row r="12" spans="1:14" s="2" customFormat="1" ht="22.5" customHeight="1" x14ac:dyDescent="0.25">
      <c r="A12" s="284"/>
      <c r="B12" s="191">
        <f>IFERROR(1/(1/(D2/(卡牌!V2))*卡牌!U2/卡牌!U7+1/(D3/(卡牌!V3))*卡牌!U3/卡牌!U7+1/(D4/卡牌!V4)*卡牌!U4/卡牌!U7+1/(D5/卡牌!V5)*卡牌!U5/卡牌!U7+1/(D6/卡牌!V6)*卡牌!U6/卡牌!U7)/D3*10000*卡牌!U3/卡牌!U7,"∞")</f>
        <v>2.5756521819005664</v>
      </c>
      <c r="C12" s="192">
        <f>B12*(卡牌!V3)</f>
        <v>2812.6121826354188</v>
      </c>
      <c r="D12" s="193">
        <f t="shared" si="0"/>
        <v>0.28126121826354189</v>
      </c>
      <c r="E12" s="194">
        <f>B12/(卡牌!U3/卡牌!$U$7)*C12/10000</f>
        <v>3.484168481950229</v>
      </c>
      <c r="F12" s="133" t="s">
        <v>816</v>
      </c>
      <c r="G12" s="156">
        <f>概率!B9*AVERAGE(B11:B12)+概率!D9*B13+概率!E9*B14+概率!F9*B15</f>
        <v>0.91410311205702344</v>
      </c>
      <c r="H12" s="239"/>
      <c r="I12" s="285"/>
      <c r="J12" s="239"/>
      <c r="K12" s="239"/>
      <c r="L12" s="239"/>
      <c r="M12" s="239"/>
      <c r="N12" s="239"/>
    </row>
    <row r="13" spans="1:14" s="2" customFormat="1" ht="22.5" customHeight="1" x14ac:dyDescent="0.25">
      <c r="A13" s="147" t="s">
        <v>2</v>
      </c>
      <c r="B13" s="157">
        <f>IFERROR(1/(1/(D2/(卡牌!V2))*卡牌!U2/卡牌!U7+1/(D3/(卡牌!V3))*卡牌!U3/卡牌!U7+1/(D4/卡牌!V4)*卡牌!U4/卡牌!U7+1/(D5/卡牌!V5)*卡牌!U5/卡牌!U7+1/(D6/卡牌!V6)*卡牌!U6/卡牌!U7)/SUM(结果!D4)*10000*卡牌!U4/卡牌!U7,"∞")</f>
        <v>0.48254878625046033</v>
      </c>
      <c r="C13" s="144">
        <f>B13*卡牌!V4</f>
        <v>2414.6741263973036</v>
      </c>
      <c r="D13" s="166">
        <f t="shared" si="0"/>
        <v>0.24146741263973034</v>
      </c>
      <c r="E13" s="144">
        <f>B13/(卡牌!U4/卡牌!$U$7)*C13/10000</f>
        <v>0.32690279154784546</v>
      </c>
      <c r="F13" s="133" t="s">
        <v>822</v>
      </c>
      <c r="G13" s="191">
        <f>概率!B15*AVERAGE(结果!B11:B12)+概率!D15*结果!B13+概率!E15*结果!B14+概率!F15*结果!B15</f>
        <v>0.3752409288658225</v>
      </c>
      <c r="H13" s="239"/>
      <c r="I13" s="285"/>
      <c r="K13" s="239"/>
      <c r="L13" s="239"/>
      <c r="M13" s="239"/>
      <c r="N13" s="239"/>
    </row>
    <row r="14" spans="1:14" s="2" customFormat="1" ht="22.5" customHeight="1" x14ac:dyDescent="0.25">
      <c r="A14" s="150" t="s">
        <v>4</v>
      </c>
      <c r="B14" s="195">
        <f>IFERROR(1/(1/(D2/(卡牌!V2))*卡牌!U2/卡牌!U7+1/(D3/(卡牌!V3))*卡牌!U3/卡牌!U7+1/(D4/卡牌!V4)*卡牌!U4/卡牌!U7+1/(D5/卡牌!V5)*卡牌!U5/卡牌!U7+1/(D6/卡牌!V6)*卡牌!U6/卡牌!U7)/SUM(结果!D5)*10000*卡牌!U5/卡牌!U7,"∞")</f>
        <v>8.3322918618972994E-2</v>
      </c>
      <c r="C14" s="192">
        <f>B14*卡牌!V5</f>
        <v>1229.8462788160414</v>
      </c>
      <c r="D14" s="193">
        <f t="shared" si="0"/>
        <v>0.12298462788160414</v>
      </c>
      <c r="E14" s="196">
        <f>B14/(卡牌!U5/卡牌!$U$7)*C14/10000</f>
        <v>4.3124635507363396E-2</v>
      </c>
      <c r="F14" s="133" t="s">
        <v>121</v>
      </c>
      <c r="G14" s="157">
        <f>概率!$B$21*B11+B12*概率!$C$21+概率!$D$18*B13+概率!$E$18*B14+概率!$F$18*B15</f>
        <v>8.3053055918193411E-2</v>
      </c>
      <c r="H14" s="239"/>
      <c r="I14" s="285"/>
      <c r="J14" s="239"/>
      <c r="K14" s="239"/>
      <c r="L14" s="239"/>
      <c r="M14" s="239"/>
      <c r="N14" s="239"/>
    </row>
    <row r="15" spans="1:14" s="2" customFormat="1" ht="22.5" customHeight="1" x14ac:dyDescent="0.25">
      <c r="A15" s="134" t="s">
        <v>3</v>
      </c>
      <c r="B15" s="159">
        <f>IFERROR(1/(1/(D2/(卡牌!V2))*卡牌!U2/卡牌!U7+1/(D3/(卡牌!V3))*卡牌!U3/卡牌!U7+1/(D4/卡牌!V4)*卡牌!U4/卡牌!U7+1/(D5/卡牌!V5)*卡牌!U5/卡牌!U7+1/(D6/卡牌!V6)*卡牌!U6/卡牌!U7)/SUM(结果!D6)*10000*卡牌!U6/卡牌!U7,"∞")</f>
        <v>2.8043354688468861E-2</v>
      </c>
      <c r="C15" s="144">
        <f>B15*卡牌!V6</f>
        <v>768.1355282718506</v>
      </c>
      <c r="D15" s="166">
        <f t="shared" si="0"/>
        <v>7.6813552827185064E-2</v>
      </c>
      <c r="E15" s="158">
        <f>B15/(卡牌!U6/卡牌!$U$7)*C15/10000</f>
        <v>1.673577541447948E-2</v>
      </c>
      <c r="F15" s="133" t="s">
        <v>119</v>
      </c>
      <c r="G15" s="197">
        <f>(概率!$B$28*B11+概率!$C$28*B12+概率!$D$28*B13+概率!$E$28*B14+概率!$F$28*B15)/30</f>
        <v>1.177516267739851</v>
      </c>
      <c r="H15" s="239"/>
      <c r="I15" s="285"/>
      <c r="J15" s="239"/>
      <c r="K15" s="239"/>
      <c r="L15" s="239"/>
      <c r="M15" s="239"/>
      <c r="N15" s="239"/>
    </row>
    <row r="16" spans="1:14" s="2" customFormat="1" ht="22.5" customHeight="1" x14ac:dyDescent="0.25">
      <c r="A16" s="133" t="s">
        <v>210</v>
      </c>
      <c r="B16" s="200">
        <f>C16</f>
        <v>10000</v>
      </c>
      <c r="C16" s="200">
        <f>SUM(C11:C15)</f>
        <v>10000</v>
      </c>
      <c r="D16" s="201">
        <f>SUM(D11:D15)</f>
        <v>1.0000000000000002</v>
      </c>
      <c r="E16" s="200"/>
      <c r="F16" s="239"/>
      <c r="G16" s="239"/>
      <c r="H16" s="239"/>
      <c r="I16" s="239"/>
      <c r="J16" s="239"/>
      <c r="K16" s="239"/>
      <c r="L16" s="239"/>
      <c r="M16" s="239"/>
      <c r="N16" s="239"/>
    </row>
    <row r="17" spans="1:22" s="2" customFormat="1" ht="22.5" customHeight="1" x14ac:dyDescent="0.25">
      <c r="A17" s="239"/>
      <c r="B17" s="239"/>
      <c r="C17" s="239"/>
      <c r="D17" s="239"/>
      <c r="E17" s="239"/>
      <c r="F17" s="239"/>
      <c r="G17" s="239"/>
      <c r="H17" s="239"/>
      <c r="I17" s="239"/>
      <c r="J17" s="239"/>
      <c r="K17" s="239"/>
      <c r="L17" s="239"/>
      <c r="M17" s="239"/>
      <c r="N17" s="239"/>
    </row>
    <row r="18" spans="1:22" s="2" customFormat="1" ht="22.5" customHeight="1" x14ac:dyDescent="0.25">
      <c r="A18" s="239"/>
      <c r="B18" s="239"/>
      <c r="C18" s="239"/>
      <c r="D18" s="239"/>
      <c r="E18" s="239"/>
      <c r="F18" s="239"/>
      <c r="G18" s="239"/>
      <c r="H18" s="239"/>
      <c r="I18" s="239"/>
      <c r="J18" s="239"/>
      <c r="K18" s="239"/>
      <c r="L18" s="239"/>
      <c r="M18" s="239"/>
      <c r="N18" s="239"/>
    </row>
    <row r="19" spans="1:22" s="2" customFormat="1" ht="22.5" customHeight="1" x14ac:dyDescent="0.25">
      <c r="A19" s="239"/>
      <c r="B19" s="239"/>
      <c r="C19" s="239"/>
      <c r="D19" s="239"/>
      <c r="E19" s="239"/>
      <c r="F19" s="239"/>
      <c r="G19" s="239"/>
      <c r="H19" s="239"/>
      <c r="I19" s="239"/>
      <c r="J19" s="239"/>
      <c r="K19" s="239"/>
      <c r="L19" s="239"/>
      <c r="M19" s="239"/>
      <c r="N19" s="239"/>
    </row>
    <row r="20" spans="1:22" s="2" customFormat="1" ht="22.5" customHeight="1" x14ac:dyDescent="0.25">
      <c r="A20" s="239"/>
      <c r="B20" s="239"/>
      <c r="C20" s="239"/>
      <c r="D20" s="239"/>
      <c r="E20" s="239"/>
      <c r="F20" s="239"/>
      <c r="G20" s="239"/>
      <c r="H20" s="239"/>
      <c r="I20" s="239"/>
      <c r="J20" s="239"/>
      <c r="K20" s="239"/>
      <c r="L20" s="239"/>
      <c r="M20" s="239"/>
      <c r="N20" s="239"/>
    </row>
    <row r="21" spans="1:22" ht="15.75" x14ac:dyDescent="0.25">
      <c r="A21" s="239"/>
      <c r="B21" s="239"/>
      <c r="C21" s="239"/>
      <c r="D21" s="239"/>
      <c r="E21" s="239"/>
      <c r="F21" s="239"/>
      <c r="G21" s="239"/>
      <c r="H21" s="239"/>
      <c r="I21" s="239"/>
      <c r="J21" s="239"/>
      <c r="K21" s="239"/>
      <c r="L21" s="239"/>
      <c r="M21" s="239"/>
      <c r="N21" s="239"/>
    </row>
    <row r="22" spans="1:22" ht="15.75" x14ac:dyDescent="0.25">
      <c r="A22" s="239"/>
      <c r="B22" s="239"/>
      <c r="C22" s="239"/>
      <c r="D22" s="239"/>
      <c r="E22" s="239"/>
      <c r="F22" s="239"/>
      <c r="G22" s="239"/>
      <c r="H22" s="239"/>
      <c r="I22" s="239"/>
      <c r="J22" s="239"/>
      <c r="K22" s="239"/>
      <c r="L22" s="239"/>
      <c r="M22" s="239"/>
      <c r="N22" s="239"/>
    </row>
    <row r="23" spans="1:22" ht="15.75" x14ac:dyDescent="0.25">
      <c r="A23" s="239"/>
      <c r="B23" s="239"/>
      <c r="C23" s="239"/>
      <c r="D23" s="239"/>
      <c r="E23" s="239"/>
      <c r="F23" s="239"/>
      <c r="G23" s="239"/>
      <c r="H23" s="239"/>
      <c r="I23" s="239"/>
      <c r="J23" s="239"/>
      <c r="K23" s="239"/>
      <c r="L23" s="239"/>
      <c r="M23" s="239"/>
      <c r="N23" s="239"/>
    </row>
    <row r="24" spans="1:22" ht="15.75" x14ac:dyDescent="0.25">
      <c r="A24" s="239"/>
      <c r="B24" s="239"/>
      <c r="C24" s="239"/>
      <c r="D24" s="239"/>
      <c r="E24" s="239"/>
      <c r="F24" s="239"/>
      <c r="G24" s="239"/>
      <c r="H24" s="239"/>
      <c r="I24" s="239"/>
      <c r="J24" s="239"/>
      <c r="K24" s="239"/>
      <c r="L24" s="239"/>
      <c r="M24" s="239"/>
      <c r="N24" s="239"/>
    </row>
    <row r="25" spans="1:22" ht="15.75" x14ac:dyDescent="0.25">
      <c r="A25" s="239"/>
      <c r="B25" s="239"/>
      <c r="C25" s="239"/>
      <c r="D25" s="239"/>
      <c r="E25" s="239"/>
      <c r="F25" s="239"/>
      <c r="G25" s="239"/>
      <c r="H25" s="239"/>
      <c r="I25" s="239"/>
      <c r="J25" s="239"/>
      <c r="K25" s="239"/>
      <c r="L25" s="239"/>
      <c r="M25" s="239"/>
      <c r="N25" s="239"/>
      <c r="S25" s="2"/>
      <c r="T25" s="2"/>
      <c r="V25" s="2"/>
    </row>
    <row r="26" spans="1:22" ht="15.75" x14ac:dyDescent="0.25">
      <c r="A26" s="239"/>
      <c r="B26" s="239"/>
      <c r="C26" s="239"/>
      <c r="D26" s="239"/>
      <c r="E26" s="239"/>
      <c r="F26" s="239"/>
      <c r="G26" s="239"/>
      <c r="H26" s="239"/>
      <c r="I26" s="239"/>
      <c r="J26" s="239"/>
      <c r="K26" s="239"/>
      <c r="L26" s="239"/>
      <c r="M26" s="239"/>
      <c r="N26" s="239"/>
      <c r="S26" s="2"/>
      <c r="T26" s="2"/>
      <c r="U26" s="2"/>
      <c r="V26" s="2"/>
    </row>
    <row r="27" spans="1:22" ht="15.75" x14ac:dyDescent="0.25">
      <c r="A27" s="239"/>
      <c r="B27" s="239"/>
      <c r="C27" s="239"/>
      <c r="D27" s="239"/>
      <c r="E27" s="239"/>
      <c r="F27" s="239"/>
      <c r="G27" s="239"/>
      <c r="H27" s="239"/>
      <c r="I27" s="239"/>
      <c r="J27" s="239"/>
      <c r="K27" s="239"/>
      <c r="L27" s="239"/>
      <c r="M27" s="239"/>
      <c r="N27" s="239"/>
      <c r="S27" s="2"/>
      <c r="T27" s="2"/>
      <c r="U27" s="2"/>
      <c r="V27" s="2"/>
    </row>
    <row r="28" spans="1:22" ht="15.75" x14ac:dyDescent="0.25">
      <c r="I28" s="239"/>
      <c r="J28" s="239"/>
      <c r="K28" s="239"/>
      <c r="L28" s="239"/>
      <c r="M28" s="239"/>
      <c r="N28" s="239"/>
    </row>
    <row r="29" spans="1:22" ht="15.75" x14ac:dyDescent="0.25">
      <c r="I29" s="239"/>
      <c r="J29" s="239"/>
      <c r="K29" s="239"/>
      <c r="L29" s="239"/>
      <c r="M29" s="239"/>
      <c r="N29" s="239"/>
    </row>
    <row r="30" spans="1:22" ht="15.75" x14ac:dyDescent="0.25">
      <c r="I30" s="239"/>
      <c r="J30" s="239"/>
      <c r="K30" s="239"/>
      <c r="L30" s="239"/>
      <c r="M30" s="239"/>
      <c r="N30" s="239"/>
    </row>
  </sheetData>
  <mergeCells count="3">
    <mergeCell ref="A11:A12"/>
    <mergeCell ref="I10:I15"/>
    <mergeCell ref="A9:G9"/>
  </mergeCells>
  <phoneticPr fontId="1" type="noConversion"/>
  <conditionalFormatting sqref="B11:E15">
    <cfRule type="cellIs" dxfId="91" priority="9"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{BDE5B972-BE21-49E7-8A05-0087872020F8}</x14:id>
        </ext>
      </extLst>
    </cfRule>
  </conditionalFormatting>
  <hyperlinks>
    <hyperlink ref="I10:I15" location="统计!A1" display="跳转到统计表" xr:uid="{43C82928-D547-4DC0-A743-98CE26F00C50}"/>
  </hyperlink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BDE5B972-BE21-49E7-8A05-0087872020F8}">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36" id="{2B88B9BE-6972-4CAC-8550-8ED57AF7F0E3}">
            <x14:dataBar minLength="0" maxLength="100">
              <x14:cfvo type="num">
                <xm:f>0</xm:f>
              </x14:cfvo>
              <x14:cfvo type="num">
                <xm:f>卡牌!$V$7</xm:f>
              </x14:cfvo>
              <x14:fillColor theme="4"/>
              <x14:negativeFillColor rgb="FFFF0000"/>
              <x14:axisColor rgb="FF000000"/>
            </x14:dataBar>
          </x14:cfRule>
          <xm:sqref>G7</xm:sqref>
        </x14:conditionalFormatting>
        <x14:conditionalFormatting xmlns:xm="http://schemas.microsoft.com/office/excel/2006/main">
          <x14:cfRule type="dataBar" priority="237" id="{0DC91C47-F226-442D-A3A4-0731756D1803}">
            <x14:dataBar minLength="0" maxLength="100">
              <x14:cfvo type="autoMin"/>
              <x14:cfvo type="num">
                <xm:f>卡牌!$V$7</xm:f>
              </x14:cfvo>
              <x14:fillColor rgb="FFFF0000"/>
              <x14:negativeFillColor rgb="FFFF0000"/>
              <x14:axisColor rgb="FF000000"/>
            </x14:dataBar>
          </x14:cfRule>
          <xm:sqref>H7</xm:sqref>
        </x14:conditionalFormatting>
      </x14:conditionalFormatting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E77C9-B31B-4709-939D-8EB0D726B807}">
  <dimension ref="A1:X27"/>
  <sheetViews>
    <sheetView workbookViewId="0">
      <selection activeCell="F6" sqref="F6"/>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2" customFormat="1" ht="30.75" customHeight="1" x14ac:dyDescent="0.25">
      <c r="A1" s="133">
        <v>0</v>
      </c>
      <c r="B1" s="133" t="s">
        <v>22</v>
      </c>
      <c r="C1" s="133" t="s">
        <v>200</v>
      </c>
      <c r="D1" s="133" t="s">
        <v>202</v>
      </c>
      <c r="E1" s="133" t="s">
        <v>93</v>
      </c>
      <c r="F1" s="133" t="s">
        <v>203</v>
      </c>
      <c r="G1" s="133" t="s">
        <v>204</v>
      </c>
      <c r="H1" s="133" t="s">
        <v>594</v>
      </c>
      <c r="I1" s="133" t="s">
        <v>214</v>
      </c>
      <c r="J1" s="133" t="s">
        <v>207</v>
      </c>
      <c r="K1" s="133" t="s">
        <v>208</v>
      </c>
      <c r="L1" s="133" t="s">
        <v>270</v>
      </c>
      <c r="M1" s="133" t="s">
        <v>226</v>
      </c>
      <c r="N1" s="239"/>
      <c r="O1" s="239"/>
    </row>
    <row r="2" spans="1:15" s="132" customFormat="1" ht="30.75" customHeight="1" x14ac:dyDescent="0.25">
      <c r="A2" s="136" t="s">
        <v>261</v>
      </c>
      <c r="B2" s="137" t="s">
        <v>588</v>
      </c>
      <c r="C2" s="156">
        <v>11</v>
      </c>
      <c r="D2" s="188">
        <v>25.476291289938505</v>
      </c>
      <c r="E2" s="166">
        <v>0.15922682056211565</v>
      </c>
      <c r="F2" s="139">
        <v>0</v>
      </c>
      <c r="G2" s="163">
        <v>2740.5011202747337</v>
      </c>
      <c r="H2" s="143">
        <v>13557.119675475602</v>
      </c>
      <c r="I2" s="230">
        <v>4.9087266454602131E-2</v>
      </c>
      <c r="J2" s="233">
        <v>25000</v>
      </c>
      <c r="K2" s="233">
        <v>187500</v>
      </c>
      <c r="L2" s="163"/>
      <c r="M2" s="134">
        <v>100</v>
      </c>
      <c r="N2" s="239"/>
      <c r="O2" s="239"/>
    </row>
    <row r="3" spans="1:15" s="132" customFormat="1" ht="30.75" customHeight="1" x14ac:dyDescent="0.25">
      <c r="A3" s="146" t="s">
        <v>262</v>
      </c>
      <c r="B3" s="139" t="s">
        <v>671</v>
      </c>
      <c r="C3" s="156">
        <v>12.25</v>
      </c>
      <c r="D3" s="188">
        <v>233.95188583124661</v>
      </c>
      <c r="E3" s="166">
        <v>0.36554982161132282</v>
      </c>
      <c r="F3" s="139">
        <v>0</v>
      </c>
      <c r="G3" s="163">
        <v>900.77910893863259</v>
      </c>
      <c r="H3" s="143">
        <v>9985.3737181196557</v>
      </c>
      <c r="I3" s="229">
        <v>0.45077434649565823</v>
      </c>
      <c r="J3" s="233">
        <v>260000</v>
      </c>
      <c r="K3" s="233">
        <v>590000</v>
      </c>
      <c r="L3" s="163">
        <v>0</v>
      </c>
      <c r="M3" s="133" t="s">
        <v>163</v>
      </c>
      <c r="N3" s="239"/>
      <c r="O3" s="239"/>
    </row>
    <row r="4" spans="1:15" s="132" customFormat="1" ht="30.75" customHeight="1" x14ac:dyDescent="0.25">
      <c r="A4" s="147" t="s">
        <v>2</v>
      </c>
      <c r="B4" s="139" t="s">
        <v>672</v>
      </c>
      <c r="C4" s="156">
        <v>12.942857142857143</v>
      </c>
      <c r="D4" s="188">
        <v>2220.3620283842206</v>
      </c>
      <c r="E4" s="166">
        <v>0.57671740996992737</v>
      </c>
      <c r="F4" s="139">
        <v>1</v>
      </c>
      <c r="G4" s="163">
        <v>402.46153481563829</v>
      </c>
      <c r="H4" s="143">
        <v>4260.0207885953268</v>
      </c>
      <c r="I4" s="228">
        <v>4.2781541972721016</v>
      </c>
      <c r="J4" s="233">
        <v>778000</v>
      </c>
      <c r="K4" s="233">
        <v>823250</v>
      </c>
      <c r="L4" s="163">
        <v>275.0241983960637</v>
      </c>
      <c r="M4" s="149">
        <v>1.0278548578094346</v>
      </c>
      <c r="N4" s="239"/>
      <c r="O4" s="239"/>
    </row>
    <row r="5" spans="1:15" s="132" customFormat="1" ht="30.75" customHeight="1" x14ac:dyDescent="0.25">
      <c r="A5" s="150" t="s">
        <v>4</v>
      </c>
      <c r="B5" s="139" t="s">
        <v>246</v>
      </c>
      <c r="C5" s="156">
        <v>14.916666666666666</v>
      </c>
      <c r="D5" s="188">
        <v>9504</v>
      </c>
      <c r="E5" s="166">
        <v>1</v>
      </c>
      <c r="F5" s="139">
        <v>24</v>
      </c>
      <c r="G5" s="163" t="s">
        <v>168</v>
      </c>
      <c r="H5" s="143">
        <v>0</v>
      </c>
      <c r="I5" s="163">
        <v>20.842105263157894</v>
      </c>
      <c r="J5" s="233">
        <v>1092000</v>
      </c>
      <c r="K5" s="233">
        <v>30000</v>
      </c>
      <c r="L5" s="163">
        <v>3126.3157894736837</v>
      </c>
      <c r="M5" s="133" t="s">
        <v>642</v>
      </c>
      <c r="N5" s="239"/>
      <c r="O5" s="239"/>
    </row>
    <row r="6" spans="1:15" s="132" customFormat="1" ht="30.75" customHeight="1" x14ac:dyDescent="0.25">
      <c r="A6" s="134" t="s">
        <v>3</v>
      </c>
      <c r="B6" s="139" t="s">
        <v>247</v>
      </c>
      <c r="C6" s="156">
        <v>14.23076923076923</v>
      </c>
      <c r="D6" s="188">
        <v>14837.6216</v>
      </c>
      <c r="E6" s="166">
        <v>0.96971580942422064</v>
      </c>
      <c r="F6" s="139">
        <v>9</v>
      </c>
      <c r="G6" s="163" t="s">
        <v>168</v>
      </c>
      <c r="H6" s="143">
        <v>160.45236240239603</v>
      </c>
      <c r="I6" s="163">
        <v>29.675243200000001</v>
      </c>
      <c r="J6" s="233">
        <v>466000</v>
      </c>
      <c r="K6" s="233">
        <v>145000</v>
      </c>
      <c r="L6" s="163">
        <v>616.33197415384609</v>
      </c>
      <c r="M6" s="149">
        <v>0.51991040943280364</v>
      </c>
      <c r="N6" s="239"/>
      <c r="O6" s="239"/>
    </row>
    <row r="7" spans="1:15" s="132" customFormat="1" ht="30.75" customHeight="1" x14ac:dyDescent="0.25">
      <c r="A7" s="133" t="s">
        <v>5</v>
      </c>
      <c r="B7" s="139" t="s">
        <v>673</v>
      </c>
      <c r="C7" s="156">
        <v>13.360824742268042</v>
      </c>
      <c r="D7" s="139"/>
      <c r="E7" s="161"/>
      <c r="F7" s="139">
        <v>34</v>
      </c>
      <c r="G7" s="175"/>
      <c r="H7" s="143"/>
      <c r="I7" s="163"/>
      <c r="J7" s="232">
        <v>2621000</v>
      </c>
      <c r="K7" s="231">
        <v>1775750</v>
      </c>
      <c r="L7" s="163">
        <v>4017.6719620235936</v>
      </c>
      <c r="M7" s="165" t="s">
        <v>735</v>
      </c>
      <c r="N7" s="239"/>
      <c r="O7" s="239"/>
    </row>
    <row r="8" spans="1:15" ht="34.5" customHeight="1" x14ac:dyDescent="0.25">
      <c r="A8" s="239"/>
      <c r="B8" s="239"/>
      <c r="C8" s="239"/>
      <c r="D8" s="239"/>
      <c r="E8" s="239"/>
      <c r="F8" s="239"/>
      <c r="G8" s="239"/>
      <c r="H8" s="239"/>
      <c r="I8" s="239"/>
      <c r="J8" s="239"/>
      <c r="K8" s="239"/>
      <c r="L8" s="239"/>
      <c r="M8" s="239"/>
      <c r="N8" s="237"/>
      <c r="O8" s="237"/>
    </row>
    <row r="9" spans="1:15" s="2" customFormat="1" ht="22.5" customHeight="1" x14ac:dyDescent="0.25">
      <c r="A9" s="316" t="s">
        <v>564</v>
      </c>
      <c r="B9" s="317"/>
      <c r="C9" s="317"/>
      <c r="D9" s="317"/>
      <c r="E9" s="318"/>
      <c r="F9" s="239"/>
      <c r="G9" s="239"/>
      <c r="H9" s="239"/>
      <c r="I9" s="239"/>
      <c r="J9" s="239"/>
      <c r="K9" s="239"/>
      <c r="L9" s="239"/>
      <c r="M9" s="239"/>
      <c r="N9" s="236"/>
      <c r="O9" s="236"/>
    </row>
    <row r="10" spans="1:15" s="2" customFormat="1" ht="22.5" customHeight="1" x14ac:dyDescent="0.25">
      <c r="A10" s="153" t="s">
        <v>144</v>
      </c>
      <c r="B10" s="153" t="s">
        <v>155</v>
      </c>
      <c r="C10" s="153" t="s">
        <v>210</v>
      </c>
      <c r="D10" s="153" t="s">
        <v>265</v>
      </c>
      <c r="E10" s="153" t="s">
        <v>160</v>
      </c>
      <c r="F10" s="239"/>
      <c r="G10" s="239"/>
      <c r="H10" s="239"/>
      <c r="I10" s="239"/>
      <c r="J10" s="239"/>
      <c r="K10" s="239"/>
      <c r="L10" s="239"/>
      <c r="M10" s="239"/>
      <c r="N10" s="236"/>
      <c r="O10" s="236"/>
    </row>
    <row r="11" spans="1:15" s="2" customFormat="1" ht="22.5" customHeight="1" x14ac:dyDescent="0.25">
      <c r="A11" s="136" t="s">
        <v>269</v>
      </c>
      <c r="B11" s="154">
        <v>10.854894385407908</v>
      </c>
      <c r="C11" s="144">
        <v>1736.7831016652653</v>
      </c>
      <c r="D11" s="166">
        <v>0.17367831016652654</v>
      </c>
      <c r="E11" s="190">
        <v>36.574038449538989</v>
      </c>
      <c r="F11" s="239"/>
      <c r="G11" s="239"/>
      <c r="H11" s="239"/>
      <c r="I11" s="239"/>
      <c r="J11" s="239"/>
      <c r="K11" s="239"/>
      <c r="L11" s="239"/>
      <c r="M11" s="239"/>
      <c r="N11" s="236"/>
      <c r="O11" s="236"/>
    </row>
    <row r="12" spans="1:15" s="2" customFormat="1" ht="22.5" customHeight="1" x14ac:dyDescent="0.25">
      <c r="A12" s="146" t="s">
        <v>262</v>
      </c>
      <c r="B12" s="191">
        <v>4.7281935822247583</v>
      </c>
      <c r="C12" s="192">
        <v>3026.0438926238453</v>
      </c>
      <c r="D12" s="193">
        <v>0.30260438926238453</v>
      </c>
      <c r="E12" s="194">
        <v>6.9392448366277284</v>
      </c>
      <c r="F12" s="239"/>
      <c r="G12" s="239"/>
      <c r="H12" s="320" t="s">
        <v>216</v>
      </c>
      <c r="I12" s="320"/>
      <c r="J12" s="320"/>
      <c r="K12" s="320"/>
      <c r="L12" s="320"/>
      <c r="M12" s="320"/>
      <c r="N12" s="236"/>
      <c r="O12" s="236"/>
    </row>
    <row r="13" spans="1:15" s="2" customFormat="1" ht="22.5" customHeight="1" x14ac:dyDescent="0.25">
      <c r="A13" s="147" t="s">
        <v>2</v>
      </c>
      <c r="B13" s="157">
        <v>0.87183852643971216</v>
      </c>
      <c r="C13" s="144">
        <v>3356.5783267928919</v>
      </c>
      <c r="D13" s="166">
        <v>0.33565783267928917</v>
      </c>
      <c r="E13" s="144">
        <v>0.81102927806893488</v>
      </c>
      <c r="F13" s="239"/>
      <c r="G13" s="239"/>
      <c r="H13" s="320"/>
      <c r="I13" s="320"/>
      <c r="J13" s="320"/>
      <c r="K13" s="320"/>
      <c r="L13" s="320"/>
      <c r="M13" s="320"/>
      <c r="N13" s="236"/>
      <c r="O13" s="236"/>
    </row>
    <row r="14" spans="1:15" s="2" customFormat="1" ht="22.5" customHeight="1" x14ac:dyDescent="0.25">
      <c r="A14" s="150" t="s">
        <v>4</v>
      </c>
      <c r="B14" s="195">
        <v>0</v>
      </c>
      <c r="C14" s="192">
        <v>0</v>
      </c>
      <c r="D14" s="193">
        <v>0</v>
      </c>
      <c r="E14" s="196">
        <v>0</v>
      </c>
      <c r="F14" s="239"/>
      <c r="G14" s="239"/>
      <c r="H14" s="320"/>
      <c r="I14" s="320"/>
      <c r="J14" s="320"/>
      <c r="K14" s="320"/>
      <c r="L14" s="320"/>
      <c r="M14" s="320"/>
      <c r="N14" s="236"/>
      <c r="O14" s="236"/>
    </row>
    <row r="15" spans="1:15" s="2" customFormat="1" ht="22.5" customHeight="1" x14ac:dyDescent="0.25">
      <c r="A15" s="134" t="s">
        <v>3</v>
      </c>
      <c r="B15" s="159">
        <v>0</v>
      </c>
      <c r="C15" s="144">
        <v>0</v>
      </c>
      <c r="D15" s="166">
        <v>0</v>
      </c>
      <c r="E15" s="158">
        <v>0</v>
      </c>
      <c r="F15" s="239"/>
      <c r="G15" s="239"/>
      <c r="H15" s="320"/>
      <c r="I15" s="320"/>
      <c r="J15" s="320"/>
      <c r="K15" s="320"/>
      <c r="L15" s="320"/>
      <c r="M15" s="320"/>
      <c r="N15" s="236"/>
      <c r="O15" s="236"/>
    </row>
    <row r="16" spans="1:15" s="2" customFormat="1" ht="22.5" customHeight="1" x14ac:dyDescent="0.25">
      <c r="A16" s="133" t="s">
        <v>113</v>
      </c>
      <c r="B16" s="191">
        <v>0.63349394746772869</v>
      </c>
      <c r="C16" s="191">
        <v>30.407709478450975</v>
      </c>
      <c r="D16" s="193">
        <v>3.0407709478450975E-3</v>
      </c>
      <c r="E16" s="197">
        <v>0.9553469219144185</v>
      </c>
      <c r="F16" s="239"/>
      <c r="G16" s="239"/>
      <c r="H16" s="320"/>
      <c r="I16" s="320"/>
      <c r="J16" s="320"/>
      <c r="K16" s="320"/>
      <c r="L16" s="320"/>
      <c r="M16" s="320"/>
      <c r="N16" s="236"/>
      <c r="O16" s="236"/>
    </row>
    <row r="17" spans="1:24" s="2" customFormat="1" ht="22.5" customHeight="1" x14ac:dyDescent="0.25">
      <c r="A17" s="133" t="s">
        <v>161</v>
      </c>
      <c r="B17" s="162">
        <v>0.82079152947332212</v>
      </c>
      <c r="C17" s="156"/>
      <c r="D17" s="161"/>
      <c r="E17" s="154">
        <v>0.89835709310280909</v>
      </c>
      <c r="F17" s="239"/>
      <c r="G17" s="239"/>
      <c r="H17" s="320"/>
      <c r="I17" s="320"/>
      <c r="J17" s="320"/>
      <c r="K17" s="320"/>
      <c r="L17" s="320"/>
      <c r="M17" s="320"/>
      <c r="N17" s="236"/>
      <c r="O17" s="236"/>
    </row>
    <row r="18" spans="1:24" s="2" customFormat="1" ht="22.5" customHeight="1" x14ac:dyDescent="0.25">
      <c r="A18" s="133" t="s">
        <v>121</v>
      </c>
      <c r="B18" s="198">
        <v>5.3568090487292948E-2</v>
      </c>
      <c r="C18" s="191"/>
      <c r="D18" s="199"/>
      <c r="E18" s="191">
        <v>7.4512343897066763E-2</v>
      </c>
      <c r="F18" s="239"/>
      <c r="G18" s="239"/>
      <c r="H18" s="320"/>
      <c r="I18" s="320"/>
      <c r="J18" s="320"/>
      <c r="K18" s="320"/>
      <c r="L18" s="320"/>
      <c r="M18" s="320"/>
      <c r="N18" s="236"/>
      <c r="O18" s="236"/>
    </row>
    <row r="19" spans="1:24" s="2" customFormat="1" ht="22.5" customHeight="1" x14ac:dyDescent="0.25">
      <c r="A19" s="133" t="s">
        <v>119</v>
      </c>
      <c r="B19" s="156">
        <v>1.146372272071343</v>
      </c>
      <c r="C19" s="156"/>
      <c r="D19" s="161"/>
      <c r="E19" s="154">
        <v>1.2480108680869102</v>
      </c>
      <c r="F19" s="239"/>
      <c r="G19" s="237"/>
      <c r="H19" s="320"/>
      <c r="I19" s="320"/>
      <c r="J19" s="320"/>
      <c r="K19" s="320"/>
      <c r="L19" s="320"/>
      <c r="M19" s="320"/>
      <c r="N19" s="236"/>
      <c r="O19" s="236"/>
    </row>
    <row r="20" spans="1:24" s="2" customFormat="1" ht="22.5" customHeight="1" x14ac:dyDescent="0.25">
      <c r="A20" s="133" t="s">
        <v>210</v>
      </c>
      <c r="B20" s="200">
        <v>8119.405321082003</v>
      </c>
      <c r="C20" s="200">
        <v>8119.405321082003</v>
      </c>
      <c r="D20" s="201">
        <v>0.81194053210820027</v>
      </c>
      <c r="E20" s="200"/>
      <c r="F20" s="239"/>
      <c r="G20" s="237"/>
      <c r="H20" s="320"/>
      <c r="I20" s="320"/>
      <c r="J20" s="320"/>
      <c r="K20" s="320"/>
      <c r="L20" s="320"/>
      <c r="M20" s="320"/>
      <c r="N20" s="239"/>
      <c r="O20" s="239"/>
    </row>
    <row r="21" spans="1:24" ht="15.75" x14ac:dyDescent="0.25">
      <c r="A21" s="239"/>
      <c r="B21" s="239"/>
      <c r="C21" s="239"/>
      <c r="D21" s="239"/>
      <c r="E21" s="239"/>
      <c r="F21" s="239"/>
      <c r="G21" s="239"/>
      <c r="H21" s="239"/>
      <c r="I21" s="239"/>
      <c r="J21" s="239"/>
      <c r="K21" s="239"/>
      <c r="L21" s="239"/>
      <c r="M21" s="239"/>
      <c r="N21" s="239"/>
      <c r="O21" s="239"/>
    </row>
    <row r="22" spans="1:24" ht="15.75" x14ac:dyDescent="0.25">
      <c r="A22" s="239"/>
      <c r="B22" s="239"/>
      <c r="C22" s="239"/>
      <c r="D22" s="239"/>
      <c r="E22" s="239"/>
      <c r="F22" s="239"/>
      <c r="G22" s="239"/>
      <c r="H22" s="239"/>
      <c r="I22" s="239"/>
      <c r="J22" s="239"/>
      <c r="K22" s="239"/>
      <c r="L22" s="239"/>
      <c r="M22" s="239"/>
      <c r="N22" s="239"/>
      <c r="O22" s="239"/>
    </row>
    <row r="23" spans="1:24" ht="15.75" x14ac:dyDescent="0.25">
      <c r="A23" s="239"/>
      <c r="B23" s="239"/>
      <c r="C23" s="239"/>
      <c r="D23" s="239"/>
      <c r="E23" s="239"/>
      <c r="F23" s="239"/>
      <c r="G23" s="239"/>
      <c r="H23" s="239"/>
      <c r="I23" s="239"/>
      <c r="J23" s="239"/>
      <c r="K23" s="239"/>
      <c r="L23" s="239"/>
      <c r="M23" s="239"/>
      <c r="N23" s="239"/>
      <c r="O23" s="239"/>
    </row>
    <row r="24" spans="1:24" ht="15.75" x14ac:dyDescent="0.25">
      <c r="A24" s="239"/>
      <c r="B24" s="239"/>
      <c r="C24" s="239"/>
      <c r="D24" s="239"/>
      <c r="E24" s="239"/>
      <c r="F24" s="239"/>
      <c r="G24" s="239"/>
      <c r="H24" s="239"/>
      <c r="I24" s="239"/>
      <c r="J24" s="239"/>
      <c r="K24" s="239"/>
      <c r="L24" s="239"/>
      <c r="M24" s="239"/>
      <c r="N24" s="239"/>
      <c r="O24" s="239"/>
    </row>
    <row r="25" spans="1:24" ht="15.75" x14ac:dyDescent="0.25">
      <c r="A25" s="239"/>
      <c r="B25" s="239"/>
      <c r="C25" s="239"/>
      <c r="D25" s="239"/>
      <c r="E25" s="239"/>
      <c r="F25" s="239"/>
      <c r="G25" s="239"/>
      <c r="H25" s="239"/>
      <c r="I25" s="239"/>
      <c r="J25" s="239"/>
      <c r="K25" s="239"/>
      <c r="L25" s="239"/>
      <c r="M25" s="239"/>
      <c r="N25" s="239"/>
      <c r="O25" s="239"/>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6"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{FDF2E676-92F5-4E5F-A640-53D7CB92E0DE}</x14:id>
        </ext>
      </extLst>
    </cfRule>
  </conditionalFormatting>
  <hyperlinks>
    <hyperlink ref="H12:M20" location="统计!A1" display="跳转到统计表" xr:uid="{9F7CD087-EBF0-4ACA-9B41-C9E54C6F7A5B}"/>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FDF2E676-92F5-4E5F-A640-53D7CB92E0DE}">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42" id="{03D95CBE-2D61-4C7D-8207-A687124806A4}">
            <x14:dataBar minLength="0" maxLength="100">
              <x14:cfvo type="num">
                <xm:f>0</xm:f>
              </x14:cfvo>
              <x14:cfvo type="num">
                <xm:f>卡牌!$V$7</xm:f>
              </x14:cfvo>
              <x14:fillColor theme="4"/>
              <x14:negativeFillColor rgb="FFFF0000"/>
              <x14:axisColor rgb="FF000000"/>
            </x14:dataBar>
          </x14:cfRule>
          <xm:sqref>J7</xm:sqref>
        </x14:conditionalFormatting>
        <x14:conditionalFormatting xmlns:xm="http://schemas.microsoft.com/office/excel/2006/main">
          <x14:cfRule type="dataBar" priority="243" id="{AE5CDA1A-B724-4860-902A-04D18777964B}">
            <x14:dataBar minLength="0" maxLength="100">
              <x14:cfvo type="autoMin"/>
              <x14:cfvo type="num">
                <xm:f>卡牌!$V$7</xm:f>
              </x14:cfvo>
              <x14:fillColor rgb="FFFF0000"/>
              <x14:negativeFillColor rgb="FFFF0000"/>
              <x14:axisColor rgb="FF000000"/>
            </x14:dataBar>
          </x14:cfRule>
          <xm:sqref>K7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0D1C7-EE46-48F5-A306-16D93C12A084}">
  <dimension ref="A1:X27"/>
  <sheetViews>
    <sheetView workbookViewId="0">
      <selection activeCell="E23" sqref="E23"/>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2" customFormat="1" ht="30.75" customHeight="1" x14ac:dyDescent="0.25">
      <c r="A1" s="133" t="s">
        <v>201</v>
      </c>
      <c r="B1" s="133" t="s">
        <v>22</v>
      </c>
      <c r="C1" s="133" t="s">
        <v>200</v>
      </c>
      <c r="D1" s="133" t="s">
        <v>202</v>
      </c>
      <c r="E1" s="133" t="s">
        <v>93</v>
      </c>
      <c r="F1" s="133" t="s">
        <v>203</v>
      </c>
      <c r="G1" s="133" t="s">
        <v>204</v>
      </c>
      <c r="H1" s="133" t="s">
        <v>594</v>
      </c>
      <c r="I1" s="133" t="s">
        <v>214</v>
      </c>
      <c r="J1" s="133" t="s">
        <v>207</v>
      </c>
      <c r="K1" s="133" t="s">
        <v>208</v>
      </c>
      <c r="L1" s="133" t="s">
        <v>270</v>
      </c>
      <c r="M1" s="133" t="s">
        <v>226</v>
      </c>
      <c r="N1" s="239"/>
      <c r="O1" s="239"/>
    </row>
    <row r="2" spans="1:15" s="132" customFormat="1" ht="30.75" customHeight="1" x14ac:dyDescent="0.25">
      <c r="A2" s="136" t="s">
        <v>261</v>
      </c>
      <c r="B2" s="137" t="s">
        <v>588</v>
      </c>
      <c r="C2" s="156">
        <v>11</v>
      </c>
      <c r="D2" s="188">
        <v>25.089704101260857</v>
      </c>
      <c r="E2" s="166">
        <v>0.15681065063288036</v>
      </c>
      <c r="F2" s="139">
        <v>0</v>
      </c>
      <c r="G2" s="163">
        <v>2667.0504560638419</v>
      </c>
      <c r="H2" s="143">
        <v>13535.531218999669</v>
      </c>
      <c r="I2" s="230">
        <v>5.0584080849316246E-2</v>
      </c>
      <c r="J2" s="233">
        <v>25000</v>
      </c>
      <c r="K2" s="233">
        <v>187500</v>
      </c>
      <c r="L2" s="163"/>
      <c r="M2" s="134">
        <v>100</v>
      </c>
      <c r="N2" s="239"/>
      <c r="O2" s="239"/>
    </row>
    <row r="3" spans="1:15" s="132" customFormat="1" ht="30.75" customHeight="1" x14ac:dyDescent="0.25">
      <c r="A3" s="146" t="s">
        <v>262</v>
      </c>
      <c r="B3" s="139" t="s">
        <v>671</v>
      </c>
      <c r="C3" s="156">
        <v>12.15</v>
      </c>
      <c r="D3" s="188">
        <v>222.35852309463058</v>
      </c>
      <c r="E3" s="166">
        <v>0.3474351923353603</v>
      </c>
      <c r="F3" s="139">
        <v>0</v>
      </c>
      <c r="G3" s="163">
        <v>931.60437325312228</v>
      </c>
      <c r="H3" s="143">
        <v>10484.047885454167</v>
      </c>
      <c r="I3" s="229">
        <v>0.44830347398111003</v>
      </c>
      <c r="J3" s="233">
        <v>247500</v>
      </c>
      <c r="K3" s="233">
        <v>602500</v>
      </c>
      <c r="L3" s="163">
        <v>0</v>
      </c>
      <c r="M3" s="133" t="s">
        <v>163</v>
      </c>
      <c r="N3" s="239"/>
      <c r="O3" s="239"/>
    </row>
    <row r="4" spans="1:15" s="132" customFormat="1" ht="30.75" customHeight="1" x14ac:dyDescent="0.25">
      <c r="A4" s="147" t="s">
        <v>2</v>
      </c>
      <c r="B4" s="139" t="s">
        <v>672</v>
      </c>
      <c r="C4" s="156">
        <v>12.914285714285715</v>
      </c>
      <c r="D4" s="188">
        <v>2128.4366959351664</v>
      </c>
      <c r="E4" s="166">
        <v>0.55284070024290033</v>
      </c>
      <c r="F4" s="139">
        <v>1</v>
      </c>
      <c r="G4" s="163">
        <v>422.60342163360497</v>
      </c>
      <c r="H4" s="143">
        <v>4508.4203051073582</v>
      </c>
      <c r="I4" s="228">
        <v>4.2912030159983194</v>
      </c>
      <c r="J4" s="233">
        <v>768000</v>
      </c>
      <c r="K4" s="233">
        <v>833250</v>
      </c>
      <c r="L4" s="163">
        <v>275.86305102846342</v>
      </c>
      <c r="M4" s="149">
        <v>1.0206967249332792</v>
      </c>
      <c r="N4" s="239"/>
      <c r="O4" s="239"/>
    </row>
    <row r="5" spans="1:15" s="132" customFormat="1" ht="30.75" customHeight="1" x14ac:dyDescent="0.25">
      <c r="A5" s="150" t="s">
        <v>4</v>
      </c>
      <c r="B5" s="139" t="s">
        <v>246</v>
      </c>
      <c r="C5" s="156">
        <v>14.916666666666666</v>
      </c>
      <c r="D5" s="188">
        <v>9504</v>
      </c>
      <c r="E5" s="166">
        <v>1</v>
      </c>
      <c r="F5" s="139">
        <v>24</v>
      </c>
      <c r="G5" s="163" t="s">
        <v>168</v>
      </c>
      <c r="H5" s="143">
        <v>0</v>
      </c>
      <c r="I5" s="163">
        <v>20.842105263157894</v>
      </c>
      <c r="J5" s="233">
        <v>1092000</v>
      </c>
      <c r="K5" s="233">
        <v>30000</v>
      </c>
      <c r="L5" s="163">
        <v>3126.3157894736837</v>
      </c>
      <c r="M5" s="133" t="s">
        <v>642</v>
      </c>
      <c r="N5" s="239"/>
      <c r="O5" s="239"/>
    </row>
    <row r="6" spans="1:15" s="132" customFormat="1" ht="30.75" customHeight="1" x14ac:dyDescent="0.25">
      <c r="A6" s="134" t="s">
        <v>3</v>
      </c>
      <c r="B6" s="139" t="s">
        <v>247</v>
      </c>
      <c r="C6" s="156">
        <v>14.153846153846153</v>
      </c>
      <c r="D6" s="188">
        <v>14357.9974</v>
      </c>
      <c r="E6" s="166">
        <v>0.93836987125024507</v>
      </c>
      <c r="F6" s="139">
        <v>5</v>
      </c>
      <c r="G6" s="163">
        <v>264.866784000341</v>
      </c>
      <c r="H6" s="143">
        <v>326.45662258533537</v>
      </c>
      <c r="I6" s="163">
        <v>28.947575403225805</v>
      </c>
      <c r="J6" s="233">
        <v>451000</v>
      </c>
      <c r="K6" s="233">
        <v>160000</v>
      </c>
      <c r="L6" s="163">
        <v>334.01048542183622</v>
      </c>
      <c r="M6" s="149">
        <v>0.50384529680675127</v>
      </c>
      <c r="N6" s="239"/>
      <c r="O6" s="239"/>
    </row>
    <row r="7" spans="1:15" s="132" customFormat="1" ht="30.75" customHeight="1" x14ac:dyDescent="0.25">
      <c r="A7" s="133" t="s">
        <v>5</v>
      </c>
      <c r="B7" s="139" t="s">
        <v>673</v>
      </c>
      <c r="C7" s="156">
        <v>13.31958762886598</v>
      </c>
      <c r="D7" s="139"/>
      <c r="E7" s="161"/>
      <c r="F7" s="139">
        <v>30</v>
      </c>
      <c r="G7" s="175"/>
      <c r="H7" s="143"/>
      <c r="I7" s="163"/>
      <c r="J7" s="232">
        <v>2583500</v>
      </c>
      <c r="K7" s="231">
        <v>1813250</v>
      </c>
      <c r="L7" s="163">
        <v>3736.1893259239832</v>
      </c>
      <c r="M7" s="165" t="s">
        <v>674</v>
      </c>
      <c r="N7" s="239"/>
      <c r="O7" s="239"/>
    </row>
    <row r="8" spans="1:15" ht="34.5" customHeight="1" x14ac:dyDescent="0.25">
      <c r="A8" s="239"/>
      <c r="B8" s="239"/>
      <c r="C8" s="239"/>
      <c r="D8" s="239"/>
      <c r="E8" s="239"/>
      <c r="F8" s="239"/>
      <c r="G8" s="239"/>
      <c r="H8" s="239"/>
      <c r="I8" s="239"/>
      <c r="J8" s="239"/>
      <c r="K8" s="239"/>
      <c r="L8" s="239"/>
      <c r="M8" s="239"/>
      <c r="N8" s="237"/>
      <c r="O8" s="237"/>
    </row>
    <row r="9" spans="1:15" s="2" customFormat="1" ht="22.5" customHeight="1" x14ac:dyDescent="0.25">
      <c r="A9" s="316" t="s">
        <v>564</v>
      </c>
      <c r="B9" s="317"/>
      <c r="C9" s="317"/>
      <c r="D9" s="317"/>
      <c r="E9" s="318"/>
      <c r="F9" s="239"/>
      <c r="G9" s="239"/>
      <c r="H9" s="239"/>
      <c r="I9" s="239"/>
      <c r="J9" s="239"/>
      <c r="K9" s="239"/>
      <c r="L9" s="239"/>
      <c r="M9" s="239"/>
      <c r="N9" s="236"/>
      <c r="O9" s="236"/>
    </row>
    <row r="10" spans="1:15" s="2" customFormat="1" ht="22.5" customHeight="1" x14ac:dyDescent="0.25">
      <c r="A10" s="153" t="s">
        <v>144</v>
      </c>
      <c r="B10" s="153" t="s">
        <v>155</v>
      </c>
      <c r="C10" s="153" t="s">
        <v>210</v>
      </c>
      <c r="D10" s="153" t="s">
        <v>265</v>
      </c>
      <c r="E10" s="153" t="s">
        <v>160</v>
      </c>
      <c r="F10" s="239"/>
      <c r="G10" s="239"/>
      <c r="H10" s="239"/>
      <c r="I10" s="239"/>
      <c r="J10" s="239"/>
      <c r="K10" s="239"/>
      <c r="L10" s="239"/>
      <c r="M10" s="239"/>
      <c r="N10" s="236"/>
      <c r="O10" s="236"/>
    </row>
    <row r="11" spans="1:15" s="2" customFormat="1" ht="22.5" customHeight="1" x14ac:dyDescent="0.25">
      <c r="A11" s="136" t="s">
        <v>269</v>
      </c>
      <c r="B11" s="154">
        <v>10.562171911121325</v>
      </c>
      <c r="C11" s="144">
        <v>1689.947505779412</v>
      </c>
      <c r="D11" s="166">
        <v>0.16899475057794119</v>
      </c>
      <c r="E11" s="190">
        <v>34.628061189016933</v>
      </c>
      <c r="F11" s="239"/>
      <c r="G11" s="239"/>
      <c r="H11" s="239"/>
      <c r="I11" s="239"/>
      <c r="J11" s="239"/>
      <c r="K11" s="239"/>
      <c r="L11" s="239"/>
      <c r="M11" s="239"/>
      <c r="N11" s="236"/>
      <c r="O11" s="236"/>
    </row>
    <row r="12" spans="1:15" s="2" customFormat="1" ht="22.5" customHeight="1" x14ac:dyDescent="0.25">
      <c r="A12" s="146" t="s">
        <v>262</v>
      </c>
      <c r="B12" s="191">
        <v>4.7671078981560662</v>
      </c>
      <c r="C12" s="192">
        <v>3050.9490548198823</v>
      </c>
      <c r="D12" s="193">
        <v>0.30509490548198825</v>
      </c>
      <c r="E12" s="194">
        <v>7.0539386180102692</v>
      </c>
      <c r="F12" s="239"/>
      <c r="G12" s="239"/>
      <c r="H12" s="320" t="s">
        <v>216</v>
      </c>
      <c r="I12" s="320"/>
      <c r="J12" s="320"/>
      <c r="K12" s="320"/>
      <c r="L12" s="320"/>
      <c r="M12" s="320"/>
      <c r="N12" s="236"/>
      <c r="O12" s="236"/>
    </row>
    <row r="13" spans="1:15" s="2" customFormat="1" ht="22.5" customHeight="1" x14ac:dyDescent="0.25">
      <c r="A13" s="147" t="s">
        <v>2</v>
      </c>
      <c r="B13" s="157">
        <v>0.87153748991428093</v>
      </c>
      <c r="C13" s="144">
        <v>3355.4193361699818</v>
      </c>
      <c r="D13" s="166">
        <v>0.33554193361699819</v>
      </c>
      <c r="E13" s="144">
        <v>0.81046929527993306</v>
      </c>
      <c r="F13" s="239"/>
      <c r="G13" s="239"/>
      <c r="H13" s="320"/>
      <c r="I13" s="320"/>
      <c r="J13" s="320"/>
      <c r="K13" s="320"/>
      <c r="L13" s="320"/>
      <c r="M13" s="320"/>
      <c r="N13" s="236"/>
      <c r="O13" s="236"/>
    </row>
    <row r="14" spans="1:15" s="2" customFormat="1" ht="22.5" customHeight="1" x14ac:dyDescent="0.25">
      <c r="A14" s="150" t="s">
        <v>4</v>
      </c>
      <c r="B14" s="195">
        <v>0</v>
      </c>
      <c r="C14" s="192">
        <v>0</v>
      </c>
      <c r="D14" s="193">
        <v>0</v>
      </c>
      <c r="E14" s="196">
        <v>0</v>
      </c>
      <c r="F14" s="239"/>
      <c r="G14" s="239"/>
      <c r="H14" s="320"/>
      <c r="I14" s="320"/>
      <c r="J14" s="320"/>
      <c r="K14" s="320"/>
      <c r="L14" s="320"/>
      <c r="M14" s="320"/>
      <c r="N14" s="236"/>
      <c r="O14" s="236"/>
    </row>
    <row r="15" spans="1:15" s="2" customFormat="1" ht="22.5" customHeight="1" x14ac:dyDescent="0.25">
      <c r="A15" s="134" t="s">
        <v>3</v>
      </c>
      <c r="B15" s="159">
        <v>4.7987513675366425E-2</v>
      </c>
      <c r="C15" s="144">
        <v>734.25694674678164</v>
      </c>
      <c r="D15" s="166">
        <v>7.342569467467816E-2</v>
      </c>
      <c r="E15" s="158">
        <v>2.6290854088497434E-2</v>
      </c>
      <c r="F15" s="239"/>
      <c r="G15" s="239"/>
      <c r="H15" s="320"/>
      <c r="I15" s="320"/>
      <c r="J15" s="320"/>
      <c r="K15" s="320"/>
      <c r="L15" s="320"/>
      <c r="M15" s="320"/>
      <c r="N15" s="236"/>
      <c r="O15" s="236"/>
    </row>
    <row r="16" spans="1:15" s="2" customFormat="1" ht="22.5" customHeight="1" x14ac:dyDescent="0.25">
      <c r="A16" s="133" t="s">
        <v>113</v>
      </c>
      <c r="B16" s="191">
        <v>0.76659426129911656</v>
      </c>
      <c r="C16" s="191">
        <v>6.8993483516920495</v>
      </c>
      <c r="D16" s="193">
        <v>6.8993483516920496E-4</v>
      </c>
      <c r="E16" s="197">
        <v>1.0115677103084391</v>
      </c>
      <c r="F16" s="239"/>
      <c r="G16" s="239"/>
      <c r="H16" s="320"/>
      <c r="I16" s="320"/>
      <c r="J16" s="320"/>
      <c r="K16" s="320"/>
      <c r="L16" s="320"/>
      <c r="M16" s="320"/>
      <c r="N16" s="236"/>
      <c r="O16" s="236"/>
    </row>
    <row r="17" spans="1:24" s="2" customFormat="1" ht="22.5" customHeight="1" x14ac:dyDescent="0.25">
      <c r="A17" s="133" t="s">
        <v>161</v>
      </c>
      <c r="B17" s="162">
        <v>0.96643511182031983</v>
      </c>
      <c r="C17" s="156"/>
      <c r="D17" s="161"/>
      <c r="E17" s="154">
        <v>0.97997357727177792</v>
      </c>
      <c r="F17" s="239"/>
      <c r="G17" s="239"/>
      <c r="H17" s="320"/>
      <c r="I17" s="320"/>
      <c r="J17" s="320"/>
      <c r="K17" s="320"/>
      <c r="L17" s="320"/>
      <c r="M17" s="320"/>
      <c r="N17" s="236"/>
      <c r="O17" s="236"/>
    </row>
    <row r="18" spans="1:24" s="2" customFormat="1" ht="22.5" customHeight="1" x14ac:dyDescent="0.25">
      <c r="A18" s="133" t="s">
        <v>121</v>
      </c>
      <c r="B18" s="198">
        <v>7.7593804703694452E-2</v>
      </c>
      <c r="C18" s="191"/>
      <c r="D18" s="199"/>
      <c r="E18" s="191">
        <v>8.7238966545196514E-2</v>
      </c>
      <c r="F18" s="239"/>
      <c r="G18" s="239"/>
      <c r="H18" s="320"/>
      <c r="I18" s="320"/>
      <c r="J18" s="320"/>
      <c r="K18" s="320"/>
      <c r="L18" s="320"/>
      <c r="M18" s="320"/>
      <c r="N18" s="236"/>
      <c r="O18" s="236"/>
    </row>
    <row r="19" spans="1:24" s="2" customFormat="1" ht="22.5" customHeight="1" x14ac:dyDescent="0.25">
      <c r="A19" s="133" t="s">
        <v>119</v>
      </c>
      <c r="B19" s="156">
        <v>1.5128953017675248</v>
      </c>
      <c r="C19" s="156"/>
      <c r="D19" s="161"/>
      <c r="E19" s="154">
        <v>1.4452753713402084</v>
      </c>
      <c r="F19" s="239"/>
      <c r="G19" s="237"/>
      <c r="H19" s="320"/>
      <c r="I19" s="320"/>
      <c r="J19" s="320"/>
      <c r="K19" s="320"/>
      <c r="L19" s="320"/>
      <c r="M19" s="320"/>
      <c r="N19" s="236"/>
      <c r="O19" s="236"/>
    </row>
    <row r="20" spans="1:24" s="2" customFormat="1" ht="22.5" customHeight="1" x14ac:dyDescent="0.25">
      <c r="A20" s="133" t="s">
        <v>210</v>
      </c>
      <c r="B20" s="200">
        <v>8830.5728435160581</v>
      </c>
      <c r="C20" s="200">
        <v>8830.5728435160581</v>
      </c>
      <c r="D20" s="201">
        <v>0.88305728435160591</v>
      </c>
      <c r="E20" s="200"/>
      <c r="F20" s="239"/>
      <c r="G20" s="237"/>
      <c r="H20" s="320"/>
      <c r="I20" s="320"/>
      <c r="J20" s="320"/>
      <c r="K20" s="320"/>
      <c r="L20" s="320"/>
      <c r="M20" s="320"/>
      <c r="N20" s="239"/>
      <c r="O20" s="239"/>
    </row>
    <row r="21" spans="1:24" ht="15.75" x14ac:dyDescent="0.25">
      <c r="A21" s="239"/>
      <c r="B21" s="239"/>
      <c r="C21" s="239"/>
      <c r="D21" s="239"/>
      <c r="E21" s="239"/>
      <c r="F21" s="239"/>
      <c r="G21" s="239"/>
      <c r="H21" s="239"/>
      <c r="I21" s="239"/>
      <c r="J21" s="239"/>
      <c r="K21" s="239"/>
      <c r="L21" s="239"/>
      <c r="M21" s="239"/>
      <c r="N21" s="239"/>
      <c r="O21" s="239"/>
    </row>
    <row r="22" spans="1:24" ht="15.75" x14ac:dyDescent="0.25">
      <c r="A22" s="239"/>
      <c r="B22" s="239"/>
      <c r="C22" s="239"/>
      <c r="D22" s="239"/>
      <c r="E22" s="239"/>
      <c r="F22" s="239"/>
      <c r="G22" s="239"/>
      <c r="H22" s="239"/>
      <c r="I22" s="239"/>
      <c r="J22" s="239"/>
      <c r="K22" s="239"/>
      <c r="L22" s="239"/>
      <c r="M22" s="239"/>
      <c r="N22" s="239"/>
      <c r="O22" s="239"/>
    </row>
    <row r="23" spans="1:24" ht="15.75" x14ac:dyDescent="0.25">
      <c r="A23" s="239"/>
      <c r="B23" s="239"/>
      <c r="C23" s="239"/>
      <c r="D23" s="239"/>
      <c r="E23" s="239"/>
      <c r="F23" s="239"/>
      <c r="G23" s="239"/>
      <c r="H23" s="239"/>
      <c r="I23" s="239"/>
      <c r="J23" s="239"/>
      <c r="K23" s="239"/>
      <c r="L23" s="239"/>
      <c r="M23" s="239"/>
      <c r="N23" s="239"/>
      <c r="O23" s="239"/>
    </row>
    <row r="24" spans="1:24" ht="15.75" x14ac:dyDescent="0.25">
      <c r="A24" s="239"/>
      <c r="B24" s="239"/>
      <c r="C24" s="239"/>
      <c r="D24" s="239"/>
      <c r="E24" s="239"/>
      <c r="F24" s="239"/>
      <c r="G24" s="239"/>
      <c r="H24" s="239"/>
      <c r="I24" s="239"/>
      <c r="J24" s="239"/>
      <c r="K24" s="239"/>
      <c r="L24" s="239"/>
      <c r="M24" s="239"/>
      <c r="N24" s="239"/>
      <c r="O24" s="239"/>
    </row>
    <row r="25" spans="1:24" ht="15.75" x14ac:dyDescent="0.25">
      <c r="A25" s="239"/>
      <c r="B25" s="239"/>
      <c r="C25" s="239"/>
      <c r="D25" s="239"/>
      <c r="E25" s="239"/>
      <c r="F25" s="239"/>
      <c r="G25" s="239"/>
      <c r="H25" s="239"/>
      <c r="I25" s="239"/>
      <c r="J25" s="239"/>
      <c r="K25" s="239"/>
      <c r="L25" s="239"/>
      <c r="M25" s="239"/>
      <c r="N25" s="239"/>
      <c r="O25" s="239"/>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5"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{83CF5032-2091-4377-B699-692F7604B543}</x14:id>
        </ext>
      </extLst>
    </cfRule>
  </conditionalFormatting>
  <hyperlinks>
    <hyperlink ref="H12:M20" location="统计!A1" display="跳转到统计表" xr:uid="{1A2B68C5-00D1-4426-BA7D-7609EA63E57C}"/>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83CF5032-2091-4377-B699-692F7604B543}">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44" id="{74C50EDB-78FE-4DBA-99AD-BA4FEFBF6ABE}">
            <x14:dataBar minLength="0" maxLength="100">
              <x14:cfvo type="num">
                <xm:f>0</xm:f>
              </x14:cfvo>
              <x14:cfvo type="num">
                <xm:f>卡牌!$V$7</xm:f>
              </x14:cfvo>
              <x14:fillColor theme="4"/>
              <x14:negativeFillColor rgb="FFFF0000"/>
              <x14:axisColor rgb="FF000000"/>
            </x14:dataBar>
          </x14:cfRule>
          <xm:sqref>J7</xm:sqref>
        </x14:conditionalFormatting>
        <x14:conditionalFormatting xmlns:xm="http://schemas.microsoft.com/office/excel/2006/main">
          <x14:cfRule type="dataBar" priority="245" id="{29E8A74E-A335-4292-A080-02FF831D7FD4}">
            <x14:dataBar minLength="0" maxLength="100">
              <x14:cfvo type="autoMin"/>
              <x14:cfvo type="num">
                <xm:f>卡牌!$V$7</xm:f>
              </x14:cfvo>
              <x14:fillColor rgb="FFFF0000"/>
              <x14:negativeFillColor rgb="FFFF0000"/>
              <x14:axisColor rgb="FF000000"/>
            </x14:dataBar>
          </x14:cfRule>
          <xm:sqref>K7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CD13-0631-424B-B61A-84B4E2895BB0}">
  <dimension ref="A1:X27"/>
  <sheetViews>
    <sheetView workbookViewId="0">
      <selection activeCell="M2" sqref="M2"/>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6.875" customWidth="1"/>
  </cols>
  <sheetData>
    <row r="1" spans="1:15" s="132" customFormat="1" ht="30.75" customHeight="1" x14ac:dyDescent="0.25">
      <c r="A1" s="133" t="s">
        <v>201</v>
      </c>
      <c r="B1" s="133" t="s">
        <v>22</v>
      </c>
      <c r="C1" s="133" t="s">
        <v>200</v>
      </c>
      <c r="D1" s="133" t="s">
        <v>202</v>
      </c>
      <c r="E1" s="133" t="s">
        <v>93</v>
      </c>
      <c r="F1" s="133" t="s">
        <v>203</v>
      </c>
      <c r="G1" s="133" t="s">
        <v>204</v>
      </c>
      <c r="H1" s="133" t="s">
        <v>594</v>
      </c>
      <c r="I1" s="133" t="s">
        <v>214</v>
      </c>
      <c r="J1" s="133" t="s">
        <v>207</v>
      </c>
      <c r="K1" s="133" t="s">
        <v>208</v>
      </c>
      <c r="L1" s="133" t="s">
        <v>270</v>
      </c>
      <c r="M1" s="133" t="s">
        <v>226</v>
      </c>
      <c r="N1" s="239"/>
      <c r="O1" s="239"/>
    </row>
    <row r="2" spans="1:15" s="132" customFormat="1" ht="30.75" customHeight="1" x14ac:dyDescent="0.25">
      <c r="A2" s="136" t="s">
        <v>261</v>
      </c>
      <c r="B2" s="137" t="s">
        <v>588</v>
      </c>
      <c r="C2" s="156">
        <v>10.8</v>
      </c>
      <c r="D2" s="188">
        <v>22</v>
      </c>
      <c r="E2" s="166">
        <v>0.13750000000000001</v>
      </c>
      <c r="F2" s="139">
        <v>0</v>
      </c>
      <c r="G2" s="163">
        <v>2935.6363636363635</v>
      </c>
      <c r="H2" s="143">
        <v>13845.520801644107</v>
      </c>
      <c r="I2" s="230">
        <v>4.7008547008547008E-2</v>
      </c>
      <c r="J2" s="233">
        <v>22000</v>
      </c>
      <c r="K2" s="233">
        <v>190500</v>
      </c>
      <c r="L2" s="163"/>
      <c r="M2" s="134">
        <v>100</v>
      </c>
      <c r="N2" s="239"/>
      <c r="O2" s="239"/>
    </row>
    <row r="3" spans="1:15" s="132" customFormat="1" ht="30.75" customHeight="1" x14ac:dyDescent="0.25">
      <c r="A3" s="146" t="s">
        <v>262</v>
      </c>
      <c r="B3" s="139" t="s">
        <v>637</v>
      </c>
      <c r="C3" s="156">
        <v>12.210526315789474</v>
      </c>
      <c r="D3" s="188">
        <v>212</v>
      </c>
      <c r="E3" s="166">
        <v>0.34868421052631576</v>
      </c>
      <c r="F3" s="139">
        <v>0</v>
      </c>
      <c r="G3" s="163">
        <v>874.18867924528308</v>
      </c>
      <c r="H3" s="143">
        <v>9940.7822072723702</v>
      </c>
      <c r="I3" s="229">
        <v>0.45299145299145294</v>
      </c>
      <c r="J3" s="233">
        <v>242500</v>
      </c>
      <c r="K3" s="233">
        <v>565000</v>
      </c>
      <c r="L3" s="163">
        <v>0</v>
      </c>
      <c r="M3" s="133" t="s">
        <v>163</v>
      </c>
      <c r="N3" s="239"/>
      <c r="O3" s="239"/>
    </row>
    <row r="4" spans="1:15" s="132" customFormat="1" ht="30.75" customHeight="1" x14ac:dyDescent="0.25">
      <c r="A4" s="147" t="s">
        <v>2</v>
      </c>
      <c r="B4" s="139" t="s">
        <v>272</v>
      </c>
      <c r="C4" s="156">
        <v>13</v>
      </c>
      <c r="D4" s="188">
        <v>1996</v>
      </c>
      <c r="E4" s="166">
        <v>0.53368983957219251</v>
      </c>
      <c r="F4" s="139">
        <v>0</v>
      </c>
      <c r="G4" s="163">
        <v>408.91382765531057</v>
      </c>
      <c r="H4" s="143">
        <v>4567.1773983230341</v>
      </c>
      <c r="I4" s="229">
        <v>4.2649572649572649</v>
      </c>
      <c r="J4" s="233">
        <v>723000</v>
      </c>
      <c r="K4" s="233">
        <v>832500</v>
      </c>
      <c r="L4" s="163">
        <v>0</v>
      </c>
      <c r="M4" s="149">
        <v>1.0003711624454303</v>
      </c>
      <c r="N4" s="239"/>
      <c r="O4" s="239"/>
    </row>
    <row r="5" spans="1:15" s="132" customFormat="1" ht="30.75" customHeight="1" x14ac:dyDescent="0.25">
      <c r="A5" s="150" t="s">
        <v>4</v>
      </c>
      <c r="B5" s="139" t="s">
        <v>246</v>
      </c>
      <c r="C5" s="156">
        <v>14.833333333333334</v>
      </c>
      <c r="D5" s="188">
        <v>9427</v>
      </c>
      <c r="E5" s="166">
        <v>0.99189814814814814</v>
      </c>
      <c r="F5" s="139">
        <v>21</v>
      </c>
      <c r="G5" s="163" t="s">
        <v>168</v>
      </c>
      <c r="H5" s="143">
        <v>45.70275403608737</v>
      </c>
      <c r="I5" s="228">
        <v>20.673245614035089</v>
      </c>
      <c r="J5" s="233">
        <v>1062000</v>
      </c>
      <c r="K5" s="233">
        <v>60000</v>
      </c>
      <c r="L5" s="163">
        <v>2713.3634868421054</v>
      </c>
      <c r="M5" s="133" t="s">
        <v>642</v>
      </c>
      <c r="N5" s="239"/>
      <c r="O5" s="239"/>
    </row>
    <row r="6" spans="1:15" s="132" customFormat="1" ht="30.75" customHeight="1" x14ac:dyDescent="0.25">
      <c r="A6" s="134" t="s">
        <v>3</v>
      </c>
      <c r="B6" s="139" t="s">
        <v>247</v>
      </c>
      <c r="C6" s="156">
        <v>14</v>
      </c>
      <c r="D6" s="188">
        <v>13461</v>
      </c>
      <c r="E6" s="166">
        <v>0.87974642180249651</v>
      </c>
      <c r="F6" s="139">
        <v>1</v>
      </c>
      <c r="G6" s="163">
        <v>98.970616853227853</v>
      </c>
      <c r="H6" s="143">
        <v>636.98677560063697</v>
      </c>
      <c r="I6" s="228">
        <v>28.762820512820515</v>
      </c>
      <c r="J6" s="233">
        <v>421000</v>
      </c>
      <c r="K6" s="233">
        <v>190000</v>
      </c>
      <c r="L6" s="163">
        <v>66.375739644970423</v>
      </c>
      <c r="M6" s="149">
        <v>0.49024700994881348</v>
      </c>
      <c r="N6" s="239"/>
      <c r="O6" s="239"/>
    </row>
    <row r="7" spans="1:15" s="132" customFormat="1" ht="30.75" customHeight="1" x14ac:dyDescent="0.25">
      <c r="A7" s="133" t="s">
        <v>5</v>
      </c>
      <c r="B7" s="139" t="s">
        <v>638</v>
      </c>
      <c r="C7" s="156">
        <v>13.326315789473684</v>
      </c>
      <c r="D7" s="139"/>
      <c r="E7" s="161"/>
      <c r="F7" s="139">
        <v>22</v>
      </c>
      <c r="G7" s="175"/>
      <c r="H7" s="143"/>
      <c r="I7" s="163"/>
      <c r="J7" s="232">
        <v>2470500</v>
      </c>
      <c r="K7" s="231">
        <v>1838000</v>
      </c>
      <c r="L7" s="163">
        <v>2779.7392264870759</v>
      </c>
      <c r="M7" s="165" t="s">
        <v>639</v>
      </c>
      <c r="N7" s="239"/>
      <c r="O7" s="239"/>
    </row>
    <row r="8" spans="1:15" ht="34.5" customHeight="1" x14ac:dyDescent="0.25">
      <c r="A8" s="239"/>
      <c r="B8" s="239"/>
      <c r="C8" s="239"/>
      <c r="D8" s="239"/>
      <c r="E8" s="239"/>
      <c r="F8" s="239"/>
      <c r="G8" s="239"/>
      <c r="H8" s="239"/>
      <c r="I8" s="239"/>
      <c r="J8" s="239"/>
      <c r="K8" s="239"/>
      <c r="L8" s="239"/>
      <c r="M8" s="239"/>
      <c r="N8" s="237"/>
      <c r="O8" s="237"/>
    </row>
    <row r="9" spans="1:15" s="2" customFormat="1" ht="22.5" customHeight="1" x14ac:dyDescent="0.25">
      <c r="A9" s="316" t="s">
        <v>564</v>
      </c>
      <c r="B9" s="317"/>
      <c r="C9" s="317"/>
      <c r="D9" s="317"/>
      <c r="E9" s="318"/>
      <c r="F9" s="239"/>
      <c r="G9" s="239"/>
      <c r="H9" s="239"/>
      <c r="I9" s="239"/>
      <c r="J9" s="239"/>
      <c r="K9" s="239"/>
      <c r="L9" s="239"/>
      <c r="M9" s="239"/>
      <c r="N9" s="236"/>
      <c r="O9" s="236"/>
    </row>
    <row r="10" spans="1:15" s="2" customFormat="1" ht="22.5" customHeight="1" x14ac:dyDescent="0.25">
      <c r="A10" s="153" t="s">
        <v>144</v>
      </c>
      <c r="B10" s="153" t="s">
        <v>155</v>
      </c>
      <c r="C10" s="153" t="s">
        <v>210</v>
      </c>
      <c r="D10" s="153" t="s">
        <v>265</v>
      </c>
      <c r="E10" s="153" t="s">
        <v>160</v>
      </c>
      <c r="F10" s="239"/>
      <c r="G10" s="239"/>
      <c r="H10" s="239"/>
      <c r="I10" s="239"/>
      <c r="J10" s="239"/>
      <c r="K10" s="239"/>
      <c r="L10" s="239"/>
      <c r="M10" s="239"/>
      <c r="N10" s="236"/>
      <c r="O10" s="236"/>
    </row>
    <row r="11" spans="1:15" s="2" customFormat="1" ht="22.5" customHeight="1" x14ac:dyDescent="0.25">
      <c r="A11" s="136" t="s">
        <v>269</v>
      </c>
      <c r="B11" s="154">
        <v>11.781024869768082</v>
      </c>
      <c r="C11" s="144">
        <v>1884.9639791628931</v>
      </c>
      <c r="D11" s="166">
        <v>0.1884963979162893</v>
      </c>
      <c r="E11" s="190">
        <v>42.192934282556593</v>
      </c>
      <c r="F11" s="239"/>
      <c r="G11" s="239"/>
      <c r="H11" s="239"/>
      <c r="I11" s="239"/>
      <c r="J11" s="239"/>
      <c r="K11" s="239"/>
      <c r="L11" s="239"/>
      <c r="M11" s="239"/>
      <c r="N11" s="236"/>
      <c r="O11" s="236"/>
    </row>
    <row r="12" spans="1:15" s="2" customFormat="1" ht="22.5" customHeight="1" x14ac:dyDescent="0.25">
      <c r="A12" s="146" t="s">
        <v>262</v>
      </c>
      <c r="B12" s="191">
        <v>4.6457249014745834</v>
      </c>
      <c r="C12" s="192">
        <v>2824.6007400965468</v>
      </c>
      <c r="D12" s="193">
        <v>0.28246007400965467</v>
      </c>
      <c r="E12" s="194">
        <v>6.5611589974950331</v>
      </c>
      <c r="F12" s="239"/>
      <c r="G12" s="239"/>
      <c r="H12" s="320" t="s">
        <v>216</v>
      </c>
      <c r="I12" s="320"/>
      <c r="J12" s="320"/>
      <c r="K12" s="320"/>
      <c r="L12" s="320"/>
      <c r="M12" s="320"/>
      <c r="N12" s="236"/>
      <c r="O12" s="236"/>
    </row>
    <row r="13" spans="1:15" s="2" customFormat="1" ht="22.5" customHeight="1" x14ac:dyDescent="0.25">
      <c r="A13" s="147" t="s">
        <v>2</v>
      </c>
      <c r="B13" s="157">
        <v>0.88298663352570406</v>
      </c>
      <c r="C13" s="144">
        <v>3302.370009386133</v>
      </c>
      <c r="D13" s="166">
        <v>0.3302370009386133</v>
      </c>
      <c r="E13" s="144">
        <v>0.81475033775938344</v>
      </c>
      <c r="F13" s="239"/>
      <c r="G13" s="239"/>
      <c r="H13" s="320"/>
      <c r="I13" s="320"/>
      <c r="J13" s="320"/>
      <c r="K13" s="320"/>
      <c r="L13" s="320"/>
      <c r="M13" s="320"/>
      <c r="N13" s="236"/>
      <c r="O13" s="236"/>
    </row>
    <row r="14" spans="1:15" s="2" customFormat="1" ht="22.5" customHeight="1" x14ac:dyDescent="0.25">
      <c r="A14" s="150" t="s">
        <v>4</v>
      </c>
      <c r="B14" s="195">
        <v>0</v>
      </c>
      <c r="C14" s="192">
        <v>0</v>
      </c>
      <c r="D14" s="193">
        <v>0</v>
      </c>
      <c r="E14" s="196">
        <v>0</v>
      </c>
      <c r="F14" s="239"/>
      <c r="G14" s="239"/>
      <c r="H14" s="320"/>
      <c r="I14" s="320"/>
      <c r="J14" s="320"/>
      <c r="K14" s="320"/>
      <c r="L14" s="320"/>
      <c r="M14" s="320"/>
      <c r="N14" s="236"/>
      <c r="O14" s="236"/>
    </row>
    <row r="15" spans="1:15" s="2" customFormat="1" ht="22.5" customHeight="1" x14ac:dyDescent="0.25">
      <c r="A15" s="134" t="s">
        <v>3</v>
      </c>
      <c r="B15" s="159">
        <v>5.0061260125602434E-2</v>
      </c>
      <c r="C15" s="144">
        <v>765.98734118184279</v>
      </c>
      <c r="D15" s="166">
        <v>7.6598734118184283E-2</v>
      </c>
      <c r="E15" s="158">
        <v>2.802228997140898E-2</v>
      </c>
      <c r="F15" s="239"/>
      <c r="G15" s="239"/>
      <c r="H15" s="320"/>
      <c r="I15" s="320"/>
      <c r="J15" s="320"/>
      <c r="K15" s="320"/>
      <c r="L15" s="320"/>
      <c r="M15" s="320"/>
      <c r="N15" s="236"/>
      <c r="O15" s="236"/>
    </row>
    <row r="16" spans="1:15" s="2" customFormat="1" ht="22.5" customHeight="1" x14ac:dyDescent="0.25">
      <c r="A16" s="133" t="s">
        <v>113</v>
      </c>
      <c r="B16" s="191">
        <v>0.78426945495407696</v>
      </c>
      <c r="C16" s="191">
        <v>0</v>
      </c>
      <c r="D16" s="193">
        <v>0</v>
      </c>
      <c r="E16" s="197">
        <v>1.0739735703084601</v>
      </c>
      <c r="F16" s="239"/>
      <c r="G16" s="239"/>
      <c r="H16" s="320"/>
      <c r="I16" s="320"/>
      <c r="J16" s="320"/>
      <c r="K16" s="320"/>
      <c r="L16" s="320"/>
      <c r="M16" s="320"/>
      <c r="N16" s="236"/>
      <c r="O16" s="236"/>
    </row>
    <row r="17" spans="1:24" s="2" customFormat="1" ht="22.5" customHeight="1" x14ac:dyDescent="0.25">
      <c r="A17" s="133" t="s">
        <v>161</v>
      </c>
      <c r="B17" s="162">
        <v>0.97681664003384283</v>
      </c>
      <c r="C17" s="156"/>
      <c r="D17" s="161"/>
      <c r="E17" s="154">
        <v>0.97517928157592104</v>
      </c>
      <c r="F17" s="239"/>
      <c r="G17" s="239"/>
      <c r="H17" s="320"/>
      <c r="I17" s="320"/>
      <c r="J17" s="320"/>
      <c r="K17" s="320"/>
      <c r="L17" s="320"/>
      <c r="M17" s="320"/>
      <c r="N17" s="236"/>
      <c r="O17" s="236"/>
    </row>
    <row r="18" spans="1:24" s="2" customFormat="1" ht="22.5" customHeight="1" x14ac:dyDescent="0.25">
      <c r="A18" s="133" t="s">
        <v>121</v>
      </c>
      <c r="B18" s="198">
        <v>7.9003931338015754E-2</v>
      </c>
      <c r="C18" s="191"/>
      <c r="D18" s="199"/>
      <c r="E18" s="191">
        <v>8.9624783985184406E-2</v>
      </c>
      <c r="F18" s="239"/>
      <c r="G18" s="239"/>
      <c r="H18" s="320"/>
      <c r="I18" s="320"/>
      <c r="J18" s="320"/>
      <c r="K18" s="320"/>
      <c r="L18" s="320"/>
      <c r="M18" s="320"/>
      <c r="N18" s="236"/>
      <c r="O18" s="236"/>
    </row>
    <row r="19" spans="1:24" s="2" customFormat="1" ht="22.5" customHeight="1" x14ac:dyDescent="0.2">
      <c r="A19" s="133" t="s">
        <v>119</v>
      </c>
      <c r="B19" s="156">
        <v>1.5670268875293478</v>
      </c>
      <c r="C19" s="156"/>
      <c r="D19" s="161"/>
      <c r="E19" s="154">
        <v>1.6256467617416299</v>
      </c>
      <c r="F19" s="237"/>
      <c r="G19" s="237"/>
      <c r="H19" s="320"/>
      <c r="I19" s="320"/>
      <c r="J19" s="320"/>
      <c r="K19" s="320"/>
      <c r="L19" s="320"/>
      <c r="M19" s="320"/>
      <c r="N19" s="236"/>
      <c r="O19" s="236"/>
    </row>
    <row r="20" spans="1:24" s="2" customFormat="1" ht="22.5" customHeight="1" x14ac:dyDescent="0.25">
      <c r="A20" s="133" t="s">
        <v>210</v>
      </c>
      <c r="B20" s="200">
        <v>8777.9220698274148</v>
      </c>
      <c r="C20" s="200">
        <v>8777.9220698274148</v>
      </c>
      <c r="D20" s="201">
        <v>0.87779220698274163</v>
      </c>
      <c r="E20" s="200"/>
      <c r="F20" s="237"/>
      <c r="G20" s="237"/>
      <c r="H20" s="320"/>
      <c r="I20" s="320"/>
      <c r="J20" s="320"/>
      <c r="K20" s="320"/>
      <c r="L20" s="320"/>
      <c r="M20" s="320"/>
      <c r="N20" s="239"/>
      <c r="O20" s="239"/>
    </row>
    <row r="21" spans="1:24" ht="15.75" x14ac:dyDescent="0.25">
      <c r="A21" s="239"/>
      <c r="B21" s="239"/>
      <c r="C21" s="239"/>
      <c r="D21" s="239"/>
      <c r="E21" s="239"/>
      <c r="F21" s="239"/>
      <c r="G21" s="239"/>
      <c r="H21" s="239"/>
      <c r="I21" s="239"/>
      <c r="J21" s="239"/>
      <c r="K21" s="239"/>
      <c r="L21" s="239"/>
      <c r="M21" s="239"/>
      <c r="N21" s="239"/>
      <c r="O21" s="239"/>
    </row>
    <row r="22" spans="1:24" ht="15.75" x14ac:dyDescent="0.25">
      <c r="A22" s="239"/>
      <c r="B22" s="239"/>
      <c r="C22" s="239"/>
      <c r="D22" s="239"/>
      <c r="E22" s="239"/>
      <c r="F22" s="239"/>
      <c r="G22" s="239"/>
      <c r="H22" s="239"/>
      <c r="I22" s="239"/>
      <c r="J22" s="239"/>
      <c r="K22" s="239"/>
      <c r="L22" s="239"/>
      <c r="M22" s="239"/>
      <c r="N22" s="239"/>
      <c r="O22" s="239"/>
    </row>
    <row r="23" spans="1:24" ht="15.75" x14ac:dyDescent="0.25">
      <c r="A23" s="239"/>
      <c r="B23" s="239"/>
      <c r="C23" s="239"/>
      <c r="D23" s="239"/>
      <c r="E23" s="239"/>
      <c r="F23" s="239"/>
      <c r="G23" s="239"/>
      <c r="H23" s="239"/>
      <c r="I23" s="239"/>
      <c r="J23" s="239"/>
      <c r="K23" s="239"/>
      <c r="L23" s="239"/>
      <c r="M23" s="239"/>
      <c r="N23" s="239"/>
      <c r="O23" s="239"/>
    </row>
    <row r="24" spans="1:24" ht="15.75" x14ac:dyDescent="0.25">
      <c r="A24" s="239"/>
      <c r="B24" s="239"/>
      <c r="C24" s="239"/>
      <c r="D24" s="239"/>
      <c r="E24" s="239"/>
      <c r="F24" s="239"/>
      <c r="G24" s="239"/>
      <c r="H24" s="239"/>
      <c r="I24" s="239"/>
      <c r="J24" s="239"/>
      <c r="K24" s="239"/>
      <c r="L24" s="239"/>
      <c r="M24" s="239"/>
      <c r="N24" s="239"/>
      <c r="O24" s="239"/>
    </row>
    <row r="25" spans="1:24" ht="15.75" x14ac:dyDescent="0.25">
      <c r="A25" s="239"/>
      <c r="B25" s="239"/>
      <c r="C25" s="239"/>
      <c r="D25" s="239"/>
      <c r="E25" s="239"/>
      <c r="F25" s="239"/>
      <c r="G25" s="239"/>
      <c r="H25" s="239"/>
      <c r="I25" s="239"/>
      <c r="J25" s="239"/>
      <c r="K25" s="239"/>
      <c r="L25" s="239"/>
      <c r="M25" s="239"/>
      <c r="N25" s="239"/>
      <c r="O25" s="239"/>
      <c r="U25" s="2"/>
      <c r="V25" s="2"/>
      <c r="X25" s="2"/>
    </row>
    <row r="26" spans="1:24" x14ac:dyDescent="0.2">
      <c r="U26" s="2"/>
      <c r="V26" s="2"/>
      <c r="W26" s="2"/>
      <c r="X26" s="2"/>
    </row>
    <row r="27" spans="1:24" x14ac:dyDescent="0.2">
      <c r="U27" s="2"/>
      <c r="V27" s="2"/>
      <c r="W27" s="2"/>
      <c r="X27" s="2"/>
    </row>
  </sheetData>
  <mergeCells count="2">
    <mergeCell ref="A9:E9"/>
    <mergeCell ref="H12:M20"/>
  </mergeCells>
  <phoneticPr fontId="1" type="noConversion"/>
  <conditionalFormatting sqref="B11:E15 D16">
    <cfRule type="cellIs" dxfId="24"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{BF99F517-DC81-4AF6-B04F-DAE4C71FF846}</x14:id>
        </ext>
      </extLst>
    </cfRule>
  </conditionalFormatting>
  <hyperlinks>
    <hyperlink ref="H12:M20" location="统计!A1" display="跳转到统计表" xr:uid="{808DDCDC-C6D8-4A53-B40C-5D8270516914}"/>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BF99F517-DC81-4AF6-B04F-DAE4C71FF846}">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46" id="{35EA2C85-D8A5-45DE-BA86-0FAECE1EED91}">
            <x14:dataBar minLength="0" maxLength="100">
              <x14:cfvo type="num">
                <xm:f>0</xm:f>
              </x14:cfvo>
              <x14:cfvo type="num">
                <xm:f>卡牌!$V$7</xm:f>
              </x14:cfvo>
              <x14:fillColor theme="4"/>
              <x14:negativeFillColor rgb="FFFF0000"/>
              <x14:axisColor rgb="FF000000"/>
            </x14:dataBar>
          </x14:cfRule>
          <xm:sqref>J7</xm:sqref>
        </x14:conditionalFormatting>
        <x14:conditionalFormatting xmlns:xm="http://schemas.microsoft.com/office/excel/2006/main">
          <x14:cfRule type="dataBar" priority="247" id="{37C935FD-6A50-410C-BF29-45C15BDB7181}">
            <x14:dataBar minLength="0" maxLength="100">
              <x14:cfvo type="autoMin"/>
              <x14:cfvo type="num">
                <xm:f>卡牌!$V$7</xm:f>
              </x14:cfvo>
              <x14:fillColor rgb="FFFF0000"/>
              <x14:negativeFillColor rgb="FFFF0000"/>
              <x14:axisColor rgb="FF000000"/>
            </x14:dataBar>
          </x14:cfRule>
          <xm:sqref>K7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49EF-D039-4662-8342-7611B9D5705A}">
  <dimension ref="A1:X28"/>
  <sheetViews>
    <sheetView workbookViewId="0">
      <selection activeCell="F25" sqref="F25"/>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9" width="10" customWidth="1"/>
    <col min="10" max="10" width="15.25" customWidth="1"/>
    <col min="11" max="11" width="16.5" customWidth="1"/>
    <col min="12" max="12" width="10.125" customWidth="1"/>
    <col min="13" max="13" width="26" customWidth="1"/>
    <col min="14" max="14" width="12.625" customWidth="1"/>
    <col min="15" max="15" width="12.875" customWidth="1"/>
  </cols>
  <sheetData>
    <row r="1" spans="1:13" s="132" customFormat="1" ht="30.75" customHeight="1" x14ac:dyDescent="0.25">
      <c r="A1" s="133" t="s">
        <v>201</v>
      </c>
      <c r="B1" s="133" t="s">
        <v>22</v>
      </c>
      <c r="C1" s="133" t="s">
        <v>200</v>
      </c>
      <c r="D1" s="133" t="s">
        <v>202</v>
      </c>
      <c r="E1" s="133" t="s">
        <v>93</v>
      </c>
      <c r="F1" s="133" t="s">
        <v>203</v>
      </c>
      <c r="G1" s="133" t="s">
        <v>204</v>
      </c>
      <c r="H1" s="133" t="s">
        <v>594</v>
      </c>
      <c r="I1" s="133" t="s">
        <v>214</v>
      </c>
      <c r="J1" s="133" t="s">
        <v>207</v>
      </c>
      <c r="K1" s="133" t="s">
        <v>208</v>
      </c>
      <c r="L1" s="133" t="s">
        <v>270</v>
      </c>
      <c r="M1" s="133" t="s">
        <v>226</v>
      </c>
    </row>
    <row r="2" spans="1:13" s="132" customFormat="1" ht="30.75" customHeight="1" x14ac:dyDescent="0.25">
      <c r="A2" s="136" t="s">
        <v>261</v>
      </c>
      <c r="B2" s="137" t="s">
        <v>588</v>
      </c>
      <c r="C2" s="156">
        <v>10.6</v>
      </c>
      <c r="D2" s="188">
        <v>21.923652395890102</v>
      </c>
      <c r="E2" s="166">
        <v>0.13702282747431313</v>
      </c>
      <c r="F2" s="139">
        <v>0</v>
      </c>
      <c r="G2" s="163">
        <v>2909.7009677574229</v>
      </c>
      <c r="H2" s="143">
        <v>7474.475691206816</v>
      </c>
      <c r="I2" s="230">
        <v>4.7453793064697193E-2</v>
      </c>
      <c r="J2" s="233">
        <v>19000</v>
      </c>
      <c r="K2" s="233">
        <v>193500</v>
      </c>
      <c r="L2" s="163"/>
      <c r="M2" s="134">
        <v>99</v>
      </c>
    </row>
    <row r="3" spans="1:13" s="132" customFormat="1" ht="30.75" customHeight="1" x14ac:dyDescent="0.25">
      <c r="A3" s="146" t="s">
        <v>262</v>
      </c>
      <c r="B3" s="139" t="s">
        <v>628</v>
      </c>
      <c r="C3" s="156">
        <v>12.333333333333334</v>
      </c>
      <c r="D3" s="188">
        <v>206.6915894667346</v>
      </c>
      <c r="E3" s="166">
        <v>0.33995327214923454</v>
      </c>
      <c r="F3" s="139">
        <v>0</v>
      </c>
      <c r="G3" s="163">
        <v>897.01030479620954</v>
      </c>
      <c r="H3" s="143">
        <v>5435.4420250343092</v>
      </c>
      <c r="I3" s="229">
        <v>0.44738439278513981</v>
      </c>
      <c r="J3" s="233">
        <v>232500</v>
      </c>
      <c r="K3" s="233">
        <v>575000</v>
      </c>
      <c r="L3" s="163">
        <v>0</v>
      </c>
      <c r="M3" s="133" t="s">
        <v>163</v>
      </c>
    </row>
    <row r="4" spans="1:13" s="132" customFormat="1" ht="30.75" customHeight="1" x14ac:dyDescent="0.25">
      <c r="A4" s="147" t="s">
        <v>2</v>
      </c>
      <c r="B4" s="139" t="s">
        <v>272</v>
      </c>
      <c r="C4" s="156">
        <v>12.970588235294118</v>
      </c>
      <c r="D4" s="188">
        <v>1975.0838274666062</v>
      </c>
      <c r="E4" s="166">
        <v>0.52809728007128509</v>
      </c>
      <c r="F4" s="139">
        <v>0</v>
      </c>
      <c r="G4" s="163">
        <v>412.83881745733856</v>
      </c>
      <c r="H4" s="143">
        <v>4624.1147789187717</v>
      </c>
      <c r="I4" s="229">
        <v>4.275073219624689</v>
      </c>
      <c r="J4" s="233">
        <v>713000</v>
      </c>
      <c r="K4" s="233">
        <v>842500</v>
      </c>
      <c r="L4" s="163">
        <v>0</v>
      </c>
      <c r="M4" s="149">
        <v>0.98685024479047001</v>
      </c>
    </row>
    <row r="5" spans="1:13" s="132" customFormat="1" ht="30.75" customHeight="1" x14ac:dyDescent="0.25">
      <c r="A5" s="150" t="s">
        <v>4</v>
      </c>
      <c r="B5" s="139" t="s">
        <v>246</v>
      </c>
      <c r="C5" s="156">
        <v>14.666666666666666</v>
      </c>
      <c r="D5" s="188">
        <v>9370.24</v>
      </c>
      <c r="E5" s="166">
        <v>0.98592592592592587</v>
      </c>
      <c r="F5" s="139">
        <v>16</v>
      </c>
      <c r="G5" s="163" t="s">
        <v>168</v>
      </c>
      <c r="H5" s="143">
        <v>79.392212725546202</v>
      </c>
      <c r="I5" s="228">
        <v>20.548771929824561</v>
      </c>
      <c r="J5" s="233">
        <v>1002000</v>
      </c>
      <c r="K5" s="233">
        <v>120000</v>
      </c>
      <c r="L5" s="163">
        <v>2054.8771929824561</v>
      </c>
      <c r="M5" s="133" t="s">
        <v>264</v>
      </c>
    </row>
    <row r="6" spans="1:13" s="132" customFormat="1" ht="30.75" customHeight="1" x14ac:dyDescent="0.25">
      <c r="A6" s="134" t="s">
        <v>3</v>
      </c>
      <c r="B6" s="139" t="s">
        <v>247</v>
      </c>
      <c r="C6" s="156">
        <v>14</v>
      </c>
      <c r="D6" s="188">
        <v>13347.43</v>
      </c>
      <c r="E6" s="166">
        <v>0.87232403110907786</v>
      </c>
      <c r="F6" s="139">
        <v>1</v>
      </c>
      <c r="G6" s="163">
        <v>102.50453741999604</v>
      </c>
      <c r="H6" s="143">
        <v>676.30339957072601</v>
      </c>
      <c r="I6" s="228">
        <v>28.890541125541127</v>
      </c>
      <c r="J6" s="233">
        <v>421000</v>
      </c>
      <c r="K6" s="233">
        <v>190000</v>
      </c>
      <c r="L6" s="163">
        <v>66.670479520479518</v>
      </c>
      <c r="M6" s="149">
        <v>0.48559304500916894</v>
      </c>
    </row>
    <row r="7" spans="1:13" s="132" customFormat="1" ht="30.75" customHeight="1" x14ac:dyDescent="0.25">
      <c r="A7" s="133" t="s">
        <v>5</v>
      </c>
      <c r="B7" s="139" t="s">
        <v>629</v>
      </c>
      <c r="C7" s="156">
        <v>13.297872340425531</v>
      </c>
      <c r="D7" s="139"/>
      <c r="E7" s="161"/>
      <c r="F7" s="139">
        <v>17</v>
      </c>
      <c r="G7" s="175"/>
      <c r="H7" s="143"/>
      <c r="I7" s="163"/>
      <c r="J7" s="232">
        <v>2387500</v>
      </c>
      <c r="K7" s="231">
        <v>1921000</v>
      </c>
      <c r="L7" s="163">
        <v>2121.5476725029357</v>
      </c>
      <c r="M7" s="165" t="s">
        <v>630</v>
      </c>
    </row>
    <row r="8" spans="1:13" ht="14.25" customHeight="1" x14ac:dyDescent="0.2">
      <c r="L8" s="2"/>
    </row>
    <row r="10" spans="1:13" s="2" customFormat="1" ht="22.5" customHeight="1" x14ac:dyDescent="0.2">
      <c r="A10" s="316" t="s">
        <v>564</v>
      </c>
      <c r="B10" s="317"/>
      <c r="C10" s="317"/>
      <c r="D10" s="317"/>
      <c r="E10" s="318"/>
    </row>
    <row r="11" spans="1:13" s="2" customFormat="1" ht="22.5" customHeight="1" x14ac:dyDescent="0.2">
      <c r="A11" s="153" t="s">
        <v>144</v>
      </c>
      <c r="B11" s="153" t="s">
        <v>155</v>
      </c>
      <c r="C11" s="153" t="s">
        <v>210</v>
      </c>
      <c r="D11" s="153" t="s">
        <v>265</v>
      </c>
      <c r="E11" s="153" t="s">
        <v>160</v>
      </c>
    </row>
    <row r="12" spans="1:13" s="2" customFormat="1" ht="22.5" customHeight="1" x14ac:dyDescent="0.2">
      <c r="A12" s="136" t="s">
        <v>269</v>
      </c>
      <c r="B12" s="154">
        <v>11.654267843796415</v>
      </c>
      <c r="C12" s="144">
        <v>1864.6828550074265</v>
      </c>
      <c r="D12" s="166">
        <v>0.18646828550074265</v>
      </c>
      <c r="E12" s="190">
        <v>41.289875528383938</v>
      </c>
    </row>
    <row r="13" spans="1:13" s="2" customFormat="1" ht="22.5" customHeight="1" x14ac:dyDescent="0.2">
      <c r="A13" s="146" t="s">
        <v>262</v>
      </c>
      <c r="B13" s="191">
        <v>4.6974124473169816</v>
      </c>
      <c r="C13" s="192">
        <v>2856.0267679687249</v>
      </c>
      <c r="D13" s="193">
        <v>0.28560267679687251</v>
      </c>
      <c r="E13" s="194">
        <v>6.707967844863389</v>
      </c>
      <c r="H13" s="321" t="s">
        <v>216</v>
      </c>
      <c r="I13" s="321"/>
      <c r="J13" s="321"/>
      <c r="K13" s="321"/>
      <c r="L13" s="321"/>
      <c r="M13" s="321"/>
    </row>
    <row r="14" spans="1:13" s="2" customFormat="1" ht="22.5" customHeight="1" x14ac:dyDescent="0.2">
      <c r="A14" s="147" t="s">
        <v>2</v>
      </c>
      <c r="B14" s="157">
        <v>0.87967304089229748</v>
      </c>
      <c r="C14" s="144">
        <v>3289.9771729371923</v>
      </c>
      <c r="D14" s="166">
        <v>0.32899771729371924</v>
      </c>
      <c r="E14" s="144">
        <v>0.80864676852197315</v>
      </c>
      <c r="H14" s="321"/>
      <c r="I14" s="321"/>
      <c r="J14" s="321"/>
      <c r="K14" s="321"/>
      <c r="L14" s="321"/>
      <c r="M14" s="321"/>
    </row>
    <row r="15" spans="1:13" s="2" customFormat="1" ht="22.5" customHeight="1" x14ac:dyDescent="0.2">
      <c r="A15" s="150" t="s">
        <v>4</v>
      </c>
      <c r="B15" s="195">
        <v>0</v>
      </c>
      <c r="C15" s="192">
        <v>0</v>
      </c>
      <c r="D15" s="193">
        <v>0</v>
      </c>
      <c r="E15" s="196">
        <v>0</v>
      </c>
      <c r="H15" s="321"/>
      <c r="I15" s="321"/>
      <c r="J15" s="321"/>
      <c r="K15" s="321"/>
      <c r="L15" s="321"/>
      <c r="M15" s="321"/>
    </row>
    <row r="16" spans="1:13" s="2" customFormat="1" ht="22.5" customHeight="1" x14ac:dyDescent="0.2">
      <c r="A16" s="134" t="s">
        <v>3</v>
      </c>
      <c r="B16" s="159">
        <v>4.9770682787141786E-2</v>
      </c>
      <c r="C16" s="144">
        <v>761.54121732605643</v>
      </c>
      <c r="D16" s="166">
        <v>7.6154121732605648E-2</v>
      </c>
      <c r="E16" s="158">
        <v>2.7697926953096544E-2</v>
      </c>
      <c r="H16" s="321"/>
      <c r="I16" s="321"/>
      <c r="J16" s="321"/>
      <c r="K16" s="321"/>
      <c r="L16" s="321"/>
      <c r="M16" s="321"/>
    </row>
    <row r="17" spans="1:24" s="2" customFormat="1" ht="22.5" customHeight="1" x14ac:dyDescent="0.2">
      <c r="A17" s="133" t="s">
        <v>603</v>
      </c>
      <c r="B17" s="191">
        <v>1.0416263796410246</v>
      </c>
      <c r="C17" s="191">
        <v>52.081318982051229</v>
      </c>
      <c r="D17" s="193">
        <v>5.2081318982051227E-3</v>
      </c>
      <c r="E17" s="197">
        <v>1.6466608579765141</v>
      </c>
      <c r="H17" s="321"/>
      <c r="I17" s="321"/>
      <c r="J17" s="321"/>
      <c r="K17" s="321"/>
      <c r="L17" s="321"/>
      <c r="M17" s="321"/>
    </row>
    <row r="18" spans="1:24" s="2" customFormat="1" ht="22.5" customHeight="1" x14ac:dyDescent="0.2">
      <c r="A18" s="133" t="s">
        <v>161</v>
      </c>
      <c r="B18" s="162">
        <v>0.97567823548900301</v>
      </c>
      <c r="C18" s="156"/>
      <c r="D18" s="161"/>
      <c r="E18" s="154">
        <v>0.97520579569775268</v>
      </c>
      <c r="H18" s="321"/>
      <c r="I18" s="321"/>
      <c r="J18" s="321"/>
      <c r="K18" s="321"/>
      <c r="L18" s="321"/>
      <c r="M18" s="321"/>
    </row>
    <row r="19" spans="1:24" s="2" customFormat="1" ht="22.5" customHeight="1" x14ac:dyDescent="0.2">
      <c r="A19" s="133" t="s">
        <v>121</v>
      </c>
      <c r="B19" s="198">
        <v>7.8939825324614549E-2</v>
      </c>
      <c r="C19" s="191"/>
      <c r="D19" s="199"/>
      <c r="E19" s="191">
        <v>8.952969286610335E-2</v>
      </c>
      <c r="H19" s="321"/>
      <c r="I19" s="321"/>
      <c r="J19" s="321"/>
      <c r="K19" s="321"/>
      <c r="L19" s="321"/>
      <c r="M19" s="321"/>
    </row>
    <row r="20" spans="1:24" s="2" customFormat="1" ht="22.5" customHeight="1" x14ac:dyDescent="0.2">
      <c r="A20" s="133" t="s">
        <v>119</v>
      </c>
      <c r="B20" s="156">
        <v>1.5615054996590476</v>
      </c>
      <c r="C20" s="156"/>
      <c r="D20" s="161"/>
      <c r="E20" s="154">
        <v>1.6129246169499458</v>
      </c>
      <c r="H20" s="321"/>
      <c r="I20" s="321"/>
      <c r="J20" s="321"/>
      <c r="K20" s="321"/>
      <c r="L20" s="321"/>
      <c r="M20" s="321"/>
    </row>
    <row r="21" spans="1:24" s="2" customFormat="1" ht="22.5" customHeight="1" x14ac:dyDescent="0.2">
      <c r="A21" s="133" t="s">
        <v>210</v>
      </c>
      <c r="B21" s="200">
        <v>8772.2280132394008</v>
      </c>
      <c r="C21" s="200">
        <v>8772.2280132394008</v>
      </c>
      <c r="D21" s="201">
        <v>0.87722280132394004</v>
      </c>
      <c r="E21" s="200"/>
      <c r="H21" s="321"/>
      <c r="I21" s="321"/>
      <c r="J21" s="321"/>
      <c r="K21" s="321"/>
      <c r="L21" s="321"/>
      <c r="M21" s="321"/>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H13:M21"/>
  </mergeCells>
  <phoneticPr fontId="1" type="noConversion"/>
  <conditionalFormatting sqref="B12:E16 D17">
    <cfRule type="cellIs" dxfId="23"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{3BD01EF7-E85D-450E-B63E-AF7FF7B9E769}</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3BD01EF7-E85D-450E-B63E-AF7FF7B9E769}">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48" id="{3B51CA8E-842C-4932-AA9A-518B1A034F9A}">
            <x14:dataBar minLength="0" maxLength="100">
              <x14:cfvo type="num">
                <xm:f>0</xm:f>
              </x14:cfvo>
              <x14:cfvo type="num">
                <xm:f>卡牌!$V$7</xm:f>
              </x14:cfvo>
              <x14:fillColor theme="4"/>
              <x14:negativeFillColor rgb="FFFF0000"/>
              <x14:axisColor rgb="FF000000"/>
            </x14:dataBar>
          </x14:cfRule>
          <xm:sqref>J7</xm:sqref>
        </x14:conditionalFormatting>
        <x14:conditionalFormatting xmlns:xm="http://schemas.microsoft.com/office/excel/2006/main">
          <x14:cfRule type="dataBar" priority="249" id="{454A1AC8-D1FF-4C23-B9F7-10522E897975}">
            <x14:dataBar minLength="0" maxLength="100">
              <x14:cfvo type="autoMin"/>
              <x14:cfvo type="num">
                <xm:f>卡牌!$V$7</xm:f>
              </x14:cfvo>
              <x14:fillColor rgb="FFFF0000"/>
              <x14:negativeFillColor rgb="FFFF0000"/>
              <x14:axisColor rgb="FF000000"/>
            </x14:dataBar>
          </x14:cfRule>
          <xm:sqref>K7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144F-E889-4DAA-BC03-6DF29AC5BB2D}">
  <dimension ref="A1:X28"/>
  <sheetViews>
    <sheetView workbookViewId="0">
      <selection activeCell="H25" sqref="H25"/>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2" customFormat="1" ht="30.75" customHeight="1" x14ac:dyDescent="0.25">
      <c r="A1" s="133" t="s">
        <v>201</v>
      </c>
      <c r="B1" s="133" t="s">
        <v>22</v>
      </c>
      <c r="C1" s="133" t="s">
        <v>200</v>
      </c>
      <c r="D1" s="133" t="s">
        <v>202</v>
      </c>
      <c r="E1" s="133" t="s">
        <v>93</v>
      </c>
      <c r="F1" s="133" t="s">
        <v>203</v>
      </c>
      <c r="G1" s="133" t="s">
        <v>204</v>
      </c>
      <c r="H1" s="133" t="s">
        <v>214</v>
      </c>
      <c r="I1" s="133" t="s">
        <v>207</v>
      </c>
      <c r="J1" s="133" t="s">
        <v>208</v>
      </c>
      <c r="K1" s="133" t="s">
        <v>270</v>
      </c>
      <c r="L1" s="133" t="s">
        <v>226</v>
      </c>
    </row>
    <row r="2" spans="1:12" s="132" customFormat="1" ht="30.75" customHeight="1" x14ac:dyDescent="0.25">
      <c r="A2" s="136" t="s">
        <v>261</v>
      </c>
      <c r="B2" s="137" t="s">
        <v>588</v>
      </c>
      <c r="C2" s="156">
        <v>10.4</v>
      </c>
      <c r="D2" s="188">
        <v>20.129245474918385</v>
      </c>
      <c r="E2" s="166">
        <v>0.1258077842182399</v>
      </c>
      <c r="F2" s="139">
        <v>0</v>
      </c>
      <c r="G2" s="163">
        <v>3099.090653741423</v>
      </c>
      <c r="H2" s="170">
        <v>4.5132837387709381E-2</v>
      </c>
      <c r="I2" s="176">
        <v>16000</v>
      </c>
      <c r="J2" s="143">
        <v>196500</v>
      </c>
      <c r="K2" s="174"/>
      <c r="L2" s="134">
        <v>97</v>
      </c>
    </row>
    <row r="3" spans="1:12" s="132" customFormat="1" ht="30.75" customHeight="1" x14ac:dyDescent="0.25">
      <c r="A3" s="146" t="s">
        <v>262</v>
      </c>
      <c r="B3" s="139" t="s">
        <v>244</v>
      </c>
      <c r="C3" s="156">
        <v>12.222222222222221</v>
      </c>
      <c r="D3" s="188">
        <v>192.5274060578686</v>
      </c>
      <c r="E3" s="166">
        <v>0.33424896885046634</v>
      </c>
      <c r="F3" s="139">
        <v>0</v>
      </c>
      <c r="G3" s="163">
        <v>888.33470725089342</v>
      </c>
      <c r="H3" s="170">
        <v>0.43167579833602826</v>
      </c>
      <c r="I3" s="176">
        <v>217500</v>
      </c>
      <c r="J3" s="143">
        <v>547500</v>
      </c>
      <c r="K3" s="174">
        <v>0</v>
      </c>
      <c r="L3" s="133" t="s">
        <v>163</v>
      </c>
    </row>
    <row r="4" spans="1:12" s="132" customFormat="1" ht="30.75" customHeight="1" x14ac:dyDescent="0.25">
      <c r="A4" s="147" t="s">
        <v>2</v>
      </c>
      <c r="B4" s="139" t="s">
        <v>272</v>
      </c>
      <c r="C4" s="156">
        <v>12.941176470588236</v>
      </c>
      <c r="D4" s="188">
        <v>1901.6716980569165</v>
      </c>
      <c r="E4" s="166">
        <v>0.50846836846441623</v>
      </c>
      <c r="F4" s="139">
        <v>0</v>
      </c>
      <c r="G4" s="163">
        <v>431.14404211008866</v>
      </c>
      <c r="H4" s="171">
        <v>4.2638378880199923</v>
      </c>
      <c r="I4" s="176">
        <v>703000</v>
      </c>
      <c r="J4" s="143">
        <v>852500</v>
      </c>
      <c r="K4" s="174">
        <v>0</v>
      </c>
      <c r="L4" s="149">
        <v>0.95309213665847747</v>
      </c>
    </row>
    <row r="5" spans="1:12" s="132" customFormat="1" ht="30.75" customHeight="1" x14ac:dyDescent="0.25">
      <c r="A5" s="150" t="s">
        <v>4</v>
      </c>
      <c r="B5" s="139" t="s">
        <v>246</v>
      </c>
      <c r="C5" s="156">
        <v>14.208333333333334</v>
      </c>
      <c r="D5" s="188">
        <v>9029.7936000000009</v>
      </c>
      <c r="E5" s="166">
        <v>0.95010454545454559</v>
      </c>
      <c r="F5" s="139">
        <v>5</v>
      </c>
      <c r="G5" s="163">
        <v>122.47133527323501</v>
      </c>
      <c r="H5" s="172">
        <v>20.246173991031391</v>
      </c>
      <c r="I5" s="176">
        <v>837000</v>
      </c>
      <c r="J5" s="143">
        <v>285000</v>
      </c>
      <c r="K5" s="174">
        <v>533.28973721973091</v>
      </c>
      <c r="L5" s="133" t="s">
        <v>264</v>
      </c>
    </row>
    <row r="6" spans="1:12" s="132" customFormat="1" ht="30.75" customHeight="1" x14ac:dyDescent="0.25">
      <c r="A6" s="134" t="s">
        <v>3</v>
      </c>
      <c r="B6" s="139" t="s">
        <v>247</v>
      </c>
      <c r="C6" s="156">
        <v>13.846153846153847</v>
      </c>
      <c r="D6" s="188">
        <v>12753.2202</v>
      </c>
      <c r="E6" s="166">
        <v>0.83348932749493498</v>
      </c>
      <c r="F6" s="139">
        <v>0</v>
      </c>
      <c r="G6" s="163">
        <v>89.099833060202286</v>
      </c>
      <c r="H6" s="172">
        <v>28.594664125560538</v>
      </c>
      <c r="I6" s="176">
        <v>398500</v>
      </c>
      <c r="J6" s="143">
        <v>212500</v>
      </c>
      <c r="K6" s="174">
        <v>0</v>
      </c>
      <c r="L6" s="149">
        <v>0.4669179132309893</v>
      </c>
    </row>
    <row r="7" spans="1:12" s="132" customFormat="1" ht="30.75" customHeight="1" x14ac:dyDescent="0.25">
      <c r="A7" s="133" t="s">
        <v>5</v>
      </c>
      <c r="B7" s="139" t="s">
        <v>589</v>
      </c>
      <c r="C7" s="156">
        <v>13.117021276595745</v>
      </c>
      <c r="D7" s="139"/>
      <c r="E7" s="161"/>
      <c r="F7" s="139">
        <v>5</v>
      </c>
      <c r="G7" s="175"/>
      <c r="H7" s="173"/>
      <c r="I7" s="176">
        <v>2172000</v>
      </c>
      <c r="J7" s="143">
        <v>2094000</v>
      </c>
      <c r="K7" s="174">
        <v>533.28973721973091</v>
      </c>
      <c r="L7" s="165" t="s">
        <v>590</v>
      </c>
    </row>
    <row r="8" spans="1:12" ht="14.25" customHeight="1" x14ac:dyDescent="0.2">
      <c r="L8" s="2"/>
    </row>
    <row r="10" spans="1:12" s="2" customFormat="1" ht="22.5" customHeight="1" x14ac:dyDescent="0.2">
      <c r="A10" s="316" t="s">
        <v>564</v>
      </c>
      <c r="B10" s="317"/>
      <c r="C10" s="317"/>
      <c r="D10" s="317"/>
      <c r="E10" s="318"/>
    </row>
    <row r="11" spans="1:12" s="2" customFormat="1" ht="22.5" customHeight="1" x14ac:dyDescent="0.2">
      <c r="A11" s="153" t="s">
        <v>144</v>
      </c>
      <c r="B11" s="153" t="s">
        <v>155</v>
      </c>
      <c r="C11" s="153" t="s">
        <v>210</v>
      </c>
      <c r="D11" s="153" t="s">
        <v>265</v>
      </c>
      <c r="E11" s="153" t="s">
        <v>160</v>
      </c>
    </row>
    <row r="12" spans="1:12" s="2" customFormat="1" ht="22.5" customHeight="1" x14ac:dyDescent="0.2">
      <c r="A12" s="136" t="s">
        <v>269</v>
      </c>
      <c r="B12" s="154">
        <v>12.338296159863905</v>
      </c>
      <c r="C12" s="144">
        <v>1974.1273855782247</v>
      </c>
      <c r="D12" s="166">
        <v>0.19741273855782246</v>
      </c>
      <c r="E12" s="190">
        <v>45.791852480256523</v>
      </c>
    </row>
    <row r="13" spans="1:12" s="2" customFormat="1" ht="22.5" customHeight="1" x14ac:dyDescent="0.2">
      <c r="A13" s="146" t="s">
        <v>184</v>
      </c>
      <c r="B13" s="191">
        <v>4.6440044564365763</v>
      </c>
      <c r="C13" s="192">
        <v>2674.946566907468</v>
      </c>
      <c r="D13" s="193">
        <v>0.26749465669074679</v>
      </c>
      <c r="E13" s="194">
        <v>6.4872866393339566</v>
      </c>
      <c r="G13" s="321" t="s">
        <v>216</v>
      </c>
      <c r="H13" s="321"/>
      <c r="I13" s="321"/>
      <c r="J13" s="321"/>
      <c r="K13" s="321"/>
      <c r="L13" s="321"/>
    </row>
    <row r="14" spans="1:12" s="2" customFormat="1" ht="22.5" customHeight="1" x14ac:dyDescent="0.2">
      <c r="A14" s="147" t="s">
        <v>2</v>
      </c>
      <c r="B14" s="157">
        <v>0.88808811126852438</v>
      </c>
      <c r="C14" s="144">
        <v>3321.4495361442814</v>
      </c>
      <c r="D14" s="166">
        <v>0.33214495361442814</v>
      </c>
      <c r="E14" s="144">
        <v>0.81551631015129589</v>
      </c>
      <c r="G14" s="321"/>
      <c r="H14" s="321"/>
      <c r="I14" s="321"/>
      <c r="J14" s="321"/>
      <c r="K14" s="321"/>
      <c r="L14" s="321"/>
    </row>
    <row r="15" spans="1:12" s="2" customFormat="1" ht="22.5" customHeight="1" x14ac:dyDescent="0.2">
      <c r="A15" s="150" t="s">
        <v>4</v>
      </c>
      <c r="B15" s="195">
        <v>0.1320219370564448</v>
      </c>
      <c r="C15" s="192">
        <v>1254.7364897844514</v>
      </c>
      <c r="D15" s="193">
        <v>0.12547364897844512</v>
      </c>
      <c r="E15" s="196">
        <v>6.4880657235059369E-2</v>
      </c>
      <c r="G15" s="321"/>
      <c r="H15" s="321"/>
      <c r="I15" s="321"/>
      <c r="J15" s="321"/>
      <c r="K15" s="321"/>
      <c r="L15" s="321"/>
    </row>
    <row r="16" spans="1:12" s="2" customFormat="1" ht="22.5" customHeight="1" x14ac:dyDescent="0.2">
      <c r="A16" s="134" t="s">
        <v>3</v>
      </c>
      <c r="B16" s="159">
        <v>5.0633293352432891E-2</v>
      </c>
      <c r="C16" s="144">
        <v>774.74002158557562</v>
      </c>
      <c r="D16" s="166">
        <v>7.7474002158557556E-2</v>
      </c>
      <c r="E16" s="158">
        <v>2.8364600352095294E-2</v>
      </c>
      <c r="G16" s="321"/>
      <c r="H16" s="321"/>
      <c r="I16" s="321"/>
      <c r="J16" s="321"/>
      <c r="K16" s="321"/>
      <c r="L16" s="321"/>
    </row>
    <row r="17" spans="1:24" s="2" customFormat="1" ht="22.5" customHeight="1" x14ac:dyDescent="0.2">
      <c r="A17" s="133" t="s">
        <v>565</v>
      </c>
      <c r="B17" s="191">
        <v>1.285353935188466</v>
      </c>
      <c r="C17" s="191">
        <v>8.9974775463192618</v>
      </c>
      <c r="D17" s="193">
        <v>8.9974775463192618E-4</v>
      </c>
      <c r="E17" s="197">
        <v>1.8367645351914177</v>
      </c>
      <c r="G17" s="321"/>
      <c r="H17" s="321"/>
      <c r="I17" s="321"/>
      <c r="J17" s="321"/>
      <c r="K17" s="321"/>
      <c r="L17" s="321"/>
    </row>
    <row r="18" spans="1:24" s="2" customFormat="1" ht="22.5" customHeight="1" x14ac:dyDescent="0.2">
      <c r="A18" s="133" t="s">
        <v>161</v>
      </c>
      <c r="B18" s="162">
        <v>1.2143885111312547</v>
      </c>
      <c r="C18" s="156"/>
      <c r="D18" s="161"/>
      <c r="E18" s="154">
        <v>1.091252252886822</v>
      </c>
      <c r="G18" s="321"/>
      <c r="H18" s="321"/>
      <c r="I18" s="321"/>
      <c r="J18" s="321"/>
      <c r="K18" s="321"/>
      <c r="L18" s="321"/>
    </row>
    <row r="19" spans="1:24" s="2" customFormat="1" ht="22.5" customHeight="1" x14ac:dyDescent="0.2">
      <c r="A19" s="133" t="s">
        <v>121</v>
      </c>
      <c r="B19" s="198">
        <v>0.14112226544417136</v>
      </c>
      <c r="C19" s="191"/>
      <c r="D19" s="199"/>
      <c r="E19" s="191">
        <v>0.12145049797381462</v>
      </c>
      <c r="G19" s="321"/>
      <c r="H19" s="321"/>
      <c r="I19" s="321"/>
      <c r="J19" s="321"/>
      <c r="K19" s="321"/>
      <c r="L19" s="321"/>
    </row>
    <row r="20" spans="1:24" s="2" customFormat="1" ht="22.5" customHeight="1" x14ac:dyDescent="0.2">
      <c r="A20" s="133" t="s">
        <v>119</v>
      </c>
      <c r="B20" s="156">
        <v>2.1173822040501893</v>
      </c>
      <c r="C20" s="156"/>
      <c r="D20" s="161"/>
      <c r="E20" s="154">
        <v>1.9320396173059347</v>
      </c>
      <c r="G20" s="321"/>
      <c r="H20" s="321"/>
      <c r="I20" s="321"/>
      <c r="J20" s="321"/>
      <c r="K20" s="321"/>
      <c r="L20" s="321"/>
    </row>
    <row r="21" spans="1:24" s="2" customFormat="1" ht="22.5" customHeight="1" x14ac:dyDescent="0.2">
      <c r="A21" s="133" t="s">
        <v>210</v>
      </c>
      <c r="B21" s="200">
        <v>10000.000000000002</v>
      </c>
      <c r="C21" s="200">
        <v>10000.000000000002</v>
      </c>
      <c r="D21" s="201">
        <v>1</v>
      </c>
      <c r="E21" s="200"/>
      <c r="G21" s="321"/>
      <c r="H21" s="321"/>
      <c r="I21" s="321"/>
      <c r="J21" s="321"/>
      <c r="K21" s="321"/>
      <c r="L21" s="321"/>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D17">
    <cfRule type="cellIs" dxfId="22"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{8B3C2E0C-22E0-437B-B717-974ECBD2F1C2}</x14:id>
        </ext>
      </extLst>
    </cfRule>
  </conditionalFormatting>
  <hyperlinks>
    <hyperlink ref="G13:L21" location="统计!A1" display="跳转到统计表" xr:uid="{75DC9725-93E8-4CF4-BFD1-1C8582184EFB}"/>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8B3C2E0C-22E0-437B-B717-974ECBD2F1C2}">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50" id="{C4145A57-7F7E-4D46-BD37-A16EFDBEBF45}">
            <x14:dataBar minLength="0" maxLength="100">
              <x14:cfvo type="num">
                <xm:f>0</xm:f>
              </x14:cfvo>
              <x14:cfvo type="num">
                <xm:f>卡牌!$V$7</xm:f>
              </x14:cfvo>
              <x14:fillColor theme="4"/>
              <x14:negativeFillColor rgb="FFFF0000"/>
              <x14:axisColor rgb="FF000000"/>
            </x14:dataBar>
          </x14:cfRule>
          <xm:sqref>I7</xm:sqref>
        </x14:conditionalFormatting>
        <x14:conditionalFormatting xmlns:xm="http://schemas.microsoft.com/office/excel/2006/main">
          <x14:cfRule type="dataBar" priority="251" id="{90C8D017-9402-40C5-A3A6-621F18CB38ED}">
            <x14:dataBar minLength="0" maxLength="100">
              <x14:cfvo type="autoMin"/>
              <x14:cfvo type="num">
                <xm:f>卡牌!$V$7</xm:f>
              </x14:cfvo>
              <x14:fillColor rgb="FFFF0000"/>
              <x14:negativeFillColor rgb="FFFF0000"/>
              <x14:axisColor rgb="FF000000"/>
            </x14:dataBar>
          </x14:cfRule>
          <xm:sqref>J7</xm:sqref>
        </x14:conditionalFormatting>
      </x14:conditionalFormatting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E94E3-D67F-4E03-96D4-1D67563172D9}">
  <dimension ref="A1:X28"/>
  <sheetViews>
    <sheetView workbookViewId="0">
      <selection activeCell="J25" sqref="J25"/>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2" customFormat="1" ht="30.75" customHeight="1" x14ac:dyDescent="0.25">
      <c r="A1" s="133" t="s">
        <v>201</v>
      </c>
      <c r="B1" s="133" t="s">
        <v>22</v>
      </c>
      <c r="C1" s="133" t="s">
        <v>200</v>
      </c>
      <c r="D1" s="133" t="s">
        <v>202</v>
      </c>
      <c r="E1" s="133" t="s">
        <v>93</v>
      </c>
      <c r="F1" s="133" t="s">
        <v>203</v>
      </c>
      <c r="G1" s="133" t="s">
        <v>204</v>
      </c>
      <c r="H1" s="133" t="s">
        <v>214</v>
      </c>
      <c r="I1" s="133" t="s">
        <v>207</v>
      </c>
      <c r="J1" s="133" t="s">
        <v>208</v>
      </c>
      <c r="K1" s="133" t="s">
        <v>270</v>
      </c>
      <c r="L1" s="133" t="s">
        <v>226</v>
      </c>
    </row>
    <row r="2" spans="1:12" s="132" customFormat="1" ht="30.75" customHeight="1" x14ac:dyDescent="0.25">
      <c r="A2" s="136" t="s">
        <v>261</v>
      </c>
      <c r="B2" s="137" t="s">
        <v>559</v>
      </c>
      <c r="C2" s="156">
        <v>10.5</v>
      </c>
      <c r="D2" s="188">
        <v>15.921988951073336</v>
      </c>
      <c r="E2" s="166">
        <v>9.9512430944208349E-2</v>
      </c>
      <c r="F2" s="139">
        <v>0</v>
      </c>
      <c r="G2" s="163">
        <v>3927.2641745564642</v>
      </c>
      <c r="H2" s="170">
        <v>3.6686610486344091E-2</v>
      </c>
      <c r="I2" s="176">
        <v>14000</v>
      </c>
      <c r="J2" s="143">
        <v>198500</v>
      </c>
      <c r="K2" s="174"/>
      <c r="L2" s="134">
        <v>96</v>
      </c>
    </row>
    <row r="3" spans="1:12" s="132" customFormat="1" ht="30.75" customHeight="1" x14ac:dyDescent="0.25">
      <c r="A3" s="146" t="s">
        <v>262</v>
      </c>
      <c r="B3" s="139" t="s">
        <v>244</v>
      </c>
      <c r="C3" s="156">
        <v>12.166666666666666</v>
      </c>
      <c r="D3" s="188">
        <v>188.7028973199163</v>
      </c>
      <c r="E3" s="166">
        <v>0.32760919673596578</v>
      </c>
      <c r="F3" s="139">
        <v>0</v>
      </c>
      <c r="G3" s="163">
        <v>890.74913501826722</v>
      </c>
      <c r="H3" s="170">
        <v>0.4347993025804523</v>
      </c>
      <c r="I3" s="176">
        <v>214500</v>
      </c>
      <c r="J3" s="143">
        <v>550500</v>
      </c>
      <c r="K3" s="174">
        <v>0</v>
      </c>
      <c r="L3" s="133" t="s">
        <v>163</v>
      </c>
    </row>
    <row r="4" spans="1:12" s="132" customFormat="1" ht="30.75" customHeight="1" x14ac:dyDescent="0.25">
      <c r="A4" s="147" t="s">
        <v>2</v>
      </c>
      <c r="B4" s="139" t="s">
        <v>272</v>
      </c>
      <c r="C4" s="156">
        <v>12.911764705882353</v>
      </c>
      <c r="D4" s="188">
        <v>1873.9138665370165</v>
      </c>
      <c r="E4" s="166">
        <v>0.50104648837888144</v>
      </c>
      <c r="F4" s="139">
        <v>0</v>
      </c>
      <c r="G4" s="163">
        <v>432.18709055160127</v>
      </c>
      <c r="H4" s="171">
        <v>4.3177738860299915</v>
      </c>
      <c r="I4" s="176">
        <v>693000</v>
      </c>
      <c r="J4" s="143">
        <v>862500</v>
      </c>
      <c r="K4" s="174">
        <v>0</v>
      </c>
      <c r="L4" s="149">
        <v>0.9399247070467841</v>
      </c>
    </row>
    <row r="5" spans="1:12" s="132" customFormat="1" ht="30.75" customHeight="1" x14ac:dyDescent="0.25">
      <c r="A5" s="150" t="s">
        <v>4</v>
      </c>
      <c r="B5" s="139" t="s">
        <v>246</v>
      </c>
      <c r="C5" s="156">
        <v>14.041666666666666</v>
      </c>
      <c r="D5" s="188">
        <v>8847.7520000000004</v>
      </c>
      <c r="E5" s="166">
        <v>0.93095033670033678</v>
      </c>
      <c r="F5" s="139">
        <v>1</v>
      </c>
      <c r="G5" s="163">
        <v>49.045951405335472</v>
      </c>
      <c r="H5" s="172">
        <v>20.386525345622122</v>
      </c>
      <c r="I5" s="176">
        <v>777000</v>
      </c>
      <c r="J5" s="143">
        <v>345000</v>
      </c>
      <c r="K5" s="174">
        <v>28.012583410138262</v>
      </c>
      <c r="L5" s="133" t="s">
        <v>264</v>
      </c>
    </row>
    <row r="6" spans="1:12" s="132" customFormat="1" ht="30.75" customHeight="1" x14ac:dyDescent="0.25">
      <c r="A6" s="134" t="s">
        <v>3</v>
      </c>
      <c r="B6" s="139" t="s">
        <v>247</v>
      </c>
      <c r="C6" s="156">
        <v>13.846153846153847</v>
      </c>
      <c r="D6" s="188">
        <v>12500.26375</v>
      </c>
      <c r="E6" s="166">
        <v>0.81695730671197964</v>
      </c>
      <c r="F6" s="139">
        <v>0</v>
      </c>
      <c r="G6" s="163">
        <v>97.239510846321082</v>
      </c>
      <c r="H6" s="172">
        <v>28.802451036866358</v>
      </c>
      <c r="I6" s="176">
        <v>398500</v>
      </c>
      <c r="J6" s="143">
        <v>212500</v>
      </c>
      <c r="K6" s="174">
        <v>0</v>
      </c>
      <c r="L6" s="149">
        <v>0.43774013182529142</v>
      </c>
    </row>
    <row r="7" spans="1:12" s="132" customFormat="1" ht="30.75" customHeight="1" x14ac:dyDescent="0.25">
      <c r="A7" s="133" t="s">
        <v>5</v>
      </c>
      <c r="B7" s="139" t="s">
        <v>560</v>
      </c>
      <c r="C7" s="156">
        <v>13.086021505376344</v>
      </c>
      <c r="D7" s="139"/>
      <c r="E7" s="161"/>
      <c r="F7" s="139">
        <v>1</v>
      </c>
      <c r="G7" s="175"/>
      <c r="H7" s="173"/>
      <c r="I7" s="176">
        <v>2097000</v>
      </c>
      <c r="J7" s="143">
        <v>2169000</v>
      </c>
      <c r="K7" s="174">
        <v>28.012583410138262</v>
      </c>
      <c r="L7" s="165" t="s">
        <v>561</v>
      </c>
    </row>
    <row r="8" spans="1:12" ht="14.25" customHeight="1" x14ac:dyDescent="0.2">
      <c r="L8" s="2"/>
    </row>
    <row r="10" spans="1:12" s="2" customFormat="1" ht="22.5" customHeight="1" x14ac:dyDescent="0.2">
      <c r="A10" s="316" t="s">
        <v>193</v>
      </c>
      <c r="B10" s="317"/>
      <c r="C10" s="317"/>
      <c r="D10" s="317"/>
      <c r="E10" s="318"/>
    </row>
    <row r="11" spans="1:12" s="2" customFormat="1" ht="22.5" customHeight="1" x14ac:dyDescent="0.2">
      <c r="A11" s="153" t="s">
        <v>144</v>
      </c>
      <c r="B11" s="153" t="s">
        <v>155</v>
      </c>
      <c r="C11" s="153" t="s">
        <v>210</v>
      </c>
      <c r="D11" s="153" t="s">
        <v>265</v>
      </c>
      <c r="E11" s="153" t="s">
        <v>160</v>
      </c>
    </row>
    <row r="12" spans="1:12" s="2" customFormat="1" ht="22.5" customHeight="1" x14ac:dyDescent="0.2">
      <c r="A12" s="136" t="s">
        <v>269</v>
      </c>
      <c r="B12" s="154">
        <v>14.623832259100682</v>
      </c>
      <c r="C12" s="144">
        <v>2339.8131614561094</v>
      </c>
      <c r="D12" s="166">
        <v>0.23398131614561093</v>
      </c>
      <c r="E12" s="155">
        <v>64.328026158647987</v>
      </c>
    </row>
    <row r="13" spans="1:12" s="2" customFormat="1" ht="22.5" customHeight="1" x14ac:dyDescent="0.2">
      <c r="A13" s="146" t="s">
        <v>184</v>
      </c>
      <c r="B13" s="156">
        <v>4.4420398215996775</v>
      </c>
      <c r="C13" s="144">
        <v>2558.6149372414143</v>
      </c>
      <c r="D13" s="166">
        <v>0.25586149372414141</v>
      </c>
      <c r="E13" s="144">
        <v>5.9353007072245303</v>
      </c>
      <c r="G13" s="321" t="s">
        <v>216</v>
      </c>
      <c r="H13" s="321"/>
      <c r="I13" s="321"/>
      <c r="J13" s="321"/>
      <c r="K13" s="321"/>
      <c r="L13" s="321"/>
    </row>
    <row r="14" spans="1:12" s="2" customFormat="1" ht="22.5" customHeight="1" x14ac:dyDescent="0.2">
      <c r="A14" s="147" t="s">
        <v>2</v>
      </c>
      <c r="B14" s="157">
        <v>0.84492430452946321</v>
      </c>
      <c r="C14" s="144">
        <v>3160.0168989401923</v>
      </c>
      <c r="D14" s="166">
        <v>0.31600168989401922</v>
      </c>
      <c r="E14" s="158">
        <v>0.73816958111767328</v>
      </c>
      <c r="G14" s="321"/>
      <c r="H14" s="321"/>
      <c r="I14" s="321"/>
      <c r="J14" s="321"/>
      <c r="K14" s="321"/>
      <c r="L14" s="321"/>
    </row>
    <row r="15" spans="1:12" s="2" customFormat="1" ht="22.5" customHeight="1" x14ac:dyDescent="0.2">
      <c r="A15" s="150" t="s">
        <v>4</v>
      </c>
      <c r="B15" s="159">
        <v>0.12631845683834766</v>
      </c>
      <c r="C15" s="144">
        <v>1200.5306137916562</v>
      </c>
      <c r="D15" s="166">
        <v>0.12005306137916562</v>
      </c>
      <c r="E15" s="160">
        <v>5.9395926687531242E-2</v>
      </c>
      <c r="G15" s="321"/>
      <c r="H15" s="321"/>
      <c r="I15" s="321"/>
      <c r="J15" s="321"/>
      <c r="K15" s="321"/>
      <c r="L15" s="321"/>
    </row>
    <row r="16" spans="1:12" s="2" customFormat="1" ht="22.5" customHeight="1" x14ac:dyDescent="0.2">
      <c r="A16" s="134" t="s">
        <v>3</v>
      </c>
      <c r="B16" s="159">
        <v>4.8429801226758301E-2</v>
      </c>
      <c r="C16" s="144">
        <v>741.02438857062873</v>
      </c>
      <c r="D16" s="166">
        <v>7.4102438857062872E-2</v>
      </c>
      <c r="E16" s="160">
        <v>2.5949541547766398E-2</v>
      </c>
      <c r="G16" s="321"/>
      <c r="H16" s="321"/>
      <c r="I16" s="321"/>
      <c r="J16" s="321"/>
      <c r="K16" s="321"/>
      <c r="L16" s="321"/>
    </row>
    <row r="17" spans="1:24" s="2" customFormat="1" ht="22.5" customHeight="1" x14ac:dyDescent="0.2">
      <c r="A17" s="133" t="s">
        <v>113</v>
      </c>
      <c r="B17" s="156">
        <v>0.9742894182338484</v>
      </c>
      <c r="C17" s="156"/>
      <c r="D17" s="161"/>
      <c r="E17" s="156">
        <v>1.2153816625341287</v>
      </c>
      <c r="G17" s="321"/>
      <c r="H17" s="321"/>
      <c r="I17" s="321"/>
      <c r="J17" s="321"/>
      <c r="K17" s="321"/>
      <c r="L17" s="321"/>
    </row>
    <row r="18" spans="1:24" s="2" customFormat="1" ht="22.5" customHeight="1" x14ac:dyDescent="0.2">
      <c r="A18" s="133" t="s">
        <v>562</v>
      </c>
      <c r="B18" s="162">
        <v>1.161382985642619</v>
      </c>
      <c r="C18" s="156"/>
      <c r="D18" s="161"/>
      <c r="E18" s="156">
        <v>1.0161121059680764</v>
      </c>
      <c r="G18" s="321"/>
      <c r="H18" s="321"/>
      <c r="I18" s="321"/>
      <c r="J18" s="321"/>
      <c r="K18" s="321"/>
      <c r="L18" s="321"/>
    </row>
    <row r="19" spans="1:24" s="2" customFormat="1" ht="22.5" customHeight="1" x14ac:dyDescent="0.2">
      <c r="A19" s="133" t="s">
        <v>121</v>
      </c>
      <c r="B19" s="157">
        <v>0.13623567298149197</v>
      </c>
      <c r="C19" s="156"/>
      <c r="D19" s="161"/>
      <c r="E19" s="157">
        <v>0.12178446445661174</v>
      </c>
      <c r="G19" s="321"/>
      <c r="H19" s="321"/>
      <c r="I19" s="321"/>
      <c r="J19" s="321"/>
      <c r="K19" s="321"/>
      <c r="L19" s="321"/>
    </row>
    <row r="20" spans="1:24" s="2" customFormat="1" ht="22.5" customHeight="1" x14ac:dyDescent="0.2">
      <c r="A20" s="133" t="s">
        <v>119</v>
      </c>
      <c r="B20" s="156">
        <v>2.0447891213923142</v>
      </c>
      <c r="C20" s="156"/>
      <c r="D20" s="161"/>
      <c r="E20" s="156">
        <v>1.9523081201026453</v>
      </c>
      <c r="G20" s="321"/>
      <c r="H20" s="321"/>
      <c r="I20" s="321"/>
      <c r="J20" s="321"/>
      <c r="K20" s="321"/>
      <c r="L20" s="321"/>
    </row>
    <row r="21" spans="1:24" s="2" customFormat="1" ht="22.5" customHeight="1" x14ac:dyDescent="0.2">
      <c r="A21" s="133" t="s">
        <v>210</v>
      </c>
      <c r="B21" s="163">
        <v>10000.000000000002</v>
      </c>
      <c r="C21" s="163">
        <v>10000.000000000002</v>
      </c>
      <c r="D21" s="189">
        <v>1</v>
      </c>
      <c r="E21" s="163"/>
      <c r="G21" s="321"/>
      <c r="H21" s="321"/>
      <c r="I21" s="321"/>
      <c r="J21" s="321"/>
      <c r="K21" s="321"/>
      <c r="L21" s="321"/>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21" priority="4" operator="equal">
      <formula>0</formula>
    </cfRule>
  </conditionalFormatting>
  <conditionalFormatting sqref="E2:E6">
    <cfRule type="dataBar" priority="2">
      <dataBar>
        <cfvo type="min"/>
        <cfvo type="num" val="1"/>
        <color theme="8" tint="0.39997558519241921"/>
      </dataBar>
      <extLst>
        <ext xmlns:x14="http://schemas.microsoft.com/office/spreadsheetml/2009/9/main" uri="{B025F937-C7B1-47D3-B67F-A62EFF666E3E}">
          <x14:id>{EE70AC37-E3A7-4D14-AE0D-9D5A1641ADDF}</x14:id>
        </ext>
      </extLst>
    </cfRule>
  </conditionalFormatting>
  <hyperlinks>
    <hyperlink ref="G13:L21" location="统计!A1" display="跳转到统计表" xr:uid="{DFCEFCCE-0229-4F63-BB92-E80E44E95111}"/>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EE70AC37-E3A7-4D14-AE0D-9D5A1641ADDF}">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52" id="{3260064C-4824-4079-9F15-6AFAF7C1D944}">
            <x14:dataBar minLength="0" maxLength="100">
              <x14:cfvo type="num">
                <xm:f>0</xm:f>
              </x14:cfvo>
              <x14:cfvo type="num">
                <xm:f>卡牌!$V$7</xm:f>
              </x14:cfvo>
              <x14:fillColor theme="4"/>
              <x14:negativeFillColor rgb="FFFF0000"/>
              <x14:axisColor rgb="FF000000"/>
            </x14:dataBar>
          </x14:cfRule>
          <xm:sqref>I7</xm:sqref>
        </x14:conditionalFormatting>
        <x14:conditionalFormatting xmlns:xm="http://schemas.microsoft.com/office/excel/2006/main">
          <x14:cfRule type="dataBar" priority="253" id="{F9B63F8F-E763-4010-8852-8D4FE9757B78}">
            <x14:dataBar minLength="0" maxLength="100">
              <x14:cfvo type="autoMin"/>
              <x14:cfvo type="num">
                <xm:f>卡牌!$V$7</xm:f>
              </x14:cfvo>
              <x14:fillColor rgb="FFFF0000"/>
              <x14:negativeFillColor rgb="FFFF0000"/>
              <x14:axisColor rgb="FF000000"/>
            </x14:dataBar>
          </x14:cfRule>
          <xm:sqref>J7</xm:sqref>
        </x14:conditionalFormatting>
      </x14:conditionalFormatting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18399-DFD3-487D-A0AF-B6EB11CB2525}">
  <dimension ref="A1:X28"/>
  <sheetViews>
    <sheetView workbookViewId="0">
      <selection activeCell="E12" sqref="E12"/>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7.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2" customFormat="1" ht="30.75" customHeight="1" x14ac:dyDescent="0.25">
      <c r="A1" s="133" t="s">
        <v>201</v>
      </c>
      <c r="B1" s="133" t="s">
        <v>22</v>
      </c>
      <c r="C1" s="133" t="s">
        <v>200</v>
      </c>
      <c r="D1" s="133" t="s">
        <v>202</v>
      </c>
      <c r="E1" s="133" t="s">
        <v>93</v>
      </c>
      <c r="F1" s="133" t="s">
        <v>203</v>
      </c>
      <c r="G1" s="133" t="s">
        <v>204</v>
      </c>
      <c r="H1" s="133" t="s">
        <v>214</v>
      </c>
      <c r="I1" s="133" t="s">
        <v>207</v>
      </c>
      <c r="J1" s="133" t="s">
        <v>208</v>
      </c>
      <c r="K1" s="133" t="s">
        <v>270</v>
      </c>
      <c r="L1" s="133" t="s">
        <v>226</v>
      </c>
    </row>
    <row r="2" spans="1:12" s="132" customFormat="1" ht="30.75" customHeight="1" x14ac:dyDescent="0.25">
      <c r="A2" s="136" t="s">
        <v>261</v>
      </c>
      <c r="B2" s="137" t="s">
        <v>271</v>
      </c>
      <c r="C2" s="156">
        <v>10.5</v>
      </c>
      <c r="D2" s="188">
        <v>14.841815998806091</v>
      </c>
      <c r="E2" s="166">
        <v>0.11595168749067258</v>
      </c>
      <c r="F2" s="139">
        <v>0</v>
      </c>
      <c r="G2" s="163">
        <v>3141.2040017368631</v>
      </c>
      <c r="H2" s="170">
        <v>3.6023825239820603E-2</v>
      </c>
      <c r="I2" s="176">
        <v>14000</v>
      </c>
      <c r="J2" s="143">
        <v>156000</v>
      </c>
      <c r="K2" s="174"/>
      <c r="L2" s="134">
        <v>95</v>
      </c>
    </row>
    <row r="3" spans="1:12" s="132" customFormat="1" ht="30.75" customHeight="1" x14ac:dyDescent="0.25">
      <c r="A3" s="146" t="s">
        <v>262</v>
      </c>
      <c r="B3" s="139" t="s">
        <v>244</v>
      </c>
      <c r="C3" s="156">
        <v>12.111111111111111</v>
      </c>
      <c r="D3" s="188">
        <v>181.2939497268801</v>
      </c>
      <c r="E3" s="166">
        <v>0.31474644049805572</v>
      </c>
      <c r="F3" s="139">
        <v>0</v>
      </c>
      <c r="G3" s="163">
        <v>896.99018062936602</v>
      </c>
      <c r="H3" s="170">
        <v>0.44003385856038857</v>
      </c>
      <c r="I3" s="176">
        <v>209500</v>
      </c>
      <c r="J3" s="143">
        <v>555500</v>
      </c>
      <c r="K3" s="174">
        <v>0</v>
      </c>
      <c r="L3" s="133" t="s">
        <v>163</v>
      </c>
    </row>
    <row r="4" spans="1:12" s="132" customFormat="1" ht="30.75" customHeight="1" x14ac:dyDescent="0.25">
      <c r="A4" s="147" t="s">
        <v>2</v>
      </c>
      <c r="B4" s="139" t="s">
        <v>272</v>
      </c>
      <c r="C4" s="156">
        <v>12.852941176470589</v>
      </c>
      <c r="D4" s="188">
        <v>1781.0952694468413</v>
      </c>
      <c r="E4" s="166">
        <v>0.47622868167027843</v>
      </c>
      <c r="F4" s="139">
        <v>0</v>
      </c>
      <c r="G4" s="163">
        <v>453.13058926856536</v>
      </c>
      <c r="H4" s="171">
        <v>4.3230467705020414</v>
      </c>
      <c r="I4" s="176">
        <v>680000</v>
      </c>
      <c r="J4" s="143">
        <v>875500</v>
      </c>
      <c r="K4" s="174">
        <v>0</v>
      </c>
      <c r="L4" s="149">
        <v>0.93294331819226217</v>
      </c>
    </row>
    <row r="5" spans="1:12" s="132" customFormat="1" ht="30.75" customHeight="1" x14ac:dyDescent="0.25">
      <c r="A5" s="150" t="s">
        <v>4</v>
      </c>
      <c r="B5" s="139" t="s">
        <v>246</v>
      </c>
      <c r="C5" s="156">
        <v>14</v>
      </c>
      <c r="D5" s="188">
        <v>8414.9040000000005</v>
      </c>
      <c r="E5" s="166">
        <v>0.88540656565656572</v>
      </c>
      <c r="F5" s="139">
        <v>0</v>
      </c>
      <c r="G5" s="163">
        <v>53.322955555999158</v>
      </c>
      <c r="H5" s="172">
        <v>20.42452427184466</v>
      </c>
      <c r="I5" s="176">
        <v>762000</v>
      </c>
      <c r="J5" s="143">
        <v>360000</v>
      </c>
      <c r="K5" s="174">
        <v>0</v>
      </c>
      <c r="L5" s="133" t="s">
        <v>264</v>
      </c>
    </row>
    <row r="6" spans="1:12" s="132" customFormat="1" ht="30.75" customHeight="1" x14ac:dyDescent="0.25">
      <c r="A6" s="134" t="s">
        <v>3</v>
      </c>
      <c r="B6" s="139" t="s">
        <v>247</v>
      </c>
      <c r="C6" s="156">
        <v>13.846153846153847</v>
      </c>
      <c r="D6" s="188">
        <v>11863.37125</v>
      </c>
      <c r="E6" s="166">
        <v>0.775333066466244</v>
      </c>
      <c r="F6" s="139">
        <v>0</v>
      </c>
      <c r="G6" s="163">
        <v>119.38453371759738</v>
      </c>
      <c r="H6" s="172">
        <v>28.794590412621361</v>
      </c>
      <c r="I6" s="176">
        <v>398500</v>
      </c>
      <c r="J6" s="143">
        <v>212500</v>
      </c>
      <c r="K6" s="174">
        <v>0</v>
      </c>
      <c r="L6" s="149">
        <v>0.44937637681554427</v>
      </c>
    </row>
    <row r="7" spans="1:12" s="132" customFormat="1" ht="30.75" customHeight="1" x14ac:dyDescent="0.25">
      <c r="A7" s="133" t="s">
        <v>5</v>
      </c>
      <c r="B7" s="139" t="s">
        <v>273</v>
      </c>
      <c r="C7" s="156">
        <v>13.043010752688172</v>
      </c>
      <c r="D7" s="139"/>
      <c r="E7" s="161"/>
      <c r="F7" s="139">
        <v>0</v>
      </c>
      <c r="G7" s="175"/>
      <c r="H7" s="173"/>
      <c r="I7" s="143">
        <v>2064000</v>
      </c>
      <c r="J7" s="143">
        <v>2159500</v>
      </c>
      <c r="K7" s="174">
        <v>0</v>
      </c>
      <c r="L7" s="165" t="s">
        <v>551</v>
      </c>
    </row>
    <row r="8" spans="1:12" ht="14.25" customHeight="1" x14ac:dyDescent="0.2">
      <c r="L8" s="2"/>
    </row>
    <row r="10" spans="1:12" s="2" customFormat="1" ht="22.5" customHeight="1" x14ac:dyDescent="0.2">
      <c r="A10" s="316" t="s">
        <v>193</v>
      </c>
      <c r="B10" s="317"/>
      <c r="C10" s="317"/>
      <c r="D10" s="317"/>
      <c r="E10" s="318"/>
    </row>
    <row r="11" spans="1:12" s="2" customFormat="1" ht="22.5" customHeight="1" x14ac:dyDescent="0.2">
      <c r="A11" s="153" t="s">
        <v>144</v>
      </c>
      <c r="B11" s="153" t="s">
        <v>155</v>
      </c>
      <c r="C11" s="153" t="s">
        <v>210</v>
      </c>
      <c r="D11" s="153" t="s">
        <v>265</v>
      </c>
      <c r="E11" s="153" t="s">
        <v>160</v>
      </c>
    </row>
    <row r="12" spans="1:12" s="2" customFormat="1" ht="22.5" customHeight="1" x14ac:dyDescent="0.2">
      <c r="A12" s="136" t="s">
        <v>269</v>
      </c>
      <c r="B12" s="154">
        <v>13.022676071900481</v>
      </c>
      <c r="C12" s="144">
        <v>1666.9025372032615</v>
      </c>
      <c r="D12" s="166">
        <v>0.16669025372032614</v>
      </c>
      <c r="E12" s="155">
        <v>50.470011401118043</v>
      </c>
    </row>
    <row r="13" spans="1:12" s="2" customFormat="1" ht="22.5" customHeight="1" x14ac:dyDescent="0.2">
      <c r="A13" s="146" t="s">
        <v>184</v>
      </c>
      <c r="B13" s="156">
        <v>4.7975165780805451</v>
      </c>
      <c r="C13" s="144">
        <v>2763.3695489743941</v>
      </c>
      <c r="D13" s="166">
        <v>0.27633695489743942</v>
      </c>
      <c r="E13" s="144">
        <v>6.8496107983266015</v>
      </c>
      <c r="G13" s="321" t="s">
        <v>216</v>
      </c>
      <c r="H13" s="321"/>
      <c r="I13" s="321"/>
      <c r="J13" s="321"/>
      <c r="K13" s="321"/>
      <c r="L13" s="321"/>
    </row>
    <row r="14" spans="1:12" s="2" customFormat="1" ht="22.5" customHeight="1" x14ac:dyDescent="0.2">
      <c r="A14" s="147" t="s">
        <v>2</v>
      </c>
      <c r="B14" s="157">
        <v>0.92239949529226961</v>
      </c>
      <c r="C14" s="144">
        <v>3449.7741123930882</v>
      </c>
      <c r="D14" s="166">
        <v>0.34497741123930881</v>
      </c>
      <c r="E14" s="158">
        <v>0.87038970798048865</v>
      </c>
      <c r="G14" s="321"/>
      <c r="H14" s="321"/>
      <c r="I14" s="321"/>
      <c r="J14" s="321"/>
      <c r="K14" s="321"/>
      <c r="L14" s="321"/>
    </row>
    <row r="15" spans="1:12" s="2" customFormat="1" ht="22.5" customHeight="1" x14ac:dyDescent="0.2">
      <c r="A15" s="150" t="s">
        <v>4</v>
      </c>
      <c r="B15" s="159">
        <v>0.13781273944743883</v>
      </c>
      <c r="C15" s="144">
        <v>1309.7722757084587</v>
      </c>
      <c r="D15" s="166">
        <v>0.13097722757084587</v>
      </c>
      <c r="E15" s="160">
        <v>6.9945030829979424E-2</v>
      </c>
      <c r="G15" s="321"/>
      <c r="H15" s="321"/>
      <c r="I15" s="321"/>
      <c r="J15" s="321"/>
      <c r="K15" s="321"/>
      <c r="L15" s="321"/>
    </row>
    <row r="16" spans="1:12" s="2" customFormat="1" ht="22.5" customHeight="1" x14ac:dyDescent="0.2">
      <c r="A16" s="134" t="s">
        <v>3</v>
      </c>
      <c r="B16" s="159">
        <v>5.2949580139912245E-2</v>
      </c>
      <c r="C16" s="144">
        <v>810.18152572079725</v>
      </c>
      <c r="D16" s="166">
        <v>8.1018152572079727E-2</v>
      </c>
      <c r="E16" s="160">
        <v>3.068912123872896E-2</v>
      </c>
      <c r="G16" s="321"/>
      <c r="H16" s="321"/>
      <c r="I16" s="321"/>
      <c r="J16" s="321"/>
      <c r="K16" s="321"/>
      <c r="L16" s="321"/>
    </row>
    <row r="17" spans="1:24" s="2" customFormat="1" ht="22.5" customHeight="1" x14ac:dyDescent="0.2">
      <c r="A17" s="133" t="s">
        <v>113</v>
      </c>
      <c r="B17" s="156">
        <v>1.0379986051366743</v>
      </c>
      <c r="C17" s="156"/>
      <c r="D17" s="161"/>
      <c r="E17" s="156">
        <v>1.2236248585226006</v>
      </c>
      <c r="G17" s="321"/>
      <c r="H17" s="321"/>
      <c r="I17" s="321"/>
      <c r="J17" s="321"/>
      <c r="K17" s="321"/>
      <c r="L17" s="321"/>
    </row>
    <row r="18" spans="1:24" s="2" customFormat="1" ht="22.5" customHeight="1" x14ac:dyDescent="0.2">
      <c r="A18" s="133" t="s">
        <v>161</v>
      </c>
      <c r="B18" s="162">
        <v>1.2627220933742742</v>
      </c>
      <c r="C18" s="156"/>
      <c r="D18" s="161"/>
      <c r="E18" s="156">
        <v>1.165675227546997</v>
      </c>
      <c r="G18" s="321"/>
      <c r="H18" s="321"/>
      <c r="I18" s="321"/>
      <c r="J18" s="321"/>
      <c r="K18" s="321"/>
      <c r="L18" s="321"/>
    </row>
    <row r="19" spans="1:24" s="2" customFormat="1" ht="22.5" customHeight="1" x14ac:dyDescent="0.2">
      <c r="A19" s="133" t="s">
        <v>121</v>
      </c>
      <c r="B19" s="157">
        <v>0.14700722378583225</v>
      </c>
      <c r="C19" s="156"/>
      <c r="D19" s="161"/>
      <c r="E19" s="157">
        <v>0.13032962992160024</v>
      </c>
      <c r="G19" s="321"/>
      <c r="H19" s="321"/>
      <c r="I19" s="321"/>
      <c r="J19" s="321"/>
      <c r="K19" s="321"/>
      <c r="L19" s="321"/>
    </row>
    <row r="20" spans="1:24" s="2" customFormat="1" ht="22.5" customHeight="1" x14ac:dyDescent="0.2">
      <c r="A20" s="133" t="s">
        <v>119</v>
      </c>
      <c r="B20" s="156">
        <v>2.1931314348426976</v>
      </c>
      <c r="C20" s="156"/>
      <c r="D20" s="161"/>
      <c r="E20" s="156">
        <v>2.0167954815405196</v>
      </c>
      <c r="G20" s="321"/>
      <c r="H20" s="321"/>
      <c r="I20" s="321"/>
      <c r="J20" s="321"/>
      <c r="K20" s="321"/>
      <c r="L20" s="321"/>
    </row>
    <row r="21" spans="1:24" s="2" customFormat="1" ht="22.5" customHeight="1" x14ac:dyDescent="0.2">
      <c r="A21" s="133" t="s">
        <v>210</v>
      </c>
      <c r="B21" s="163">
        <v>10000</v>
      </c>
      <c r="C21" s="163">
        <v>10000</v>
      </c>
      <c r="D21" s="164"/>
      <c r="E21" s="163"/>
      <c r="G21" s="321"/>
      <c r="H21" s="321"/>
      <c r="I21" s="321"/>
      <c r="J21" s="321"/>
      <c r="K21" s="321"/>
      <c r="L21" s="321"/>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20" priority="3" operator="equal">
      <formula>0</formula>
    </cfRule>
  </conditionalFormatting>
  <conditionalFormatting sqref="E2:E6">
    <cfRule type="dataBar" priority="1">
      <dataBar>
        <cfvo type="min"/>
        <cfvo type="num" val="1"/>
        <color theme="8" tint="0.39997558519241921"/>
      </dataBar>
      <extLst>
        <ext xmlns:x14="http://schemas.microsoft.com/office/spreadsheetml/2009/9/main" uri="{B025F937-C7B1-47D3-B67F-A62EFF666E3E}">
          <x14:id>{E91A7EEA-3677-4858-923A-A33501799128}</x14:id>
        </ext>
      </extLst>
    </cfRule>
  </conditionalFormatting>
  <hyperlinks>
    <hyperlink ref="G13:L21" location="统计!A1" display="跳转到统计表" xr:uid="{1B1384F3-8240-4046-932F-837BF83EAE65}"/>
  </hyperlink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E91A7EEA-3677-4858-923A-A33501799128}">
            <x14:dataBar minLength="0" maxLength="100">
              <x14:cfvo type="autoMin"/>
              <x14:cfvo type="num">
                <xm:f>1</xm:f>
              </x14:cfvo>
              <x14:negativeFillColor rgb="FFFF0000"/>
              <x14:axisColor rgb="FF000000"/>
            </x14:dataBar>
          </x14:cfRule>
          <xm:sqref>E2:E6</xm:sqref>
        </x14:conditionalFormatting>
        <x14:conditionalFormatting xmlns:xm="http://schemas.microsoft.com/office/excel/2006/main">
          <x14:cfRule type="dataBar" priority="254" id="{49188338-F237-4DDA-9F19-0601164AEA00}">
            <x14:dataBar minLength="0" maxLength="100">
              <x14:cfvo type="autoMin"/>
              <x14:cfvo type="num">
                <xm:f>卡牌!$V$7</xm:f>
              </x14:cfvo>
              <x14:fillColor rgb="FFFF0000"/>
              <x14:negativeFillColor rgb="FFFF0000"/>
              <x14:axisColor rgb="FF000000"/>
            </x14:dataBar>
          </x14:cfRule>
          <xm:sqref>I7:J7</xm:sqref>
        </x14:conditionalFormatting>
      </x14:conditionalFormatting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6FB7-9100-4258-A5C3-EEAF999F878B}">
  <dimension ref="A1:X28"/>
  <sheetViews>
    <sheetView workbookViewId="0">
      <selection activeCell="L25" sqref="L25"/>
    </sheetView>
  </sheetViews>
  <sheetFormatPr defaultRowHeight="14.25" x14ac:dyDescent="0.2"/>
  <cols>
    <col min="1" max="1" width="31.375" customWidth="1"/>
    <col min="2" max="2" width="12.125" customWidth="1"/>
    <col min="3" max="3" width="15" customWidth="1"/>
    <col min="4" max="4" width="16" customWidth="1"/>
    <col min="5" max="5" width="11.875" customWidth="1"/>
    <col min="6" max="6" width="15.25" customWidth="1"/>
    <col min="7" max="7" width="16.625" customWidth="1"/>
    <col min="8" max="8" width="10" customWidth="1"/>
    <col min="9" max="9" width="13.875" customWidth="1"/>
    <col min="10" max="10" width="16" customWidth="1"/>
    <col min="11" max="11" width="13.5" customWidth="1"/>
    <col min="12" max="12" width="15.375" customWidth="1"/>
    <col min="13" max="13" width="26" customWidth="1"/>
    <col min="14" max="14" width="12.625" customWidth="1"/>
    <col min="15" max="15" width="12.875" customWidth="1"/>
  </cols>
  <sheetData>
    <row r="1" spans="1:13" s="132" customFormat="1" ht="30.75" customHeight="1" x14ac:dyDescent="0.25">
      <c r="A1" s="133" t="s">
        <v>201</v>
      </c>
      <c r="B1" s="133" t="s">
        <v>22</v>
      </c>
      <c r="C1" s="133" t="s">
        <v>200</v>
      </c>
      <c r="D1" s="133" t="s">
        <v>202</v>
      </c>
      <c r="E1" s="133" t="s">
        <v>93</v>
      </c>
      <c r="F1" s="133" t="s">
        <v>203</v>
      </c>
      <c r="G1" s="133" t="s">
        <v>204</v>
      </c>
      <c r="H1" s="133" t="s">
        <v>214</v>
      </c>
      <c r="I1" s="133" t="s">
        <v>207</v>
      </c>
      <c r="J1" s="133" t="s">
        <v>208</v>
      </c>
      <c r="K1" s="133" t="s">
        <v>265</v>
      </c>
      <c r="L1" s="133" t="s">
        <v>196</v>
      </c>
      <c r="M1" s="134" t="s">
        <v>226</v>
      </c>
    </row>
    <row r="2" spans="1:13" s="132" customFormat="1" ht="30.75" customHeight="1" x14ac:dyDescent="0.25">
      <c r="A2" s="136" t="s">
        <v>261</v>
      </c>
      <c r="B2" s="137" t="s">
        <v>266</v>
      </c>
      <c r="C2" s="138">
        <v>10.666666666666666</v>
      </c>
      <c r="D2" s="139">
        <v>11</v>
      </c>
      <c r="E2" s="140">
        <v>8.59375E-2</v>
      </c>
      <c r="F2" s="139">
        <v>0</v>
      </c>
      <c r="G2" s="141">
        <v>3861</v>
      </c>
      <c r="H2" s="142">
        <v>3.0303030303030304E-2</v>
      </c>
      <c r="I2" s="143">
        <v>12000</v>
      </c>
      <c r="J2" s="143">
        <v>158000</v>
      </c>
      <c r="K2" s="166">
        <v>1.5824563423839845E-2</v>
      </c>
      <c r="L2" s="145"/>
      <c r="M2" s="134">
        <v>92</v>
      </c>
    </row>
    <row r="3" spans="1:13" s="132" customFormat="1" ht="30.75" customHeight="1" x14ac:dyDescent="0.25">
      <c r="A3" s="146" t="s">
        <v>262</v>
      </c>
      <c r="B3" s="139" t="s">
        <v>244</v>
      </c>
      <c r="C3" s="138">
        <v>11.888888888888889</v>
      </c>
      <c r="D3" s="139">
        <v>151</v>
      </c>
      <c r="E3" s="140">
        <v>0.26215277777777779</v>
      </c>
      <c r="F3" s="139">
        <v>0</v>
      </c>
      <c r="G3" s="141">
        <v>1021.6887417218543</v>
      </c>
      <c r="H3" s="142">
        <v>0.41597796143250687</v>
      </c>
      <c r="I3" s="143">
        <v>189000</v>
      </c>
      <c r="J3" s="143">
        <v>576000</v>
      </c>
      <c r="K3" s="166">
        <v>7.1210535407279285E-2</v>
      </c>
      <c r="L3" s="145">
        <v>0</v>
      </c>
      <c r="M3" s="134" t="s">
        <v>163</v>
      </c>
    </row>
    <row r="4" spans="1:13" s="132" customFormat="1" ht="30.75" customHeight="1" x14ac:dyDescent="0.25">
      <c r="A4" s="147" t="s">
        <v>2</v>
      </c>
      <c r="B4" s="139" t="s">
        <v>267</v>
      </c>
      <c r="C4" s="138">
        <v>12.575757575757576</v>
      </c>
      <c r="D4" s="139">
        <v>1494</v>
      </c>
      <c r="E4" s="140">
        <v>0.39946524064171124</v>
      </c>
      <c r="F4" s="139">
        <v>0</v>
      </c>
      <c r="G4" s="141">
        <v>545.71485943775099</v>
      </c>
      <c r="H4" s="148">
        <v>4.115702479338843</v>
      </c>
      <c r="I4" s="143">
        <v>592250</v>
      </c>
      <c r="J4" s="143">
        <v>963250</v>
      </c>
      <c r="K4" s="166">
        <v>0.13450878910263869</v>
      </c>
      <c r="L4" s="145">
        <v>0</v>
      </c>
      <c r="M4" s="149">
        <v>0.88990614892451259</v>
      </c>
    </row>
    <row r="5" spans="1:13" s="132" customFormat="1" ht="30.75" customHeight="1" x14ac:dyDescent="0.25">
      <c r="A5" s="150" t="s">
        <v>4</v>
      </c>
      <c r="B5" s="139" t="s">
        <v>246</v>
      </c>
      <c r="C5" s="138">
        <v>13.916666666666666</v>
      </c>
      <c r="D5" s="139">
        <v>7019</v>
      </c>
      <c r="E5" s="140">
        <v>0.73853114478114479</v>
      </c>
      <c r="F5" s="139">
        <v>0</v>
      </c>
      <c r="G5" s="141">
        <v>128.5161703946431</v>
      </c>
      <c r="H5" s="151">
        <v>19.336088154269973</v>
      </c>
      <c r="I5" s="143">
        <v>742000</v>
      </c>
      <c r="J5" s="143">
        <v>380000</v>
      </c>
      <c r="K5" s="166">
        <v>9.494738054303907E-2</v>
      </c>
      <c r="L5" s="145">
        <v>0</v>
      </c>
      <c r="M5" s="135"/>
    </row>
    <row r="6" spans="1:13" s="132" customFormat="1" ht="30.75" customHeight="1" x14ac:dyDescent="0.25">
      <c r="A6" s="134" t="s">
        <v>3</v>
      </c>
      <c r="B6" s="139" t="s">
        <v>247</v>
      </c>
      <c r="C6" s="138">
        <v>13.538461538461538</v>
      </c>
      <c r="D6" s="139">
        <v>9969</v>
      </c>
      <c r="E6" s="140">
        <v>0.6515260440494085</v>
      </c>
      <c r="F6" s="139">
        <v>0</v>
      </c>
      <c r="G6" s="141">
        <v>194.15347577490218</v>
      </c>
      <c r="H6" s="151">
        <v>27.462809917355372</v>
      </c>
      <c r="I6" s="143">
        <v>363500</v>
      </c>
      <c r="J6" s="143">
        <v>247500</v>
      </c>
      <c r="K6" s="166">
        <v>5.1429831127479501E-2</v>
      </c>
      <c r="L6" s="145">
        <v>0</v>
      </c>
      <c r="M6" s="135"/>
    </row>
    <row r="7" spans="1:13" s="132" customFormat="1" ht="30.75" customHeight="1" x14ac:dyDescent="0.25">
      <c r="A7" s="133" t="s">
        <v>5</v>
      </c>
      <c r="B7" s="139" t="s">
        <v>268</v>
      </c>
      <c r="C7" s="138">
        <v>12.868131868131869</v>
      </c>
      <c r="D7" s="139"/>
      <c r="E7" s="139"/>
      <c r="F7" s="139">
        <v>0</v>
      </c>
      <c r="G7" s="141"/>
      <c r="H7" s="152"/>
      <c r="I7" s="143">
        <v>1898750</v>
      </c>
      <c r="J7" s="143">
        <v>2324750</v>
      </c>
      <c r="K7" s="166">
        <v>0.36792109960427638</v>
      </c>
      <c r="L7" s="145">
        <v>0</v>
      </c>
      <c r="M7" s="135"/>
    </row>
    <row r="10" spans="1:13" s="2" customFormat="1" ht="22.5" customHeight="1" x14ac:dyDescent="0.2">
      <c r="A10" s="316" t="s">
        <v>193</v>
      </c>
      <c r="B10" s="317"/>
      <c r="C10" s="317"/>
      <c r="D10" s="317"/>
      <c r="E10" s="318"/>
    </row>
    <row r="11" spans="1:13" s="2" customFormat="1" ht="22.5" customHeight="1" x14ac:dyDescent="0.2">
      <c r="A11" s="153" t="s">
        <v>144</v>
      </c>
      <c r="B11" s="153" t="s">
        <v>155</v>
      </c>
      <c r="C11" s="153" t="s">
        <v>210</v>
      </c>
      <c r="D11" s="153" t="s">
        <v>264</v>
      </c>
      <c r="E11" s="153" t="s">
        <v>160</v>
      </c>
    </row>
    <row r="12" spans="1:13" s="2" customFormat="1" ht="22.5" customHeight="1" x14ac:dyDescent="0.2">
      <c r="A12" s="136" t="s">
        <v>143</v>
      </c>
      <c r="B12" s="154">
        <v>14.38596674894532</v>
      </c>
      <c r="C12" s="144">
        <v>1841.4037438650009</v>
      </c>
      <c r="D12" s="166">
        <v>0.18414037438650002</v>
      </c>
      <c r="E12" s="155">
        <v>61.590117296203879</v>
      </c>
    </row>
    <row r="13" spans="1:13" s="2" customFormat="1" ht="22.5" customHeight="1" x14ac:dyDescent="0.2">
      <c r="A13" s="146" t="s">
        <v>184</v>
      </c>
      <c r="B13" s="156">
        <v>4.7159294971708157</v>
      </c>
      <c r="C13" s="144">
        <v>2716.3753903703901</v>
      </c>
      <c r="D13" s="166">
        <v>0.27163753903703891</v>
      </c>
      <c r="E13" s="144">
        <v>6.6186213282322495</v>
      </c>
      <c r="G13" s="321" t="s">
        <v>216</v>
      </c>
      <c r="H13" s="321"/>
      <c r="I13" s="321"/>
      <c r="J13" s="321"/>
      <c r="K13" s="321"/>
      <c r="L13" s="321"/>
    </row>
    <row r="14" spans="1:13" s="2" customFormat="1" ht="22.5" customHeight="1" x14ac:dyDescent="0.2">
      <c r="A14" s="147" t="s">
        <v>2</v>
      </c>
      <c r="B14" s="157">
        <v>0.90032656695206659</v>
      </c>
      <c r="C14" s="144">
        <v>3367.2213604007288</v>
      </c>
      <c r="D14" s="166">
        <v>0.33672213604007278</v>
      </c>
      <c r="E14" s="158">
        <v>0.82923144948436689</v>
      </c>
      <c r="G14" s="321"/>
      <c r="H14" s="321"/>
      <c r="I14" s="321"/>
      <c r="J14" s="321"/>
      <c r="K14" s="321"/>
      <c r="L14" s="321"/>
    </row>
    <row r="15" spans="1:13" s="2" customFormat="1" ht="22.5" customHeight="1" x14ac:dyDescent="0.2">
      <c r="A15" s="150" t="s">
        <v>4</v>
      </c>
      <c r="B15" s="159">
        <v>0.13527194834454923</v>
      </c>
      <c r="C15" s="144">
        <v>1285.6245970665959</v>
      </c>
      <c r="D15" s="166">
        <v>0.12856245970665955</v>
      </c>
      <c r="E15" s="160">
        <v>6.7389715832888858E-2</v>
      </c>
      <c r="G15" s="321"/>
      <c r="H15" s="321"/>
      <c r="I15" s="321"/>
      <c r="J15" s="321"/>
      <c r="K15" s="321"/>
      <c r="L15" s="321"/>
    </row>
    <row r="16" spans="1:13" s="2" customFormat="1" ht="22.5" customHeight="1" x14ac:dyDescent="0.2">
      <c r="A16" s="134" t="s">
        <v>3</v>
      </c>
      <c r="B16" s="159">
        <v>5.1589759381562364E-2</v>
      </c>
      <c r="C16" s="144">
        <v>789.37490829728574</v>
      </c>
      <c r="D16" s="166">
        <v>7.8937490829728549E-2</v>
      </c>
      <c r="E16" s="160">
        <v>2.9133080977105267E-2</v>
      </c>
      <c r="G16" s="321"/>
      <c r="H16" s="321"/>
      <c r="I16" s="321"/>
      <c r="J16" s="321"/>
      <c r="K16" s="321"/>
      <c r="L16" s="321"/>
    </row>
    <row r="17" spans="1:24" s="2" customFormat="1" ht="22.5" customHeight="1" x14ac:dyDescent="0.2">
      <c r="A17" s="133" t="s">
        <v>113</v>
      </c>
      <c r="B17" s="156">
        <v>1.002673597262574</v>
      </c>
      <c r="C17" s="156"/>
      <c r="D17" s="161"/>
      <c r="E17" s="156">
        <v>1.1615323467430518</v>
      </c>
      <c r="G17" s="321"/>
      <c r="H17" s="321"/>
      <c r="I17" s="321"/>
      <c r="J17" s="321"/>
      <c r="K17" s="321"/>
      <c r="L17" s="321"/>
    </row>
    <row r="18" spans="1:24" s="2" customFormat="1" ht="22.5" customHeight="1" x14ac:dyDescent="0.2">
      <c r="A18" s="133" t="s">
        <v>161</v>
      </c>
      <c r="B18" s="162">
        <v>1.2366928365943766</v>
      </c>
      <c r="C18" s="156"/>
      <c r="D18" s="161"/>
      <c r="E18" s="156">
        <v>1.1294656512629282</v>
      </c>
      <c r="G18" s="321"/>
      <c r="H18" s="321"/>
      <c r="I18" s="321"/>
      <c r="J18" s="321"/>
      <c r="K18" s="321"/>
      <c r="L18" s="321"/>
    </row>
    <row r="19" spans="1:24" s="2" customFormat="1" ht="22.5" customHeight="1" x14ac:dyDescent="0.2">
      <c r="A19" s="133" t="s">
        <v>121</v>
      </c>
      <c r="B19" s="157">
        <v>0.14474390353841984</v>
      </c>
      <c r="C19" s="156"/>
      <c r="D19" s="161"/>
      <c r="E19" s="157">
        <v>0.13137266514011167</v>
      </c>
      <c r="G19" s="321"/>
      <c r="H19" s="321"/>
      <c r="I19" s="321"/>
      <c r="J19" s="321"/>
      <c r="K19" s="321"/>
      <c r="L19" s="321"/>
    </row>
    <row r="20" spans="1:24" s="2" customFormat="1" ht="22.5" customHeight="1" x14ac:dyDescent="0.2">
      <c r="A20" s="133" t="s">
        <v>119</v>
      </c>
      <c r="B20" s="156">
        <v>2.1540299591581458</v>
      </c>
      <c r="C20" s="156"/>
      <c r="D20" s="161"/>
      <c r="E20" s="156">
        <v>2.0216918476418018</v>
      </c>
      <c r="G20" s="321"/>
      <c r="H20" s="321"/>
      <c r="I20" s="321"/>
      <c r="J20" s="321"/>
      <c r="K20" s="321"/>
      <c r="L20" s="321"/>
    </row>
    <row r="21" spans="1:24" s="2" customFormat="1" ht="22.5" customHeight="1" x14ac:dyDescent="0.2">
      <c r="A21" s="133" t="s">
        <v>210</v>
      </c>
      <c r="B21" s="163">
        <v>10000.000000000004</v>
      </c>
      <c r="C21" s="163">
        <v>10000.000000000004</v>
      </c>
      <c r="D21" s="164"/>
      <c r="E21" s="163"/>
      <c r="G21" s="321"/>
      <c r="H21" s="321"/>
      <c r="I21" s="321"/>
      <c r="J21" s="321"/>
      <c r="K21" s="321"/>
      <c r="L21" s="321"/>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19" priority="1" operator="equal">
      <formula>0</formula>
    </cfRule>
  </conditionalFormatting>
  <hyperlinks>
    <hyperlink ref="G13:L21" location="统计!A1" display="跳转到统计表" xr:uid="{4F765CBF-CF61-4FBD-BF22-FD0548170FD8}"/>
  </hyperlink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FFE0-A1C2-4751-94C3-9AEAAEDAA2D7}">
  <dimension ref="A1:X28"/>
  <sheetViews>
    <sheetView workbookViewId="0">
      <selection activeCell="C8" sqref="C8"/>
    </sheetView>
  </sheetViews>
  <sheetFormatPr defaultRowHeight="14.25" x14ac:dyDescent="0.2"/>
  <cols>
    <col min="1" max="1" width="31.375" customWidth="1"/>
    <col min="2" max="2" width="12.125" customWidth="1"/>
    <col min="3" max="3" width="14" customWidth="1"/>
    <col min="4" max="4" width="14.125" customWidth="1"/>
    <col min="5" max="5" width="11.875" customWidth="1"/>
    <col min="6" max="6" width="15.25" customWidth="1"/>
    <col min="7" max="7" width="16.625" customWidth="1"/>
    <col min="8" max="8" width="10" customWidth="1"/>
    <col min="9" max="9" width="13.875" customWidth="1"/>
    <col min="10" max="10" width="16" customWidth="1"/>
    <col min="11" max="11" width="10.125" customWidth="1"/>
    <col min="12" max="12" width="22.875" customWidth="1"/>
    <col min="13" max="13" width="26" customWidth="1"/>
    <col min="14" max="14" width="12.625" customWidth="1"/>
    <col min="15" max="15" width="12.875" customWidth="1"/>
  </cols>
  <sheetData>
    <row r="1" spans="1:12" s="132" customFormat="1" ht="30.75" customHeight="1" x14ac:dyDescent="0.25">
      <c r="A1" s="133" t="s">
        <v>201</v>
      </c>
      <c r="B1" s="133" t="s">
        <v>22</v>
      </c>
      <c r="C1" s="133" t="s">
        <v>200</v>
      </c>
      <c r="D1" s="133" t="s">
        <v>202</v>
      </c>
      <c r="E1" s="133" t="s">
        <v>93</v>
      </c>
      <c r="F1" s="133" t="s">
        <v>203</v>
      </c>
      <c r="G1" s="133" t="s">
        <v>204</v>
      </c>
      <c r="H1" s="133" t="s">
        <v>214</v>
      </c>
      <c r="I1" s="133" t="s">
        <v>207</v>
      </c>
      <c r="J1" s="133" t="s">
        <v>208</v>
      </c>
      <c r="K1" s="133" t="s">
        <v>270</v>
      </c>
      <c r="L1" s="133" t="s">
        <v>226</v>
      </c>
    </row>
    <row r="2" spans="1:12" s="132" customFormat="1" ht="30.75" customHeight="1" x14ac:dyDescent="0.25">
      <c r="A2" s="136" t="s">
        <v>261</v>
      </c>
      <c r="B2" s="137" t="s">
        <v>271</v>
      </c>
      <c r="C2" s="167">
        <v>10.5</v>
      </c>
      <c r="D2" s="139">
        <v>14</v>
      </c>
      <c r="E2" s="168">
        <v>0.109375</v>
      </c>
      <c r="F2" s="139">
        <v>0</v>
      </c>
      <c r="G2" s="141">
        <v>3102.4285714285716</v>
      </c>
      <c r="H2" s="142">
        <v>3.6745406824146981E-2</v>
      </c>
      <c r="I2" s="143">
        <v>14000</v>
      </c>
      <c r="J2" s="143">
        <v>156000</v>
      </c>
      <c r="K2" s="145"/>
      <c r="L2" s="134">
        <v>94</v>
      </c>
    </row>
    <row r="3" spans="1:12" s="132" customFormat="1" ht="30.75" customHeight="1" x14ac:dyDescent="0.25">
      <c r="A3" s="146" t="s">
        <v>262</v>
      </c>
      <c r="B3" s="139" t="s">
        <v>244</v>
      </c>
      <c r="C3" s="167">
        <v>11.944444444444445</v>
      </c>
      <c r="D3" s="139">
        <v>159</v>
      </c>
      <c r="E3" s="168">
        <v>0.27604166666666669</v>
      </c>
      <c r="F3" s="139">
        <v>0</v>
      </c>
      <c r="G3" s="141">
        <v>999.22641509433947</v>
      </c>
      <c r="H3" s="142">
        <v>0.41732283464566927</v>
      </c>
      <c r="I3" s="143">
        <v>192000</v>
      </c>
      <c r="J3" s="143">
        <v>573000</v>
      </c>
      <c r="K3" s="145">
        <v>0</v>
      </c>
      <c r="L3" s="133" t="s">
        <v>163</v>
      </c>
    </row>
    <row r="4" spans="1:12" s="132" customFormat="1" ht="30.75" customHeight="1" x14ac:dyDescent="0.25">
      <c r="A4" s="147" t="s">
        <v>2</v>
      </c>
      <c r="B4" s="139" t="s">
        <v>272</v>
      </c>
      <c r="C4" s="167">
        <v>12.617647058823529</v>
      </c>
      <c r="D4" s="139">
        <v>1594</v>
      </c>
      <c r="E4" s="168">
        <v>0.42620320855614974</v>
      </c>
      <c r="F4" s="139">
        <v>0</v>
      </c>
      <c r="G4" s="141">
        <v>512.93977415307404</v>
      </c>
      <c r="H4" s="148">
        <v>4.1837270341207349</v>
      </c>
      <c r="I4" s="143">
        <v>627500</v>
      </c>
      <c r="J4" s="143">
        <v>928000</v>
      </c>
      <c r="K4" s="145">
        <v>0</v>
      </c>
      <c r="L4" s="149">
        <v>0.90987822336909452</v>
      </c>
    </row>
    <row r="5" spans="1:12" s="132" customFormat="1" ht="30.75" customHeight="1" x14ac:dyDescent="0.25">
      <c r="A5" s="150" t="s">
        <v>4</v>
      </c>
      <c r="B5" s="139" t="s">
        <v>246</v>
      </c>
      <c r="C5" s="167">
        <v>13.958333333333334</v>
      </c>
      <c r="D5" s="139">
        <v>7543</v>
      </c>
      <c r="E5" s="168">
        <v>0.79366582491582494</v>
      </c>
      <c r="F5" s="139">
        <v>0</v>
      </c>
      <c r="G5" s="141">
        <v>99.050908126740012</v>
      </c>
      <c r="H5" s="151">
        <v>19.797900262467191</v>
      </c>
      <c r="I5" s="143">
        <v>752000</v>
      </c>
      <c r="J5" s="143">
        <v>370000</v>
      </c>
      <c r="K5" s="145">
        <v>0</v>
      </c>
      <c r="L5" s="133" t="s">
        <v>264</v>
      </c>
    </row>
    <row r="6" spans="1:12" s="132" customFormat="1" ht="30.75" customHeight="1" x14ac:dyDescent="0.25">
      <c r="A6" s="134" t="s">
        <v>3</v>
      </c>
      <c r="B6" s="139" t="s">
        <v>247</v>
      </c>
      <c r="C6" s="167">
        <v>13.692307692307692</v>
      </c>
      <c r="D6" s="139">
        <v>10770</v>
      </c>
      <c r="E6" s="168">
        <v>0.70387556368864779</v>
      </c>
      <c r="F6" s="139">
        <v>0</v>
      </c>
      <c r="G6" s="141">
        <v>160.28885793871871</v>
      </c>
      <c r="H6" s="151">
        <v>28.26771653543307</v>
      </c>
      <c r="I6" s="143">
        <v>383500</v>
      </c>
      <c r="J6" s="143">
        <v>227500</v>
      </c>
      <c r="K6" s="145">
        <v>0</v>
      </c>
      <c r="L6" s="149">
        <v>0.40388821932908214</v>
      </c>
    </row>
    <row r="7" spans="1:12" s="132" customFormat="1" ht="30.75" customHeight="1" x14ac:dyDescent="0.25">
      <c r="A7" s="133" t="s">
        <v>5</v>
      </c>
      <c r="B7" s="139" t="s">
        <v>273</v>
      </c>
      <c r="C7" s="167">
        <v>12.89247311827957</v>
      </c>
      <c r="D7" s="139"/>
      <c r="E7" s="169"/>
      <c r="F7" s="139">
        <v>0</v>
      </c>
      <c r="G7" s="141"/>
      <c r="H7" s="152"/>
      <c r="I7" s="143">
        <v>1969000</v>
      </c>
      <c r="J7" s="143">
        <v>2254500</v>
      </c>
      <c r="K7" s="145">
        <v>0</v>
      </c>
      <c r="L7" s="165" t="s">
        <v>274</v>
      </c>
    </row>
    <row r="8" spans="1:12" ht="14.25" customHeight="1" x14ac:dyDescent="0.2">
      <c r="L8" s="2"/>
    </row>
    <row r="10" spans="1:12" s="2" customFormat="1" ht="22.5" customHeight="1" x14ac:dyDescent="0.2">
      <c r="A10" s="316" t="s">
        <v>193</v>
      </c>
      <c r="B10" s="317"/>
      <c r="C10" s="317"/>
      <c r="D10" s="317"/>
      <c r="E10" s="318"/>
    </row>
    <row r="11" spans="1:12" s="2" customFormat="1" ht="22.5" customHeight="1" x14ac:dyDescent="0.2">
      <c r="A11" s="153" t="s">
        <v>144</v>
      </c>
      <c r="B11" s="153" t="s">
        <v>155</v>
      </c>
      <c r="C11" s="153" t="s">
        <v>210</v>
      </c>
      <c r="D11" s="153" t="s">
        <v>265</v>
      </c>
      <c r="E11" s="153" t="s">
        <v>160</v>
      </c>
    </row>
    <row r="12" spans="1:12" s="2" customFormat="1" ht="22.5" customHeight="1" x14ac:dyDescent="0.2">
      <c r="A12" s="136" t="s">
        <v>269</v>
      </c>
      <c r="B12" s="154">
        <v>12.408240225163814</v>
      </c>
      <c r="C12" s="144">
        <v>1588.2547488209682</v>
      </c>
      <c r="D12" s="166">
        <v>0.15882547488209681</v>
      </c>
      <c r="E12" s="155">
        <v>45.8198130244471</v>
      </c>
    </row>
    <row r="13" spans="1:12" s="2" customFormat="1" ht="22.5" customHeight="1" x14ac:dyDescent="0.2">
      <c r="A13" s="146" t="s">
        <v>184</v>
      </c>
      <c r="B13" s="156">
        <v>4.9164725420460407</v>
      </c>
      <c r="C13" s="144">
        <v>2831.8881842185192</v>
      </c>
      <c r="D13" s="166">
        <v>0.2831888184218519</v>
      </c>
      <c r="E13" s="144">
        <v>7.1934985915917347</v>
      </c>
      <c r="G13" s="321" t="s">
        <v>216</v>
      </c>
      <c r="H13" s="321"/>
      <c r="I13" s="321"/>
      <c r="J13" s="321"/>
      <c r="K13" s="321"/>
      <c r="L13" s="321"/>
    </row>
    <row r="14" spans="1:12" s="2" customFormat="1" ht="22.5" customHeight="1" x14ac:dyDescent="0.2">
      <c r="A14" s="147" t="s">
        <v>2</v>
      </c>
      <c r="B14" s="157">
        <v>0.92633662910570502</v>
      </c>
      <c r="C14" s="144">
        <v>3464.4989928553368</v>
      </c>
      <c r="D14" s="166">
        <v>0.34644989928553366</v>
      </c>
      <c r="E14" s="158">
        <v>0.8778358400826477</v>
      </c>
      <c r="G14" s="321"/>
      <c r="H14" s="321"/>
      <c r="I14" s="321"/>
      <c r="J14" s="321"/>
      <c r="K14" s="321"/>
      <c r="L14" s="321"/>
    </row>
    <row r="15" spans="1:12" s="2" customFormat="1" ht="22.5" customHeight="1" x14ac:dyDescent="0.2">
      <c r="A15" s="150" t="s">
        <v>4</v>
      </c>
      <c r="B15" s="159">
        <v>0.13818005818822224</v>
      </c>
      <c r="C15" s="144">
        <v>1313.2632730208641</v>
      </c>
      <c r="D15" s="166">
        <v>0.1313263273020864</v>
      </c>
      <c r="E15" s="160">
        <v>7.0318383249460298E-2</v>
      </c>
      <c r="G15" s="321"/>
      <c r="H15" s="321"/>
      <c r="I15" s="321"/>
      <c r="J15" s="321"/>
      <c r="K15" s="321"/>
      <c r="L15" s="321"/>
    </row>
    <row r="16" spans="1:12" s="2" customFormat="1" ht="22.5" customHeight="1" x14ac:dyDescent="0.2">
      <c r="A16" s="134" t="s">
        <v>3</v>
      </c>
      <c r="B16" s="159">
        <v>5.2421070589132181E-2</v>
      </c>
      <c r="C16" s="144">
        <v>802.09480108431148</v>
      </c>
      <c r="D16" s="166">
        <v>8.0209480108431153E-2</v>
      </c>
      <c r="E16" s="160">
        <v>3.0079539549030358E-2</v>
      </c>
      <c r="G16" s="321"/>
      <c r="H16" s="321"/>
      <c r="I16" s="321"/>
      <c r="J16" s="321"/>
      <c r="K16" s="321"/>
      <c r="L16" s="321"/>
    </row>
    <row r="17" spans="1:24" s="2" customFormat="1" ht="22.5" customHeight="1" x14ac:dyDescent="0.2">
      <c r="A17" s="133" t="s">
        <v>113</v>
      </c>
      <c r="B17" s="156">
        <v>1.0160927451973945</v>
      </c>
      <c r="C17" s="156"/>
      <c r="D17" s="161"/>
      <c r="E17" s="156">
        <v>1.1152251767423162</v>
      </c>
      <c r="G17" s="321"/>
      <c r="H17" s="321"/>
      <c r="I17" s="321"/>
      <c r="J17" s="321"/>
      <c r="K17" s="321"/>
      <c r="L17" s="321"/>
    </row>
    <row r="18" spans="1:24" s="2" customFormat="1" ht="22.5" customHeight="1" x14ac:dyDescent="0.2">
      <c r="A18" s="133" t="s">
        <v>161</v>
      </c>
      <c r="B18" s="162">
        <v>1.2689214285425421</v>
      </c>
      <c r="C18" s="156"/>
      <c r="D18" s="161"/>
      <c r="E18" s="156">
        <v>1.1794266251084102</v>
      </c>
      <c r="G18" s="321"/>
      <c r="H18" s="321"/>
      <c r="I18" s="321"/>
      <c r="J18" s="321"/>
      <c r="K18" s="321"/>
      <c r="L18" s="321"/>
    </row>
    <row r="19" spans="1:24" s="2" customFormat="1" ht="22.5" customHeight="1" x14ac:dyDescent="0.2">
      <c r="A19" s="133" t="s">
        <v>121</v>
      </c>
      <c r="B19" s="157">
        <v>0.14728439576555352</v>
      </c>
      <c r="C19" s="156"/>
      <c r="D19" s="161"/>
      <c r="E19" s="157">
        <v>0.12979733505341695</v>
      </c>
      <c r="G19" s="321"/>
      <c r="H19" s="321"/>
      <c r="I19" s="321"/>
      <c r="J19" s="321"/>
      <c r="K19" s="321"/>
      <c r="L19" s="321"/>
    </row>
    <row r="20" spans="1:24" s="2" customFormat="1" ht="22.5" customHeight="1" x14ac:dyDescent="0.2">
      <c r="A20" s="133" t="s">
        <v>119</v>
      </c>
      <c r="B20" s="156">
        <v>2.191671278976516</v>
      </c>
      <c r="C20" s="156"/>
      <c r="D20" s="161"/>
      <c r="E20" s="156">
        <v>1.9956771104496083</v>
      </c>
      <c r="G20" s="321"/>
      <c r="H20" s="321"/>
      <c r="I20" s="321"/>
      <c r="J20" s="321"/>
      <c r="K20" s="321"/>
      <c r="L20" s="321"/>
    </row>
    <row r="21" spans="1:24" s="2" customFormat="1" ht="22.5" customHeight="1" x14ac:dyDescent="0.2">
      <c r="A21" s="133" t="s">
        <v>210</v>
      </c>
      <c r="B21" s="163">
        <v>10000</v>
      </c>
      <c r="C21" s="163">
        <v>10000</v>
      </c>
      <c r="D21" s="164"/>
      <c r="E21" s="163"/>
      <c r="G21" s="321"/>
      <c r="H21" s="321"/>
      <c r="I21" s="321"/>
      <c r="J21" s="321"/>
      <c r="K21" s="321"/>
      <c r="L21" s="321"/>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conditionalFormatting sqref="B12:E16">
    <cfRule type="cellIs" dxfId="18" priority="1" operator="equal">
      <formula>0</formula>
    </cfRule>
  </conditionalFormatting>
  <hyperlinks>
    <hyperlink ref="G13:L21" location="统计!A1" display="跳转到统计表" xr:uid="{F5ACF53F-63A5-4843-90DE-DBF82A3CEA4B}"/>
  </hyperlink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22C8-ED31-484B-9CA8-7CFD1E6F376D}">
  <sheetPr codeName="Sheet15"/>
  <dimension ref="A1:X28"/>
  <sheetViews>
    <sheetView workbookViewId="0">
      <selection activeCell="C6" sqref="C6"/>
    </sheetView>
  </sheetViews>
  <sheetFormatPr defaultRowHeight="14.25" x14ac:dyDescent="0.2"/>
  <cols>
    <col min="1" max="1" width="22.125" customWidth="1"/>
    <col min="2" max="2" width="10.625" customWidth="1"/>
    <col min="3" max="3" width="13.5" customWidth="1"/>
    <col min="4" max="4" width="18.625" customWidth="1"/>
    <col min="5" max="5" width="11.875" customWidth="1"/>
    <col min="6" max="6" width="13" customWidth="1"/>
    <col min="7" max="7" width="14.375" customWidth="1"/>
    <col min="8" max="8" width="10" customWidth="1"/>
    <col min="9" max="9" width="13.875" customWidth="1"/>
    <col min="10" max="10" width="13.375" customWidth="1"/>
    <col min="11" max="11" width="13.5" customWidth="1"/>
    <col min="12" max="12" width="12.25" customWidth="1"/>
    <col min="13" max="13" width="15" customWidth="1"/>
    <col min="14" max="14" width="19.5" customWidth="1"/>
    <col min="15" max="15" width="12.875" customWidth="1"/>
  </cols>
  <sheetData>
    <row r="1" spans="1:15" x14ac:dyDescent="0.2">
      <c r="A1" s="3" t="s">
        <v>201</v>
      </c>
      <c r="B1" s="3" t="s">
        <v>22</v>
      </c>
      <c r="C1" s="3" t="s">
        <v>200</v>
      </c>
      <c r="D1" s="3" t="s">
        <v>202</v>
      </c>
      <c r="E1" s="118" t="s">
        <v>93</v>
      </c>
      <c r="F1" s="3" t="s">
        <v>203</v>
      </c>
      <c r="G1" s="3" t="s">
        <v>204</v>
      </c>
      <c r="H1" s="3" t="s">
        <v>214</v>
      </c>
      <c r="I1" s="3" t="s">
        <v>205</v>
      </c>
      <c r="J1" s="3" t="s">
        <v>207</v>
      </c>
      <c r="K1" s="3" t="s">
        <v>208</v>
      </c>
      <c r="L1" s="3" t="s">
        <v>206</v>
      </c>
      <c r="M1" s="67" t="s">
        <v>196</v>
      </c>
      <c r="N1" s="29" t="s">
        <v>213</v>
      </c>
      <c r="O1" s="3" t="s">
        <v>212</v>
      </c>
    </row>
    <row r="2" spans="1:15" x14ac:dyDescent="0.2">
      <c r="A2" s="33" t="s">
        <v>164</v>
      </c>
      <c r="B2" s="7" t="s">
        <v>243</v>
      </c>
      <c r="C2" s="110">
        <v>10.333333333333334</v>
      </c>
      <c r="D2" s="7">
        <v>9</v>
      </c>
      <c r="E2" s="119">
        <v>9.375E-2</v>
      </c>
      <c r="F2" s="7">
        <v>0</v>
      </c>
      <c r="G2" s="111">
        <v>3277</v>
      </c>
      <c r="H2" s="26">
        <v>2.6548672566371681E-2</v>
      </c>
      <c r="I2" s="111">
        <v>3912.6653279638062</v>
      </c>
      <c r="J2" s="49">
        <v>9000</v>
      </c>
      <c r="K2" s="49">
        <v>118500</v>
      </c>
      <c r="L2" s="76">
        <v>124.05157040986757</v>
      </c>
      <c r="M2" s="101"/>
      <c r="N2" s="112">
        <v>109.85017421602788</v>
      </c>
      <c r="O2" s="16">
        <v>11.354372463964548</v>
      </c>
    </row>
    <row r="3" spans="1:15" x14ac:dyDescent="0.2">
      <c r="A3" s="20" t="s">
        <v>127</v>
      </c>
      <c r="B3" s="7" t="s">
        <v>244</v>
      </c>
      <c r="C3" s="110">
        <v>11.777777777777779</v>
      </c>
      <c r="D3" s="7">
        <v>145</v>
      </c>
      <c r="E3" s="119">
        <v>0.2517361111111111</v>
      </c>
      <c r="F3" s="7">
        <v>0</v>
      </c>
      <c r="G3" s="111">
        <v>1007.6482758620689</v>
      </c>
      <c r="H3" s="26">
        <v>0.42772861356932151</v>
      </c>
      <c r="I3" s="111">
        <v>899.54372980102903</v>
      </c>
      <c r="J3" s="49">
        <v>179500</v>
      </c>
      <c r="K3" s="49">
        <v>585500</v>
      </c>
      <c r="L3" s="76">
        <v>744.30942245920551</v>
      </c>
      <c r="M3" s="101">
        <v>0</v>
      </c>
      <c r="N3" s="29" t="s">
        <v>163</v>
      </c>
      <c r="O3" s="2"/>
    </row>
    <row r="4" spans="1:15" x14ac:dyDescent="0.2">
      <c r="A4" s="28" t="s">
        <v>2</v>
      </c>
      <c r="B4" s="7" t="s">
        <v>245</v>
      </c>
      <c r="C4" s="110">
        <v>12.515151515151516</v>
      </c>
      <c r="D4" s="7">
        <v>1435</v>
      </c>
      <c r="E4" s="119">
        <v>0.3953168044077135</v>
      </c>
      <c r="F4" s="7">
        <v>0</v>
      </c>
      <c r="G4" s="111">
        <v>518.54006968641113</v>
      </c>
      <c r="H4" s="23">
        <v>4.2330383480825962</v>
      </c>
      <c r="I4" s="111">
        <v>271.0484876308725</v>
      </c>
      <c r="J4" s="49">
        <v>583250</v>
      </c>
      <c r="K4" s="49">
        <v>926500</v>
      </c>
      <c r="L4" s="76">
        <v>1364.5672745085435</v>
      </c>
      <c r="M4" s="101">
        <v>0</v>
      </c>
      <c r="N4" s="113">
        <v>0.87700383534526949</v>
      </c>
    </row>
    <row r="5" spans="1:15" x14ac:dyDescent="0.2">
      <c r="A5" s="4" t="s">
        <v>4</v>
      </c>
      <c r="B5" s="7" t="s">
        <v>246</v>
      </c>
      <c r="C5" s="110">
        <v>13.875</v>
      </c>
      <c r="D5" s="7">
        <v>6711</v>
      </c>
      <c r="E5" s="119">
        <v>0.70612373737373735</v>
      </c>
      <c r="F5" s="7">
        <v>0</v>
      </c>
      <c r="G5" s="111">
        <v>141.08582923558339</v>
      </c>
      <c r="H5" s="115">
        <v>19.79646017699115</v>
      </c>
      <c r="I5" s="111">
        <v>240.56557592667613</v>
      </c>
      <c r="J5" s="49">
        <v>732000</v>
      </c>
      <c r="K5" s="49">
        <v>390000</v>
      </c>
      <c r="L5" s="76">
        <v>992.41256327894052</v>
      </c>
      <c r="M5" s="101">
        <v>0</v>
      </c>
    </row>
    <row r="6" spans="1:15" x14ac:dyDescent="0.2">
      <c r="A6" s="29" t="s">
        <v>3</v>
      </c>
      <c r="B6" s="7" t="s">
        <v>247</v>
      </c>
      <c r="C6" s="110">
        <v>13.384615384615385</v>
      </c>
      <c r="D6" s="7">
        <v>9533</v>
      </c>
      <c r="E6" s="119">
        <v>0.62303117443304357</v>
      </c>
      <c r="F6" s="7">
        <v>0</v>
      </c>
      <c r="G6" s="111">
        <v>205.1140249659079</v>
      </c>
      <c r="H6" s="115">
        <v>28.12094395280236</v>
      </c>
      <c r="I6" s="111">
        <v>335.26113832441996</v>
      </c>
      <c r="J6" s="49">
        <v>343500</v>
      </c>
      <c r="K6" s="49">
        <v>267500</v>
      </c>
      <c r="L6" s="76">
        <v>537.55680510942614</v>
      </c>
      <c r="M6" s="101">
        <v>0</v>
      </c>
    </row>
    <row r="7" spans="1:15" x14ac:dyDescent="0.2">
      <c r="A7" s="3" t="s">
        <v>5</v>
      </c>
      <c r="B7" s="7" t="s">
        <v>248</v>
      </c>
      <c r="C7" s="110">
        <v>12.780219780219781</v>
      </c>
      <c r="D7" s="7"/>
      <c r="E7" s="7"/>
      <c r="F7" s="7">
        <v>0</v>
      </c>
      <c r="G7" s="111"/>
      <c r="H7" s="3"/>
      <c r="I7" s="111"/>
      <c r="J7" s="49">
        <v>1847250</v>
      </c>
      <c r="K7" s="49">
        <v>2288000</v>
      </c>
      <c r="L7" s="76">
        <v>3762.8976357659831</v>
      </c>
      <c r="M7" s="101">
        <v>0</v>
      </c>
    </row>
    <row r="10" spans="1:15" x14ac:dyDescent="0.2">
      <c r="A10" s="322" t="s">
        <v>193</v>
      </c>
      <c r="B10" s="323"/>
      <c r="C10" s="323"/>
      <c r="D10" s="323"/>
      <c r="E10" s="324"/>
    </row>
    <row r="11" spans="1:15" x14ac:dyDescent="0.2">
      <c r="A11" s="44" t="s">
        <v>144</v>
      </c>
      <c r="B11" s="44" t="s">
        <v>155</v>
      </c>
      <c r="C11" s="44" t="s">
        <v>210</v>
      </c>
      <c r="D11" s="44" t="s">
        <v>220</v>
      </c>
      <c r="E11" s="44" t="s">
        <v>160</v>
      </c>
    </row>
    <row r="12" spans="1:15" x14ac:dyDescent="0.2">
      <c r="A12" s="34" t="s">
        <v>143</v>
      </c>
      <c r="B12" s="73">
        <v>13.783507823318619</v>
      </c>
      <c r="C12" s="76">
        <v>1323.2167510385875</v>
      </c>
      <c r="D12" s="114">
        <v>441.07225034619586</v>
      </c>
      <c r="E12" s="75">
        <v>55.323657600989399</v>
      </c>
    </row>
    <row r="13" spans="1:15" x14ac:dyDescent="0.2">
      <c r="A13" s="20" t="s">
        <v>184</v>
      </c>
      <c r="B13" s="71">
        <v>5.1331684307531411</v>
      </c>
      <c r="C13" s="76">
        <v>2956.7050161138095</v>
      </c>
      <c r="D13" s="114">
        <v>164.26138978410052</v>
      </c>
      <c r="E13" s="76">
        <v>7.6729505619255711</v>
      </c>
      <c r="G13" s="321" t="s">
        <v>216</v>
      </c>
      <c r="H13" s="321"/>
      <c r="I13" s="321"/>
      <c r="J13" s="321"/>
      <c r="K13" s="321"/>
      <c r="L13" s="321"/>
    </row>
    <row r="14" spans="1:15" x14ac:dyDescent="0.2">
      <c r="A14" s="28" t="s">
        <v>2</v>
      </c>
      <c r="B14" s="77">
        <v>0.9509179613299954</v>
      </c>
      <c r="C14" s="76">
        <v>3451.8321996278833</v>
      </c>
      <c r="D14" s="114">
        <v>104.6009757462995</v>
      </c>
      <c r="E14" s="78">
        <v>0.9051492141491746</v>
      </c>
      <c r="G14" s="321"/>
      <c r="H14" s="321"/>
      <c r="I14" s="321"/>
      <c r="J14" s="321"/>
      <c r="K14" s="321"/>
      <c r="L14" s="321"/>
    </row>
    <row r="15" spans="1:15" x14ac:dyDescent="0.2">
      <c r="A15" s="4" t="s">
        <v>4</v>
      </c>
      <c r="B15" s="79">
        <v>0.14787849251660565</v>
      </c>
      <c r="C15" s="76">
        <v>1405.4371928778201</v>
      </c>
      <c r="D15" s="114">
        <v>58.559883036575833</v>
      </c>
      <c r="E15" s="80">
        <v>7.8803699751117978E-2</v>
      </c>
      <c r="G15" s="321"/>
      <c r="H15" s="321"/>
      <c r="I15" s="321"/>
      <c r="J15" s="321"/>
      <c r="K15" s="321"/>
      <c r="L15" s="321"/>
    </row>
    <row r="16" spans="1:15" x14ac:dyDescent="0.2">
      <c r="A16" s="29" t="s">
        <v>3</v>
      </c>
      <c r="B16" s="79">
        <v>5.6389049104104284E-2</v>
      </c>
      <c r="C16" s="76">
        <v>862.80884034189967</v>
      </c>
      <c r="D16" s="114">
        <v>66.369910795530743</v>
      </c>
      <c r="E16" s="80">
        <v>3.4057079045846261E-2</v>
      </c>
      <c r="G16" s="321"/>
      <c r="H16" s="321"/>
      <c r="I16" s="321"/>
      <c r="J16" s="321"/>
      <c r="K16" s="321"/>
      <c r="L16" s="321"/>
    </row>
    <row r="17" spans="1:24" x14ac:dyDescent="0.2">
      <c r="A17" s="67" t="s">
        <v>113</v>
      </c>
      <c r="B17" s="68">
        <v>1.0705740928278993</v>
      </c>
      <c r="C17" s="68"/>
      <c r="D17" s="69"/>
      <c r="E17" s="68">
        <v>1.2290160276520612</v>
      </c>
      <c r="G17" s="321"/>
      <c r="H17" s="321"/>
      <c r="I17" s="321"/>
      <c r="J17" s="321"/>
      <c r="K17" s="321"/>
      <c r="L17" s="321"/>
    </row>
    <row r="18" spans="1:24" x14ac:dyDescent="0.2">
      <c r="A18" s="67" t="s">
        <v>161</v>
      </c>
      <c r="B18" s="70">
        <v>1.3256711156027865</v>
      </c>
      <c r="C18" s="68"/>
      <c r="D18" s="69"/>
      <c r="E18" s="71">
        <v>1.2555067204952564</v>
      </c>
      <c r="G18" s="321"/>
      <c r="H18" s="321"/>
      <c r="I18" s="321"/>
      <c r="J18" s="321"/>
      <c r="K18" s="321"/>
      <c r="L18" s="321"/>
    </row>
    <row r="19" spans="1:24" x14ac:dyDescent="0.2">
      <c r="A19" s="67" t="s">
        <v>121</v>
      </c>
      <c r="B19" s="72">
        <v>0.15613692471451071</v>
      </c>
      <c r="C19" s="68"/>
      <c r="D19" s="69"/>
      <c r="E19" s="72">
        <v>0.14305447293010212</v>
      </c>
      <c r="G19" s="321"/>
      <c r="H19" s="321"/>
      <c r="I19" s="321"/>
      <c r="J19" s="321"/>
      <c r="K19" s="321"/>
      <c r="L19" s="321"/>
    </row>
    <row r="20" spans="1:24" x14ac:dyDescent="0.2">
      <c r="A20" s="67" t="s">
        <v>119</v>
      </c>
      <c r="B20" s="68">
        <v>2.2891218484899545</v>
      </c>
      <c r="C20" s="68"/>
      <c r="D20" s="69"/>
      <c r="E20" s="68">
        <v>2.0960686852721238</v>
      </c>
      <c r="G20" s="321"/>
      <c r="H20" s="321"/>
      <c r="I20" s="321"/>
      <c r="J20" s="321"/>
      <c r="K20" s="321"/>
      <c r="L20" s="321"/>
    </row>
    <row r="21" spans="1:24" x14ac:dyDescent="0.2">
      <c r="A21" s="52" t="s">
        <v>134</v>
      </c>
      <c r="B21" s="68">
        <v>2.4182334804425367</v>
      </c>
      <c r="C21" s="68"/>
      <c r="D21" s="69"/>
      <c r="E21" s="68"/>
      <c r="G21" s="321"/>
      <c r="H21" s="321"/>
      <c r="I21" s="321"/>
      <c r="J21" s="321"/>
      <c r="K21" s="321"/>
      <c r="L21" s="321"/>
    </row>
    <row r="22" spans="1:24" x14ac:dyDescent="0.2">
      <c r="A22" s="67" t="s">
        <v>153</v>
      </c>
      <c r="B22" s="81">
        <v>10000</v>
      </c>
      <c r="C22" s="82">
        <v>10000</v>
      </c>
      <c r="D22" s="74"/>
      <c r="E22" s="82"/>
    </row>
    <row r="26" spans="1:24" x14ac:dyDescent="0.2">
      <c r="U26" s="2"/>
      <c r="V26" s="2"/>
      <c r="X26" s="2"/>
    </row>
    <row r="27" spans="1:24" x14ac:dyDescent="0.2">
      <c r="U27" s="2"/>
      <c r="V27" s="2"/>
      <c r="W27" s="2"/>
      <c r="X27" s="2"/>
    </row>
    <row r="28" spans="1:24" x14ac:dyDescent="0.2">
      <c r="U28" s="2"/>
      <c r="V28" s="2"/>
      <c r="W28" s="2"/>
      <c r="X28" s="2"/>
    </row>
  </sheetData>
  <mergeCells count="2">
    <mergeCell ref="A10:E10"/>
    <mergeCell ref="G13:L21"/>
  </mergeCells>
  <phoneticPr fontId="1" type="noConversion"/>
  <hyperlinks>
    <hyperlink ref="G13:L21" location="统计!A1" display="跳转到统计表" xr:uid="{773E21D3-5A41-4A47-AE82-6CFA9CB0F5EB}"/>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16DC-55A5-4F10-A1BC-265186ADF8BB}">
  <sheetPr codeName="Sheet2">
    <tabColor theme="4" tint="0.39997558519241921"/>
  </sheetPr>
  <dimension ref="A1:I61"/>
  <sheetViews>
    <sheetView tabSelected="1" workbookViewId="0">
      <selection activeCell="C29" sqref="C29"/>
    </sheetView>
  </sheetViews>
  <sheetFormatPr defaultRowHeight="14.25" x14ac:dyDescent="0.2"/>
  <cols>
    <col min="1" max="1" width="23" customWidth="1"/>
    <col min="2" max="2" width="24.5" customWidth="1"/>
    <col min="3" max="3" width="23.75" customWidth="1"/>
    <col min="4" max="4" width="19.875" customWidth="1"/>
    <col min="5" max="5" width="25" customWidth="1"/>
    <col min="6" max="6" width="23.625" customWidth="1"/>
    <col min="7" max="7" width="16.5" bestFit="1" customWidth="1"/>
    <col min="8" max="8" width="35.875" customWidth="1"/>
    <col min="9" max="9" width="10.5" customWidth="1"/>
    <col min="10" max="10" width="16.5" customWidth="1"/>
    <col min="11" max="11" width="21" bestFit="1" customWidth="1"/>
  </cols>
  <sheetData>
    <row r="1" spans="1:7" ht="15.75" thickTop="1" thickBot="1" x14ac:dyDescent="0.25">
      <c r="A1" s="67" t="s">
        <v>815</v>
      </c>
      <c r="B1" s="34" t="s">
        <v>130</v>
      </c>
      <c r="C1" s="20" t="s">
        <v>127</v>
      </c>
      <c r="D1" s="28" t="s">
        <v>2</v>
      </c>
      <c r="E1" s="4" t="s">
        <v>4</v>
      </c>
      <c r="F1" s="29" t="s">
        <v>3</v>
      </c>
      <c r="G1" s="66" t="s">
        <v>5</v>
      </c>
    </row>
    <row r="2" spans="1:7" ht="15.75" thickTop="1" thickBot="1" x14ac:dyDescent="0.25">
      <c r="A2" s="67" t="s">
        <v>114</v>
      </c>
      <c r="B2" s="292">
        <v>0</v>
      </c>
      <c r="C2" s="293"/>
      <c r="D2" s="13">
        <v>1.89E-2</v>
      </c>
      <c r="E2" s="13">
        <v>0.32033</v>
      </c>
      <c r="F2" s="13">
        <v>0.66074999999999995</v>
      </c>
      <c r="G2" s="120">
        <f>SUM(B2:F2)</f>
        <v>0.99997999999999998</v>
      </c>
    </row>
    <row r="3" spans="1:7" ht="15.75" thickTop="1" thickBot="1" x14ac:dyDescent="0.25">
      <c r="A3" s="67" t="s">
        <v>118</v>
      </c>
      <c r="B3" s="294">
        <v>0</v>
      </c>
      <c r="C3" s="295"/>
      <c r="D3" s="24">
        <f>D2*2</f>
        <v>3.78E-2</v>
      </c>
      <c r="E3" s="24">
        <f t="shared" ref="E3:F3" si="0">E2*2</f>
        <v>0.64066000000000001</v>
      </c>
      <c r="F3" s="24">
        <f t="shared" si="0"/>
        <v>1.3214999999999999</v>
      </c>
      <c r="G3" s="109">
        <f>SUM(B3:F3)</f>
        <v>1.99996</v>
      </c>
    </row>
    <row r="4" spans="1:7" ht="15.75" thickTop="1" thickBot="1" x14ac:dyDescent="0.25"/>
    <row r="5" spans="1:7" ht="15.75" thickTop="1" thickBot="1" x14ac:dyDescent="0.25">
      <c r="A5" s="67" t="s">
        <v>816</v>
      </c>
      <c r="B5" s="34" t="s">
        <v>130</v>
      </c>
      <c r="C5" s="20" t="s">
        <v>127</v>
      </c>
      <c r="D5" s="28" t="s">
        <v>2</v>
      </c>
      <c r="E5" s="4" t="s">
        <v>4</v>
      </c>
      <c r="F5" s="29" t="s">
        <v>3</v>
      </c>
      <c r="G5" s="66" t="s">
        <v>5</v>
      </c>
    </row>
    <row r="6" spans="1:7" ht="15.75" thickTop="1" thickBot="1" x14ac:dyDescent="0.25">
      <c r="A6" s="67" t="s">
        <v>114</v>
      </c>
      <c r="B6" s="292">
        <v>1.9140000000000001E-2</v>
      </c>
      <c r="C6" s="293"/>
      <c r="D6" s="13">
        <v>0.15576999999999999</v>
      </c>
      <c r="E6" s="13">
        <v>0.34733000000000003</v>
      </c>
      <c r="F6" s="13">
        <v>0.47774</v>
      </c>
      <c r="G6" s="120">
        <f>SUM(B6:F6)</f>
        <v>0.99998000000000009</v>
      </c>
    </row>
    <row r="7" spans="1:7" ht="15.75" thickTop="1" thickBot="1" x14ac:dyDescent="0.25">
      <c r="A7" s="67" t="s">
        <v>115</v>
      </c>
      <c r="B7" s="102">
        <f>(1-B6)^19</f>
        <v>0.69268129227905773</v>
      </c>
      <c r="C7" s="103"/>
      <c r="D7" s="13"/>
      <c r="E7" s="13"/>
      <c r="F7" s="13"/>
      <c r="G7" s="106"/>
    </row>
    <row r="8" spans="1:7" ht="15.75" thickTop="1" thickBot="1" x14ac:dyDescent="0.25">
      <c r="A8" s="67" t="s">
        <v>117</v>
      </c>
      <c r="B8" s="104" t="s">
        <v>821</v>
      </c>
      <c r="C8" s="105"/>
      <c r="D8" s="3"/>
      <c r="E8" s="3"/>
      <c r="F8" s="3"/>
      <c r="G8" s="106"/>
    </row>
    <row r="9" spans="1:7" ht="15.75" thickTop="1" thickBot="1" x14ac:dyDescent="0.25">
      <c r="A9" s="67" t="s">
        <v>118</v>
      </c>
      <c r="B9" s="288">
        <f>(B7*1+(1-B7)*B6*100)/20</f>
        <v>6.404446494284706E-2</v>
      </c>
      <c r="C9" s="289"/>
      <c r="D9" s="24">
        <f>D6*5</f>
        <v>0.77884999999999993</v>
      </c>
      <c r="E9" s="24">
        <f t="shared" ref="E9:F9" si="1">E6*5</f>
        <v>1.73665</v>
      </c>
      <c r="F9" s="24">
        <f t="shared" si="1"/>
        <v>2.3887</v>
      </c>
      <c r="G9" s="109">
        <f>SUM(B9:F9)</f>
        <v>4.9682444649428472</v>
      </c>
    </row>
    <row r="10" spans="1:7" ht="15.75" thickTop="1" thickBot="1" x14ac:dyDescent="0.25"/>
    <row r="11" spans="1:7" ht="15.75" thickTop="1" thickBot="1" x14ac:dyDescent="0.25">
      <c r="A11" s="67" t="s">
        <v>822</v>
      </c>
      <c r="B11" s="34" t="s">
        <v>130</v>
      </c>
      <c r="C11" s="20" t="s">
        <v>127</v>
      </c>
      <c r="D11" s="28" t="s">
        <v>2</v>
      </c>
      <c r="E11" s="4" t="s">
        <v>4</v>
      </c>
      <c r="F11" s="29" t="s">
        <v>3</v>
      </c>
      <c r="G11" s="66" t="s">
        <v>5</v>
      </c>
    </row>
    <row r="12" spans="1:7" ht="15.75" thickTop="1" thickBot="1" x14ac:dyDescent="0.25">
      <c r="A12" s="67" t="s">
        <v>823</v>
      </c>
      <c r="B12" s="292">
        <v>1.2319E-2</v>
      </c>
      <c r="C12" s="293"/>
      <c r="D12" s="13">
        <v>8.3489999999999995E-2</v>
      </c>
      <c r="E12" s="13">
        <v>0.38063999999999998</v>
      </c>
      <c r="F12" s="13">
        <v>0.52337999999999996</v>
      </c>
      <c r="G12" s="120">
        <f>SUM(B12:F12)</f>
        <v>0.99982899999999986</v>
      </c>
    </row>
    <row r="13" spans="1:7" ht="15.75" thickTop="1" thickBot="1" x14ac:dyDescent="0.25">
      <c r="A13" s="67" t="s">
        <v>115</v>
      </c>
      <c r="B13" s="290">
        <f>(1-B12)^49</f>
        <v>0.5447763773526324</v>
      </c>
      <c r="C13" s="291"/>
      <c r="D13" s="102">
        <f>(1-D12)^5</f>
        <v>0.64667495191464386</v>
      </c>
      <c r="E13" s="13"/>
      <c r="F13" s="13"/>
      <c r="G13" s="106"/>
    </row>
    <row r="14" spans="1:7" ht="15.75" thickTop="1" thickBot="1" x14ac:dyDescent="0.25">
      <c r="A14" s="67" t="s">
        <v>117</v>
      </c>
      <c r="B14" s="104" t="s">
        <v>824</v>
      </c>
      <c r="C14" s="105"/>
      <c r="D14" s="3" t="s">
        <v>825</v>
      </c>
      <c r="E14" s="3"/>
      <c r="F14" s="3"/>
      <c r="G14" s="106"/>
    </row>
    <row r="15" spans="1:7" ht="15.75" thickTop="1" thickBot="1" x14ac:dyDescent="0.25">
      <c r="A15" s="67" t="s">
        <v>118</v>
      </c>
      <c r="B15" s="288">
        <f>(B13*1+(1-B13)*B12*150)/50</f>
        <v>2.7719226969231413E-2</v>
      </c>
      <c r="C15" s="289"/>
      <c r="D15" s="266">
        <f>(D13*1+(1-D13)*D12*18)/6</f>
        <v>0.1962764834463798</v>
      </c>
      <c r="E15" s="24">
        <f>E12*3</f>
        <v>1.1419199999999998</v>
      </c>
      <c r="F15" s="24">
        <f>F12*3</f>
        <v>1.5701399999999999</v>
      </c>
      <c r="G15" s="109">
        <f>SUM(B15:F15)</f>
        <v>2.9360557104156109</v>
      </c>
    </row>
    <row r="16" spans="1:7" ht="15.75" thickTop="1" thickBot="1" x14ac:dyDescent="0.25"/>
    <row r="17" spans="1:9" ht="15.75" thickTop="1" thickBot="1" x14ac:dyDescent="0.25">
      <c r="A17" s="67" t="s">
        <v>121</v>
      </c>
      <c r="B17" s="34" t="s">
        <v>130</v>
      </c>
      <c r="C17" s="20" t="s">
        <v>127</v>
      </c>
      <c r="D17" s="28" t="s">
        <v>2</v>
      </c>
      <c r="E17" s="4" t="s">
        <v>4</v>
      </c>
      <c r="F17" s="29" t="s">
        <v>3</v>
      </c>
      <c r="G17" s="66" t="s">
        <v>5</v>
      </c>
    </row>
    <row r="18" spans="1:9" ht="15.75" thickTop="1" thickBot="1" x14ac:dyDescent="0.25">
      <c r="A18" s="67" t="s">
        <v>114</v>
      </c>
      <c r="B18" s="27">
        <f>0.045%</f>
        <v>4.4999999999999999E-4</v>
      </c>
      <c r="C18" s="27">
        <f>0.4554%</f>
        <v>4.5539999999999999E-3</v>
      </c>
      <c r="D18" s="13">
        <v>3.0030000000000001E-2</v>
      </c>
      <c r="E18" s="13">
        <v>0.46511999999999998</v>
      </c>
      <c r="F18" s="13">
        <v>0.5</v>
      </c>
      <c r="G18" s="120">
        <f>SUM(B18:F18)</f>
        <v>1.000154</v>
      </c>
    </row>
    <row r="19" spans="1:9" ht="15.75" thickTop="1" thickBot="1" x14ac:dyDescent="0.25">
      <c r="A19" s="67" t="s">
        <v>115</v>
      </c>
      <c r="B19" s="102">
        <f>(1-C18-B18)^499</f>
        <v>8.1817476902327144E-2</v>
      </c>
      <c r="C19" s="103"/>
      <c r="D19" s="13"/>
      <c r="E19" s="13"/>
      <c r="F19" s="13"/>
      <c r="G19" s="106"/>
    </row>
    <row r="20" spans="1:9" ht="15.75" thickTop="1" thickBot="1" x14ac:dyDescent="0.25">
      <c r="A20" s="67" t="s">
        <v>117</v>
      </c>
      <c r="B20" s="104" t="s">
        <v>683</v>
      </c>
      <c r="C20" s="105"/>
      <c r="D20" s="3"/>
      <c r="E20" s="3"/>
      <c r="F20" s="3"/>
      <c r="G20" s="106"/>
    </row>
    <row r="21" spans="1:9" ht="15.75" thickTop="1" thickBot="1" x14ac:dyDescent="0.25">
      <c r="A21" s="67" t="s">
        <v>118</v>
      </c>
      <c r="B21" s="36">
        <f>(B18*(1-B19)*500+(B18*499+卡牌!U2/(卡牌!U2+卡牌!U3))*B19)/500</f>
        <v>4.9083510272195151E-4</v>
      </c>
      <c r="C21" s="24">
        <f>(C18*(1-B19)*500+(C18*499+1-卡牌!U2/(卡牌!U2+卡牌!U3))*B19)/500</f>
        <v>4.6759810217738649E-3</v>
      </c>
      <c r="D21" s="24">
        <f>D18*(1-D19)</f>
        <v>3.0030000000000001E-2</v>
      </c>
      <c r="E21" s="24">
        <f>E18*(1-E19)</f>
        <v>0.46511999999999998</v>
      </c>
      <c r="F21" s="24">
        <f>F18*(1-F19)</f>
        <v>0.5</v>
      </c>
      <c r="G21" s="109">
        <f>SUM(B21:F21)</f>
        <v>1.0003168161244957</v>
      </c>
    </row>
    <row r="22" spans="1:9" ht="15.75" thickTop="1" thickBot="1" x14ac:dyDescent="0.25"/>
    <row r="23" spans="1:9" ht="15.75" thickTop="1" thickBot="1" x14ac:dyDescent="0.25">
      <c r="A23" s="67" t="s">
        <v>119</v>
      </c>
      <c r="B23" s="34" t="s">
        <v>130</v>
      </c>
      <c r="C23" s="20" t="s">
        <v>127</v>
      </c>
      <c r="D23" s="28" t="s">
        <v>2</v>
      </c>
      <c r="E23" s="4" t="s">
        <v>4</v>
      </c>
      <c r="F23" s="29" t="s">
        <v>3</v>
      </c>
      <c r="G23" s="66" t="s">
        <v>5</v>
      </c>
    </row>
    <row r="24" spans="1:9" ht="15.75" thickTop="1" thickBot="1" x14ac:dyDescent="0.25">
      <c r="A24" s="67" t="s">
        <v>646</v>
      </c>
      <c r="B24" s="244">
        <f>B61</f>
        <v>3.03176338481775E-3</v>
      </c>
      <c r="C24" s="244">
        <f>C61</f>
        <v>3.0301569948515582E-2</v>
      </c>
      <c r="D24" s="13">
        <f>1-B24-C24</f>
        <v>0.96666666666666667</v>
      </c>
      <c r="E24" s="13">
        <v>0</v>
      </c>
      <c r="F24" s="13">
        <v>0</v>
      </c>
      <c r="G24" s="120">
        <f>SUM(B24:F24)</f>
        <v>1</v>
      </c>
    </row>
    <row r="25" spans="1:9" ht="15.75" thickTop="1" thickBot="1" x14ac:dyDescent="0.25">
      <c r="A25" s="67" t="s">
        <v>123</v>
      </c>
      <c r="B25" s="245">
        <v>0</v>
      </c>
      <c r="C25" s="245">
        <v>0</v>
      </c>
      <c r="D25" s="25">
        <v>0.04</v>
      </c>
      <c r="E25" s="25">
        <v>0.45</v>
      </c>
      <c r="F25" s="25">
        <v>0.51</v>
      </c>
      <c r="G25" s="121">
        <f>SUM(B25:F25)</f>
        <v>1</v>
      </c>
      <c r="I25" s="37"/>
    </row>
    <row r="26" spans="1:9" ht="18.75" customHeight="1" thickTop="1" thickBot="1" x14ac:dyDescent="0.25">
      <c r="A26" s="67" t="s">
        <v>115</v>
      </c>
      <c r="B26" s="246">
        <f>F60</f>
        <v>0.29966904362111479</v>
      </c>
      <c r="C26" s="247"/>
      <c r="D26" s="13"/>
      <c r="E26" s="13"/>
      <c r="F26" s="13"/>
      <c r="G26" s="106"/>
    </row>
    <row r="27" spans="1:9" ht="15.75" thickTop="1" thickBot="1" x14ac:dyDescent="0.25">
      <c r="A27" s="67" t="s">
        <v>117</v>
      </c>
      <c r="B27" s="104" t="s">
        <v>129</v>
      </c>
      <c r="C27" s="105"/>
      <c r="D27" s="3"/>
      <c r="E27" s="3"/>
      <c r="F27" s="3"/>
      <c r="G27" s="106"/>
    </row>
    <row r="28" spans="1:9" ht="15.75" thickTop="1" thickBot="1" x14ac:dyDescent="0.25">
      <c r="A28" s="67" t="s">
        <v>122</v>
      </c>
      <c r="B28" s="26">
        <f>B24*30</f>
        <v>9.0952901544532505E-2</v>
      </c>
      <c r="C28" s="26">
        <f>C24*30</f>
        <v>0.90904709845546749</v>
      </c>
      <c r="D28" s="26">
        <f>D24*30+D25*90</f>
        <v>32.6</v>
      </c>
      <c r="E28" s="26">
        <f>E25*90*3</f>
        <v>121.5</v>
      </c>
      <c r="F28" s="26">
        <f>F25*90*5</f>
        <v>229.5</v>
      </c>
      <c r="G28" s="108">
        <f>SUM(B28:F28)</f>
        <v>384.6</v>
      </c>
    </row>
    <row r="29" spans="1:9" ht="15.75" thickTop="1" thickBot="1" x14ac:dyDescent="0.25"/>
    <row r="30" spans="1:9" ht="15.75" thickTop="1" thickBot="1" x14ac:dyDescent="0.25">
      <c r="A30" s="67" t="s">
        <v>647</v>
      </c>
      <c r="B30" s="34" t="s">
        <v>130</v>
      </c>
      <c r="C30" s="20" t="s">
        <v>127</v>
      </c>
      <c r="D30" s="28" t="s">
        <v>2</v>
      </c>
      <c r="E30" s="66" t="s">
        <v>5</v>
      </c>
      <c r="F30" s="248" t="s">
        <v>667</v>
      </c>
      <c r="G30" s="248" t="s">
        <v>680</v>
      </c>
    </row>
    <row r="31" spans="1:9" ht="15.75" thickTop="1" thickBot="1" x14ac:dyDescent="0.25">
      <c r="A31" s="67">
        <v>1</v>
      </c>
      <c r="B31" s="54">
        <v>1.0000000000000001E-5</v>
      </c>
      <c r="C31" s="54">
        <v>1E-4</v>
      </c>
      <c r="D31" s="55">
        <v>0.99995000000000001</v>
      </c>
      <c r="E31" s="244">
        <f>SUM(B31:D31)</f>
        <v>1.0000599999999999</v>
      </c>
      <c r="F31" s="244">
        <f>SUM(B31:C31)</f>
        <v>1.1E-4</v>
      </c>
      <c r="G31" s="253">
        <f>1/F61</f>
        <v>0.9991835857215684</v>
      </c>
    </row>
    <row r="32" spans="1:9" ht="15" thickTop="1" x14ac:dyDescent="0.2">
      <c r="A32" s="67">
        <v>2</v>
      </c>
      <c r="B32" s="54">
        <v>4.0000000000000003E-5</v>
      </c>
      <c r="C32" s="54">
        <v>3.9899999999999999E-4</v>
      </c>
      <c r="D32" s="55">
        <v>0.99960000000000004</v>
      </c>
      <c r="E32" s="244">
        <f t="shared" ref="E32:E60" si="2">SUM(B32:D32)</f>
        <v>1.0000390000000001</v>
      </c>
      <c r="F32" s="244">
        <f>SUM(B32:C32)*PRODUCT(D31)</f>
        <v>4.3897804999999999E-4</v>
      </c>
    </row>
    <row r="33" spans="1:6" x14ac:dyDescent="0.2">
      <c r="A33" s="67">
        <v>3</v>
      </c>
      <c r="B33" s="54">
        <v>9.0000000000000006E-5</v>
      </c>
      <c r="C33" s="54">
        <v>9.1200000000000005E-4</v>
      </c>
      <c r="D33" s="55">
        <v>0.99892000000000003</v>
      </c>
      <c r="E33" s="244">
        <f t="shared" si="2"/>
        <v>0.99992199999999998</v>
      </c>
      <c r="F33" s="244">
        <f>SUM(B33:C33)*PRODUCT(D31:D32)</f>
        <v>1.0015491200400001E-3</v>
      </c>
    </row>
    <row r="34" spans="1:6" x14ac:dyDescent="0.2">
      <c r="A34" s="67">
        <v>4</v>
      </c>
      <c r="B34" s="54">
        <v>1.65E-4</v>
      </c>
      <c r="C34" s="54">
        <v>1.6720000000000001E-3</v>
      </c>
      <c r="D34" s="55">
        <v>0.99824000000000002</v>
      </c>
      <c r="E34" s="244">
        <f t="shared" si="2"/>
        <v>1.0000770000000001</v>
      </c>
      <c r="F34" s="244">
        <f>SUM(B34:C34)*PRODUCT(D31:D33)</f>
        <v>1.8341903194823209E-3</v>
      </c>
    </row>
    <row r="35" spans="1:6" x14ac:dyDescent="0.2">
      <c r="A35" s="67">
        <v>5</v>
      </c>
      <c r="B35" s="54">
        <v>2.6499999999999999E-4</v>
      </c>
      <c r="C35" s="54">
        <v>2.66E-3</v>
      </c>
      <c r="D35" s="55">
        <v>0.99722</v>
      </c>
      <c r="E35" s="244">
        <f t="shared" si="2"/>
        <v>1.0001450000000001</v>
      </c>
      <c r="F35" s="244">
        <f>SUM(B35:C35)*PRODUCT(D31:D34)</f>
        <v>2.9153861038220433E-3</v>
      </c>
    </row>
    <row r="36" spans="1:6" x14ac:dyDescent="0.2">
      <c r="A36" s="67">
        <v>6</v>
      </c>
      <c r="B36" s="54">
        <v>3.8999999999999999E-4</v>
      </c>
      <c r="C36" s="54">
        <v>3.9139999999999999E-3</v>
      </c>
      <c r="D36" s="55">
        <v>0.99585999999999997</v>
      </c>
      <c r="E36" s="244">
        <f t="shared" si="2"/>
        <v>1.0001640000000001</v>
      </c>
      <c r="F36" s="244">
        <f>SUM(B36:C36)*PRODUCT(D31:D35)</f>
        <v>4.2779278106911149E-3</v>
      </c>
    </row>
    <row r="37" spans="1:6" x14ac:dyDescent="0.2">
      <c r="A37" s="67">
        <v>7</v>
      </c>
      <c r="B37" s="54">
        <v>5.4000000000000001E-4</v>
      </c>
      <c r="C37" s="54">
        <v>5.4149999999999997E-3</v>
      </c>
      <c r="D37" s="55">
        <v>0.99416000000000004</v>
      </c>
      <c r="E37" s="244">
        <f t="shared" si="2"/>
        <v>1.0001150000000001</v>
      </c>
      <c r="F37" s="244">
        <f>SUM(B37:C37)*PRODUCT(D31:D36)</f>
        <v>5.8944222499533339E-3</v>
      </c>
    </row>
    <row r="38" spans="1:6" x14ac:dyDescent="0.2">
      <c r="A38" s="67">
        <v>8</v>
      </c>
      <c r="B38" s="54">
        <v>7.1500000000000003E-4</v>
      </c>
      <c r="C38" s="54">
        <v>7.1630000000000001E-3</v>
      </c>
      <c r="D38" s="55">
        <v>0.99212</v>
      </c>
      <c r="E38" s="244">
        <f t="shared" si="2"/>
        <v>0.99999800000000005</v>
      </c>
      <c r="F38" s="244">
        <f>SUM(B38:C38)*PRODUCT(D31:D37)</f>
        <v>7.7523208623978502E-3</v>
      </c>
    </row>
    <row r="39" spans="1:6" x14ac:dyDescent="0.2">
      <c r="A39" s="67">
        <v>9</v>
      </c>
      <c r="B39" s="54">
        <v>9.2000000000000003E-4</v>
      </c>
      <c r="C39" s="54">
        <v>9.1769999999999994E-3</v>
      </c>
      <c r="D39" s="55">
        <v>0.98973999999999995</v>
      </c>
      <c r="E39" s="244">
        <f t="shared" si="2"/>
        <v>0.99983699999999998</v>
      </c>
      <c r="F39" s="244">
        <f>SUM(B39:C39)*PRODUCT(D31:D38)</f>
        <v>9.8576257044554159E-3</v>
      </c>
    </row>
    <row r="40" spans="1:6" x14ac:dyDescent="0.2">
      <c r="A40" s="67">
        <v>10</v>
      </c>
      <c r="B40" s="54">
        <v>1.145E-3</v>
      </c>
      <c r="C40" s="54">
        <v>1.1438E-2</v>
      </c>
      <c r="D40" s="55">
        <v>0.98736000000000002</v>
      </c>
      <c r="E40" s="244">
        <f t="shared" si="2"/>
        <v>0.99994300000000003</v>
      </c>
      <c r="F40" s="244">
        <f>SUM(B40:C40)*PRODUCT(D31:D39)</f>
        <v>1.2158648032650163E-2</v>
      </c>
    </row>
    <row r="41" spans="1:6" x14ac:dyDescent="0.2">
      <c r="A41" s="67">
        <v>11</v>
      </c>
      <c r="B41" s="54">
        <v>1.4E-3</v>
      </c>
      <c r="C41" s="54">
        <v>1.3984E-2</v>
      </c>
      <c r="D41" s="55">
        <v>0.98463999999999996</v>
      </c>
      <c r="E41" s="244">
        <f t="shared" si="2"/>
        <v>1.000024</v>
      </c>
      <c r="F41" s="244">
        <f>SUM(B41:C41)*PRODUCT($D$31:D40)</f>
        <v>1.4677290511628759E-2</v>
      </c>
    </row>
    <row r="42" spans="1:6" x14ac:dyDescent="0.2">
      <c r="A42" s="67">
        <v>12</v>
      </c>
      <c r="B42" s="54">
        <v>1.6800000000000001E-3</v>
      </c>
      <c r="C42" s="54">
        <v>1.6777E-2</v>
      </c>
      <c r="D42" s="55">
        <v>0.98158000000000001</v>
      </c>
      <c r="E42" s="244">
        <f t="shared" si="2"/>
        <v>1.0000370000000001</v>
      </c>
      <c r="F42" s="244">
        <f>SUM(B42:C42)*PRODUCT($D$31:D41)</f>
        <v>1.7338647046163853E-2</v>
      </c>
    </row>
    <row r="43" spans="1:6" x14ac:dyDescent="0.2">
      <c r="A43" s="67">
        <v>13</v>
      </c>
      <c r="B43" s="54">
        <v>1.99E-3</v>
      </c>
      <c r="C43" s="54">
        <v>1.9859999999999999E-2</v>
      </c>
      <c r="D43" s="55">
        <v>0.97824999999999995</v>
      </c>
      <c r="E43" s="244">
        <f t="shared" si="2"/>
        <v>1.0001</v>
      </c>
      <c r="F43" s="244">
        <f>SUM(B43:C43)*PRODUCT($D$31:D42)</f>
        <v>2.0147967237984569E-2</v>
      </c>
    </row>
    <row r="44" spans="1:6" x14ac:dyDescent="0.2">
      <c r="A44" s="67">
        <v>14</v>
      </c>
      <c r="B44" s="54">
        <v>2.32E-3</v>
      </c>
      <c r="C44" s="54">
        <v>2.3199999999999998E-2</v>
      </c>
      <c r="D44" s="55">
        <v>0.97440000000000004</v>
      </c>
      <c r="E44" s="244">
        <f t="shared" si="2"/>
        <v>0.99992000000000003</v>
      </c>
      <c r="F44" s="244">
        <f>SUM(B44:C44)*PRODUCT($D$31:D43)</f>
        <v>2.3020265135846704E-2</v>
      </c>
    </row>
    <row r="45" spans="1:6" x14ac:dyDescent="0.2">
      <c r="A45" s="67">
        <v>15</v>
      </c>
      <c r="B45" s="54">
        <v>2.6849999999999999E-3</v>
      </c>
      <c r="C45" s="54">
        <v>2.682E-2</v>
      </c>
      <c r="D45" s="55">
        <v>0.97055000000000002</v>
      </c>
      <c r="E45" s="244">
        <f t="shared" si="2"/>
        <v>1.0000549999999999</v>
      </c>
      <c r="F45" s="244">
        <f>SUM(B45:C45)*PRODUCT($D$31:D44)</f>
        <v>2.5933584326356906E-2</v>
      </c>
    </row>
    <row r="46" spans="1:6" x14ac:dyDescent="0.2">
      <c r="A46" s="67">
        <v>16</v>
      </c>
      <c r="B46" s="54">
        <v>3.075E-3</v>
      </c>
      <c r="C46" s="54">
        <v>3.0700000000000002E-2</v>
      </c>
      <c r="D46" s="55">
        <v>0.96635000000000004</v>
      </c>
      <c r="E46" s="244">
        <f t="shared" si="2"/>
        <v>1.0001250000000002</v>
      </c>
      <c r="F46" s="244">
        <f>SUM(B46:C46)*PRODUCT($D$31:D45)</f>
        <v>2.8812450603283031E-2</v>
      </c>
    </row>
    <row r="47" spans="1:6" x14ac:dyDescent="0.2">
      <c r="A47" s="67">
        <v>17</v>
      </c>
      <c r="B47" s="252">
        <v>3.49E-3</v>
      </c>
      <c r="C47" s="252">
        <v>3.4880000000000001E-2</v>
      </c>
      <c r="D47" s="55">
        <v>0.96179999999999999</v>
      </c>
      <c r="E47" s="244">
        <f t="shared" si="2"/>
        <v>1.00017</v>
      </c>
      <c r="F47" s="244">
        <f>SUM(B47:C47)*PRODUCT($D$31:D46)</f>
        <v>3.1630866606819116E-2</v>
      </c>
    </row>
    <row r="48" spans="1:6" x14ac:dyDescent="0.2">
      <c r="A48" s="67">
        <v>18</v>
      </c>
      <c r="B48" s="54">
        <v>3.9350000000000001E-3</v>
      </c>
      <c r="C48" s="54">
        <v>3.9329999999999997E-2</v>
      </c>
      <c r="D48" s="55">
        <v>0.95676000000000005</v>
      </c>
      <c r="E48" s="244">
        <f t="shared" si="2"/>
        <v>1.0000249999999999</v>
      </c>
      <c r="F48" s="244">
        <f>SUM(B48:C48)*PRODUCT($D$31:D47)</f>
        <v>3.4303684727469565E-2</v>
      </c>
    </row>
    <row r="49" spans="1:6" x14ac:dyDescent="0.2">
      <c r="A49" s="67">
        <v>19</v>
      </c>
      <c r="B49" s="54">
        <v>4.4099999999999999E-3</v>
      </c>
      <c r="C49" s="54">
        <v>4.4041999999999998E-2</v>
      </c>
      <c r="D49" s="55">
        <v>0.95165999999999995</v>
      </c>
      <c r="E49" s="244">
        <f t="shared" si="2"/>
        <v>1.0001119999999999</v>
      </c>
      <c r="F49" s="244">
        <f>SUM(B49:C49)*PRODUCT($D$31:D48)</f>
        <v>3.675519937616354E-2</v>
      </c>
    </row>
    <row r="50" spans="1:6" x14ac:dyDescent="0.2">
      <c r="A50" s="67">
        <v>20</v>
      </c>
      <c r="B50" s="54">
        <v>4.9100000000000003E-3</v>
      </c>
      <c r="C50" s="54">
        <v>4.9057999999999997E-2</v>
      </c>
      <c r="D50" s="55">
        <v>0.94588000000000005</v>
      </c>
      <c r="E50" s="244">
        <f t="shared" si="2"/>
        <v>0.99984800000000007</v>
      </c>
      <c r="F50" s="244">
        <f>SUM(B50:C50)*PRODUCT($D$31:D49)</f>
        <v>3.896056207322799E-2</v>
      </c>
    </row>
    <row r="51" spans="1:6" x14ac:dyDescent="0.2">
      <c r="A51" s="67">
        <v>21</v>
      </c>
      <c r="B51" s="54">
        <v>5.4400000000000004E-3</v>
      </c>
      <c r="C51" s="54">
        <v>5.4399999999999997E-2</v>
      </c>
      <c r="D51" s="55">
        <v>0.94010000000000005</v>
      </c>
      <c r="E51" s="244">
        <f t="shared" si="2"/>
        <v>0.99994000000000005</v>
      </c>
      <c r="F51" s="244">
        <f>SUM(B51:C51)*PRODUCT($D$31:D50)</f>
        <v>4.0861708134392265E-2</v>
      </c>
    </row>
    <row r="52" spans="1:6" x14ac:dyDescent="0.2">
      <c r="A52" s="67">
        <v>22</v>
      </c>
      <c r="B52" s="54">
        <v>6.0000000000000001E-3</v>
      </c>
      <c r="C52" s="54">
        <v>0.06</v>
      </c>
      <c r="D52" s="55">
        <v>0.93398000000000003</v>
      </c>
      <c r="E52" s="244">
        <f t="shared" si="2"/>
        <v>0.99998000000000009</v>
      </c>
      <c r="F52" s="244">
        <f>SUM(B52:C52)*PRODUCT($D$31:D51)</f>
        <v>4.2368483621847981E-2</v>
      </c>
    </row>
    <row r="53" spans="1:6" x14ac:dyDescent="0.2">
      <c r="A53" s="67">
        <v>23</v>
      </c>
      <c r="B53" s="54">
        <v>6.5849999999999997E-3</v>
      </c>
      <c r="C53" s="54">
        <v>6.5799999999999997E-2</v>
      </c>
      <c r="D53" s="55">
        <v>0.92749999999999999</v>
      </c>
      <c r="E53" s="244">
        <f t="shared" si="2"/>
        <v>0.99988500000000002</v>
      </c>
      <c r="F53" s="244">
        <f>SUM(B53:C53)*PRODUCT($D$31:D52)</f>
        <v>4.3399541405664759E-2</v>
      </c>
    </row>
    <row r="54" spans="1:6" x14ac:dyDescent="0.2">
      <c r="A54" s="67">
        <v>24</v>
      </c>
      <c r="B54" s="54">
        <v>7.2049999999999996E-3</v>
      </c>
      <c r="C54" s="54">
        <v>7.1940000000000004E-2</v>
      </c>
      <c r="D54" s="55">
        <v>0.92084999999999995</v>
      </c>
      <c r="E54" s="244">
        <f t="shared" si="2"/>
        <v>0.99999499999999997</v>
      </c>
      <c r="F54" s="244">
        <f>SUM(B54:C54)*PRODUCT($D$31:D53)</f>
        <v>4.4012289748861858E-2</v>
      </c>
    </row>
    <row r="55" spans="1:6" x14ac:dyDescent="0.2">
      <c r="A55" s="67">
        <v>25</v>
      </c>
      <c r="B55" s="54">
        <v>7.8449999999999995E-3</v>
      </c>
      <c r="C55" s="54">
        <v>7.8380000000000005E-2</v>
      </c>
      <c r="D55" s="55">
        <v>0.91385000000000005</v>
      </c>
      <c r="E55" s="244">
        <f t="shared" si="2"/>
        <v>1.000075</v>
      </c>
      <c r="F55" s="244">
        <f>SUM(B55:C55)*PRODUCT($D$31:D54)</f>
        <v>4.4154256423514067E-2</v>
      </c>
    </row>
    <row r="56" spans="1:6" x14ac:dyDescent="0.2">
      <c r="A56" s="67">
        <v>26</v>
      </c>
      <c r="B56" s="54">
        <v>8.5199999999999998E-3</v>
      </c>
      <c r="C56" s="54">
        <v>8.5120000000000001E-2</v>
      </c>
      <c r="D56" s="55">
        <v>0.90649999999999997</v>
      </c>
      <c r="E56" s="244">
        <f t="shared" si="2"/>
        <v>1.00014</v>
      </c>
      <c r="F56" s="244">
        <f>SUM(B56:C56)*PRODUCT($D$31:D55)</f>
        <v>4.3820335026538898E-2</v>
      </c>
    </row>
    <row r="57" spans="1:6" x14ac:dyDescent="0.2">
      <c r="A57" s="67">
        <v>27</v>
      </c>
      <c r="B57" s="54">
        <v>9.2250000000000006E-3</v>
      </c>
      <c r="C57" s="54">
        <v>9.214E-2</v>
      </c>
      <c r="D57" s="55">
        <v>0.89880000000000004</v>
      </c>
      <c r="E57" s="244">
        <f t="shared" si="2"/>
        <v>1.000165</v>
      </c>
      <c r="F57" s="244">
        <f>SUM(B57:C57)*PRODUCT($D$31:D56)</f>
        <v>4.300016496858583E-2</v>
      </c>
    </row>
    <row r="58" spans="1:6" x14ac:dyDescent="0.2">
      <c r="A58" s="67">
        <v>28</v>
      </c>
      <c r="B58" s="54">
        <v>9.9550000000000003E-3</v>
      </c>
      <c r="C58" s="54">
        <v>9.9440000000000001E-2</v>
      </c>
      <c r="D58" s="55">
        <v>0.89075000000000004</v>
      </c>
      <c r="E58" s="244">
        <f t="shared" si="2"/>
        <v>1.0001450000000001</v>
      </c>
      <c r="F58" s="244">
        <f>SUM(B58:C58)*PRODUCT($D$31:D57)</f>
        <v>4.1710234680693695E-2</v>
      </c>
    </row>
    <row r="59" spans="1:6" x14ac:dyDescent="0.2">
      <c r="A59" s="67">
        <v>29</v>
      </c>
      <c r="B59" s="54">
        <v>1.0715000000000001E-2</v>
      </c>
      <c r="C59" s="54">
        <v>0.10706</v>
      </c>
      <c r="D59" s="55">
        <v>0.88234999999999997</v>
      </c>
      <c r="E59" s="244">
        <f t="shared" si="2"/>
        <v>1.0001249999999999</v>
      </c>
      <c r="F59" s="244">
        <f>SUM(B59:C59)*PRODUCT($D$31:D58)</f>
        <v>3.9999457825666454E-2</v>
      </c>
    </row>
    <row r="60" spans="1:6" x14ac:dyDescent="0.2">
      <c r="A60" s="67">
        <v>30</v>
      </c>
      <c r="B60" s="54">
        <v>9.0909000000000004E-2</v>
      </c>
      <c r="C60" s="54">
        <v>0.90909099999999998</v>
      </c>
      <c r="D60" s="55">
        <v>0</v>
      </c>
      <c r="E60" s="244">
        <f t="shared" si="2"/>
        <v>1</v>
      </c>
      <c r="F60" s="244">
        <f>SUM(B60:C60)*PRODUCT($D$31:D59)</f>
        <v>0.29966904362111479</v>
      </c>
    </row>
    <row r="61" spans="1:6" x14ac:dyDescent="0.2">
      <c r="A61" s="67" t="s">
        <v>682</v>
      </c>
      <c r="B61" s="255">
        <f>AVERAGE(隐藏数据!P11:P40)</f>
        <v>3.03176338481775E-3</v>
      </c>
      <c r="C61" s="255">
        <f>AVERAGE(隐藏数据!O11:O40)</f>
        <v>3.0301569948515582E-2</v>
      </c>
      <c r="D61" s="254">
        <f>AVERAGE(隐藏数据!Q11:Q40)</f>
        <v>0.90609207420045113</v>
      </c>
      <c r="E61" s="244"/>
      <c r="F61" s="244">
        <f>SUM(F31:F60)</f>
        <v>1.0008170813553168</v>
      </c>
    </row>
  </sheetData>
  <dataConsolidate link="1"/>
  <mergeCells count="7">
    <mergeCell ref="B15:C15"/>
    <mergeCell ref="B13:C13"/>
    <mergeCell ref="B12:C12"/>
    <mergeCell ref="B6:C6"/>
    <mergeCell ref="B2:C2"/>
    <mergeCell ref="B3:C3"/>
    <mergeCell ref="B9:C9"/>
  </mergeCells>
  <phoneticPr fontId="1" type="noConversion"/>
  <pageMargins left="0.7" right="0.7" top="0.75" bottom="0.75" header="0.3" footer="0.3"/>
  <pageSetup paperSize="9" orientation="portrait" r:id="rId1"/>
  <ignoredErrors>
    <ignoredError sqref="E31 E32:E47 F31:F32 F33:F60 E50:E60 E48:E49"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0F94-9212-4687-9E8C-E18166EA768B}">
  <sheetPr codeName="Sheet16"/>
  <dimension ref="A1:X57"/>
  <sheetViews>
    <sheetView workbookViewId="0">
      <selection activeCell="S36" sqref="S36"/>
    </sheetView>
  </sheetViews>
  <sheetFormatPr defaultRowHeight="14.25" x14ac:dyDescent="0.2"/>
  <cols>
    <col min="1" max="1" width="8" style="2" customWidth="1"/>
    <col min="2" max="2" width="22.875" style="2" customWidth="1"/>
    <col min="3" max="5" width="6.625" style="2" customWidth="1"/>
    <col min="6" max="6" width="12" style="2" customWidth="1"/>
    <col min="7" max="9" width="6.625" style="2" customWidth="1"/>
    <col min="10" max="10" width="14.375" style="2" customWidth="1"/>
    <col min="11" max="13" width="6.625" style="2" customWidth="1"/>
    <col min="14" max="14" width="13.75" style="2" customWidth="1"/>
    <col min="15" max="17" width="6.625" style="2" customWidth="1"/>
    <col min="18" max="18" width="9" style="2"/>
    <col min="19" max="19" width="17" style="2" customWidth="1"/>
    <col min="20" max="20" width="12.625" style="2" customWidth="1"/>
    <col min="21" max="21" width="18.125" style="2" customWidth="1"/>
    <col min="22" max="22" width="9" style="2"/>
    <col min="23" max="23" width="11.25" style="2" customWidth="1"/>
    <col min="24" max="16384" width="9" style="2"/>
  </cols>
  <sheetData>
    <row r="1" spans="1:24" ht="31.5" customHeight="1" x14ac:dyDescent="0.2">
      <c r="A1" s="40" t="s">
        <v>197</v>
      </c>
      <c r="B1" s="40"/>
      <c r="C1" s="40"/>
      <c r="D1" s="40"/>
      <c r="E1" s="40"/>
      <c r="F1" s="40"/>
      <c r="G1" s="40"/>
      <c r="H1" s="40"/>
      <c r="I1" s="40"/>
      <c r="J1" s="40"/>
      <c r="K1" s="40"/>
      <c r="L1" s="40"/>
      <c r="M1" s="40"/>
      <c r="N1" s="40"/>
      <c r="O1" s="40"/>
      <c r="P1" s="40"/>
      <c r="Q1" s="41"/>
      <c r="R1" s="325"/>
      <c r="S1" s="325"/>
      <c r="T1" s="325"/>
      <c r="U1" s="325"/>
      <c r="V1" s="325"/>
      <c r="W1" s="325"/>
      <c r="X1" s="326"/>
    </row>
    <row r="2" spans="1:24" ht="13.5" customHeight="1" x14ac:dyDescent="0.2">
      <c r="A2" s="51" t="s">
        <v>150</v>
      </c>
      <c r="B2" s="35" t="s">
        <v>131</v>
      </c>
      <c r="C2" s="3" t="s">
        <v>1</v>
      </c>
      <c r="D2" s="3" t="s">
        <v>90</v>
      </c>
      <c r="E2" s="5" t="s">
        <v>22</v>
      </c>
      <c r="F2" s="6" t="s">
        <v>2</v>
      </c>
      <c r="G2" s="3" t="s">
        <v>1</v>
      </c>
      <c r="H2" s="3" t="s">
        <v>90</v>
      </c>
      <c r="I2" s="5" t="s">
        <v>22</v>
      </c>
      <c r="J2" s="4" t="s">
        <v>4</v>
      </c>
      <c r="K2" s="3" t="s">
        <v>1</v>
      </c>
      <c r="L2" s="3" t="s">
        <v>90</v>
      </c>
      <c r="M2" s="5" t="s">
        <v>22</v>
      </c>
      <c r="N2" s="9" t="s">
        <v>3</v>
      </c>
      <c r="O2" s="3" t="s">
        <v>0</v>
      </c>
      <c r="P2" s="3" t="s">
        <v>89</v>
      </c>
      <c r="Q2" s="5" t="s">
        <v>22</v>
      </c>
    </row>
    <row r="3" spans="1:24" ht="13.5" customHeight="1" x14ac:dyDescent="0.2">
      <c r="A3" s="51">
        <v>1</v>
      </c>
      <c r="B3" s="21" t="s">
        <v>107</v>
      </c>
      <c r="C3" s="14">
        <v>10</v>
      </c>
      <c r="D3" s="14">
        <v>0</v>
      </c>
      <c r="E3" s="3">
        <v>2</v>
      </c>
      <c r="F3" s="6" t="s">
        <v>16</v>
      </c>
      <c r="G3" s="14">
        <v>13</v>
      </c>
      <c r="H3" s="14">
        <v>2</v>
      </c>
      <c r="I3" s="3">
        <v>45</v>
      </c>
      <c r="J3" s="4" t="s">
        <v>45</v>
      </c>
      <c r="K3" s="14">
        <v>13</v>
      </c>
      <c r="L3" s="14">
        <v>51</v>
      </c>
      <c r="M3" s="3">
        <v>207</v>
      </c>
      <c r="N3" s="9" t="s">
        <v>81</v>
      </c>
      <c r="O3" s="14">
        <v>14</v>
      </c>
      <c r="P3" s="14">
        <v>12</v>
      </c>
      <c r="Q3" s="3">
        <v>789</v>
      </c>
      <c r="S3" s="10" t="s">
        <v>96</v>
      </c>
      <c r="T3" s="14">
        <v>335</v>
      </c>
      <c r="U3" s="327" t="s">
        <v>199</v>
      </c>
    </row>
    <row r="4" spans="1:24" ht="13.5" customHeight="1" x14ac:dyDescent="0.2">
      <c r="A4" s="51">
        <v>2</v>
      </c>
      <c r="B4" s="21" t="s">
        <v>137</v>
      </c>
      <c r="C4" s="14">
        <v>10</v>
      </c>
      <c r="D4" s="14">
        <v>0</v>
      </c>
      <c r="E4" s="3">
        <v>2</v>
      </c>
      <c r="F4" s="6" t="s">
        <v>17</v>
      </c>
      <c r="G4" s="14">
        <v>13</v>
      </c>
      <c r="H4" s="14">
        <v>1</v>
      </c>
      <c r="I4" s="3">
        <v>44</v>
      </c>
      <c r="J4" s="4" t="s">
        <v>46</v>
      </c>
      <c r="K4" s="14">
        <v>14</v>
      </c>
      <c r="L4" s="14">
        <v>59</v>
      </c>
      <c r="M4" s="3">
        <v>311</v>
      </c>
      <c r="N4" s="9" t="s">
        <v>82</v>
      </c>
      <c r="O4" s="14">
        <v>14</v>
      </c>
      <c r="P4" s="14">
        <v>9</v>
      </c>
      <c r="Q4" s="3">
        <v>786</v>
      </c>
      <c r="R4"/>
      <c r="S4" s="10" t="s">
        <v>99</v>
      </c>
      <c r="T4" s="14">
        <v>91</v>
      </c>
      <c r="U4" s="328"/>
      <c r="V4"/>
      <c r="W4"/>
    </row>
    <row r="5" spans="1:24" ht="13.5" customHeight="1" x14ac:dyDescent="0.2">
      <c r="A5" s="51">
        <v>3</v>
      </c>
      <c r="B5" s="22" t="s">
        <v>106</v>
      </c>
      <c r="C5" s="14">
        <v>11</v>
      </c>
      <c r="D5" s="14">
        <v>1</v>
      </c>
      <c r="E5" s="3">
        <v>5</v>
      </c>
      <c r="F5" s="6" t="s">
        <v>20</v>
      </c>
      <c r="G5" s="14">
        <v>13</v>
      </c>
      <c r="H5" s="14">
        <v>8</v>
      </c>
      <c r="I5" s="3">
        <v>51</v>
      </c>
      <c r="J5" s="4" t="s">
        <v>47</v>
      </c>
      <c r="K5" s="14">
        <v>14</v>
      </c>
      <c r="L5" s="14">
        <v>38</v>
      </c>
      <c r="M5" s="3">
        <v>290</v>
      </c>
      <c r="N5" s="9" t="s">
        <v>79</v>
      </c>
      <c r="O5" s="14">
        <v>14</v>
      </c>
      <c r="P5" s="14">
        <v>38</v>
      </c>
      <c r="Q5" s="3">
        <v>815</v>
      </c>
      <c r="R5"/>
      <c r="S5"/>
      <c r="T5"/>
      <c r="U5"/>
      <c r="V5"/>
      <c r="W5"/>
    </row>
    <row r="6" spans="1:24" ht="13.5" customHeight="1" x14ac:dyDescent="0.2">
      <c r="A6" s="51">
        <v>4</v>
      </c>
      <c r="B6" s="19" t="s">
        <v>105</v>
      </c>
      <c r="C6" s="14">
        <v>12</v>
      </c>
      <c r="D6" s="14">
        <v>1</v>
      </c>
      <c r="E6" s="3">
        <v>8</v>
      </c>
      <c r="F6" s="6" t="s">
        <v>23</v>
      </c>
      <c r="G6" s="14">
        <v>13</v>
      </c>
      <c r="H6" s="14">
        <v>1</v>
      </c>
      <c r="I6" s="3">
        <v>44</v>
      </c>
      <c r="J6" s="4" t="s">
        <v>51</v>
      </c>
      <c r="K6" s="14">
        <v>13</v>
      </c>
      <c r="L6" s="14">
        <v>82</v>
      </c>
      <c r="M6" s="3">
        <v>238</v>
      </c>
      <c r="N6" s="9" t="s">
        <v>80</v>
      </c>
      <c r="O6" s="14">
        <v>14</v>
      </c>
      <c r="P6" s="14">
        <v>41</v>
      </c>
      <c r="Q6" s="3">
        <v>818</v>
      </c>
      <c r="R6"/>
      <c r="S6"/>
      <c r="T6"/>
      <c r="U6"/>
      <c r="V6"/>
      <c r="W6"/>
    </row>
    <row r="7" spans="1:24" ht="13.5" customHeight="1" x14ac:dyDescent="0.2">
      <c r="A7" s="51">
        <v>5</v>
      </c>
      <c r="B7" s="19" t="s">
        <v>151</v>
      </c>
      <c r="C7" s="14">
        <v>12</v>
      </c>
      <c r="D7" s="14">
        <v>3</v>
      </c>
      <c r="E7" s="3">
        <v>10</v>
      </c>
      <c r="F7" s="6" t="s">
        <v>18</v>
      </c>
      <c r="G7" s="14">
        <v>12</v>
      </c>
      <c r="H7" s="14">
        <v>4</v>
      </c>
      <c r="I7" s="3">
        <v>31</v>
      </c>
      <c r="J7" s="4" t="s">
        <v>56</v>
      </c>
      <c r="K7" s="14">
        <v>14</v>
      </c>
      <c r="L7" s="14">
        <v>21</v>
      </c>
      <c r="M7" s="3">
        <v>273</v>
      </c>
      <c r="N7" s="9" t="s">
        <v>83</v>
      </c>
      <c r="O7" s="14">
        <v>13</v>
      </c>
      <c r="P7" s="14">
        <v>247</v>
      </c>
      <c r="Q7" s="3">
        <v>738</v>
      </c>
      <c r="S7"/>
      <c r="T7"/>
      <c r="U7"/>
    </row>
    <row r="8" spans="1:24" ht="13.5" customHeight="1" x14ac:dyDescent="0.2">
      <c r="A8" s="51">
        <v>6</v>
      </c>
      <c r="B8" s="19" t="s">
        <v>152</v>
      </c>
      <c r="C8" s="14">
        <v>10</v>
      </c>
      <c r="D8" s="14">
        <v>1</v>
      </c>
      <c r="E8" s="3">
        <v>3</v>
      </c>
      <c r="F8" s="6" t="s">
        <v>19</v>
      </c>
      <c r="G8" s="14">
        <v>12</v>
      </c>
      <c r="H8" s="14">
        <v>15</v>
      </c>
      <c r="I8" s="3">
        <v>42</v>
      </c>
      <c r="J8" s="4" t="s">
        <v>48</v>
      </c>
      <c r="K8" s="14">
        <v>14</v>
      </c>
      <c r="L8" s="14">
        <v>44</v>
      </c>
      <c r="M8" s="3">
        <v>296</v>
      </c>
      <c r="N8" s="9" t="s">
        <v>84</v>
      </c>
      <c r="O8" s="14">
        <v>14</v>
      </c>
      <c r="P8" s="14">
        <v>39</v>
      </c>
      <c r="Q8" s="3">
        <v>816</v>
      </c>
      <c r="S8"/>
      <c r="T8"/>
      <c r="U8"/>
    </row>
    <row r="9" spans="1:24" ht="13.5" customHeight="1" x14ac:dyDescent="0.2">
      <c r="A9" s="51">
        <v>7</v>
      </c>
      <c r="B9" s="19" t="s">
        <v>6</v>
      </c>
      <c r="C9" s="14">
        <v>13</v>
      </c>
      <c r="D9" s="14">
        <v>0</v>
      </c>
      <c r="E9" s="3">
        <v>12</v>
      </c>
      <c r="F9" s="6" t="s">
        <v>24</v>
      </c>
      <c r="G9" s="14">
        <v>13</v>
      </c>
      <c r="H9" s="14">
        <v>8</v>
      </c>
      <c r="I9" s="3">
        <v>51</v>
      </c>
      <c r="J9" s="4" t="s">
        <v>49</v>
      </c>
      <c r="K9" s="14">
        <v>14</v>
      </c>
      <c r="L9" s="14">
        <v>22</v>
      </c>
      <c r="M9" s="3">
        <v>274</v>
      </c>
      <c r="N9" s="9" t="s">
        <v>85</v>
      </c>
      <c r="O9" s="14">
        <v>13</v>
      </c>
      <c r="P9" s="14">
        <v>280</v>
      </c>
      <c r="Q9" s="3">
        <v>771</v>
      </c>
      <c r="S9" s="329" t="s">
        <v>141</v>
      </c>
      <c r="T9" s="330"/>
      <c r="U9" s="333">
        <v>110.41637508747374</v>
      </c>
    </row>
    <row r="10" spans="1:24" ht="13.5" customHeight="1" x14ac:dyDescent="0.2">
      <c r="A10" s="51">
        <v>8</v>
      </c>
      <c r="B10" s="19" t="s">
        <v>9</v>
      </c>
      <c r="C10" s="14">
        <v>13</v>
      </c>
      <c r="D10" s="14">
        <v>0</v>
      </c>
      <c r="E10" s="3">
        <v>12</v>
      </c>
      <c r="F10" s="6" t="s">
        <v>25</v>
      </c>
      <c r="G10" s="14">
        <v>13</v>
      </c>
      <c r="H10" s="14">
        <v>1</v>
      </c>
      <c r="I10" s="3">
        <v>44</v>
      </c>
      <c r="J10" s="4" t="s">
        <v>52</v>
      </c>
      <c r="K10" s="14">
        <v>14</v>
      </c>
      <c r="L10" s="14">
        <v>43</v>
      </c>
      <c r="M10" s="3">
        <v>295</v>
      </c>
      <c r="N10" s="9" t="s">
        <v>86</v>
      </c>
      <c r="O10" s="14">
        <v>14</v>
      </c>
      <c r="P10" s="14">
        <v>39</v>
      </c>
      <c r="Q10" s="3">
        <v>816</v>
      </c>
      <c r="S10" s="331"/>
      <c r="T10" s="332"/>
      <c r="U10" s="334"/>
    </row>
    <row r="11" spans="1:24" ht="13.5" customHeight="1" x14ac:dyDescent="0.2">
      <c r="A11" s="51">
        <v>9</v>
      </c>
      <c r="B11" s="19" t="s">
        <v>12</v>
      </c>
      <c r="C11" s="14">
        <v>12</v>
      </c>
      <c r="D11" s="14">
        <v>0</v>
      </c>
      <c r="E11" s="3">
        <v>7</v>
      </c>
      <c r="F11" s="6" t="s">
        <v>28</v>
      </c>
      <c r="G11" s="14">
        <v>13</v>
      </c>
      <c r="H11" s="14">
        <v>2</v>
      </c>
      <c r="I11" s="3">
        <v>45</v>
      </c>
      <c r="J11" s="4" t="s">
        <v>53</v>
      </c>
      <c r="K11" s="14">
        <v>14</v>
      </c>
      <c r="L11" s="14">
        <v>23</v>
      </c>
      <c r="M11" s="3">
        <v>275</v>
      </c>
      <c r="N11" s="9" t="s">
        <v>87</v>
      </c>
      <c r="O11" s="14">
        <v>13</v>
      </c>
      <c r="P11" s="14">
        <v>264</v>
      </c>
      <c r="Q11" s="3">
        <v>755</v>
      </c>
      <c r="S11" s="329" t="s">
        <v>163</v>
      </c>
      <c r="T11" s="330"/>
      <c r="U11" s="335">
        <v>0.87364569893423349</v>
      </c>
    </row>
    <row r="12" spans="1:24" ht="13.5" customHeight="1" x14ac:dyDescent="0.2">
      <c r="A12" s="51">
        <v>10</v>
      </c>
      <c r="B12" s="19" t="s">
        <v>11</v>
      </c>
      <c r="C12" s="14">
        <v>13</v>
      </c>
      <c r="D12" s="14">
        <v>1</v>
      </c>
      <c r="E12" s="3">
        <v>13</v>
      </c>
      <c r="F12" s="6" t="s">
        <v>29</v>
      </c>
      <c r="G12" s="14">
        <v>13</v>
      </c>
      <c r="H12" s="14">
        <v>1</v>
      </c>
      <c r="I12" s="3">
        <v>44</v>
      </c>
      <c r="J12" s="4" t="s">
        <v>57</v>
      </c>
      <c r="K12" s="14">
        <v>14</v>
      </c>
      <c r="L12" s="14">
        <v>21</v>
      </c>
      <c r="M12" s="3">
        <v>273</v>
      </c>
      <c r="N12" s="9" t="s">
        <v>88</v>
      </c>
      <c r="O12" s="14">
        <v>13</v>
      </c>
      <c r="P12" s="14">
        <v>189</v>
      </c>
      <c r="Q12" s="3">
        <v>680</v>
      </c>
      <c r="S12" s="331"/>
      <c r="T12" s="332"/>
      <c r="U12" s="336"/>
    </row>
    <row r="13" spans="1:24" ht="13.5" customHeight="1" x14ac:dyDescent="0.2">
      <c r="A13" s="51">
        <v>11</v>
      </c>
      <c r="B13" s="19" t="s">
        <v>8</v>
      </c>
      <c r="C13" s="14">
        <v>12</v>
      </c>
      <c r="D13" s="14">
        <v>4</v>
      </c>
      <c r="E13" s="3">
        <v>11</v>
      </c>
      <c r="F13" s="6" t="s">
        <v>108</v>
      </c>
      <c r="G13" s="14">
        <v>12</v>
      </c>
      <c r="H13" s="14">
        <v>8</v>
      </c>
      <c r="I13" s="3">
        <v>35</v>
      </c>
      <c r="J13" s="4" t="s">
        <v>61</v>
      </c>
      <c r="K13" s="14">
        <v>14</v>
      </c>
      <c r="L13" s="14">
        <v>49</v>
      </c>
      <c r="M13" s="3">
        <v>301</v>
      </c>
      <c r="N13" s="9" t="s">
        <v>78</v>
      </c>
      <c r="O13" s="14">
        <v>13</v>
      </c>
      <c r="P13" s="14">
        <v>197</v>
      </c>
      <c r="Q13" s="3">
        <v>688</v>
      </c>
      <c r="V13"/>
      <c r="W13"/>
    </row>
    <row r="14" spans="1:24" ht="13.5" customHeight="1" x14ac:dyDescent="0.2">
      <c r="A14" s="51">
        <v>12</v>
      </c>
      <c r="B14" s="19" t="s">
        <v>10</v>
      </c>
      <c r="C14" s="14">
        <v>12</v>
      </c>
      <c r="D14" s="14">
        <v>0</v>
      </c>
      <c r="E14" s="3">
        <v>7</v>
      </c>
      <c r="F14" s="6" t="s">
        <v>32</v>
      </c>
      <c r="G14" s="14">
        <v>12</v>
      </c>
      <c r="H14" s="14">
        <v>14</v>
      </c>
      <c r="I14" s="3">
        <v>41</v>
      </c>
      <c r="J14" s="4" t="s">
        <v>58</v>
      </c>
      <c r="K14" s="14">
        <v>14</v>
      </c>
      <c r="L14" s="14">
        <v>14</v>
      </c>
      <c r="M14" s="3">
        <v>266</v>
      </c>
      <c r="N14" s="10" t="s">
        <v>54</v>
      </c>
      <c r="O14" s="14">
        <v>14</v>
      </c>
      <c r="P14" s="14">
        <v>27</v>
      </c>
      <c r="Q14" s="3">
        <v>804</v>
      </c>
      <c r="V14"/>
      <c r="W14"/>
    </row>
    <row r="15" spans="1:24" ht="13.5" customHeight="1" x14ac:dyDescent="0.2">
      <c r="A15" s="51">
        <v>13</v>
      </c>
      <c r="B15" s="19" t="s">
        <v>15</v>
      </c>
      <c r="C15" s="14">
        <v>11</v>
      </c>
      <c r="D15" s="14">
        <v>0</v>
      </c>
      <c r="E15" s="3">
        <v>4</v>
      </c>
      <c r="F15" s="6" t="s">
        <v>33</v>
      </c>
      <c r="G15" s="14">
        <v>13</v>
      </c>
      <c r="H15" s="14">
        <v>0</v>
      </c>
      <c r="I15" s="3">
        <v>43</v>
      </c>
      <c r="J15" s="4" t="s">
        <v>62</v>
      </c>
      <c r="K15" s="14">
        <v>14</v>
      </c>
      <c r="L15" s="14">
        <v>12</v>
      </c>
      <c r="M15" s="3">
        <v>264</v>
      </c>
      <c r="N15" s="9" t="s">
        <v>138</v>
      </c>
      <c r="O15" s="14">
        <v>11</v>
      </c>
      <c r="P15" s="14">
        <v>2</v>
      </c>
      <c r="Q15" s="3">
        <v>202</v>
      </c>
    </row>
    <row r="16" spans="1:24" ht="13.5" customHeight="1" x14ac:dyDescent="0.2">
      <c r="A16" s="51">
        <v>14</v>
      </c>
      <c r="B16" s="19" t="s">
        <v>14</v>
      </c>
      <c r="C16" s="14">
        <v>11</v>
      </c>
      <c r="D16" s="14">
        <v>0</v>
      </c>
      <c r="E16" s="3">
        <v>4</v>
      </c>
      <c r="F16" s="6" t="s">
        <v>30</v>
      </c>
      <c r="G16" s="14">
        <v>12</v>
      </c>
      <c r="H16" s="14">
        <v>8</v>
      </c>
      <c r="I16" s="3">
        <v>35</v>
      </c>
      <c r="J16" s="4" t="s">
        <v>59</v>
      </c>
      <c r="K16" s="14">
        <v>14</v>
      </c>
      <c r="L16" s="14">
        <v>42</v>
      </c>
      <c r="M16" s="3">
        <v>294</v>
      </c>
      <c r="N16" s="9"/>
      <c r="O16" s="14"/>
      <c r="P16" s="14"/>
      <c r="Q16" s="3"/>
      <c r="S16" s="100" t="s">
        <v>150</v>
      </c>
      <c r="T16" s="3" t="s">
        <v>154</v>
      </c>
      <c r="U16"/>
    </row>
    <row r="17" spans="1:21" ht="13.5" customHeight="1" x14ac:dyDescent="0.2">
      <c r="A17" s="51">
        <v>15</v>
      </c>
      <c r="B17" s="19" t="s">
        <v>135</v>
      </c>
      <c r="C17" s="14">
        <v>11</v>
      </c>
      <c r="D17" s="14">
        <v>1</v>
      </c>
      <c r="E17" s="3">
        <v>5</v>
      </c>
      <c r="F17" s="6" t="s">
        <v>31</v>
      </c>
      <c r="G17" s="14">
        <v>12</v>
      </c>
      <c r="H17" s="14">
        <v>14</v>
      </c>
      <c r="I17" s="3">
        <v>41</v>
      </c>
      <c r="J17" s="4" t="s">
        <v>60</v>
      </c>
      <c r="K17" s="14">
        <v>13</v>
      </c>
      <c r="L17" s="14">
        <v>48</v>
      </c>
      <c r="M17" s="3">
        <v>204</v>
      </c>
      <c r="N17" s="9"/>
      <c r="O17" s="14"/>
      <c r="P17" s="14"/>
      <c r="Q17" s="3"/>
      <c r="S17" s="34" t="s">
        <v>143</v>
      </c>
      <c r="T17" s="14"/>
      <c r="U17"/>
    </row>
    <row r="18" spans="1:21" ht="13.5" customHeight="1" x14ac:dyDescent="0.2">
      <c r="A18" s="51">
        <v>16</v>
      </c>
      <c r="B18" s="19" t="s">
        <v>183</v>
      </c>
      <c r="C18" s="14">
        <v>9</v>
      </c>
      <c r="D18" s="14">
        <v>0</v>
      </c>
      <c r="E18" s="3">
        <v>1</v>
      </c>
      <c r="F18" s="6" t="s">
        <v>35</v>
      </c>
      <c r="G18" s="14">
        <v>12</v>
      </c>
      <c r="H18" s="14">
        <v>12</v>
      </c>
      <c r="I18" s="3">
        <v>39</v>
      </c>
      <c r="J18" s="4" t="s">
        <v>63</v>
      </c>
      <c r="K18" s="14">
        <v>14</v>
      </c>
      <c r="L18" s="14">
        <v>56</v>
      </c>
      <c r="M18" s="3">
        <v>308</v>
      </c>
      <c r="N18" s="9"/>
      <c r="O18" s="14"/>
      <c r="P18" s="14"/>
      <c r="Q18" s="3"/>
      <c r="S18" s="20" t="s">
        <v>184</v>
      </c>
      <c r="T18" s="14"/>
      <c r="U18"/>
    </row>
    <row r="19" spans="1:21" ht="13.5" customHeight="1" x14ac:dyDescent="0.2">
      <c r="A19" s="51">
        <v>17</v>
      </c>
      <c r="B19" s="19" t="s">
        <v>74</v>
      </c>
      <c r="C19" s="14">
        <v>12</v>
      </c>
      <c r="D19" s="14">
        <v>3</v>
      </c>
      <c r="E19" s="3">
        <v>10</v>
      </c>
      <c r="F19" s="6" t="s">
        <v>34</v>
      </c>
      <c r="G19" s="14">
        <v>13</v>
      </c>
      <c r="H19" s="14">
        <v>5</v>
      </c>
      <c r="I19" s="3">
        <v>48</v>
      </c>
      <c r="J19" s="4" t="s">
        <v>65</v>
      </c>
      <c r="K19" s="14">
        <v>14</v>
      </c>
      <c r="L19" s="14">
        <v>41</v>
      </c>
      <c r="M19" s="3">
        <v>293</v>
      </c>
      <c r="N19" s="9"/>
      <c r="O19" s="14"/>
      <c r="P19" s="14"/>
      <c r="Q19" s="3"/>
      <c r="S19" s="28" t="s">
        <v>2</v>
      </c>
      <c r="T19" s="14"/>
      <c r="U19" s="96" t="s">
        <v>148</v>
      </c>
    </row>
    <row r="20" spans="1:21" ht="13.5" customHeight="1" x14ac:dyDescent="0.2">
      <c r="A20" s="51">
        <v>18</v>
      </c>
      <c r="B20" s="19" t="s">
        <v>75</v>
      </c>
      <c r="C20" s="14">
        <v>11</v>
      </c>
      <c r="D20" s="14">
        <v>1</v>
      </c>
      <c r="E20" s="3">
        <v>5</v>
      </c>
      <c r="F20" s="6" t="s">
        <v>36</v>
      </c>
      <c r="G20" s="14">
        <v>13</v>
      </c>
      <c r="H20" s="14">
        <v>3</v>
      </c>
      <c r="I20" s="3">
        <v>46</v>
      </c>
      <c r="J20" s="4" t="s">
        <v>66</v>
      </c>
      <c r="K20" s="14">
        <v>14</v>
      </c>
      <c r="L20" s="14">
        <v>25</v>
      </c>
      <c r="M20" s="3">
        <v>277</v>
      </c>
      <c r="N20" s="9"/>
      <c r="O20" s="14"/>
      <c r="P20" s="14"/>
      <c r="Q20" s="3"/>
      <c r="S20" s="4" t="s">
        <v>4</v>
      </c>
      <c r="T20" s="14"/>
      <c r="U20" s="98" t="s">
        <v>156</v>
      </c>
    </row>
    <row r="21" spans="1:21" ht="13.5" customHeight="1" x14ac:dyDescent="0.2">
      <c r="A21" s="51">
        <v>19</v>
      </c>
      <c r="B21" s="19" t="s">
        <v>104</v>
      </c>
      <c r="C21" s="14">
        <v>12</v>
      </c>
      <c r="D21" s="14">
        <v>4</v>
      </c>
      <c r="E21" s="3">
        <v>11</v>
      </c>
      <c r="F21" s="6" t="s">
        <v>37</v>
      </c>
      <c r="G21" s="14">
        <v>12</v>
      </c>
      <c r="H21" s="14">
        <v>9</v>
      </c>
      <c r="I21" s="3">
        <v>36</v>
      </c>
      <c r="J21" s="4" t="s">
        <v>64</v>
      </c>
      <c r="K21" s="14">
        <v>14</v>
      </c>
      <c r="L21" s="14">
        <v>43</v>
      </c>
      <c r="M21" s="3">
        <v>295</v>
      </c>
      <c r="N21" s="9"/>
      <c r="O21" s="14"/>
      <c r="P21" s="14"/>
      <c r="Q21" s="3"/>
      <c r="S21" s="29" t="s">
        <v>3</v>
      </c>
      <c r="T21" s="14"/>
      <c r="U21" s="98" t="s">
        <v>159</v>
      </c>
    </row>
    <row r="22" spans="1:21" ht="13.5" customHeight="1" x14ac:dyDescent="0.2">
      <c r="A22" s="51">
        <v>20</v>
      </c>
      <c r="B22" s="19" t="s">
        <v>76</v>
      </c>
      <c r="C22" s="14">
        <v>12</v>
      </c>
      <c r="D22" s="14">
        <v>0</v>
      </c>
      <c r="E22" s="3">
        <v>7</v>
      </c>
      <c r="F22" s="6" t="s">
        <v>40</v>
      </c>
      <c r="G22" s="14">
        <v>13</v>
      </c>
      <c r="H22" s="14">
        <v>6</v>
      </c>
      <c r="I22" s="3">
        <v>49</v>
      </c>
      <c r="J22" s="4" t="s">
        <v>50</v>
      </c>
      <c r="K22" s="14">
        <v>14</v>
      </c>
      <c r="L22" s="14">
        <v>43</v>
      </c>
      <c r="M22" s="3">
        <v>295</v>
      </c>
      <c r="N22" s="9"/>
      <c r="O22" s="14"/>
      <c r="P22" s="14"/>
      <c r="Q22" s="3"/>
    </row>
    <row r="23" spans="1:21" ht="13.5" customHeight="1" x14ac:dyDescent="0.2">
      <c r="A23" s="51">
        <v>21</v>
      </c>
      <c r="B23" s="19" t="s">
        <v>77</v>
      </c>
      <c r="C23" s="14">
        <v>13</v>
      </c>
      <c r="D23" s="14">
        <v>1</v>
      </c>
      <c r="E23" s="3">
        <v>13</v>
      </c>
      <c r="F23" s="6" t="s">
        <v>41</v>
      </c>
      <c r="G23" s="14">
        <v>13</v>
      </c>
      <c r="H23" s="14">
        <v>4</v>
      </c>
      <c r="I23" s="3">
        <v>47</v>
      </c>
      <c r="J23" s="4" t="s">
        <v>55</v>
      </c>
      <c r="K23" s="14">
        <v>14</v>
      </c>
      <c r="L23" s="14">
        <v>33</v>
      </c>
      <c r="M23" s="3">
        <v>285</v>
      </c>
      <c r="N23" s="9" t="s">
        <v>198</v>
      </c>
      <c r="O23" s="14"/>
      <c r="P23" s="14"/>
      <c r="Q23" s="3"/>
    </row>
    <row r="24" spans="1:21" ht="13.5" customHeight="1" x14ac:dyDescent="0.2">
      <c r="A24" s="51">
        <v>22</v>
      </c>
      <c r="B24" s="19"/>
      <c r="C24" s="14"/>
      <c r="D24" s="14"/>
      <c r="E24" s="3"/>
      <c r="F24" s="6" t="s">
        <v>38</v>
      </c>
      <c r="G24" s="14">
        <v>12</v>
      </c>
      <c r="H24" s="14">
        <v>11</v>
      </c>
      <c r="I24" s="3">
        <v>38</v>
      </c>
      <c r="J24" s="4" t="s">
        <v>68</v>
      </c>
      <c r="K24" s="14">
        <v>14</v>
      </c>
      <c r="L24" s="14">
        <v>25</v>
      </c>
      <c r="M24" s="3">
        <v>277</v>
      </c>
      <c r="N24" s="9"/>
      <c r="O24" s="14"/>
      <c r="P24" s="14"/>
      <c r="Q24" s="3"/>
    </row>
    <row r="25" spans="1:21" ht="13.5" customHeight="1" x14ac:dyDescent="0.2">
      <c r="A25" s="51">
        <v>23</v>
      </c>
      <c r="B25" s="19"/>
      <c r="C25" s="14"/>
      <c r="D25" s="14"/>
      <c r="E25" s="3"/>
      <c r="F25" s="6" t="s">
        <v>39</v>
      </c>
      <c r="G25" s="14">
        <v>13</v>
      </c>
      <c r="H25" s="14">
        <v>9</v>
      </c>
      <c r="I25" s="3">
        <v>52</v>
      </c>
      <c r="J25" s="4" t="s">
        <v>69</v>
      </c>
      <c r="K25" s="14">
        <v>14</v>
      </c>
      <c r="L25" s="14">
        <v>16</v>
      </c>
      <c r="M25" s="3">
        <v>268</v>
      </c>
      <c r="N25" s="9"/>
      <c r="O25" s="14"/>
      <c r="P25" s="14"/>
      <c r="Q25" s="3"/>
    </row>
    <row r="26" spans="1:21" ht="13.5" customHeight="1" x14ac:dyDescent="0.2">
      <c r="A26" s="51">
        <v>24</v>
      </c>
      <c r="B26" s="19"/>
      <c r="C26" s="14"/>
      <c r="D26" s="14"/>
      <c r="E26" s="3"/>
      <c r="F26" s="6" t="s">
        <v>26</v>
      </c>
      <c r="G26" s="14">
        <v>13</v>
      </c>
      <c r="H26" s="14">
        <v>17</v>
      </c>
      <c r="I26" s="3">
        <v>60</v>
      </c>
      <c r="J26" s="4" t="s">
        <v>67</v>
      </c>
      <c r="K26" s="14">
        <v>14</v>
      </c>
      <c r="L26" s="14">
        <v>38</v>
      </c>
      <c r="M26" s="3">
        <v>290</v>
      </c>
      <c r="N26" s="9"/>
      <c r="O26" s="14"/>
      <c r="P26" s="14"/>
      <c r="Q26" s="3"/>
    </row>
    <row r="27" spans="1:21" ht="13.5" customHeight="1" x14ac:dyDescent="0.2">
      <c r="A27" s="51">
        <v>25</v>
      </c>
      <c r="B27" s="19"/>
      <c r="C27" s="14"/>
      <c r="D27" s="14"/>
      <c r="E27" s="3"/>
      <c r="F27" s="6" t="s">
        <v>27</v>
      </c>
      <c r="G27" s="14">
        <v>13</v>
      </c>
      <c r="H27" s="14">
        <v>10</v>
      </c>
      <c r="I27" s="3">
        <v>53</v>
      </c>
      <c r="J27" s="4"/>
      <c r="K27" s="14"/>
      <c r="L27" s="14"/>
      <c r="M27" s="3"/>
      <c r="N27" s="9"/>
      <c r="O27" s="14"/>
      <c r="P27" s="14"/>
      <c r="Q27" s="3"/>
    </row>
    <row r="28" spans="1:21" ht="13.5" customHeight="1" x14ac:dyDescent="0.2">
      <c r="A28" s="51">
        <v>26</v>
      </c>
      <c r="B28" s="19"/>
      <c r="C28" s="14"/>
      <c r="D28" s="14"/>
      <c r="E28" s="3"/>
      <c r="F28" s="6" t="s">
        <v>42</v>
      </c>
      <c r="G28" s="14">
        <v>12</v>
      </c>
      <c r="H28" s="14">
        <v>10</v>
      </c>
      <c r="I28" s="3">
        <v>37</v>
      </c>
      <c r="J28" s="4"/>
      <c r="K28" s="14"/>
      <c r="L28" s="14"/>
      <c r="M28" s="3"/>
      <c r="N28" s="9"/>
      <c r="O28" s="14"/>
      <c r="P28" s="14"/>
      <c r="Q28" s="3"/>
    </row>
    <row r="29" spans="1:21" ht="13.5" customHeight="1" x14ac:dyDescent="0.2">
      <c r="A29" s="51">
        <v>27</v>
      </c>
      <c r="B29" s="19"/>
      <c r="C29" s="14"/>
      <c r="D29" s="14"/>
      <c r="E29" s="3"/>
      <c r="F29" s="6" t="s">
        <v>187</v>
      </c>
      <c r="G29" s="14">
        <v>8</v>
      </c>
      <c r="H29" s="14">
        <v>0</v>
      </c>
      <c r="I29" s="2">
        <v>4</v>
      </c>
      <c r="J29" s="4"/>
      <c r="K29" s="14"/>
      <c r="L29" s="14"/>
      <c r="M29" s="3"/>
      <c r="N29" s="9"/>
      <c r="O29" s="14"/>
      <c r="P29" s="14"/>
      <c r="Q29" s="3"/>
    </row>
    <row r="30" spans="1:21" ht="13.5" customHeight="1" x14ac:dyDescent="0.2">
      <c r="A30" s="51">
        <v>28</v>
      </c>
      <c r="B30" s="19"/>
      <c r="C30" s="14"/>
      <c r="D30" s="14"/>
      <c r="E30" s="3"/>
      <c r="F30" s="6" t="s">
        <v>73</v>
      </c>
      <c r="G30" s="14">
        <v>13</v>
      </c>
      <c r="H30" s="14">
        <v>4</v>
      </c>
      <c r="I30" s="3">
        <v>47</v>
      </c>
      <c r="J30" s="4"/>
      <c r="K30" s="14"/>
      <c r="L30" s="14"/>
      <c r="M30" s="3"/>
      <c r="N30" s="9"/>
      <c r="O30" s="14"/>
      <c r="P30" s="14"/>
      <c r="Q30" s="3"/>
    </row>
    <row r="31" spans="1:21" ht="13.5" customHeight="1" x14ac:dyDescent="0.2">
      <c r="A31" s="51">
        <v>29</v>
      </c>
      <c r="B31" s="19"/>
      <c r="C31" s="14"/>
      <c r="D31" s="14"/>
      <c r="E31" s="3"/>
      <c r="F31" s="6" t="s">
        <v>72</v>
      </c>
      <c r="G31" s="14">
        <v>13</v>
      </c>
      <c r="H31" s="14">
        <v>4</v>
      </c>
      <c r="I31" s="3">
        <v>47</v>
      </c>
      <c r="J31" s="4"/>
      <c r="K31" s="14"/>
      <c r="L31" s="14"/>
      <c r="M31" s="3"/>
      <c r="N31" s="9"/>
      <c r="O31" s="14"/>
      <c r="P31" s="14"/>
      <c r="Q31" s="3"/>
    </row>
    <row r="32" spans="1:21" ht="13.5" customHeight="1" x14ac:dyDescent="0.2">
      <c r="A32" s="51">
        <v>30</v>
      </c>
      <c r="B32" s="19"/>
      <c r="C32" s="14"/>
      <c r="D32" s="14"/>
      <c r="E32" s="3"/>
      <c r="F32" s="6" t="s">
        <v>71</v>
      </c>
      <c r="G32" s="14">
        <v>12</v>
      </c>
      <c r="H32" s="14">
        <v>15</v>
      </c>
      <c r="I32" s="3">
        <v>42</v>
      </c>
      <c r="J32" s="4"/>
      <c r="K32" s="14"/>
      <c r="L32" s="14"/>
      <c r="M32" s="3"/>
      <c r="N32" s="9"/>
      <c r="O32" s="14"/>
      <c r="P32" s="14"/>
      <c r="Q32" s="3"/>
    </row>
    <row r="33" spans="1:21" ht="13.5" customHeight="1" x14ac:dyDescent="0.2">
      <c r="A33" s="51">
        <v>31</v>
      </c>
      <c r="B33" s="19"/>
      <c r="C33" s="14"/>
      <c r="D33" s="14"/>
      <c r="E33" s="3"/>
      <c r="F33" s="6" t="s">
        <v>70</v>
      </c>
      <c r="G33" s="14">
        <v>12</v>
      </c>
      <c r="H33" s="14">
        <v>14</v>
      </c>
      <c r="I33" s="3">
        <v>41</v>
      </c>
      <c r="J33" s="4"/>
      <c r="K33" s="14"/>
      <c r="L33" s="14"/>
      <c r="M33" s="3"/>
      <c r="N33" s="9"/>
      <c r="O33" s="14"/>
      <c r="P33" s="14"/>
      <c r="Q33" s="3"/>
      <c r="R33"/>
    </row>
    <row r="34" spans="1:21" s="1" customFormat="1" ht="13.5" customHeight="1" x14ac:dyDescent="0.2">
      <c r="A34" s="51">
        <v>32</v>
      </c>
      <c r="B34" s="19"/>
      <c r="C34" s="14"/>
      <c r="D34" s="14"/>
      <c r="E34" s="3"/>
      <c r="F34" s="6" t="s">
        <v>43</v>
      </c>
      <c r="G34" s="14">
        <v>13</v>
      </c>
      <c r="H34" s="14">
        <v>9</v>
      </c>
      <c r="I34" s="3">
        <v>52</v>
      </c>
      <c r="J34" s="4"/>
      <c r="K34" s="14"/>
      <c r="L34" s="14"/>
      <c r="M34" s="3"/>
      <c r="N34" s="9"/>
      <c r="O34" s="14"/>
      <c r="P34" s="14"/>
      <c r="Q34" s="3"/>
    </row>
    <row r="35" spans="1:21" s="1" customFormat="1" ht="13.5" customHeight="1" x14ac:dyDescent="0.2">
      <c r="A35" s="51">
        <v>33</v>
      </c>
      <c r="B35" s="19"/>
      <c r="C35" s="14"/>
      <c r="D35" s="14"/>
      <c r="E35" s="3"/>
      <c r="F35" s="6" t="s">
        <v>44</v>
      </c>
      <c r="G35" s="14">
        <v>13</v>
      </c>
      <c r="H35" s="14">
        <v>12</v>
      </c>
      <c r="I35" s="3">
        <v>55</v>
      </c>
      <c r="J35" s="4"/>
      <c r="K35" s="14"/>
      <c r="L35" s="14"/>
      <c r="M35" s="3"/>
      <c r="N35" s="9"/>
      <c r="O35" s="14"/>
      <c r="P35" s="14"/>
      <c r="Q35" s="3"/>
      <c r="R35" s="10" t="s">
        <v>101</v>
      </c>
      <c r="S35" s="10" t="s">
        <v>102</v>
      </c>
      <c r="T35" s="10" t="s">
        <v>149</v>
      </c>
      <c r="U35" s="47" t="s">
        <v>103</v>
      </c>
    </row>
    <row r="36" spans="1:21" s="1" customFormat="1" ht="13.5" customHeight="1" x14ac:dyDescent="0.2">
      <c r="A36" s="7" t="s">
        <v>5</v>
      </c>
      <c r="B36" s="7">
        <v>18</v>
      </c>
      <c r="C36" s="16">
        <v>11.722222222222221</v>
      </c>
      <c r="D36" s="7"/>
      <c r="E36" s="7">
        <v>143</v>
      </c>
      <c r="F36" s="7">
        <v>33</v>
      </c>
      <c r="G36" s="38">
        <v>12.484848484848484</v>
      </c>
      <c r="H36" s="7"/>
      <c r="I36" s="7">
        <v>1429</v>
      </c>
      <c r="J36" s="7">
        <v>24</v>
      </c>
      <c r="K36" s="16">
        <v>13.875</v>
      </c>
      <c r="L36" s="7"/>
      <c r="M36" s="7">
        <v>6649</v>
      </c>
      <c r="N36" s="7">
        <v>13</v>
      </c>
      <c r="O36" s="16">
        <v>13.384615384615385</v>
      </c>
      <c r="P36" s="7"/>
      <c r="Q36" s="7">
        <v>9478</v>
      </c>
      <c r="R36" s="7">
        <v>91</v>
      </c>
      <c r="S36" s="16">
        <v>12.758241758241759</v>
      </c>
      <c r="T36" s="16">
        <v>11.150066633742293</v>
      </c>
      <c r="U36" s="49">
        <v>1822750</v>
      </c>
    </row>
    <row r="37" spans="1:21" ht="13.5" customHeight="1" x14ac:dyDescent="0.2">
      <c r="A37" s="8" t="s">
        <v>93</v>
      </c>
      <c r="B37" s="11">
        <v>1</v>
      </c>
      <c r="C37" s="11"/>
      <c r="D37" s="11"/>
      <c r="E37" s="11">
        <v>0.2482638888888889</v>
      </c>
      <c r="F37" s="11">
        <v>1</v>
      </c>
      <c r="G37" s="11"/>
      <c r="H37" s="11"/>
      <c r="I37" s="11">
        <v>0.39366391184573002</v>
      </c>
      <c r="J37" s="11">
        <v>1</v>
      </c>
      <c r="K37" s="11"/>
      <c r="L37" s="11"/>
      <c r="M37" s="11">
        <v>0.69960016835016836</v>
      </c>
      <c r="N37" s="11">
        <v>1</v>
      </c>
      <c r="O37" s="11"/>
      <c r="P37" s="11"/>
      <c r="Q37" s="11">
        <v>0.61943663812822691</v>
      </c>
      <c r="R37" s="11">
        <v>1</v>
      </c>
      <c r="S37" s="11">
        <v>0.37352723223036677</v>
      </c>
      <c r="T37" s="46"/>
      <c r="U37" s="46">
        <v>0.44078350764766339</v>
      </c>
    </row>
    <row r="38" spans="1:21" ht="13.5" customHeight="1" x14ac:dyDescent="0.2">
      <c r="A38" s="10" t="s">
        <v>146</v>
      </c>
      <c r="B38" s="83">
        <v>1014.3706293706293</v>
      </c>
      <c r="C38" s="84"/>
      <c r="D38" s="84"/>
      <c r="E38" s="85"/>
      <c r="F38" s="83">
        <v>515.97970608817354</v>
      </c>
      <c r="G38" s="84"/>
      <c r="H38" s="84"/>
      <c r="I38" s="85"/>
      <c r="J38" s="83">
        <v>143.84493908858474</v>
      </c>
      <c r="K38" s="84"/>
      <c r="L38" s="84"/>
      <c r="M38" s="85"/>
      <c r="N38" s="83">
        <v>205.81399029331078</v>
      </c>
      <c r="O38" s="84"/>
      <c r="P38" s="84"/>
      <c r="Q38" s="85"/>
      <c r="T38"/>
    </row>
    <row r="39" spans="1:21" ht="13.5" customHeight="1" x14ac:dyDescent="0.2">
      <c r="A39" s="12" t="s">
        <v>147</v>
      </c>
      <c r="B39" s="86">
        <v>1349.3706293706293</v>
      </c>
      <c r="C39" s="87"/>
      <c r="D39" s="87"/>
      <c r="E39" s="88"/>
      <c r="F39" s="86">
        <v>850.97970608817354</v>
      </c>
      <c r="G39" s="87"/>
      <c r="H39" s="87"/>
      <c r="I39" s="88"/>
      <c r="J39" s="86">
        <v>478.84493908858474</v>
      </c>
      <c r="K39" s="87"/>
      <c r="L39" s="87"/>
      <c r="M39" s="88"/>
      <c r="N39" s="86">
        <v>540.81399029331078</v>
      </c>
      <c r="O39" s="87"/>
      <c r="P39" s="87"/>
      <c r="Q39" s="88"/>
    </row>
    <row r="40" spans="1:21" x14ac:dyDescent="0.2">
      <c r="A40" s="3" t="s">
        <v>145</v>
      </c>
      <c r="B40" s="92">
        <v>0.42686567164179107</v>
      </c>
      <c r="C40" s="93"/>
      <c r="D40" s="93"/>
      <c r="E40" s="94"/>
      <c r="F40" s="89">
        <v>4.2656716417910445</v>
      </c>
      <c r="G40" s="90"/>
      <c r="H40" s="90"/>
      <c r="I40" s="91"/>
      <c r="J40" s="89">
        <v>19.84776119402985</v>
      </c>
      <c r="K40" s="90"/>
      <c r="L40" s="90"/>
      <c r="M40" s="91"/>
      <c r="N40" s="89">
        <v>28.292537313432835</v>
      </c>
      <c r="O40" s="90"/>
      <c r="P40" s="90"/>
      <c r="Q40" s="91"/>
    </row>
    <row r="41" spans="1:21" x14ac:dyDescent="0.2">
      <c r="A41"/>
      <c r="B41"/>
      <c r="C41"/>
      <c r="D41"/>
      <c r="E41"/>
      <c r="F41"/>
      <c r="G41"/>
      <c r="H41"/>
      <c r="I41"/>
      <c r="J41"/>
      <c r="K41"/>
      <c r="L41"/>
      <c r="M41"/>
      <c r="N41"/>
      <c r="O41"/>
      <c r="P41"/>
      <c r="Q41"/>
      <c r="R41"/>
    </row>
    <row r="42" spans="1:21" x14ac:dyDescent="0.2">
      <c r="A42"/>
      <c r="B42"/>
      <c r="C42"/>
      <c r="D42"/>
      <c r="E42"/>
      <c r="F42"/>
      <c r="G42"/>
      <c r="H42"/>
      <c r="I42"/>
      <c r="J42"/>
      <c r="K42"/>
      <c r="L42"/>
      <c r="M42"/>
      <c r="N42"/>
      <c r="O42"/>
      <c r="P42"/>
      <c r="Q42"/>
      <c r="R42"/>
    </row>
    <row r="43" spans="1:21" x14ac:dyDescent="0.2">
      <c r="A43"/>
      <c r="B43"/>
      <c r="C43"/>
      <c r="D43"/>
      <c r="E43"/>
      <c r="F43"/>
      <c r="G43"/>
      <c r="H43"/>
      <c r="I43"/>
      <c r="J43"/>
      <c r="K43"/>
      <c r="L43"/>
      <c r="M43"/>
      <c r="N43"/>
      <c r="O43"/>
      <c r="P43"/>
      <c r="Q43"/>
      <c r="R43"/>
    </row>
    <row r="45" spans="1:21" x14ac:dyDescent="0.2">
      <c r="E45"/>
    </row>
    <row r="46" spans="1:21" x14ac:dyDescent="0.2">
      <c r="E46"/>
    </row>
    <row r="47" spans="1:21" x14ac:dyDescent="0.2">
      <c r="E47"/>
    </row>
    <row r="48" spans="1:21" x14ac:dyDescent="0.2">
      <c r="E48" s="97"/>
    </row>
    <row r="49" spans="5:10" x14ac:dyDescent="0.2">
      <c r="E49" s="99"/>
    </row>
    <row r="50" spans="5:10" x14ac:dyDescent="0.2">
      <c r="E50" s="99"/>
    </row>
    <row r="57" spans="5:10" x14ac:dyDescent="0.2">
      <c r="J57"/>
    </row>
  </sheetData>
  <mergeCells count="6">
    <mergeCell ref="R1:X1"/>
    <mergeCell ref="U3:U4"/>
    <mergeCell ref="S9:T10"/>
    <mergeCell ref="U9:U10"/>
    <mergeCell ref="S11:T12"/>
    <mergeCell ref="U11:U12"/>
  </mergeCells>
  <phoneticPr fontId="1" type="noConversion"/>
  <conditionalFormatting sqref="B2">
    <cfRule type="containsText" dxfId="17" priority="6" operator="containsText" text="传说">
      <formula>NOT(ISERROR(SEARCH("传说",B2)))</formula>
    </cfRule>
    <cfRule type="containsText" dxfId="16" priority="7" operator="containsText" text="传说">
      <formula>NOT(ISERROR(SEARCH("传说",B2)))</formula>
    </cfRule>
    <cfRule type="containsText" dxfId="15" priority="8" operator="containsText" text="禁忌">
      <formula>NOT(ISERROR(SEARCH("禁忌",B2)))</formula>
    </cfRule>
  </conditionalFormatting>
  <conditionalFormatting sqref="C3:C24">
    <cfRule type="colorScale" priority="10">
      <colorScale>
        <cfvo type="min"/>
        <cfvo type="percentile" val="50"/>
        <cfvo type="max"/>
        <color rgb="FFF8696B"/>
        <color rgb="FFFFEB84"/>
        <color rgb="FF63BE7B"/>
      </colorScale>
    </cfRule>
  </conditionalFormatting>
  <conditionalFormatting sqref="C3:C35">
    <cfRule type="colorScale" priority="9">
      <colorScale>
        <cfvo type="min"/>
        <cfvo type="percentile" val="50"/>
        <cfvo type="max"/>
        <color rgb="FFF8696B"/>
        <color rgb="FFFFEB84"/>
        <color rgb="FF63BE7B"/>
      </colorScale>
    </cfRule>
  </conditionalFormatting>
  <conditionalFormatting sqref="G3:G35">
    <cfRule type="colorScale" priority="4">
      <colorScale>
        <cfvo type="min"/>
        <cfvo type="percentile" val="50"/>
        <cfvo type="max"/>
        <color rgb="FFF8696B"/>
        <color rgb="FFFFEB84"/>
        <color rgb="FF63BE7B"/>
      </colorScale>
    </cfRule>
  </conditionalFormatting>
  <conditionalFormatting sqref="K3:K31">
    <cfRule type="colorScale" priority="3">
      <colorScale>
        <cfvo type="min"/>
        <cfvo type="percentile" val="50"/>
        <cfvo type="max"/>
        <color rgb="FFF8696B"/>
        <color rgb="FFFFEB84"/>
        <color rgb="FF63BE7B"/>
      </colorScale>
    </cfRule>
  </conditionalFormatting>
  <conditionalFormatting sqref="O3:O18">
    <cfRule type="colorScale" priority="2">
      <colorScale>
        <cfvo type="min"/>
        <cfvo type="percentile" val="50"/>
        <cfvo type="max"/>
        <color rgb="FFF8696B"/>
        <color rgb="FFFFEB84"/>
        <color rgb="FF63BE7B"/>
      </colorScale>
    </cfRule>
  </conditionalFormatting>
  <conditionalFormatting sqref="O3:O35">
    <cfRule type="colorScale" priority="1">
      <colorScale>
        <cfvo type="min"/>
        <cfvo type="percentile" val="50"/>
        <cfvo type="max"/>
        <color rgb="FFF8696B"/>
        <color rgb="FFFFEB84"/>
        <color rgb="FF63BE7B"/>
      </colorScale>
    </cfRule>
  </conditionalFormatting>
  <conditionalFormatting sqref="T6">
    <cfRule type="colorScale" priority="5">
      <colorScale>
        <cfvo type="min"/>
        <cfvo type="percentile" val="50"/>
        <cfvo type="max"/>
        <color rgb="FF63BE7B"/>
        <color rgb="FFFFEB84"/>
        <color rgb="FFF8696B"/>
      </colorScale>
    </cfRule>
  </conditionalFormatting>
  <dataValidations count="15">
    <dataValidation type="whole" operator="lessThan" allowBlank="1" showInputMessage="1" showErrorMessage="1" sqref="T17" xr:uid="{C8F86FFB-10A1-46F8-A534-A78A0D96A9ED}">
      <formula1>U31</formula1>
    </dataValidation>
    <dataValidation type="whole" operator="lessThan" allowBlank="1" showInputMessage="1" showErrorMessage="1" sqref="T18" xr:uid="{32021AB9-745F-487D-860C-E9EF634BBEE1}">
      <formula1>U31</formula1>
    </dataValidation>
    <dataValidation type="whole" operator="lessThan" allowBlank="1" showInputMessage="1" showErrorMessage="1" sqref="T19" xr:uid="{F8006315-64AD-4683-BE01-709313E53E8E}">
      <formula1>U31</formula1>
    </dataValidation>
    <dataValidation type="whole" operator="lessThan" allowBlank="1" showInputMessage="1" showErrorMessage="1" sqref="T20" xr:uid="{F19283F4-2537-4941-B885-E675A2F6EC73}">
      <formula1>U31</formula1>
    </dataValidation>
    <dataValidation type="whole" operator="lessThan" allowBlank="1" showInputMessage="1" showErrorMessage="1" sqref="T21" xr:uid="{CBC08245-80AD-4378-8406-773D2B16BCCA}">
      <formula1>U31</formula1>
    </dataValidation>
    <dataValidation type="whole" allowBlank="1" showInputMessage="1" showErrorMessage="1" sqref="C3:C35" xr:uid="{D09D1B0F-BBCE-49C4-9291-B20E46F977BD}">
      <formula1>0</formula1>
      <formula2>15</formula2>
    </dataValidation>
    <dataValidation type="whole" allowBlank="1" showInputMessage="1" showErrorMessage="1" promptTitle="注意" prompt="输入对应卡牌的等级" sqref="O3:O4 O7:O12 O14:O35" xr:uid="{3DF908CB-7073-47FF-8595-3B52B30167D3}">
      <formula1>0</formula1>
      <formula2>15</formula2>
    </dataValidation>
    <dataValidation type="list" allowBlank="1" showInputMessage="1" showErrorMessage="1" sqref="B2" xr:uid="{030B32BA-D9B9-498B-A13B-6165E65CA2C0}">
      <formula1>"传说卡,禁忌/光辉卡"</formula1>
    </dataValidation>
    <dataValidation allowBlank="1" showInputMessage="1" showErrorMessage="1" errorTitle="注意" error="输入对应卡牌的等级" promptTitle="注意" prompt="输入对应卡牌的等级" sqref="K27:K33" xr:uid="{137F5AF3-F846-4BF1-9F03-37ADBE952B4C}"/>
    <dataValidation type="whole" allowBlank="1" showInputMessage="1" showErrorMessage="1" error="输入卡牌的进度卡牌数目" prompt="输入卡牌的进度卡牌数目" sqref="P3:P33" xr:uid="{F64271D1-D5C8-40D4-8AAD-5624C000736C}">
      <formula1>0</formula1>
      <formula2>1186</formula2>
    </dataValidation>
    <dataValidation type="decimal" allowBlank="1" showInputMessage="1" showErrorMessage="1" prompt="输入卡牌的进度卡牌数目" sqref="D30:D33 D24:D27 D3:D22" xr:uid="{487E36EA-6B5E-48BC-B745-3D34DF57A0AC}">
      <formula1>0</formula1>
      <formula2>16</formula2>
    </dataValidation>
    <dataValidation type="decimal" allowBlank="1" showInputMessage="1" showErrorMessage="1" error="输入卡牌的进度卡牌数目" prompt="输入卡牌的进度卡牌数目" sqref="H3:H12 H30:H35 H14:H28" xr:uid="{868C5D6D-F2BA-41BB-91DD-8556FDBCD387}">
      <formula1>0</formula1>
      <formula2>110</formula2>
    </dataValidation>
    <dataValidation type="whole" allowBlank="1" showInputMessage="1" showErrorMessage="1" error="输入卡牌的进度卡牌数目" prompt="输入卡牌的进度卡牌数目" sqref="L3:L33" xr:uid="{04F25325-AA7D-42B4-BC03-D7124E187A74}">
      <formula1>0</formula1>
      <formula2>396</formula2>
    </dataValidation>
    <dataValidation type="decimal" allowBlank="1" showInputMessage="1" showErrorMessage="1" error="输入卡牌的进度卡牌数目" prompt="输入卡牌的进度卡牌数目" sqref="D23" xr:uid="{5BEF1601-798B-4096-9D9F-36E555C5E9C4}">
      <formula1>0</formula1>
      <formula2>32</formula2>
    </dataValidation>
    <dataValidation type="whole" allowBlank="1" showInputMessage="1" showErrorMessage="1" errorTitle="注意" error="输入对应卡牌的等级" promptTitle="注意" prompt="输入对应卡牌的等级" sqref="G3:G12 K3:K26 O5:O6 O13 G30:G35 G14:G28" xr:uid="{FB21A7D1-312E-4898-8EC2-39C57169B6CB}">
      <formula1>0</formula1>
      <formula2>15</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CEC-533A-4C9E-9456-A2CAE70101B2}">
  <sheetPr codeName="Sheet6"/>
  <dimension ref="A1:X57"/>
  <sheetViews>
    <sheetView workbookViewId="0">
      <selection activeCell="F39" sqref="F39:I39"/>
    </sheetView>
  </sheetViews>
  <sheetFormatPr defaultRowHeight="14.25" x14ac:dyDescent="0.2"/>
  <cols>
    <col min="1" max="1" width="8" style="2" customWidth="1"/>
    <col min="2" max="2" width="22.875" style="2" customWidth="1"/>
    <col min="3" max="5" width="6.625" style="2" customWidth="1"/>
    <col min="6" max="6" width="12" style="2" customWidth="1"/>
    <col min="7" max="9" width="6.625" style="2" customWidth="1"/>
    <col min="10" max="10" width="14.375" style="2" customWidth="1"/>
    <col min="11" max="13" width="6.625" style="2" customWidth="1"/>
    <col min="14" max="14" width="13.75" style="2" customWidth="1"/>
    <col min="15" max="17" width="6.625" style="2" customWidth="1"/>
    <col min="18" max="18" width="9" style="2"/>
    <col min="19" max="19" width="17" style="2" customWidth="1"/>
    <col min="20" max="20" width="12.625" style="2" customWidth="1"/>
    <col min="21" max="21" width="18.125" style="2" customWidth="1"/>
    <col min="22" max="16384" width="9" style="2"/>
  </cols>
  <sheetData>
    <row r="1" spans="1:24" ht="31.5" customHeight="1" x14ac:dyDescent="0.2">
      <c r="A1" s="40" t="s">
        <v>157</v>
      </c>
      <c r="B1" s="40"/>
      <c r="C1" s="40"/>
      <c r="D1" s="40"/>
      <c r="E1" s="40"/>
      <c r="F1" s="40"/>
      <c r="G1" s="40"/>
      <c r="H1" s="40"/>
      <c r="I1" s="40"/>
      <c r="J1" s="40"/>
      <c r="K1" s="40"/>
      <c r="L1" s="40"/>
      <c r="M1" s="40"/>
      <c r="N1" s="40"/>
      <c r="O1" s="40"/>
      <c r="P1" s="40"/>
      <c r="Q1" s="40"/>
      <c r="R1" s="40"/>
      <c r="S1" s="40"/>
      <c r="T1" s="40"/>
      <c r="U1" s="40"/>
      <c r="V1" s="40"/>
      <c r="W1" s="40"/>
      <c r="X1" s="41"/>
    </row>
    <row r="2" spans="1:24" ht="13.5" customHeight="1" x14ac:dyDescent="0.2">
      <c r="A2" s="51" t="s">
        <v>150</v>
      </c>
      <c r="B2" s="35" t="s">
        <v>131</v>
      </c>
      <c r="C2" s="3" t="s">
        <v>1</v>
      </c>
      <c r="D2" s="3" t="s">
        <v>90</v>
      </c>
      <c r="E2" s="5" t="s">
        <v>22</v>
      </c>
      <c r="F2" s="6" t="s">
        <v>2</v>
      </c>
      <c r="G2" s="3" t="s">
        <v>1</v>
      </c>
      <c r="H2" s="3" t="s">
        <v>90</v>
      </c>
      <c r="I2" s="5" t="s">
        <v>22</v>
      </c>
      <c r="J2" s="4" t="s">
        <v>4</v>
      </c>
      <c r="K2" s="3" t="s">
        <v>1</v>
      </c>
      <c r="L2" s="3" t="s">
        <v>90</v>
      </c>
      <c r="M2" s="5" t="s">
        <v>22</v>
      </c>
      <c r="N2" s="9" t="s">
        <v>3</v>
      </c>
      <c r="O2" s="3" t="s">
        <v>0</v>
      </c>
      <c r="P2" s="3" t="s">
        <v>89</v>
      </c>
      <c r="Q2" s="5" t="s">
        <v>22</v>
      </c>
    </row>
    <row r="3" spans="1:24" ht="13.5" customHeight="1" x14ac:dyDescent="0.2">
      <c r="A3" s="51">
        <v>1</v>
      </c>
      <c r="B3" s="21" t="s">
        <v>107</v>
      </c>
      <c r="C3" s="14">
        <v>10</v>
      </c>
      <c r="D3" s="14">
        <v>0</v>
      </c>
      <c r="E3" s="3">
        <v>2</v>
      </c>
      <c r="F3" s="6" t="s">
        <v>16</v>
      </c>
      <c r="G3" s="14">
        <v>12</v>
      </c>
      <c r="H3" s="14">
        <v>15</v>
      </c>
      <c r="I3" s="3">
        <v>42</v>
      </c>
      <c r="J3" s="4" t="s">
        <v>45</v>
      </c>
      <c r="K3" s="14">
        <v>13</v>
      </c>
      <c r="L3" s="14">
        <v>43</v>
      </c>
      <c r="M3" s="3">
        <v>199</v>
      </c>
      <c r="N3" s="9" t="s">
        <v>81</v>
      </c>
      <c r="O3" s="14">
        <v>13</v>
      </c>
      <c r="P3" s="14">
        <v>241</v>
      </c>
      <c r="Q3" s="3">
        <v>732</v>
      </c>
      <c r="S3" s="10" t="s">
        <v>96</v>
      </c>
      <c r="T3" s="14">
        <v>315</v>
      </c>
      <c r="U3" s="340" t="s">
        <v>162</v>
      </c>
    </row>
    <row r="4" spans="1:24" ht="13.5" customHeight="1" x14ac:dyDescent="0.2">
      <c r="A4" s="51">
        <v>2</v>
      </c>
      <c r="B4" s="21" t="s">
        <v>137</v>
      </c>
      <c r="C4" s="14">
        <v>9</v>
      </c>
      <c r="D4" s="14">
        <v>0</v>
      </c>
      <c r="E4" s="3">
        <v>1</v>
      </c>
      <c r="F4" s="6" t="s">
        <v>17</v>
      </c>
      <c r="G4" s="14">
        <v>12</v>
      </c>
      <c r="H4" s="14">
        <v>13</v>
      </c>
      <c r="I4" s="3">
        <v>40</v>
      </c>
      <c r="J4" s="4" t="s">
        <v>46</v>
      </c>
      <c r="K4" s="14">
        <v>14</v>
      </c>
      <c r="L4" s="14">
        <v>43</v>
      </c>
      <c r="M4" s="3">
        <v>295</v>
      </c>
      <c r="N4" s="9" t="s">
        <v>82</v>
      </c>
      <c r="O4" s="14">
        <v>13</v>
      </c>
      <c r="P4" s="14">
        <v>233</v>
      </c>
      <c r="Q4" s="3">
        <v>724</v>
      </c>
      <c r="R4"/>
      <c r="S4" s="10" t="s">
        <v>99</v>
      </c>
      <c r="T4" s="14">
        <v>89</v>
      </c>
      <c r="U4" s="341"/>
      <c r="V4"/>
      <c r="W4"/>
    </row>
    <row r="5" spans="1:24" ht="13.5" customHeight="1" x14ac:dyDescent="0.2">
      <c r="A5" s="51">
        <v>3</v>
      </c>
      <c r="B5" s="22" t="s">
        <v>106</v>
      </c>
      <c r="C5" s="14">
        <v>11</v>
      </c>
      <c r="D5" s="14">
        <v>0</v>
      </c>
      <c r="E5" s="3">
        <v>4</v>
      </c>
      <c r="F5" s="6" t="s">
        <v>20</v>
      </c>
      <c r="G5" s="14">
        <v>13</v>
      </c>
      <c r="H5" s="14">
        <v>6</v>
      </c>
      <c r="I5" s="3">
        <v>49</v>
      </c>
      <c r="J5" s="4" t="s">
        <v>47</v>
      </c>
      <c r="K5" s="14">
        <v>14</v>
      </c>
      <c r="L5" s="14">
        <v>5</v>
      </c>
      <c r="M5" s="3">
        <v>257</v>
      </c>
      <c r="N5" s="9" t="s">
        <v>79</v>
      </c>
      <c r="O5" s="14">
        <v>14</v>
      </c>
      <c r="P5" s="14">
        <v>1</v>
      </c>
      <c r="Q5" s="3">
        <v>778</v>
      </c>
      <c r="R5"/>
      <c r="S5"/>
      <c r="T5"/>
      <c r="U5"/>
      <c r="V5"/>
      <c r="W5"/>
    </row>
    <row r="6" spans="1:24" ht="13.5" customHeight="1" x14ac:dyDescent="0.2">
      <c r="A6" s="51">
        <v>4</v>
      </c>
      <c r="B6" s="21" t="s">
        <v>105</v>
      </c>
      <c r="C6" s="14">
        <v>12</v>
      </c>
      <c r="D6" s="14">
        <v>1</v>
      </c>
      <c r="E6" s="3">
        <v>8</v>
      </c>
      <c r="F6" s="6" t="s">
        <v>23</v>
      </c>
      <c r="G6" s="14">
        <v>12</v>
      </c>
      <c r="H6" s="14">
        <v>15</v>
      </c>
      <c r="I6" s="3">
        <v>42</v>
      </c>
      <c r="J6" s="4" t="s">
        <v>51</v>
      </c>
      <c r="K6" s="14">
        <v>13</v>
      </c>
      <c r="L6" s="14">
        <v>71</v>
      </c>
      <c r="M6" s="3">
        <v>227</v>
      </c>
      <c r="N6" s="9" t="s">
        <v>80</v>
      </c>
      <c r="O6" s="14">
        <v>14</v>
      </c>
      <c r="P6" s="14">
        <v>10</v>
      </c>
      <c r="Q6" s="3">
        <v>787</v>
      </c>
      <c r="R6"/>
      <c r="S6"/>
      <c r="T6"/>
      <c r="U6"/>
      <c r="V6"/>
      <c r="W6"/>
    </row>
    <row r="7" spans="1:24" ht="13.5" customHeight="1" x14ac:dyDescent="0.2">
      <c r="A7" s="51">
        <v>5</v>
      </c>
      <c r="B7" s="22" t="s">
        <v>151</v>
      </c>
      <c r="C7" s="14">
        <v>12</v>
      </c>
      <c r="D7" s="14">
        <v>3</v>
      </c>
      <c r="E7" s="3">
        <v>10</v>
      </c>
      <c r="F7" s="6" t="s">
        <v>18</v>
      </c>
      <c r="G7" s="14">
        <v>12</v>
      </c>
      <c r="H7" s="14">
        <v>1</v>
      </c>
      <c r="I7" s="3">
        <v>28</v>
      </c>
      <c r="J7" s="4" t="s">
        <v>56</v>
      </c>
      <c r="K7" s="14">
        <v>14</v>
      </c>
      <c r="L7" s="14">
        <v>1</v>
      </c>
      <c r="M7" s="3">
        <v>253</v>
      </c>
      <c r="N7" s="9" t="s">
        <v>83</v>
      </c>
      <c r="O7" s="14">
        <v>13</v>
      </c>
      <c r="P7" s="14">
        <v>219</v>
      </c>
      <c r="Q7" s="3">
        <v>710</v>
      </c>
      <c r="S7" s="342" t="s">
        <v>140</v>
      </c>
      <c r="T7" s="342"/>
      <c r="U7" s="344">
        <v>11.696542893725992</v>
      </c>
    </row>
    <row r="8" spans="1:24" ht="13.5" customHeight="1" x14ac:dyDescent="0.2">
      <c r="A8" s="51">
        <v>6</v>
      </c>
      <c r="B8" s="22" t="s">
        <v>152</v>
      </c>
      <c r="C8" s="14">
        <v>10</v>
      </c>
      <c r="D8" s="14">
        <v>1</v>
      </c>
      <c r="E8" s="3">
        <v>3</v>
      </c>
      <c r="F8" s="6" t="s">
        <v>19</v>
      </c>
      <c r="G8" s="14">
        <v>12</v>
      </c>
      <c r="H8" s="14">
        <v>9</v>
      </c>
      <c r="I8" s="3">
        <v>36</v>
      </c>
      <c r="J8" s="4" t="s">
        <v>48</v>
      </c>
      <c r="K8" s="14">
        <v>14</v>
      </c>
      <c r="L8" s="14">
        <v>32</v>
      </c>
      <c r="M8" s="3">
        <v>284</v>
      </c>
      <c r="N8" s="9" t="s">
        <v>84</v>
      </c>
      <c r="O8" s="14">
        <v>14</v>
      </c>
      <c r="P8" s="14">
        <v>1</v>
      </c>
      <c r="Q8" s="3">
        <v>778</v>
      </c>
      <c r="S8" s="343"/>
      <c r="T8" s="343"/>
      <c r="U8" s="345"/>
    </row>
    <row r="9" spans="1:24" ht="13.5" customHeight="1" x14ac:dyDescent="0.2">
      <c r="A9" s="51">
        <v>7</v>
      </c>
      <c r="B9" s="19" t="s">
        <v>6</v>
      </c>
      <c r="C9" s="14">
        <v>12</v>
      </c>
      <c r="D9" s="14">
        <v>4</v>
      </c>
      <c r="E9" s="3">
        <v>11</v>
      </c>
      <c r="F9" s="6" t="s">
        <v>24</v>
      </c>
      <c r="G9" s="14">
        <v>13</v>
      </c>
      <c r="H9" s="14">
        <v>2</v>
      </c>
      <c r="I9" s="3">
        <v>45</v>
      </c>
      <c r="J9" s="4" t="s">
        <v>49</v>
      </c>
      <c r="K9" s="14">
        <v>14</v>
      </c>
      <c r="L9" s="14">
        <v>10</v>
      </c>
      <c r="M9" s="3">
        <v>262</v>
      </c>
      <c r="N9" s="9" t="s">
        <v>85</v>
      </c>
      <c r="O9" s="14">
        <v>13</v>
      </c>
      <c r="P9" s="14">
        <v>247</v>
      </c>
      <c r="Q9" s="3">
        <v>738</v>
      </c>
      <c r="S9" s="342" t="s">
        <v>141</v>
      </c>
      <c r="T9" s="342"/>
      <c r="U9" s="333">
        <v>128.66197183098592</v>
      </c>
    </row>
    <row r="10" spans="1:24" ht="13.5" customHeight="1" x14ac:dyDescent="0.2">
      <c r="A10" s="51">
        <v>8</v>
      </c>
      <c r="B10" s="19" t="s">
        <v>9</v>
      </c>
      <c r="C10" s="14">
        <v>12</v>
      </c>
      <c r="D10" s="14">
        <v>4</v>
      </c>
      <c r="E10" s="3">
        <v>11</v>
      </c>
      <c r="F10" s="6" t="s">
        <v>25</v>
      </c>
      <c r="G10" s="14">
        <v>12</v>
      </c>
      <c r="H10" s="14">
        <v>14</v>
      </c>
      <c r="I10" s="3">
        <v>41</v>
      </c>
      <c r="J10" s="4" t="s">
        <v>52</v>
      </c>
      <c r="K10" s="14">
        <v>14</v>
      </c>
      <c r="L10" s="14">
        <v>25</v>
      </c>
      <c r="M10" s="3">
        <v>277</v>
      </c>
      <c r="N10" s="9" t="s">
        <v>86</v>
      </c>
      <c r="O10" s="14">
        <v>13</v>
      </c>
      <c r="P10" s="14">
        <v>285</v>
      </c>
      <c r="Q10" s="3">
        <v>776</v>
      </c>
      <c r="S10" s="343"/>
      <c r="T10" s="343"/>
      <c r="U10" s="334"/>
    </row>
    <row r="11" spans="1:24" ht="13.5" customHeight="1" x14ac:dyDescent="0.2">
      <c r="A11" s="51">
        <v>9</v>
      </c>
      <c r="B11" s="19" t="s">
        <v>12</v>
      </c>
      <c r="C11" s="14">
        <v>12</v>
      </c>
      <c r="D11" s="14">
        <v>0</v>
      </c>
      <c r="E11" s="3">
        <v>7</v>
      </c>
      <c r="F11" s="6" t="s">
        <v>28</v>
      </c>
      <c r="G11" s="14">
        <v>13</v>
      </c>
      <c r="H11" s="14">
        <v>1</v>
      </c>
      <c r="I11" s="3">
        <v>44</v>
      </c>
      <c r="J11" s="4" t="s">
        <v>53</v>
      </c>
      <c r="K11" s="14">
        <v>14</v>
      </c>
      <c r="L11" s="14">
        <v>86</v>
      </c>
      <c r="M11" s="3">
        <v>338</v>
      </c>
      <c r="N11" s="9" t="s">
        <v>87</v>
      </c>
      <c r="O11" s="14">
        <v>13</v>
      </c>
      <c r="P11" s="14">
        <v>229</v>
      </c>
      <c r="Q11" s="3">
        <v>720</v>
      </c>
    </row>
    <row r="12" spans="1:24" ht="13.5" customHeight="1" x14ac:dyDescent="0.2">
      <c r="A12" s="51">
        <v>10</v>
      </c>
      <c r="B12" s="19" t="s">
        <v>11</v>
      </c>
      <c r="C12" s="14">
        <v>13</v>
      </c>
      <c r="D12" s="14">
        <v>1</v>
      </c>
      <c r="E12" s="3">
        <v>13</v>
      </c>
      <c r="F12" s="6" t="s">
        <v>29</v>
      </c>
      <c r="G12" s="14">
        <v>12</v>
      </c>
      <c r="H12" s="14">
        <v>14</v>
      </c>
      <c r="I12" s="3">
        <v>41</v>
      </c>
      <c r="J12" s="4" t="s">
        <v>57</v>
      </c>
      <c r="K12" s="14">
        <v>14</v>
      </c>
      <c r="L12" s="14">
        <v>3</v>
      </c>
      <c r="M12" s="3">
        <v>255</v>
      </c>
      <c r="N12" s="9" t="s">
        <v>88</v>
      </c>
      <c r="O12" s="14">
        <v>13</v>
      </c>
      <c r="P12" s="14">
        <v>151</v>
      </c>
      <c r="Q12" s="3">
        <v>642</v>
      </c>
    </row>
    <row r="13" spans="1:24" ht="13.5" customHeight="1" x14ac:dyDescent="0.2">
      <c r="A13" s="51">
        <v>11</v>
      </c>
      <c r="B13" s="19" t="s">
        <v>8</v>
      </c>
      <c r="C13" s="14">
        <v>12</v>
      </c>
      <c r="D13" s="14">
        <v>4</v>
      </c>
      <c r="E13" s="3">
        <v>11</v>
      </c>
      <c r="F13" s="6" t="s">
        <v>108</v>
      </c>
      <c r="G13" s="14">
        <v>12</v>
      </c>
      <c r="H13" s="14">
        <v>4</v>
      </c>
      <c r="I13" s="3">
        <v>31</v>
      </c>
      <c r="J13" s="4" t="s">
        <v>61</v>
      </c>
      <c r="K13" s="14">
        <v>14</v>
      </c>
      <c r="L13" s="14">
        <v>24</v>
      </c>
      <c r="M13" s="3">
        <v>276</v>
      </c>
      <c r="N13" s="9" t="s">
        <v>78</v>
      </c>
      <c r="O13" s="14">
        <v>13</v>
      </c>
      <c r="P13" s="14">
        <v>159</v>
      </c>
      <c r="Q13" s="3">
        <v>650</v>
      </c>
      <c r="R13"/>
      <c r="S13"/>
      <c r="T13"/>
      <c r="U13"/>
      <c r="V13"/>
      <c r="W13"/>
    </row>
    <row r="14" spans="1:24" ht="13.5" customHeight="1" x14ac:dyDescent="0.2">
      <c r="A14" s="51">
        <v>12</v>
      </c>
      <c r="B14" s="19" t="s">
        <v>10</v>
      </c>
      <c r="C14" s="14">
        <v>12</v>
      </c>
      <c r="D14" s="14">
        <v>0</v>
      </c>
      <c r="E14" s="3">
        <v>7</v>
      </c>
      <c r="F14" s="6" t="s">
        <v>32</v>
      </c>
      <c r="G14" s="14">
        <v>12</v>
      </c>
      <c r="H14" s="14">
        <v>12</v>
      </c>
      <c r="I14" s="3">
        <v>39</v>
      </c>
      <c r="J14" s="4" t="s">
        <v>58</v>
      </c>
      <c r="K14" s="14">
        <v>13</v>
      </c>
      <c r="L14" s="14">
        <v>84</v>
      </c>
      <c r="M14" s="3">
        <v>240</v>
      </c>
      <c r="N14" s="10" t="s">
        <v>54</v>
      </c>
      <c r="O14" s="14">
        <v>13</v>
      </c>
      <c r="P14" s="14">
        <v>256</v>
      </c>
      <c r="Q14" s="3">
        <v>747</v>
      </c>
      <c r="R14"/>
      <c r="S14"/>
      <c r="T14"/>
      <c r="U14"/>
      <c r="V14"/>
      <c r="W14"/>
    </row>
    <row r="15" spans="1:24" ht="13.5" customHeight="1" x14ac:dyDescent="0.2">
      <c r="A15" s="51">
        <v>13</v>
      </c>
      <c r="B15" s="19" t="s">
        <v>15</v>
      </c>
      <c r="C15" s="14">
        <v>11</v>
      </c>
      <c r="D15" s="14">
        <v>0</v>
      </c>
      <c r="E15" s="3">
        <v>4</v>
      </c>
      <c r="F15" s="6" t="s">
        <v>33</v>
      </c>
      <c r="G15" s="14">
        <v>12</v>
      </c>
      <c r="H15" s="14">
        <v>12</v>
      </c>
      <c r="I15" s="3">
        <v>39</v>
      </c>
      <c r="J15" s="4" t="s">
        <v>62</v>
      </c>
      <c r="K15" s="14">
        <v>14</v>
      </c>
      <c r="L15" s="14">
        <v>2</v>
      </c>
      <c r="M15" s="3">
        <v>254</v>
      </c>
      <c r="N15" s="9" t="s">
        <v>138</v>
      </c>
      <c r="O15" s="14">
        <v>10</v>
      </c>
      <c r="P15" s="14">
        <v>25</v>
      </c>
      <c r="Q15" s="3">
        <v>153</v>
      </c>
      <c r="R15"/>
      <c r="S15"/>
      <c r="T15"/>
      <c r="U15"/>
    </row>
    <row r="16" spans="1:24" ht="13.5" customHeight="1" x14ac:dyDescent="0.2">
      <c r="A16" s="51">
        <v>14</v>
      </c>
      <c r="B16" s="19" t="s">
        <v>14</v>
      </c>
      <c r="C16" s="14">
        <v>11</v>
      </c>
      <c r="D16" s="14">
        <v>0</v>
      </c>
      <c r="E16" s="3">
        <v>4</v>
      </c>
      <c r="F16" s="6" t="s">
        <v>30</v>
      </c>
      <c r="G16" s="14">
        <v>12</v>
      </c>
      <c r="H16" s="14">
        <v>7</v>
      </c>
      <c r="I16" s="3">
        <v>34</v>
      </c>
      <c r="J16" s="4" t="s">
        <v>59</v>
      </c>
      <c r="K16" s="14">
        <v>14</v>
      </c>
      <c r="L16" s="14">
        <v>26</v>
      </c>
      <c r="M16" s="3">
        <v>278</v>
      </c>
      <c r="N16" s="9"/>
      <c r="O16" s="14"/>
      <c r="P16" s="14"/>
      <c r="Q16" s="3"/>
      <c r="R16"/>
      <c r="S16"/>
      <c r="T16"/>
      <c r="U16"/>
    </row>
    <row r="17" spans="1:21" ht="13.5" customHeight="1" x14ac:dyDescent="0.2">
      <c r="A17" s="51">
        <v>15</v>
      </c>
      <c r="B17" s="19" t="s">
        <v>135</v>
      </c>
      <c r="C17" s="14">
        <v>11</v>
      </c>
      <c r="D17" s="14">
        <v>0</v>
      </c>
      <c r="E17" s="3">
        <v>4</v>
      </c>
      <c r="F17" s="6" t="s">
        <v>31</v>
      </c>
      <c r="G17" s="14">
        <v>12</v>
      </c>
      <c r="H17" s="14">
        <v>12</v>
      </c>
      <c r="I17" s="3">
        <v>39</v>
      </c>
      <c r="J17" s="4" t="s">
        <v>60</v>
      </c>
      <c r="K17" s="14">
        <v>13</v>
      </c>
      <c r="L17" s="14">
        <v>34</v>
      </c>
      <c r="M17" s="3">
        <v>190</v>
      </c>
      <c r="N17" s="9"/>
      <c r="O17" s="14"/>
      <c r="P17" s="14"/>
      <c r="Q17" s="3"/>
      <c r="R17"/>
      <c r="S17"/>
      <c r="T17"/>
      <c r="U17"/>
    </row>
    <row r="18" spans="1:21" ht="13.5" customHeight="1" x14ac:dyDescent="0.2">
      <c r="A18" s="51">
        <v>16</v>
      </c>
      <c r="B18" s="19" t="s">
        <v>74</v>
      </c>
      <c r="C18" s="14">
        <v>12</v>
      </c>
      <c r="D18" s="14">
        <v>2</v>
      </c>
      <c r="E18" s="3">
        <v>9</v>
      </c>
      <c r="F18" s="6" t="s">
        <v>35</v>
      </c>
      <c r="G18" s="14">
        <v>12</v>
      </c>
      <c r="H18" s="14">
        <v>12</v>
      </c>
      <c r="I18" s="3">
        <v>39</v>
      </c>
      <c r="J18" s="4" t="s">
        <v>63</v>
      </c>
      <c r="K18" s="14">
        <v>14</v>
      </c>
      <c r="L18" s="14">
        <v>40</v>
      </c>
      <c r="M18" s="3">
        <v>292</v>
      </c>
      <c r="N18" s="9"/>
      <c r="O18" s="14"/>
      <c r="P18" s="14"/>
      <c r="Q18" s="3"/>
      <c r="R18"/>
      <c r="S18"/>
      <c r="T18"/>
      <c r="U18"/>
    </row>
    <row r="19" spans="1:21" ht="13.5" customHeight="1" x14ac:dyDescent="0.2">
      <c r="A19" s="51">
        <v>17</v>
      </c>
      <c r="B19" s="19" t="s">
        <v>75</v>
      </c>
      <c r="C19" s="14">
        <v>11</v>
      </c>
      <c r="D19" s="14">
        <v>1</v>
      </c>
      <c r="E19" s="3">
        <v>5</v>
      </c>
      <c r="F19" s="6" t="s">
        <v>34</v>
      </c>
      <c r="G19" s="14">
        <v>13</v>
      </c>
      <c r="H19" s="14">
        <v>4</v>
      </c>
      <c r="I19" s="3">
        <v>47</v>
      </c>
      <c r="J19" s="4" t="s">
        <v>65</v>
      </c>
      <c r="K19" s="14">
        <v>14</v>
      </c>
      <c r="L19" s="14">
        <v>25</v>
      </c>
      <c r="M19" s="3">
        <v>277</v>
      </c>
      <c r="N19" s="9"/>
      <c r="O19" s="14"/>
      <c r="P19" s="14"/>
      <c r="Q19" s="3"/>
    </row>
    <row r="20" spans="1:21" ht="13.5" customHeight="1" x14ac:dyDescent="0.2">
      <c r="A20" s="51">
        <v>18</v>
      </c>
      <c r="B20" s="19" t="s">
        <v>104</v>
      </c>
      <c r="C20" s="14">
        <v>12</v>
      </c>
      <c r="D20" s="14">
        <v>4</v>
      </c>
      <c r="E20" s="3">
        <v>11</v>
      </c>
      <c r="F20" s="6" t="s">
        <v>36</v>
      </c>
      <c r="G20" s="14">
        <v>13</v>
      </c>
      <c r="H20" s="14">
        <v>2</v>
      </c>
      <c r="I20" s="3">
        <v>45</v>
      </c>
      <c r="J20" s="4" t="s">
        <v>66</v>
      </c>
      <c r="K20" s="14">
        <v>14</v>
      </c>
      <c r="L20" s="14">
        <v>13</v>
      </c>
      <c r="M20" s="3">
        <v>265</v>
      </c>
      <c r="N20" s="9"/>
      <c r="O20" s="14"/>
      <c r="P20" s="14"/>
      <c r="Q20" s="3"/>
    </row>
    <row r="21" spans="1:21" ht="13.5" customHeight="1" x14ac:dyDescent="0.2">
      <c r="A21" s="51">
        <v>19</v>
      </c>
      <c r="B21" s="19" t="s">
        <v>76</v>
      </c>
      <c r="C21" s="14">
        <v>12</v>
      </c>
      <c r="D21" s="14">
        <v>0</v>
      </c>
      <c r="E21" s="3">
        <v>7</v>
      </c>
      <c r="F21" s="6" t="s">
        <v>37</v>
      </c>
      <c r="G21" s="14">
        <v>12</v>
      </c>
      <c r="H21" s="14">
        <v>9</v>
      </c>
      <c r="I21" s="3">
        <v>36</v>
      </c>
      <c r="J21" s="4" t="s">
        <v>64</v>
      </c>
      <c r="K21" s="14">
        <v>14</v>
      </c>
      <c r="L21" s="14">
        <v>20</v>
      </c>
      <c r="M21" s="3">
        <v>272</v>
      </c>
      <c r="N21" s="9"/>
      <c r="O21" s="14"/>
      <c r="P21" s="14"/>
      <c r="Q21" s="3"/>
    </row>
    <row r="22" spans="1:21" ht="13.5" customHeight="1" x14ac:dyDescent="0.2">
      <c r="A22" s="51">
        <v>20</v>
      </c>
      <c r="B22" s="19" t="s">
        <v>77</v>
      </c>
      <c r="C22" s="14">
        <v>13</v>
      </c>
      <c r="D22" s="14">
        <v>1</v>
      </c>
      <c r="E22" s="3">
        <v>13</v>
      </c>
      <c r="F22" s="6" t="s">
        <v>40</v>
      </c>
      <c r="G22" s="14">
        <v>13</v>
      </c>
      <c r="H22" s="14">
        <v>3</v>
      </c>
      <c r="I22" s="3">
        <v>46</v>
      </c>
      <c r="J22" s="4" t="s">
        <v>50</v>
      </c>
      <c r="K22" s="14">
        <v>14</v>
      </c>
      <c r="L22" s="14">
        <v>26</v>
      </c>
      <c r="M22" s="3">
        <v>278</v>
      </c>
      <c r="N22" s="9"/>
      <c r="O22" s="14"/>
      <c r="P22" s="14"/>
      <c r="Q22" s="3"/>
    </row>
    <row r="23" spans="1:21" ht="13.5" customHeight="1" x14ac:dyDescent="0.2">
      <c r="A23" s="51">
        <v>21</v>
      </c>
      <c r="B23" s="19"/>
      <c r="C23" s="14"/>
      <c r="D23" s="14"/>
      <c r="E23" s="3"/>
      <c r="F23" s="6" t="s">
        <v>41</v>
      </c>
      <c r="G23" s="14">
        <v>13</v>
      </c>
      <c r="H23" s="14">
        <v>2</v>
      </c>
      <c r="I23" s="3">
        <v>45</v>
      </c>
      <c r="J23" s="4" t="s">
        <v>55</v>
      </c>
      <c r="K23" s="14">
        <v>14</v>
      </c>
      <c r="L23" s="14">
        <v>19</v>
      </c>
      <c r="M23" s="3">
        <v>271</v>
      </c>
      <c r="N23" s="9"/>
      <c r="O23" s="14"/>
      <c r="P23" s="14"/>
      <c r="Q23" s="3"/>
    </row>
    <row r="24" spans="1:21" ht="13.5" customHeight="1" x14ac:dyDescent="0.2">
      <c r="A24" s="51">
        <v>22</v>
      </c>
      <c r="B24" s="19"/>
      <c r="C24" s="14"/>
      <c r="D24" s="14"/>
      <c r="E24" s="3"/>
      <c r="F24" s="6" t="s">
        <v>38</v>
      </c>
      <c r="G24" s="14">
        <v>12</v>
      </c>
      <c r="H24" s="14">
        <v>9</v>
      </c>
      <c r="I24" s="3">
        <v>36</v>
      </c>
      <c r="J24" s="4" t="s">
        <v>68</v>
      </c>
      <c r="K24" s="14">
        <v>14</v>
      </c>
      <c r="L24" s="14">
        <v>6</v>
      </c>
      <c r="M24" s="3">
        <v>258</v>
      </c>
      <c r="N24" s="9"/>
      <c r="O24" s="14"/>
      <c r="P24" s="14"/>
      <c r="Q24" s="3"/>
    </row>
    <row r="25" spans="1:21" ht="13.5" customHeight="1" x14ac:dyDescent="0.2">
      <c r="A25" s="51">
        <v>23</v>
      </c>
      <c r="B25" s="19"/>
      <c r="C25" s="14"/>
      <c r="D25" s="14"/>
      <c r="E25" s="3"/>
      <c r="F25" s="6" t="s">
        <v>39</v>
      </c>
      <c r="G25" s="14">
        <v>13</v>
      </c>
      <c r="H25" s="14">
        <v>8</v>
      </c>
      <c r="I25" s="3">
        <v>51</v>
      </c>
      <c r="J25" s="4" t="s">
        <v>69</v>
      </c>
      <c r="K25" s="14">
        <v>14</v>
      </c>
      <c r="L25" s="14">
        <v>0</v>
      </c>
      <c r="M25" s="3">
        <v>252</v>
      </c>
      <c r="N25" s="9"/>
      <c r="O25" s="14"/>
      <c r="P25" s="14"/>
      <c r="Q25" s="3"/>
    </row>
    <row r="26" spans="1:21" ht="13.5" customHeight="1" x14ac:dyDescent="0.2">
      <c r="A26" s="51">
        <v>24</v>
      </c>
      <c r="B26" s="19"/>
      <c r="C26" s="14"/>
      <c r="D26" s="14"/>
      <c r="E26" s="3"/>
      <c r="F26" s="6" t="s">
        <v>26</v>
      </c>
      <c r="G26" s="14">
        <v>13</v>
      </c>
      <c r="H26" s="14">
        <v>15</v>
      </c>
      <c r="I26" s="3">
        <v>58</v>
      </c>
      <c r="J26" s="4" t="s">
        <v>67</v>
      </c>
      <c r="K26" s="14">
        <v>14</v>
      </c>
      <c r="L26" s="14">
        <v>31</v>
      </c>
      <c r="M26" s="3">
        <v>283</v>
      </c>
      <c r="N26" s="9"/>
      <c r="O26" s="14"/>
      <c r="P26" s="14"/>
      <c r="Q26" s="3"/>
    </row>
    <row r="27" spans="1:21" ht="13.5" customHeight="1" x14ac:dyDescent="0.2">
      <c r="A27" s="51">
        <v>25</v>
      </c>
      <c r="B27" s="19"/>
      <c r="C27" s="14"/>
      <c r="D27" s="14"/>
      <c r="E27" s="3"/>
      <c r="F27" s="6" t="s">
        <v>27</v>
      </c>
      <c r="G27" s="14">
        <v>13</v>
      </c>
      <c r="H27" s="14">
        <v>11</v>
      </c>
      <c r="I27" s="3">
        <v>54</v>
      </c>
      <c r="J27" s="4"/>
      <c r="K27" s="14"/>
      <c r="L27" s="14"/>
      <c r="M27" s="3"/>
      <c r="N27" s="9"/>
      <c r="O27" s="14"/>
      <c r="P27" s="14"/>
      <c r="Q27" s="3"/>
    </row>
    <row r="28" spans="1:21" ht="13.5" customHeight="1" x14ac:dyDescent="0.2">
      <c r="A28" s="51">
        <v>26</v>
      </c>
      <c r="B28" s="19"/>
      <c r="C28" s="14"/>
      <c r="D28" s="14"/>
      <c r="E28" s="3"/>
      <c r="F28" s="6" t="s">
        <v>42</v>
      </c>
      <c r="G28" s="14">
        <v>12</v>
      </c>
      <c r="H28" s="14">
        <v>8</v>
      </c>
      <c r="I28" s="3">
        <v>35</v>
      </c>
      <c r="J28" s="4"/>
      <c r="K28" s="14"/>
      <c r="L28" s="14"/>
      <c r="M28" s="3"/>
      <c r="N28" s="9"/>
      <c r="O28" s="14"/>
      <c r="P28" s="14"/>
      <c r="Q28" s="3"/>
    </row>
    <row r="29" spans="1:21" ht="13.5" customHeight="1" x14ac:dyDescent="0.2">
      <c r="A29" s="51">
        <v>27</v>
      </c>
      <c r="B29" s="19"/>
      <c r="C29" s="14"/>
      <c r="D29" s="14"/>
      <c r="E29" s="3"/>
      <c r="F29" s="6" t="s">
        <v>73</v>
      </c>
      <c r="G29" s="14">
        <v>13</v>
      </c>
      <c r="H29" s="14">
        <v>0</v>
      </c>
      <c r="I29" s="3">
        <v>43</v>
      </c>
      <c r="J29" s="4"/>
      <c r="K29" s="14"/>
      <c r="L29" s="14"/>
      <c r="M29" s="3"/>
      <c r="N29" s="9"/>
      <c r="O29" s="14"/>
      <c r="P29" s="14"/>
      <c r="Q29" s="3"/>
    </row>
    <row r="30" spans="1:21" ht="13.5" customHeight="1" x14ac:dyDescent="0.2">
      <c r="A30" s="51">
        <v>28</v>
      </c>
      <c r="B30" s="19"/>
      <c r="C30" s="14"/>
      <c r="D30" s="14"/>
      <c r="E30" s="3"/>
      <c r="F30" s="6" t="s">
        <v>72</v>
      </c>
      <c r="G30" s="14">
        <v>13</v>
      </c>
      <c r="H30" s="14">
        <v>0</v>
      </c>
      <c r="I30" s="3">
        <v>43</v>
      </c>
      <c r="J30" s="4"/>
      <c r="K30" s="14"/>
      <c r="L30" s="14"/>
      <c r="M30" s="3"/>
      <c r="N30" s="9"/>
      <c r="O30" s="14"/>
      <c r="P30" s="14"/>
      <c r="Q30" s="3"/>
    </row>
    <row r="31" spans="1:21" ht="13.5" customHeight="1" x14ac:dyDescent="0.2">
      <c r="A31" s="51">
        <v>29</v>
      </c>
      <c r="B31" s="19"/>
      <c r="C31" s="14"/>
      <c r="D31" s="14"/>
      <c r="E31" s="3"/>
      <c r="F31" s="6" t="s">
        <v>71</v>
      </c>
      <c r="G31" s="14">
        <v>12</v>
      </c>
      <c r="H31" s="14">
        <v>12</v>
      </c>
      <c r="I31" s="3">
        <v>39</v>
      </c>
      <c r="J31" s="4"/>
      <c r="K31" s="14"/>
      <c r="L31" s="14"/>
      <c r="M31" s="3"/>
      <c r="N31" s="9"/>
      <c r="O31" s="14"/>
      <c r="P31" s="14"/>
      <c r="Q31" s="3"/>
    </row>
    <row r="32" spans="1:21" ht="13.5" customHeight="1" x14ac:dyDescent="0.2">
      <c r="A32" s="51">
        <v>30</v>
      </c>
      <c r="B32" s="19"/>
      <c r="C32" s="14"/>
      <c r="D32" s="14"/>
      <c r="E32" s="3"/>
      <c r="F32" s="6" t="s">
        <v>70</v>
      </c>
      <c r="G32" s="14">
        <v>12</v>
      </c>
      <c r="H32" s="14">
        <v>12</v>
      </c>
      <c r="I32" s="3">
        <v>39</v>
      </c>
      <c r="J32" s="4"/>
      <c r="K32" s="14"/>
      <c r="L32" s="14"/>
      <c r="M32" s="3"/>
      <c r="N32" s="9"/>
      <c r="O32" s="14"/>
      <c r="P32" s="14"/>
      <c r="Q32" s="3"/>
    </row>
    <row r="33" spans="1:21" ht="13.5" customHeight="1" x14ac:dyDescent="0.2">
      <c r="A33" s="51">
        <v>31</v>
      </c>
      <c r="B33" s="19"/>
      <c r="C33" s="14"/>
      <c r="D33" s="14"/>
      <c r="E33" s="3"/>
      <c r="F33" s="6" t="s">
        <v>43</v>
      </c>
      <c r="G33" s="14">
        <v>13</v>
      </c>
      <c r="H33" s="14">
        <v>6</v>
      </c>
      <c r="I33" s="3">
        <v>49</v>
      </c>
      <c r="J33" s="4"/>
      <c r="K33" s="14"/>
      <c r="L33" s="14"/>
      <c r="M33" s="3"/>
      <c r="N33" s="9"/>
      <c r="O33" s="14"/>
      <c r="P33" s="14"/>
      <c r="Q33" s="3"/>
      <c r="R33"/>
    </row>
    <row r="34" spans="1:21" s="1" customFormat="1" ht="13.5" customHeight="1" x14ac:dyDescent="0.2">
      <c r="A34" s="51">
        <v>32</v>
      </c>
      <c r="B34" s="19"/>
      <c r="C34" s="14"/>
      <c r="D34" s="14"/>
      <c r="E34" s="3"/>
      <c r="F34" s="6" t="s">
        <v>44</v>
      </c>
      <c r="G34" s="14">
        <v>13</v>
      </c>
      <c r="H34" s="14">
        <v>11</v>
      </c>
      <c r="I34" s="3">
        <v>54</v>
      </c>
      <c r="J34" s="4"/>
      <c r="K34" s="14"/>
      <c r="L34" s="14"/>
      <c r="M34" s="3"/>
      <c r="N34" s="9"/>
      <c r="O34" s="14"/>
      <c r="P34" s="14"/>
      <c r="Q34" s="3"/>
      <c r="R34" s="10" t="s">
        <v>101</v>
      </c>
      <c r="S34" s="10" t="s">
        <v>102</v>
      </c>
      <c r="T34" s="10" t="s">
        <v>149</v>
      </c>
      <c r="U34" s="47" t="s">
        <v>103</v>
      </c>
    </row>
    <row r="35" spans="1:21" s="1" customFormat="1" ht="13.5" customHeight="1" x14ac:dyDescent="0.2">
      <c r="A35" s="7" t="s">
        <v>5</v>
      </c>
      <c r="B35" s="7">
        <v>17</v>
      </c>
      <c r="C35" s="16">
        <v>11.764705882352942</v>
      </c>
      <c r="D35" s="7"/>
      <c r="E35" s="7">
        <v>138</v>
      </c>
      <c r="F35" s="7">
        <v>32</v>
      </c>
      <c r="G35" s="38">
        <v>12.4375</v>
      </c>
      <c r="H35" s="7"/>
      <c r="I35" s="7">
        <v>1349</v>
      </c>
      <c r="J35" s="7">
        <v>24</v>
      </c>
      <c r="K35" s="16">
        <v>13.833333333333334</v>
      </c>
      <c r="L35" s="7"/>
      <c r="M35" s="7">
        <v>6333</v>
      </c>
      <c r="N35" s="7">
        <v>13</v>
      </c>
      <c r="O35" s="16">
        <v>13</v>
      </c>
      <c r="P35" s="7"/>
      <c r="Q35" s="7">
        <v>8935</v>
      </c>
      <c r="R35" s="7">
        <v>89</v>
      </c>
      <c r="S35" s="16">
        <v>12.685393258426966</v>
      </c>
      <c r="T35" s="16">
        <v>11.304503018365041</v>
      </c>
      <c r="U35" s="49">
        <v>1709000</v>
      </c>
    </row>
    <row r="36" spans="1:21" s="1" customFormat="1" ht="13.5" customHeight="1" x14ac:dyDescent="0.2">
      <c r="A36" s="8" t="s">
        <v>93</v>
      </c>
      <c r="B36" s="11">
        <v>1</v>
      </c>
      <c r="C36" s="11"/>
      <c r="D36" s="11"/>
      <c r="E36" s="11">
        <v>0.25367647058823528</v>
      </c>
      <c r="F36" s="11">
        <v>1</v>
      </c>
      <c r="G36" s="11"/>
      <c r="H36" s="11"/>
      <c r="I36" s="11">
        <v>0.38323863636363636</v>
      </c>
      <c r="J36" s="11">
        <v>1</v>
      </c>
      <c r="K36" s="11"/>
      <c r="L36" s="11"/>
      <c r="M36" s="11">
        <v>0.66635101010101006</v>
      </c>
      <c r="N36" s="11">
        <v>1</v>
      </c>
      <c r="O36" s="11"/>
      <c r="P36" s="11"/>
      <c r="Q36" s="11">
        <v>0.583948761518855</v>
      </c>
      <c r="R36" s="11">
        <v>1</v>
      </c>
      <c r="S36" s="11">
        <v>0.35609184507849884</v>
      </c>
      <c r="T36" s="46"/>
      <c r="U36" s="46">
        <v>0.42228811465282928</v>
      </c>
    </row>
    <row r="37" spans="1:21" ht="13.5" customHeight="1" x14ac:dyDescent="0.2">
      <c r="A37" s="10" t="s">
        <v>146</v>
      </c>
      <c r="B37" s="337">
        <v>926.73913043478274</v>
      </c>
      <c r="C37" s="338"/>
      <c r="D37" s="338"/>
      <c r="E37" s="339"/>
      <c r="F37" s="337">
        <v>506.94217939214229</v>
      </c>
      <c r="G37" s="338"/>
      <c r="H37" s="338"/>
      <c r="I37" s="339"/>
      <c r="J37" s="337">
        <v>157.72382756987213</v>
      </c>
      <c r="K37" s="338"/>
      <c r="L37" s="338"/>
      <c r="M37" s="339"/>
      <c r="N37" s="337">
        <v>224.43088975937326</v>
      </c>
      <c r="O37" s="338"/>
      <c r="P37" s="338"/>
      <c r="Q37" s="339"/>
      <c r="T37"/>
    </row>
    <row r="38" spans="1:21" ht="13.5" customHeight="1" x14ac:dyDescent="0.2">
      <c r="A38" s="12" t="s">
        <v>147</v>
      </c>
      <c r="B38" s="346">
        <v>1241.7391304347827</v>
      </c>
      <c r="C38" s="347"/>
      <c r="D38" s="347"/>
      <c r="E38" s="348"/>
      <c r="F38" s="346">
        <v>821.94217939214229</v>
      </c>
      <c r="G38" s="347"/>
      <c r="H38" s="347"/>
      <c r="I38" s="348"/>
      <c r="J38" s="346">
        <v>472.72382756987213</v>
      </c>
      <c r="K38" s="347"/>
      <c r="L38" s="347"/>
      <c r="M38" s="348"/>
      <c r="N38" s="346">
        <v>539.43088975937326</v>
      </c>
      <c r="O38" s="347"/>
      <c r="P38" s="347"/>
      <c r="Q38" s="348"/>
    </row>
    <row r="39" spans="1:21" ht="13.5" customHeight="1" x14ac:dyDescent="0.2">
      <c r="A39" s="3" t="s">
        <v>145</v>
      </c>
      <c r="B39" s="294">
        <v>0.43809523809523809</v>
      </c>
      <c r="C39" s="349"/>
      <c r="D39" s="349"/>
      <c r="E39" s="295"/>
      <c r="F39" s="350">
        <v>4.2825396825396824</v>
      </c>
      <c r="G39" s="351"/>
      <c r="H39" s="351"/>
      <c r="I39" s="352"/>
      <c r="J39" s="350">
        <v>20.104761904761904</v>
      </c>
      <c r="K39" s="351"/>
      <c r="L39" s="351"/>
      <c r="M39" s="352"/>
      <c r="N39" s="350">
        <v>28.365079365079364</v>
      </c>
      <c r="O39" s="351"/>
      <c r="P39" s="351"/>
      <c r="Q39" s="352"/>
    </row>
    <row r="40" spans="1:21" x14ac:dyDescent="0.2">
      <c r="B40" s="50"/>
      <c r="C40" s="50"/>
      <c r="D40" s="50"/>
      <c r="E40" s="50"/>
      <c r="F40" s="50"/>
      <c r="G40" s="50"/>
      <c r="H40" s="50"/>
      <c r="I40" s="50"/>
      <c r="J40" s="50"/>
      <c r="K40" s="50"/>
      <c r="L40" s="50"/>
      <c r="M40" s="50"/>
      <c r="N40" s="50"/>
      <c r="O40" s="50"/>
      <c r="P40" s="50"/>
      <c r="Q40" s="50"/>
    </row>
    <row r="57" spans="10:10" x14ac:dyDescent="0.2">
      <c r="J57"/>
    </row>
  </sheetData>
  <mergeCells count="17">
    <mergeCell ref="B38:E38"/>
    <mergeCell ref="F38:I38"/>
    <mergeCell ref="J38:M38"/>
    <mergeCell ref="N38:Q38"/>
    <mergeCell ref="B39:E39"/>
    <mergeCell ref="F39:I39"/>
    <mergeCell ref="J39:M39"/>
    <mergeCell ref="N39:Q39"/>
    <mergeCell ref="B37:E37"/>
    <mergeCell ref="F37:I37"/>
    <mergeCell ref="J37:M37"/>
    <mergeCell ref="N37:Q37"/>
    <mergeCell ref="U3:U4"/>
    <mergeCell ref="S7:T8"/>
    <mergeCell ref="U7:U8"/>
    <mergeCell ref="S9:T10"/>
    <mergeCell ref="U9:U10"/>
  </mergeCells>
  <phoneticPr fontId="1" type="noConversion"/>
  <conditionalFormatting sqref="B2">
    <cfRule type="containsText" dxfId="14" priority="7" operator="containsText" text="传说">
      <formula>NOT(ISERROR(SEARCH("传说",B2)))</formula>
    </cfRule>
    <cfRule type="containsText" dxfId="13" priority="8" operator="containsText" text="传说">
      <formula>NOT(ISERROR(SEARCH("传说",B2)))</formula>
    </cfRule>
    <cfRule type="containsText" dxfId="12" priority="9" operator="containsText" text="禁忌">
      <formula>NOT(ISERROR(SEARCH("禁忌",B2)))</formula>
    </cfRule>
  </conditionalFormatting>
  <conditionalFormatting sqref="C3:C34">
    <cfRule type="colorScale" priority="6">
      <colorScale>
        <cfvo type="min"/>
        <cfvo type="percentile" val="50"/>
        <cfvo type="max"/>
        <color rgb="FFF8696B"/>
        <color rgb="FFFFEB84"/>
        <color rgb="FF63BE7B"/>
      </colorScale>
    </cfRule>
  </conditionalFormatting>
  <conditionalFormatting sqref="G3:G34">
    <cfRule type="colorScale" priority="4">
      <colorScale>
        <cfvo type="min"/>
        <cfvo type="percentile" val="50"/>
        <cfvo type="max"/>
        <color rgb="FFF8696B"/>
        <color rgb="FFFFEB84"/>
        <color rgb="FF63BE7B"/>
      </colorScale>
    </cfRule>
  </conditionalFormatting>
  <conditionalFormatting sqref="K3:K31">
    <cfRule type="colorScale" priority="3">
      <colorScale>
        <cfvo type="min"/>
        <cfvo type="percentile" val="50"/>
        <cfvo type="max"/>
        <color rgb="FFF8696B"/>
        <color rgb="FFFFEB84"/>
        <color rgb="FF63BE7B"/>
      </colorScale>
    </cfRule>
  </conditionalFormatting>
  <conditionalFormatting sqref="O3:O18">
    <cfRule type="colorScale" priority="2">
      <colorScale>
        <cfvo type="min"/>
        <cfvo type="percentile" val="50"/>
        <cfvo type="max"/>
        <color rgb="FFF8696B"/>
        <color rgb="FFFFEB84"/>
        <color rgb="FF63BE7B"/>
      </colorScale>
    </cfRule>
  </conditionalFormatting>
  <conditionalFormatting sqref="O3:O34">
    <cfRule type="colorScale" priority="1">
      <colorScale>
        <cfvo type="min"/>
        <cfvo type="percentile" val="50"/>
        <cfvo type="max"/>
        <color rgb="FFF8696B"/>
        <color rgb="FFFFEB84"/>
        <color rgb="FF63BE7B"/>
      </colorScale>
    </cfRule>
  </conditionalFormatting>
  <conditionalFormatting sqref="T6">
    <cfRule type="colorScale" priority="5">
      <colorScale>
        <cfvo type="min"/>
        <cfvo type="percentile" val="50"/>
        <cfvo type="max"/>
        <color rgb="FF63BE7B"/>
        <color rgb="FFFFEB84"/>
        <color rgb="FFF8696B"/>
      </colorScale>
    </cfRule>
  </conditionalFormatting>
  <dataValidations count="10">
    <dataValidation type="whole" allowBlank="1" showInputMessage="1" showErrorMessage="1" promptTitle="注意" prompt="输入对应卡牌的等级" sqref="O3:O4 O7:O12 O14:O34" xr:uid="{136B483A-55EE-4007-973D-86370744F991}">
      <formula1>0</formula1>
      <formula2>15</formula2>
    </dataValidation>
    <dataValidation type="list" allowBlank="1" showInputMessage="1" showErrorMessage="1" sqref="B2" xr:uid="{BF192715-00FF-4BFA-BA11-5481DF1F67F9}">
      <formula1>"传说卡,禁忌/光辉卡"</formula1>
    </dataValidation>
    <dataValidation allowBlank="1" showInputMessage="1" showErrorMessage="1" errorTitle="注意" error="输入对应卡牌的等级" promptTitle="注意" prompt="输入对应卡牌的等级" sqref="K27:K33" xr:uid="{7AB58E35-283A-41D3-9245-2427A586B85B}"/>
    <dataValidation type="whole" allowBlank="1" showInputMessage="1" showErrorMessage="1" error="输入卡牌的进度卡牌数目" prompt="输入卡牌的进度卡牌数目" sqref="P3:P33" xr:uid="{F028A50C-B5C4-480C-85D9-45C2653B61DF}">
      <formula1>0</formula1>
      <formula2>1186</formula2>
    </dataValidation>
    <dataValidation type="decimal" allowBlank="1" showInputMessage="1" showErrorMessage="1" prompt="输入卡牌的进度卡牌数目" sqref="D23:D27 D30:D33 D3:D21" xr:uid="{7373F1CD-4D57-46AD-87F1-7FF003625503}">
      <formula1>0</formula1>
      <formula2>16</formula2>
    </dataValidation>
    <dataValidation type="decimal" allowBlank="1" showInputMessage="1" showErrorMessage="1" error="输入卡牌的进度卡牌数目" prompt="输入卡牌的进度卡牌数目" sqref="H14:H34 H3:H12" xr:uid="{26E11FE5-5F67-46BE-AA9A-6F597E2A37AE}">
      <formula1>0</formula1>
      <formula2>110</formula2>
    </dataValidation>
    <dataValidation type="whole" allowBlank="1" showInputMessage="1" showErrorMessage="1" error="输入卡牌的进度卡牌数目" prompt="输入卡牌的进度卡牌数目" sqref="L3:L33" xr:uid="{BEAC4D94-E99F-437A-92C3-704C68D45354}">
      <formula1>0</formula1>
      <formula2>396</formula2>
    </dataValidation>
    <dataValidation type="decimal" allowBlank="1" showInputMessage="1" showErrorMessage="1" error="输入卡牌的进度卡牌数目" prompt="输入卡牌的进度卡牌数目" sqref="D22" xr:uid="{C4103F07-9C68-490F-AB0F-1E8FB171C7DA}">
      <formula1>0</formula1>
      <formula2>32</formula2>
    </dataValidation>
    <dataValidation type="whole" allowBlank="1" showInputMessage="1" showErrorMessage="1" errorTitle="注意" error="输入对应卡牌的等级" promptTitle="注意" prompt="输入对应卡牌的等级" sqref="G3:G12 G14:G34 K3:K26 O5:O6 O13 C3:C22" xr:uid="{5EC47DF1-6B91-4EC8-9BC4-4C2E9AEED743}">
      <formula1>0</formula1>
      <formula2>15</formula2>
    </dataValidation>
    <dataValidation type="whole" allowBlank="1" showInputMessage="1" showErrorMessage="1" errorTitle="注意" error="输入对应卡牌的等级" promptTitle="注意" prompt="输入对应卡牌的等级" sqref="C23:C27 C30:C33 C6:C7" xr:uid="{29C82C12-2585-41CE-8876-022B3E718945}">
      <formula1>1</formula1>
      <formula2>15</formula2>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5B12-3464-47B5-8995-071CC3D3EDD7}">
  <sheetPr codeName="Sheet7"/>
  <dimension ref="A1:X57"/>
  <sheetViews>
    <sheetView workbookViewId="0">
      <selection activeCell="J45" sqref="J45"/>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4" ht="18" customHeight="1" x14ac:dyDescent="0.2">
      <c r="A1" s="40" t="s">
        <v>109</v>
      </c>
      <c r="B1" s="40"/>
      <c r="C1" s="40"/>
      <c r="D1" s="40"/>
      <c r="E1" s="40"/>
      <c r="F1" s="40"/>
      <c r="G1" s="40"/>
      <c r="H1" s="40"/>
      <c r="I1" s="40"/>
      <c r="J1" s="40"/>
      <c r="K1" s="40"/>
      <c r="L1" s="40"/>
      <c r="M1" s="40"/>
      <c r="N1" s="40"/>
      <c r="O1" s="40"/>
      <c r="P1" s="40"/>
      <c r="Q1" s="40"/>
      <c r="R1" s="40"/>
      <c r="S1" s="40"/>
      <c r="T1" s="40"/>
      <c r="U1" s="40"/>
      <c r="V1" s="40"/>
      <c r="W1" s="40"/>
      <c r="X1" s="41"/>
    </row>
    <row r="2" spans="1:24" ht="34.5" customHeight="1" x14ac:dyDescent="0.2">
      <c r="A2" s="18"/>
      <c r="B2" s="35" t="s">
        <v>131</v>
      </c>
      <c r="C2" s="3" t="s">
        <v>1</v>
      </c>
      <c r="D2" s="3" t="s">
        <v>90</v>
      </c>
      <c r="E2" s="5" t="s">
        <v>22</v>
      </c>
      <c r="F2" s="6" t="s">
        <v>2</v>
      </c>
      <c r="G2" s="3" t="s">
        <v>1</v>
      </c>
      <c r="H2" s="3" t="s">
        <v>90</v>
      </c>
      <c r="I2" s="5" t="s">
        <v>22</v>
      </c>
      <c r="J2" s="4" t="s">
        <v>4</v>
      </c>
      <c r="K2" s="3" t="s">
        <v>1</v>
      </c>
      <c r="L2" s="3" t="s">
        <v>90</v>
      </c>
      <c r="M2" s="5" t="s">
        <v>22</v>
      </c>
      <c r="N2" s="9" t="s">
        <v>3</v>
      </c>
      <c r="O2" s="3" t="s">
        <v>0</v>
      </c>
      <c r="P2" s="3" t="s">
        <v>89</v>
      </c>
      <c r="Q2" s="5" t="s">
        <v>22</v>
      </c>
      <c r="S2" s="48" t="s">
        <v>139</v>
      </c>
      <c r="U2" s="10" t="s">
        <v>96</v>
      </c>
      <c r="V2" s="14">
        <v>247</v>
      </c>
    </row>
    <row r="3" spans="1:24" ht="15" customHeight="1" x14ac:dyDescent="0.2">
      <c r="B3" s="21" t="s">
        <v>107</v>
      </c>
      <c r="C3" s="14">
        <v>10</v>
      </c>
      <c r="D3" s="14">
        <v>0</v>
      </c>
      <c r="E3" s="3">
        <v>2</v>
      </c>
      <c r="F3" s="6" t="s">
        <v>16</v>
      </c>
      <c r="G3" s="14">
        <v>12</v>
      </c>
      <c r="H3" s="14">
        <v>8</v>
      </c>
      <c r="I3" s="3">
        <v>35</v>
      </c>
      <c r="J3" s="4" t="s">
        <v>45</v>
      </c>
      <c r="K3" s="14">
        <v>13</v>
      </c>
      <c r="L3" s="14">
        <v>10</v>
      </c>
      <c r="M3" s="3">
        <v>166</v>
      </c>
      <c r="N3" s="9" t="s">
        <v>81</v>
      </c>
      <c r="O3" s="14">
        <v>13</v>
      </c>
      <c r="P3" s="14">
        <v>157</v>
      </c>
      <c r="Q3" s="3">
        <v>648</v>
      </c>
    </row>
    <row r="4" spans="1:24" ht="15" customHeight="1" x14ac:dyDescent="0.2">
      <c r="A4" s="3"/>
      <c r="B4" s="21" t="s">
        <v>137</v>
      </c>
      <c r="C4" s="14">
        <v>9</v>
      </c>
      <c r="D4" s="14">
        <v>0</v>
      </c>
      <c r="E4" s="3">
        <v>1</v>
      </c>
      <c r="F4" s="6" t="s">
        <v>17</v>
      </c>
      <c r="G4" s="14">
        <v>12</v>
      </c>
      <c r="H4" s="14">
        <v>8</v>
      </c>
      <c r="I4" s="3">
        <v>35</v>
      </c>
      <c r="J4" s="4" t="s">
        <v>46</v>
      </c>
      <c r="K4" s="14">
        <v>14</v>
      </c>
      <c r="L4" s="14">
        <v>9</v>
      </c>
      <c r="M4" s="3">
        <v>261</v>
      </c>
      <c r="N4" s="9" t="s">
        <v>82</v>
      </c>
      <c r="O4" s="14">
        <v>13</v>
      </c>
      <c r="P4" s="14">
        <v>174</v>
      </c>
      <c r="Q4" s="3">
        <v>665</v>
      </c>
      <c r="R4"/>
      <c r="S4" s="353" t="s">
        <v>99</v>
      </c>
      <c r="T4" s="355">
        <v>85</v>
      </c>
      <c r="U4"/>
      <c r="V4"/>
      <c r="W4"/>
    </row>
    <row r="5" spans="1:24" ht="15" customHeight="1" x14ac:dyDescent="0.2">
      <c r="A5" s="3"/>
      <c r="B5" s="21" t="s">
        <v>105</v>
      </c>
      <c r="C5" s="14">
        <v>11</v>
      </c>
      <c r="D5" s="14">
        <v>2</v>
      </c>
      <c r="E5" s="3">
        <v>6</v>
      </c>
      <c r="F5" s="6" t="s">
        <v>20</v>
      </c>
      <c r="G5" s="14">
        <v>13</v>
      </c>
      <c r="H5" s="14">
        <v>1</v>
      </c>
      <c r="I5" s="3">
        <v>44</v>
      </c>
      <c r="J5" s="4" t="s">
        <v>47</v>
      </c>
      <c r="K5" s="14">
        <v>13</v>
      </c>
      <c r="L5" s="14">
        <v>57</v>
      </c>
      <c r="M5" s="3">
        <v>213</v>
      </c>
      <c r="N5" s="9" t="s">
        <v>79</v>
      </c>
      <c r="O5" s="14">
        <v>13</v>
      </c>
      <c r="P5" s="14">
        <v>203</v>
      </c>
      <c r="Q5" s="3">
        <v>694</v>
      </c>
      <c r="R5"/>
      <c r="S5" s="354"/>
      <c r="T5" s="356"/>
      <c r="U5"/>
      <c r="V5"/>
      <c r="W5"/>
    </row>
    <row r="6" spans="1:24" ht="15" customHeight="1" x14ac:dyDescent="0.2">
      <c r="A6" s="3"/>
      <c r="B6" s="22" t="s">
        <v>13</v>
      </c>
      <c r="C6" s="14">
        <v>12</v>
      </c>
      <c r="D6" s="14">
        <v>1</v>
      </c>
      <c r="E6" s="3">
        <v>8</v>
      </c>
      <c r="F6" s="6" t="s">
        <v>23</v>
      </c>
      <c r="G6" s="14">
        <v>12</v>
      </c>
      <c r="H6" s="14">
        <v>9</v>
      </c>
      <c r="I6" s="3">
        <v>36</v>
      </c>
      <c r="J6" s="4" t="s">
        <v>51</v>
      </c>
      <c r="K6" s="14">
        <v>13</v>
      </c>
      <c r="L6" s="14">
        <v>33</v>
      </c>
      <c r="M6" s="3">
        <v>189</v>
      </c>
      <c r="N6" s="9" t="s">
        <v>80</v>
      </c>
      <c r="O6" s="14">
        <v>13</v>
      </c>
      <c r="P6" s="14">
        <v>199</v>
      </c>
      <c r="Q6" s="3">
        <v>690</v>
      </c>
      <c r="R6"/>
      <c r="S6"/>
      <c r="T6"/>
      <c r="U6"/>
      <c r="V6"/>
      <c r="W6"/>
    </row>
    <row r="7" spans="1:24" ht="15" customHeight="1" x14ac:dyDescent="0.2">
      <c r="A7" s="3"/>
      <c r="B7" s="22" t="s">
        <v>7</v>
      </c>
      <c r="C7" s="14">
        <v>10</v>
      </c>
      <c r="D7" s="14">
        <v>0</v>
      </c>
      <c r="E7" s="3">
        <v>2</v>
      </c>
      <c r="F7" s="6" t="s">
        <v>18</v>
      </c>
      <c r="G7" s="14">
        <v>12</v>
      </c>
      <c r="H7" s="14">
        <v>0</v>
      </c>
      <c r="I7" s="3">
        <v>27</v>
      </c>
      <c r="J7" s="4" t="s">
        <v>56</v>
      </c>
      <c r="K7" s="14">
        <v>13</v>
      </c>
      <c r="L7" s="14">
        <v>59</v>
      </c>
      <c r="M7" s="3">
        <v>215</v>
      </c>
      <c r="N7" s="9" t="s">
        <v>83</v>
      </c>
      <c r="O7" s="14">
        <v>13</v>
      </c>
      <c r="P7" s="14">
        <v>135</v>
      </c>
      <c r="Q7" s="3">
        <v>626</v>
      </c>
      <c r="S7" s="342" t="s">
        <v>140</v>
      </c>
      <c r="T7" s="342"/>
      <c r="U7" s="344">
        <v>9.9802197802197803</v>
      </c>
    </row>
    <row r="8" spans="1:24" ht="15" customHeight="1" x14ac:dyDescent="0.2">
      <c r="A8" s="3"/>
      <c r="B8" s="22" t="s">
        <v>106</v>
      </c>
      <c r="C8" s="14">
        <v>11</v>
      </c>
      <c r="D8" s="14">
        <v>0</v>
      </c>
      <c r="E8" s="3">
        <v>4</v>
      </c>
      <c r="F8" s="6" t="s">
        <v>19</v>
      </c>
      <c r="G8" s="14">
        <v>12</v>
      </c>
      <c r="H8" s="14">
        <v>8</v>
      </c>
      <c r="I8" s="3">
        <v>35</v>
      </c>
      <c r="J8" s="4" t="s">
        <v>48</v>
      </c>
      <c r="K8" s="14">
        <v>13</v>
      </c>
      <c r="L8" s="14">
        <v>87</v>
      </c>
      <c r="M8" s="3">
        <v>243</v>
      </c>
      <c r="N8" s="9" t="s">
        <v>84</v>
      </c>
      <c r="O8" s="14">
        <v>13</v>
      </c>
      <c r="P8" s="14">
        <v>203</v>
      </c>
      <c r="Q8" s="3">
        <v>694</v>
      </c>
      <c r="S8" s="343"/>
      <c r="T8" s="343"/>
      <c r="U8" s="345"/>
    </row>
    <row r="9" spans="1:24" ht="15" customHeight="1" x14ac:dyDescent="0.2">
      <c r="A9" s="3"/>
      <c r="B9" s="19" t="s">
        <v>6</v>
      </c>
      <c r="C9" s="14">
        <v>12</v>
      </c>
      <c r="D9" s="14">
        <v>1</v>
      </c>
      <c r="E9" s="3">
        <v>8</v>
      </c>
      <c r="F9" s="6" t="s">
        <v>24</v>
      </c>
      <c r="G9" s="14">
        <v>12</v>
      </c>
      <c r="H9" s="14">
        <v>12</v>
      </c>
      <c r="I9" s="3">
        <v>39</v>
      </c>
      <c r="J9" s="4" t="s">
        <v>49</v>
      </c>
      <c r="K9" s="14">
        <v>13</v>
      </c>
      <c r="L9" s="14">
        <v>79</v>
      </c>
      <c r="M9" s="3">
        <v>235</v>
      </c>
      <c r="N9" s="9" t="s">
        <v>85</v>
      </c>
      <c r="O9" s="14">
        <v>13</v>
      </c>
      <c r="P9" s="14">
        <v>158</v>
      </c>
      <c r="Q9" s="3">
        <v>649</v>
      </c>
      <c r="S9" s="342" t="s">
        <v>141</v>
      </c>
      <c r="T9" s="342"/>
      <c r="U9" s="333">
        <v>149.7032967032967</v>
      </c>
    </row>
    <row r="10" spans="1:24" ht="15" customHeight="1" x14ac:dyDescent="0.2">
      <c r="A10" s="3"/>
      <c r="B10" s="19" t="s">
        <v>9</v>
      </c>
      <c r="C10" s="14">
        <v>12</v>
      </c>
      <c r="D10" s="14">
        <v>2</v>
      </c>
      <c r="E10" s="3">
        <v>9</v>
      </c>
      <c r="F10" s="6" t="s">
        <v>25</v>
      </c>
      <c r="G10" s="14">
        <v>12</v>
      </c>
      <c r="H10" s="14">
        <v>10</v>
      </c>
      <c r="I10" s="3">
        <v>37</v>
      </c>
      <c r="J10" s="4" t="s">
        <v>52</v>
      </c>
      <c r="K10" s="14">
        <v>13</v>
      </c>
      <c r="L10" s="14">
        <v>74</v>
      </c>
      <c r="M10" s="3">
        <v>230</v>
      </c>
      <c r="N10" s="9" t="s">
        <v>86</v>
      </c>
      <c r="O10" s="14">
        <v>13</v>
      </c>
      <c r="P10" s="14">
        <v>188</v>
      </c>
      <c r="Q10" s="3">
        <v>679</v>
      </c>
      <c r="S10" s="343"/>
      <c r="T10" s="343"/>
      <c r="U10" s="334"/>
    </row>
    <row r="11" spans="1:24" ht="15" customHeight="1" x14ac:dyDescent="0.2">
      <c r="A11" s="3"/>
      <c r="B11" s="19" t="s">
        <v>12</v>
      </c>
      <c r="C11" s="14">
        <v>12</v>
      </c>
      <c r="D11" s="14">
        <v>0</v>
      </c>
      <c r="E11" s="3">
        <v>7</v>
      </c>
      <c r="F11" s="6" t="s">
        <v>28</v>
      </c>
      <c r="G11" s="14">
        <v>12</v>
      </c>
      <c r="H11" s="14">
        <v>12</v>
      </c>
      <c r="I11" s="3">
        <v>39</v>
      </c>
      <c r="J11" s="4" t="s">
        <v>53</v>
      </c>
      <c r="K11" s="14">
        <v>13</v>
      </c>
      <c r="L11" s="14">
        <v>45</v>
      </c>
      <c r="M11" s="3">
        <v>201</v>
      </c>
      <c r="N11" s="9" t="s">
        <v>87</v>
      </c>
      <c r="O11" s="14">
        <v>13</v>
      </c>
      <c r="P11" s="14">
        <v>140</v>
      </c>
      <c r="Q11" s="3">
        <v>631</v>
      </c>
    </row>
    <row r="12" spans="1:24" ht="15" customHeight="1" x14ac:dyDescent="0.2">
      <c r="A12" s="3"/>
      <c r="B12" s="19" t="s">
        <v>11</v>
      </c>
      <c r="C12" s="14">
        <v>12</v>
      </c>
      <c r="D12" s="14">
        <v>4</v>
      </c>
      <c r="E12" s="3">
        <v>11</v>
      </c>
      <c r="F12" s="6" t="s">
        <v>29</v>
      </c>
      <c r="G12" s="14">
        <v>12</v>
      </c>
      <c r="H12" s="14">
        <v>11</v>
      </c>
      <c r="I12" s="3">
        <v>38</v>
      </c>
      <c r="J12" s="4" t="s">
        <v>57</v>
      </c>
      <c r="K12" s="14">
        <v>13</v>
      </c>
      <c r="L12" s="14">
        <v>64</v>
      </c>
      <c r="M12" s="3">
        <v>220</v>
      </c>
      <c r="N12" s="9" t="s">
        <v>88</v>
      </c>
      <c r="O12" s="14">
        <v>13</v>
      </c>
      <c r="P12" s="14">
        <v>92</v>
      </c>
      <c r="Q12" s="3">
        <v>583</v>
      </c>
    </row>
    <row r="13" spans="1:24" ht="15" customHeight="1" x14ac:dyDescent="0.2">
      <c r="A13" s="3"/>
      <c r="B13" s="19" t="s">
        <v>8</v>
      </c>
      <c r="C13" s="14">
        <v>12</v>
      </c>
      <c r="D13" s="14">
        <v>2</v>
      </c>
      <c r="E13" s="3">
        <v>9</v>
      </c>
      <c r="F13" s="6" t="s">
        <v>108</v>
      </c>
      <c r="G13" s="14">
        <v>11</v>
      </c>
      <c r="H13" s="14">
        <v>9</v>
      </c>
      <c r="I13" s="3">
        <v>26</v>
      </c>
      <c r="J13" s="4" t="s">
        <v>61</v>
      </c>
      <c r="K13" s="14">
        <v>13</v>
      </c>
      <c r="L13" s="14">
        <v>86</v>
      </c>
      <c r="M13" s="3">
        <v>242</v>
      </c>
      <c r="N13" s="9" t="s">
        <v>78</v>
      </c>
      <c r="O13" s="14">
        <v>13</v>
      </c>
      <c r="P13" s="14">
        <v>88</v>
      </c>
      <c r="Q13" s="3">
        <v>579</v>
      </c>
      <c r="V13"/>
      <c r="W13"/>
    </row>
    <row r="14" spans="1:24" ht="15" customHeight="1" x14ac:dyDescent="0.2">
      <c r="A14" s="3"/>
      <c r="B14" s="19" t="s">
        <v>10</v>
      </c>
      <c r="C14" s="14">
        <v>12</v>
      </c>
      <c r="D14" s="14">
        <v>0</v>
      </c>
      <c r="E14" s="3">
        <v>7</v>
      </c>
      <c r="F14" s="6" t="s">
        <v>32</v>
      </c>
      <c r="G14" s="14">
        <v>12</v>
      </c>
      <c r="H14" s="14">
        <v>8</v>
      </c>
      <c r="I14" s="3">
        <v>35</v>
      </c>
      <c r="J14" s="4" t="s">
        <v>58</v>
      </c>
      <c r="K14" s="14">
        <v>13</v>
      </c>
      <c r="L14" s="14">
        <v>52</v>
      </c>
      <c r="M14" s="3">
        <v>208</v>
      </c>
      <c r="N14" s="10" t="s">
        <v>54</v>
      </c>
      <c r="O14" s="14">
        <v>13</v>
      </c>
      <c r="P14" s="14">
        <v>154</v>
      </c>
      <c r="Q14" s="3">
        <v>645</v>
      </c>
      <c r="V14"/>
      <c r="W14"/>
    </row>
    <row r="15" spans="1:24" ht="15" customHeight="1" x14ac:dyDescent="0.2">
      <c r="A15" s="3"/>
      <c r="B15" s="19" t="s">
        <v>15</v>
      </c>
      <c r="C15" s="14">
        <v>11</v>
      </c>
      <c r="D15" s="14">
        <v>0</v>
      </c>
      <c r="E15" s="3">
        <v>4</v>
      </c>
      <c r="F15" s="6" t="s">
        <v>33</v>
      </c>
      <c r="G15" s="14">
        <v>12</v>
      </c>
      <c r="H15" s="14">
        <v>9</v>
      </c>
      <c r="I15" s="3">
        <v>36</v>
      </c>
      <c r="J15" s="4" t="s">
        <v>62</v>
      </c>
      <c r="K15" s="14">
        <v>13</v>
      </c>
      <c r="L15" s="14">
        <v>75</v>
      </c>
      <c r="M15" s="3">
        <v>231</v>
      </c>
      <c r="N15" s="9" t="s">
        <v>138</v>
      </c>
      <c r="O15" s="14">
        <v>6</v>
      </c>
      <c r="P15" s="14">
        <v>8</v>
      </c>
      <c r="Q15" s="3">
        <v>28</v>
      </c>
    </row>
    <row r="16" spans="1:24" ht="15" customHeight="1" x14ac:dyDescent="0.2">
      <c r="A16" s="3"/>
      <c r="B16" s="19" t="s">
        <v>14</v>
      </c>
      <c r="C16" s="14">
        <v>10</v>
      </c>
      <c r="D16" s="14">
        <v>1</v>
      </c>
      <c r="E16" s="3">
        <v>3</v>
      </c>
      <c r="F16" s="6" t="s">
        <v>30</v>
      </c>
      <c r="G16" s="14">
        <v>12</v>
      </c>
      <c r="H16" s="14">
        <v>3</v>
      </c>
      <c r="I16" s="3">
        <v>30</v>
      </c>
      <c r="J16" s="4" t="s">
        <v>59</v>
      </c>
      <c r="K16" s="14">
        <v>14</v>
      </c>
      <c r="L16" s="14">
        <v>3</v>
      </c>
      <c r="M16" s="3">
        <v>255</v>
      </c>
      <c r="N16" s="9"/>
      <c r="O16" s="14"/>
      <c r="P16" s="14"/>
      <c r="Q16" s="3"/>
    </row>
    <row r="17" spans="1:17" ht="15" customHeight="1" x14ac:dyDescent="0.2">
      <c r="A17" s="3"/>
      <c r="B17" s="19" t="s">
        <v>135</v>
      </c>
      <c r="C17" s="14">
        <v>11</v>
      </c>
      <c r="D17" s="14">
        <v>0</v>
      </c>
      <c r="E17" s="3">
        <v>4</v>
      </c>
      <c r="F17" s="6" t="s">
        <v>31</v>
      </c>
      <c r="G17" s="14">
        <v>12</v>
      </c>
      <c r="H17" s="14">
        <v>8</v>
      </c>
      <c r="I17" s="3">
        <v>35</v>
      </c>
      <c r="J17" s="4" t="s">
        <v>60</v>
      </c>
      <c r="K17" s="14">
        <v>13</v>
      </c>
      <c r="L17" s="14">
        <v>13</v>
      </c>
      <c r="M17" s="3">
        <v>169</v>
      </c>
      <c r="N17" s="9"/>
      <c r="O17" s="14"/>
      <c r="P17" s="14"/>
      <c r="Q17" s="3"/>
    </row>
    <row r="18" spans="1:17" ht="15" customHeight="1" x14ac:dyDescent="0.2">
      <c r="A18" s="3"/>
      <c r="B18" s="19" t="s">
        <v>74</v>
      </c>
      <c r="C18" s="14">
        <v>12</v>
      </c>
      <c r="D18" s="14">
        <v>2</v>
      </c>
      <c r="E18" s="3">
        <v>9</v>
      </c>
      <c r="F18" s="6" t="s">
        <v>35</v>
      </c>
      <c r="G18" s="14">
        <v>12</v>
      </c>
      <c r="H18" s="14">
        <v>4</v>
      </c>
      <c r="I18" s="3">
        <v>31</v>
      </c>
      <c r="J18" s="4" t="s">
        <v>63</v>
      </c>
      <c r="K18" s="14">
        <v>13</v>
      </c>
      <c r="L18" s="14">
        <v>85</v>
      </c>
      <c r="M18" s="3">
        <v>241</v>
      </c>
      <c r="N18" s="9"/>
      <c r="O18" s="14"/>
      <c r="P18" s="14"/>
      <c r="Q18" s="3"/>
    </row>
    <row r="19" spans="1:17" ht="15" customHeight="1" x14ac:dyDescent="0.2">
      <c r="A19" s="3"/>
      <c r="B19" s="19" t="s">
        <v>75</v>
      </c>
      <c r="C19" s="14">
        <v>11</v>
      </c>
      <c r="D19" s="14">
        <v>1</v>
      </c>
      <c r="E19" s="3">
        <v>5</v>
      </c>
      <c r="F19" s="6" t="s">
        <v>34</v>
      </c>
      <c r="G19" s="14">
        <v>12</v>
      </c>
      <c r="H19" s="14">
        <v>6</v>
      </c>
      <c r="I19" s="3">
        <v>33</v>
      </c>
      <c r="J19" s="4" t="s">
        <v>65</v>
      </c>
      <c r="K19" s="14">
        <v>13</v>
      </c>
      <c r="L19" s="14">
        <v>92</v>
      </c>
      <c r="M19" s="3">
        <v>248</v>
      </c>
      <c r="N19" s="9"/>
      <c r="O19" s="14"/>
      <c r="P19" s="14"/>
      <c r="Q19" s="3"/>
    </row>
    <row r="20" spans="1:17" ht="15" customHeight="1" x14ac:dyDescent="0.2">
      <c r="A20" s="3"/>
      <c r="B20" s="19" t="s">
        <v>104</v>
      </c>
      <c r="C20" s="14">
        <v>12</v>
      </c>
      <c r="D20" s="14">
        <v>3</v>
      </c>
      <c r="E20" s="3">
        <v>10</v>
      </c>
      <c r="F20" s="6" t="s">
        <v>36</v>
      </c>
      <c r="G20" s="14">
        <v>12</v>
      </c>
      <c r="H20" s="14">
        <v>14</v>
      </c>
      <c r="I20" s="3">
        <v>41</v>
      </c>
      <c r="J20" s="4" t="s">
        <v>66</v>
      </c>
      <c r="K20" s="14">
        <v>13</v>
      </c>
      <c r="L20" s="14">
        <v>77</v>
      </c>
      <c r="M20" s="3">
        <v>233</v>
      </c>
      <c r="N20" s="9"/>
      <c r="O20" s="14"/>
      <c r="P20" s="14"/>
      <c r="Q20" s="3"/>
    </row>
    <row r="21" spans="1:17" ht="15" customHeight="1" x14ac:dyDescent="0.2">
      <c r="A21" s="3"/>
      <c r="B21" s="19" t="s">
        <v>76</v>
      </c>
      <c r="C21" s="14">
        <v>11</v>
      </c>
      <c r="D21" s="14">
        <v>2</v>
      </c>
      <c r="E21" s="3">
        <v>6</v>
      </c>
      <c r="F21" s="6" t="s">
        <v>37</v>
      </c>
      <c r="G21" s="14">
        <v>12</v>
      </c>
      <c r="H21" s="14">
        <v>6</v>
      </c>
      <c r="I21" s="3">
        <v>33</v>
      </c>
      <c r="J21" s="4" t="s">
        <v>64</v>
      </c>
      <c r="K21" s="14">
        <v>13</v>
      </c>
      <c r="L21" s="14">
        <v>68</v>
      </c>
      <c r="M21" s="3">
        <v>224</v>
      </c>
      <c r="N21" s="9"/>
      <c r="O21" s="14"/>
      <c r="P21" s="14"/>
      <c r="Q21" s="3"/>
    </row>
    <row r="22" spans="1:17" ht="15" customHeight="1" x14ac:dyDescent="0.2">
      <c r="A22" s="3"/>
      <c r="B22" s="19" t="s">
        <v>77</v>
      </c>
      <c r="C22" s="14">
        <v>12</v>
      </c>
      <c r="D22" s="14">
        <v>4</v>
      </c>
      <c r="E22" s="3">
        <v>11</v>
      </c>
      <c r="F22" s="6" t="s">
        <v>40</v>
      </c>
      <c r="G22" s="14">
        <v>12</v>
      </c>
      <c r="H22" s="14">
        <v>12</v>
      </c>
      <c r="I22" s="3">
        <v>39</v>
      </c>
      <c r="J22" s="4" t="s">
        <v>50</v>
      </c>
      <c r="K22" s="14">
        <v>13</v>
      </c>
      <c r="L22" s="14">
        <v>85</v>
      </c>
      <c r="M22" s="3">
        <v>241</v>
      </c>
      <c r="N22" s="9"/>
      <c r="O22" s="14"/>
      <c r="P22" s="14"/>
      <c r="Q22" s="3"/>
    </row>
    <row r="23" spans="1:17" ht="15" customHeight="1" x14ac:dyDescent="0.2">
      <c r="A23" s="3"/>
      <c r="B23" s="19"/>
      <c r="C23" s="14"/>
      <c r="D23" s="14"/>
      <c r="E23" s="3"/>
      <c r="F23" s="6" t="s">
        <v>41</v>
      </c>
      <c r="G23" s="14">
        <v>12</v>
      </c>
      <c r="H23" s="14">
        <v>12</v>
      </c>
      <c r="I23" s="3">
        <v>39</v>
      </c>
      <c r="J23" s="4" t="s">
        <v>55</v>
      </c>
      <c r="K23" s="14">
        <v>13</v>
      </c>
      <c r="L23" s="14">
        <v>87</v>
      </c>
      <c r="M23" s="3">
        <v>243</v>
      </c>
      <c r="N23" s="9"/>
      <c r="O23" s="14"/>
      <c r="P23" s="14"/>
      <c r="Q23" s="3"/>
    </row>
    <row r="24" spans="1:17" ht="15" customHeight="1" x14ac:dyDescent="0.2">
      <c r="A24" s="3"/>
      <c r="B24" s="19"/>
      <c r="C24" s="14"/>
      <c r="D24" s="14"/>
      <c r="E24" s="3"/>
      <c r="F24" s="6" t="s">
        <v>38</v>
      </c>
      <c r="G24" s="14">
        <v>12</v>
      </c>
      <c r="H24" s="14">
        <v>5</v>
      </c>
      <c r="I24" s="3">
        <v>32</v>
      </c>
      <c r="J24" s="4" t="s">
        <v>68</v>
      </c>
      <c r="K24" s="14">
        <v>13</v>
      </c>
      <c r="L24" s="14">
        <v>68</v>
      </c>
      <c r="M24" s="3">
        <v>224</v>
      </c>
      <c r="N24" s="9"/>
      <c r="O24" s="14"/>
      <c r="P24" s="14"/>
      <c r="Q24" s="3"/>
    </row>
    <row r="25" spans="1:17" ht="15" customHeight="1" x14ac:dyDescent="0.2">
      <c r="A25" s="3"/>
      <c r="B25" s="19"/>
      <c r="C25" s="14"/>
      <c r="D25" s="14"/>
      <c r="E25" s="3"/>
      <c r="F25" s="6" t="s">
        <v>39</v>
      </c>
      <c r="G25" s="14">
        <v>12</v>
      </c>
      <c r="H25" s="14">
        <v>13</v>
      </c>
      <c r="I25" s="3">
        <v>40</v>
      </c>
      <c r="J25" s="4" t="s">
        <v>69</v>
      </c>
      <c r="K25" s="14">
        <v>13</v>
      </c>
      <c r="L25" s="14">
        <v>65</v>
      </c>
      <c r="M25" s="3">
        <v>221</v>
      </c>
      <c r="N25" s="9"/>
      <c r="O25" s="14"/>
      <c r="P25" s="14"/>
      <c r="Q25" s="3"/>
    </row>
    <row r="26" spans="1:17" ht="15" customHeight="1" x14ac:dyDescent="0.2">
      <c r="A26" s="3"/>
      <c r="B26" s="19"/>
      <c r="C26" s="14"/>
      <c r="D26" s="14"/>
      <c r="E26" s="3"/>
      <c r="F26" s="6" t="s">
        <v>26</v>
      </c>
      <c r="G26" s="14">
        <v>13</v>
      </c>
      <c r="H26" s="14">
        <v>6</v>
      </c>
      <c r="I26" s="3">
        <v>49</v>
      </c>
      <c r="J26" s="4" t="s">
        <v>67</v>
      </c>
      <c r="K26" s="14">
        <v>13</v>
      </c>
      <c r="L26" s="14">
        <v>93</v>
      </c>
      <c r="M26" s="3">
        <v>249</v>
      </c>
      <c r="N26" s="9"/>
      <c r="O26" s="14"/>
      <c r="P26" s="14"/>
      <c r="Q26" s="3"/>
    </row>
    <row r="27" spans="1:17" ht="15" customHeight="1" x14ac:dyDescent="0.2">
      <c r="A27" s="3"/>
      <c r="B27" s="19"/>
      <c r="C27" s="14"/>
      <c r="D27" s="14"/>
      <c r="E27" s="3"/>
      <c r="F27" s="6" t="s">
        <v>27</v>
      </c>
      <c r="G27" s="14">
        <v>13</v>
      </c>
      <c r="H27" s="14">
        <v>5</v>
      </c>
      <c r="I27" s="3">
        <v>48</v>
      </c>
      <c r="J27" s="4"/>
      <c r="K27" s="14"/>
      <c r="L27" s="14"/>
      <c r="M27" s="3"/>
      <c r="N27" s="9"/>
      <c r="O27" s="14"/>
      <c r="P27" s="14"/>
      <c r="Q27" s="3"/>
    </row>
    <row r="28" spans="1:17" ht="15" customHeight="1" x14ac:dyDescent="0.2">
      <c r="A28" s="3"/>
      <c r="B28" s="19"/>
      <c r="C28" s="14"/>
      <c r="D28" s="14"/>
      <c r="E28" s="3"/>
      <c r="F28" s="6" t="s">
        <v>42</v>
      </c>
      <c r="G28" s="14">
        <v>12</v>
      </c>
      <c r="H28" s="14">
        <v>5</v>
      </c>
      <c r="I28" s="3">
        <v>36</v>
      </c>
      <c r="J28" s="4"/>
      <c r="K28" s="14"/>
      <c r="L28" s="14"/>
      <c r="M28" s="3"/>
      <c r="N28" s="9"/>
      <c r="O28" s="14"/>
      <c r="P28" s="14"/>
      <c r="Q28" s="3"/>
    </row>
    <row r="29" spans="1:17" ht="15" customHeight="1" x14ac:dyDescent="0.2">
      <c r="A29" s="3"/>
      <c r="B29" s="19"/>
      <c r="C29" s="14"/>
      <c r="D29" s="14"/>
      <c r="E29" s="3"/>
      <c r="F29" s="6" t="s">
        <v>73</v>
      </c>
      <c r="G29" s="14">
        <v>12</v>
      </c>
      <c r="H29" s="14">
        <v>13</v>
      </c>
      <c r="I29" s="3">
        <v>40</v>
      </c>
      <c r="J29" s="4"/>
      <c r="K29" s="14"/>
      <c r="L29" s="14"/>
      <c r="M29" s="3"/>
      <c r="N29" s="9"/>
      <c r="O29" s="14"/>
      <c r="P29" s="14"/>
      <c r="Q29" s="3"/>
    </row>
    <row r="30" spans="1:17" ht="15" customHeight="1" x14ac:dyDescent="0.2">
      <c r="A30" s="3"/>
      <c r="B30" s="19"/>
      <c r="C30" s="14"/>
      <c r="D30" s="14"/>
      <c r="E30" s="3"/>
      <c r="F30" s="6" t="s">
        <v>72</v>
      </c>
      <c r="G30" s="14">
        <v>12</v>
      </c>
      <c r="H30" s="14">
        <v>9</v>
      </c>
      <c r="I30" s="3">
        <v>36</v>
      </c>
      <c r="J30" s="4"/>
      <c r="K30" s="14"/>
      <c r="L30" s="14"/>
      <c r="M30" s="3"/>
      <c r="N30" s="9"/>
      <c r="O30" s="14"/>
      <c r="P30" s="14"/>
      <c r="Q30" s="3"/>
    </row>
    <row r="31" spans="1:17" ht="15" customHeight="1" x14ac:dyDescent="0.2">
      <c r="A31" s="3"/>
      <c r="B31" s="19"/>
      <c r="C31" s="14"/>
      <c r="D31" s="14"/>
      <c r="E31" s="3"/>
      <c r="F31" s="6" t="s">
        <v>71</v>
      </c>
      <c r="G31" s="14">
        <v>12</v>
      </c>
      <c r="H31" s="14">
        <v>8</v>
      </c>
      <c r="I31" s="3">
        <v>35</v>
      </c>
      <c r="J31" s="4"/>
      <c r="K31" s="14"/>
      <c r="L31" s="14"/>
      <c r="M31" s="3"/>
      <c r="N31" s="9"/>
      <c r="O31" s="14"/>
      <c r="P31" s="14"/>
      <c r="Q31" s="3"/>
    </row>
    <row r="32" spans="1:17" ht="15" customHeight="1" x14ac:dyDescent="0.2">
      <c r="A32" s="3"/>
      <c r="B32" s="19"/>
      <c r="C32" s="14"/>
      <c r="D32" s="14"/>
      <c r="E32" s="3"/>
      <c r="F32" s="6" t="s">
        <v>70</v>
      </c>
      <c r="G32" s="14">
        <v>12</v>
      </c>
      <c r="H32" s="14">
        <v>3</v>
      </c>
      <c r="I32" s="3">
        <v>30</v>
      </c>
      <c r="J32" s="4"/>
      <c r="K32" s="14"/>
      <c r="L32" s="14"/>
      <c r="M32" s="3"/>
      <c r="N32" s="9"/>
      <c r="O32" s="14"/>
      <c r="P32" s="14"/>
      <c r="Q32" s="3"/>
    </row>
    <row r="33" spans="1:21" ht="15" customHeight="1" x14ac:dyDescent="0.2">
      <c r="A33" s="3"/>
      <c r="B33" s="19"/>
      <c r="C33" s="14"/>
      <c r="D33" s="14"/>
      <c r="E33" s="3"/>
      <c r="F33" s="6" t="s">
        <v>43</v>
      </c>
      <c r="G33" s="14">
        <v>13</v>
      </c>
      <c r="H33" s="14">
        <v>3</v>
      </c>
      <c r="I33" s="3">
        <v>46</v>
      </c>
      <c r="J33" s="4"/>
      <c r="K33" s="14"/>
      <c r="L33" s="14"/>
      <c r="M33" s="3"/>
      <c r="N33" s="9"/>
      <c r="O33" s="14"/>
      <c r="P33" s="14"/>
      <c r="Q33" s="3"/>
      <c r="R33"/>
    </row>
    <row r="34" spans="1:21" s="1" customFormat="1" ht="15" customHeight="1" x14ac:dyDescent="0.2">
      <c r="B34" s="19"/>
      <c r="C34" s="14"/>
      <c r="D34" s="14"/>
      <c r="E34" s="3"/>
      <c r="F34" s="6" t="s">
        <v>44</v>
      </c>
      <c r="G34" s="14">
        <v>13</v>
      </c>
      <c r="H34" s="14">
        <v>5</v>
      </c>
      <c r="I34" s="3">
        <v>48</v>
      </c>
      <c r="J34" s="4"/>
      <c r="K34" s="14"/>
      <c r="L34" s="14"/>
      <c r="M34" s="3"/>
      <c r="N34" s="9"/>
      <c r="O34" s="14"/>
      <c r="P34" s="14"/>
      <c r="Q34" s="3"/>
      <c r="R34" s="10" t="s">
        <v>101</v>
      </c>
      <c r="S34" s="10" t="s">
        <v>102</v>
      </c>
      <c r="T34" s="10" t="s">
        <v>149</v>
      </c>
      <c r="U34" s="47" t="s">
        <v>103</v>
      </c>
    </row>
    <row r="35" spans="1:21" s="1" customFormat="1" x14ac:dyDescent="0.2">
      <c r="A35" s="7" t="s">
        <v>5</v>
      </c>
      <c r="B35" s="7">
        <v>14</v>
      </c>
      <c r="C35" s="16">
        <v>11.571428571428571</v>
      </c>
      <c r="D35" s="7"/>
      <c r="E35" s="7">
        <v>103</v>
      </c>
      <c r="F35" s="7">
        <v>32</v>
      </c>
      <c r="G35" s="38">
        <v>12.125</v>
      </c>
      <c r="H35" s="7"/>
      <c r="I35" s="7">
        <v>1183</v>
      </c>
      <c r="J35" s="7">
        <v>24</v>
      </c>
      <c r="K35" s="16">
        <v>13.083333333333334</v>
      </c>
      <c r="L35" s="7"/>
      <c r="M35" s="7">
        <v>5402</v>
      </c>
      <c r="N35" s="7">
        <v>13</v>
      </c>
      <c r="O35" s="16">
        <v>12.461538461538462</v>
      </c>
      <c r="P35" s="7"/>
      <c r="Q35" s="7">
        <v>7811</v>
      </c>
      <c r="R35" s="7">
        <v>89</v>
      </c>
      <c r="S35" s="16">
        <v>12.235955056179776</v>
      </c>
      <c r="T35" s="16">
        <v>10.439292609429527</v>
      </c>
      <c r="U35" s="49">
        <v>1398500</v>
      </c>
    </row>
    <row r="36" spans="1:21" s="1" customFormat="1" x14ac:dyDescent="0.2">
      <c r="A36" s="8" t="s">
        <v>93</v>
      </c>
      <c r="B36" s="11">
        <v>1</v>
      </c>
      <c r="C36" s="11"/>
      <c r="D36" s="11"/>
      <c r="E36" s="11">
        <v>0.22991071428571427</v>
      </c>
      <c r="F36" s="11">
        <v>1</v>
      </c>
      <c r="G36" s="11"/>
      <c r="H36" s="11"/>
      <c r="I36" s="11">
        <v>0.33607954545454544</v>
      </c>
      <c r="J36" s="11">
        <v>1</v>
      </c>
      <c r="K36" s="11"/>
      <c r="L36" s="11"/>
      <c r="M36" s="11">
        <v>0.56839225589225584</v>
      </c>
      <c r="N36" s="11">
        <v>1</v>
      </c>
      <c r="O36" s="11"/>
      <c r="P36" s="11"/>
      <c r="Q36" s="11">
        <v>0.51048951048951052</v>
      </c>
      <c r="R36" s="11">
        <v>1</v>
      </c>
      <c r="S36" s="11">
        <v>0.25785052745290932</v>
      </c>
      <c r="T36" s="46">
        <v>1.0439292609429527E-3</v>
      </c>
      <c r="U36" s="46">
        <v>0.34556461576476405</v>
      </c>
    </row>
    <row r="37" spans="1:21" x14ac:dyDescent="0.2">
      <c r="A37" s="10" t="s">
        <v>146</v>
      </c>
      <c r="B37" s="337">
        <v>827.33009708737859</v>
      </c>
      <c r="C37" s="338"/>
      <c r="D37" s="338"/>
      <c r="E37" s="339"/>
      <c r="F37" s="337">
        <v>487.94505494505495</v>
      </c>
      <c r="G37" s="338"/>
      <c r="H37" s="338"/>
      <c r="I37" s="339"/>
      <c r="J37" s="337">
        <v>187.55905220288787</v>
      </c>
      <c r="K37" s="338"/>
      <c r="L37" s="338"/>
      <c r="M37" s="339"/>
      <c r="N37" s="337">
        <v>236.84931506849313</v>
      </c>
      <c r="O37" s="338"/>
      <c r="P37" s="338"/>
      <c r="Q37" s="339"/>
      <c r="T37"/>
    </row>
    <row r="38" spans="1:21" x14ac:dyDescent="0.2">
      <c r="A38" s="12" t="s">
        <v>147</v>
      </c>
      <c r="B38" s="346">
        <v>1074.3300970873786</v>
      </c>
      <c r="C38" s="347"/>
      <c r="D38" s="347"/>
      <c r="E38" s="348"/>
      <c r="F38" s="346">
        <v>734.94505494505495</v>
      </c>
      <c r="G38" s="347"/>
      <c r="H38" s="347"/>
      <c r="I38" s="348"/>
      <c r="J38" s="346">
        <v>434.55905220288787</v>
      </c>
      <c r="K38" s="347"/>
      <c r="L38" s="347"/>
      <c r="M38" s="348"/>
      <c r="N38" s="346">
        <v>483.84931506849313</v>
      </c>
      <c r="O38" s="347"/>
      <c r="P38" s="347"/>
      <c r="Q38" s="348"/>
    </row>
    <row r="39" spans="1:21" x14ac:dyDescent="0.2">
      <c r="A39" s="3" t="s">
        <v>145</v>
      </c>
      <c r="B39" s="294">
        <v>0.41700404858299595</v>
      </c>
      <c r="C39" s="349"/>
      <c r="D39" s="349"/>
      <c r="E39" s="295"/>
      <c r="F39" s="350">
        <v>4.7894736842105265</v>
      </c>
      <c r="G39" s="351"/>
      <c r="H39" s="351"/>
      <c r="I39" s="352"/>
      <c r="J39" s="350">
        <v>21.870445344129553</v>
      </c>
      <c r="K39" s="351"/>
      <c r="L39" s="351"/>
      <c r="M39" s="352"/>
      <c r="N39" s="350">
        <v>31.623481781376519</v>
      </c>
      <c r="O39" s="351"/>
      <c r="P39" s="351"/>
      <c r="Q39" s="352"/>
    </row>
    <row r="40" spans="1:21" x14ac:dyDescent="0.2">
      <c r="B40" s="50"/>
      <c r="C40" s="50"/>
      <c r="D40" s="50"/>
      <c r="E40" s="50"/>
      <c r="F40" s="50"/>
      <c r="G40" s="50"/>
      <c r="H40" s="50"/>
      <c r="I40" s="50"/>
      <c r="J40" s="50"/>
      <c r="K40" s="50"/>
      <c r="L40" s="50"/>
      <c r="M40" s="50"/>
      <c r="N40" s="50"/>
      <c r="O40" s="50"/>
      <c r="P40" s="50"/>
      <c r="Q40" s="50"/>
    </row>
    <row r="57" spans="10:10" x14ac:dyDescent="0.2">
      <c r="J57"/>
    </row>
  </sheetData>
  <protectedRanges>
    <protectedRange sqref="C30:D34 C3:D27" name="区域1_3"/>
  </protectedRanges>
  <mergeCells count="18">
    <mergeCell ref="B39:E39"/>
    <mergeCell ref="F39:I39"/>
    <mergeCell ref="J39:M39"/>
    <mergeCell ref="N39:Q39"/>
    <mergeCell ref="B37:E37"/>
    <mergeCell ref="F37:I37"/>
    <mergeCell ref="J37:M37"/>
    <mergeCell ref="N37:Q37"/>
    <mergeCell ref="B38:E38"/>
    <mergeCell ref="F38:I38"/>
    <mergeCell ref="J38:M38"/>
    <mergeCell ref="N38:Q38"/>
    <mergeCell ref="S4:S5"/>
    <mergeCell ref="T4:T5"/>
    <mergeCell ref="S7:T8"/>
    <mergeCell ref="U7:U8"/>
    <mergeCell ref="S9:T10"/>
    <mergeCell ref="U9:U10"/>
  </mergeCells>
  <phoneticPr fontId="1" type="noConversion"/>
  <conditionalFormatting sqref="B2">
    <cfRule type="containsText" dxfId="11" priority="1" operator="containsText" text="传说">
      <formula>NOT(ISERROR(SEARCH("传说",B2)))</formula>
    </cfRule>
    <cfRule type="containsText" dxfId="10" priority="2" operator="containsText" text="传说">
      <formula>NOT(ISERROR(SEARCH("传说",B2)))</formula>
    </cfRule>
    <cfRule type="containsText" dxfId="9" priority="3" operator="containsText" text="禁忌">
      <formula>NOT(ISERROR(SEARCH("禁忌",B2)))</formula>
    </cfRule>
  </conditionalFormatting>
  <dataValidations count="10">
    <dataValidation type="whole" allowBlank="1" showInputMessage="1" showErrorMessage="1" promptTitle="注意" prompt="输入对应卡牌的等级" sqref="O3:O4 O7:O12 O14:O34" xr:uid="{FF7878C1-DC46-4C88-BBAE-62AC44E85675}">
      <formula1>0</formula1>
      <formula2>15</formula2>
    </dataValidation>
    <dataValidation type="list" allowBlank="1" showInputMessage="1" showErrorMessage="1" sqref="B2" xr:uid="{501359DA-6864-4352-8C10-53F7F8D17CDD}">
      <formula1>"传说卡,禁忌/光辉卡"</formula1>
    </dataValidation>
    <dataValidation allowBlank="1" showInputMessage="1" showErrorMessage="1" errorTitle="注意" error="输入对应卡牌的等级" promptTitle="注意" prompt="输入对应卡牌的等级" sqref="K27:K33" xr:uid="{6A4C2F9E-D699-4609-AF08-7BC96793D640}"/>
    <dataValidation type="whole" allowBlank="1" showInputMessage="1" showErrorMessage="1" error="输入卡牌的进度卡牌数目" prompt="输入卡牌的进度卡牌数目" sqref="P3:P33" xr:uid="{B18A370E-D22D-4608-95A1-C895F6A56C84}">
      <formula1>0</formula1>
      <formula2>1186</formula2>
    </dataValidation>
    <dataValidation type="decimal" allowBlank="1" showInputMessage="1" showErrorMessage="1" prompt="输入卡牌的进度卡牌数目" sqref="D23:D27 D30:D33 D3:D21" xr:uid="{F2D25F0C-B699-4CA4-9EA8-52BA5819752C}">
      <formula1>0</formula1>
      <formula2>16</formula2>
    </dataValidation>
    <dataValidation type="decimal" allowBlank="1" showInputMessage="1" showErrorMessage="1" error="输入卡牌的进度卡牌数目" prompt="输入卡牌的进度卡牌数目" sqref="H14:H34 H3:H12" xr:uid="{F1A52AB0-CD9B-4031-9D76-020889768DE5}">
      <formula1>0</formula1>
      <formula2>110</formula2>
    </dataValidation>
    <dataValidation type="whole" allowBlank="1" showInputMessage="1" showErrorMessage="1" error="输入卡牌的进度卡牌数目" prompt="输入卡牌的进度卡牌数目" sqref="L3:L33" xr:uid="{F9C66B9B-2ACA-4AE9-8365-E5CA62D27E4D}">
      <formula1>0</formula1>
      <formula2>396</formula2>
    </dataValidation>
    <dataValidation type="decimal" allowBlank="1" showInputMessage="1" showErrorMessage="1" error="输入卡牌的进度卡牌数目" prompt="输入卡牌的进度卡牌数目" sqref="D22" xr:uid="{EF56B67B-F0E4-475C-AA61-E62BA1C7C2A6}">
      <formula1>0</formula1>
      <formula2>32</formula2>
    </dataValidation>
    <dataValidation type="whole" allowBlank="1" showInputMessage="1" showErrorMessage="1" errorTitle="注意" error="输入对应卡牌的等级" promptTitle="注意" prompt="输入对应卡牌的等级" sqref="G3:G12 G14:G34 K3:K26 O5:O6 O13 C3:C22" xr:uid="{2EB5E3B6-E3E6-44B7-ADFD-2A9E42F00477}">
      <formula1>0</formula1>
      <formula2>15</formula2>
    </dataValidation>
    <dataValidation type="whole" allowBlank="1" showInputMessage="1" showErrorMessage="1" errorTitle="注意" error="输入对应卡牌的等级" promptTitle="注意" prompt="输入对应卡牌的等级" sqref="C23:C27 C30:C33 C5:C6" xr:uid="{E32CEB17-FD19-45D3-A07F-9E8D9D8016A0}">
      <formula1>1</formula1>
      <formula2>15</formula2>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D064-030D-438F-A804-C8D045CE2D46}">
  <sheetPr codeName="Sheet8"/>
  <dimension ref="A1:X57"/>
  <sheetViews>
    <sheetView workbookViewId="0">
      <pane ySplit="2" topLeftCell="A3" activePane="bottomLeft" state="frozen"/>
      <selection pane="bottomLeft" activeCell="F37" sqref="F37:I37"/>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4" ht="18" customHeight="1" x14ac:dyDescent="0.2">
      <c r="A1" s="40" t="s">
        <v>109</v>
      </c>
      <c r="B1" s="40"/>
      <c r="C1" s="40"/>
      <c r="D1" s="40"/>
      <c r="E1" s="40"/>
      <c r="F1" s="40"/>
      <c r="G1" s="40"/>
      <c r="H1" s="40"/>
      <c r="I1" s="40"/>
      <c r="J1" s="40"/>
      <c r="K1" s="40"/>
      <c r="L1" s="40"/>
      <c r="M1" s="40"/>
      <c r="N1" s="40"/>
      <c r="O1" s="40"/>
      <c r="P1" s="40"/>
      <c r="Q1" s="40"/>
      <c r="R1" s="40"/>
      <c r="S1" s="40"/>
      <c r="T1" s="40"/>
      <c r="U1" s="40"/>
      <c r="V1" s="40"/>
      <c r="W1" s="40"/>
      <c r="X1" s="41"/>
    </row>
    <row r="2" spans="1:24" ht="34.5" customHeight="1" x14ac:dyDescent="0.2">
      <c r="A2" s="18"/>
      <c r="B2" s="35" t="s">
        <v>142</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136</v>
      </c>
      <c r="U2" s="10" t="s">
        <v>96</v>
      </c>
      <c r="V2" s="14">
        <v>217</v>
      </c>
    </row>
    <row r="3" spans="1:24" ht="15" customHeight="1" x14ac:dyDescent="0.2">
      <c r="B3" s="22" t="s">
        <v>106</v>
      </c>
      <c r="C3" s="14">
        <v>10</v>
      </c>
      <c r="D3" s="14">
        <v>1</v>
      </c>
      <c r="E3" s="3">
        <f>IF(C3=15,32+D3,IF(C3=14,20+D3,IF(C3=13,12+D3,IF(C3=12,7+D3,IF(C3=11,4+D3,IF(C3=10,2+D3,IF(C3=0,0,1+D3)))))))</f>
        <v>3</v>
      </c>
      <c r="F3" s="6" t="s">
        <v>16</v>
      </c>
      <c r="G3" s="14">
        <v>12</v>
      </c>
      <c r="H3" s="14">
        <v>4</v>
      </c>
      <c r="I3" s="3">
        <f>IF(G3=11,17+H3,IF(G3=12,27+H3,IF(G3=10,11+H3,IF(G3=13,43+H3,IF(G3=14,70+H3,IF(G3=15,110+H3,IF(G3=9,7+H3,IF(G3=8,4+H3,IF(G3=7,2+H3,IF(G3=0,0,1+H3))))))))))</f>
        <v>31</v>
      </c>
      <c r="J3" s="4" t="s">
        <v>45</v>
      </c>
      <c r="K3" s="14">
        <v>12</v>
      </c>
      <c r="L3" s="14">
        <v>51</v>
      </c>
      <c r="M3" s="3">
        <f>IF(K3=15,L3+396,IF(K3=14,L3+252,IF(K3=13,L3+156,IF(K3=12,L3+96,IF(K3=11,L3+60,IF(K3=10,L3+42,IF(K3=9,L3+30,IF(K3=8,L3+20,IF(K3=7,L3+12,IF(K3=6,L3+7,IF(K3=5,L3+4,IF(K3=4,L3+2,IF(K3=0,0,1+L3)))))))))))))</f>
        <v>147</v>
      </c>
      <c r="N3" s="9" t="s">
        <v>81</v>
      </c>
      <c r="O3" s="14">
        <v>13</v>
      </c>
      <c r="P3" s="14">
        <v>112</v>
      </c>
      <c r="Q3" s="3">
        <f>IF(O3=15,P3+1187,IF(O3=14,P3+787,IF(O3=13,P3+491,IF(O3=12,P3+311,IF(O3=11,P3+200,IF(O3=10,P3+128,IF(O3=9,P3+83,IF(O3=8,P3+53,IF(O3=7,P3+33,IF(O3=6,P3+20,IF(O3=5,P3+12,IF(O3=4,P3+7,IF(O3=3,P3+4,IF(O3=2,P3+2,IF(O3=0,0,P3+1)))))))))))))))</f>
        <v>603</v>
      </c>
    </row>
    <row r="4" spans="1:24" ht="15" customHeight="1" x14ac:dyDescent="0.2">
      <c r="A4" s="3"/>
      <c r="B4" s="21" t="s">
        <v>107</v>
      </c>
      <c r="C4" s="14">
        <v>10</v>
      </c>
      <c r="D4" s="14">
        <v>0</v>
      </c>
      <c r="E4" s="3">
        <f>IF(C4=15,32+D4,IF(C4=14,20+D4,IF(C4=13,12+D4,IF(C4=12,7+D4,IF(C4=11,4+D4,IF(C4=10,2+D4,IF(C4=0,0,1+D4)))))))</f>
        <v>2</v>
      </c>
      <c r="F4" s="6" t="s">
        <v>17</v>
      </c>
      <c r="G4" s="14">
        <v>12</v>
      </c>
      <c r="H4" s="14">
        <v>5</v>
      </c>
      <c r="I4" s="3">
        <f t="shared" ref="I4:I34" si="0">IF(G4=11,17+H4,IF(G4=12,27+H4,IF(G4=10,11+H4,IF(G4=13,43+H4,IF(G4=14,70+H4,IF(G4=15,110+H4,IF(G4=9,7+H4,IF(G4=8,4+H4,IF(G4=7,2+H4,IF(G4=0,0,1+H4))))))))))</f>
        <v>32</v>
      </c>
      <c r="J4" s="4" t="s">
        <v>46</v>
      </c>
      <c r="K4" s="14">
        <v>13</v>
      </c>
      <c r="L4" s="14">
        <v>89</v>
      </c>
      <c r="M4" s="3">
        <f t="shared" ref="M4:M26" si="1">IF(K4=15,L4+396,IF(K4=14,L4+252,IF(K4=13,L4+156,IF(K4=12,L4+96,IF(K4=11,L4+60,IF(K4=10,L4+42,IF(K4=9,L4+30,IF(K4=8,L4+20,IF(K4=7,L4+12,IF(K4=6,L4+7,IF(K4=5,L4+4,IF(K4=4,L4+2,IF(K4=0,0,1+L4)))))))))))))</f>
        <v>245</v>
      </c>
      <c r="N4" s="9" t="s">
        <v>82</v>
      </c>
      <c r="O4" s="14">
        <v>13</v>
      </c>
      <c r="P4" s="14">
        <v>101</v>
      </c>
      <c r="Q4" s="3">
        <f>IF(O4=15,P4+1187,IF(O4=14,P4+787,IF(O4=13,P4+491,IF(O4=12,P4+311,IF(O4=11,P4+200,IF(O4=10,P4+128,IF(O4=9,P4+83,IF(O4=8,P4+53,IF(O4=7,P4+33,IF(O4=6,P4+20,IF(O4=5,P4+12,IF(O4=4,P4+7,IF(O4=3,P4+4,IF(O4=2,P4+2,IF(O4=0,0,P4+1)))))))))))))))</f>
        <v>592</v>
      </c>
    </row>
    <row r="5" spans="1:24" ht="15" customHeight="1" x14ac:dyDescent="0.2">
      <c r="A5" s="3"/>
      <c r="B5" s="21" t="s">
        <v>137</v>
      </c>
      <c r="C5" s="14">
        <v>0</v>
      </c>
      <c r="D5" s="14">
        <v>0</v>
      </c>
      <c r="E5" s="3">
        <f>IF(C5=15,32+D5,IF(C5=14,20+D5,IF(C5=13,12+D5,IF(C5=12,7+D5,IF(C5=11,4+D5,IF(C5=10,2+D5,IF(C5=0,0,1+D5)))))))</f>
        <v>0</v>
      </c>
      <c r="F5" s="6" t="s">
        <v>20</v>
      </c>
      <c r="G5" s="14">
        <v>12</v>
      </c>
      <c r="H5" s="14">
        <v>15</v>
      </c>
      <c r="I5" s="3">
        <f>IF(G5=11,17+H5,IF(G5=12,27+H5,IF(G5=10,11+H5,IF(G5=13,43+H5,IF(G5=14,70+H5,IF(G5=15,110+H5,IF(G5=9,7+H5,IF(G5=8,4+H5,IF(G5=7,2+H5,IF(G5=0,0,1+H5))))))))))</f>
        <v>42</v>
      </c>
      <c r="J5" s="4" t="s">
        <v>47</v>
      </c>
      <c r="K5" s="14">
        <v>13</v>
      </c>
      <c r="L5" s="14">
        <v>36</v>
      </c>
      <c r="M5" s="3">
        <f t="shared" si="1"/>
        <v>192</v>
      </c>
      <c r="N5" s="9" t="s">
        <v>79</v>
      </c>
      <c r="O5" s="14">
        <v>13</v>
      </c>
      <c r="P5" s="14">
        <v>150</v>
      </c>
      <c r="Q5" s="3">
        <f>IF(O5=15,P5+1187,IF(O5=14,P5+787,IF(O5=13,P5+491,IF(O5=12,P5+311,IF(O5=11,P5+200,IF(O5=10,P5+128,IF(O5=9,P5+83,IF(O5=8,P5+53,IF(O5=7,P5+33,IF(O5=6,P5+20,IF(O5=5,P5+12,IF(O5=4,P5+7,IF(O5=3,P5+4,IF(O5=2,P5+2,IF(O5=0,0,P5+1)))))))))))))))</f>
        <v>641</v>
      </c>
    </row>
    <row r="6" spans="1:24" ht="15" customHeight="1" x14ac:dyDescent="0.2">
      <c r="A6" s="3"/>
      <c r="B6" s="19" t="s">
        <v>7</v>
      </c>
      <c r="C6" s="14">
        <v>10</v>
      </c>
      <c r="D6" s="14">
        <v>0</v>
      </c>
      <c r="E6" s="3">
        <f t="shared" ref="E6:E13" si="2">IF(C6=15,32+D6,IF(C6=14,20+D6,IF(C6=13,12+D6,IF(C6=12,7+D6,IF(C6=11,4+D6,IF(C6=10,2+D6,IF(C6=0,0,1+D6)))))))</f>
        <v>2</v>
      </c>
      <c r="F6" s="6" t="s">
        <v>23</v>
      </c>
      <c r="G6" s="14">
        <v>12</v>
      </c>
      <c r="H6" s="14">
        <v>9</v>
      </c>
      <c r="I6" s="3">
        <f>IF(G6=11,17+H6,IF(G6=12,27+H6,IF(G6=10,11+H6,IF(G6=13,43+H6,IF(G6=14,70+H6,IF(G6=15,110+H6,IF(G6=9,7+H6,IF(G6=8,4+H6,IF(G6=7,2+H6,IF(G6=0,0,1+H6))))))))))</f>
        <v>36</v>
      </c>
      <c r="J6" s="4" t="s">
        <v>51</v>
      </c>
      <c r="K6" s="14">
        <v>13</v>
      </c>
      <c r="L6" s="14">
        <v>19</v>
      </c>
      <c r="M6" s="3">
        <f>IF(K6=15,L6+396,IF(K6=14,L6+252,IF(K6=13,L6+156,IF(K6=12,L6+96,IF(K6=11,L6+60,IF(K6=10,L6+42,IF(K6=9,L6+30,IF(K6=8,L6+20,IF(K6=7,L6+12,IF(K6=6,L6+7,IF(K6=5,L6+4,IF(K6=4,L6+2,IF(K6=0,0,1+L6)))))))))))))</f>
        <v>175</v>
      </c>
      <c r="N6" s="9" t="s">
        <v>80</v>
      </c>
      <c r="O6" s="14">
        <v>13</v>
      </c>
      <c r="P6" s="14">
        <v>150</v>
      </c>
      <c r="Q6" s="3">
        <f>IF(O6=15,P6+1177,IF(O6=14,P6+777,IF(O6=13,P6+491,IF(O6=12,P6+311,IF(O6=11,P6+200,IF(O6=10,P6+128,IF(O6=9,P6+83,IF(O6=8,P6+53,IF(O6=7,P6+33,IF(O6=6,P6+20,IF(O6=5,P6+12,IF(O6=4,P6+7,IF(O6=3,P6+4,IF(O6=2,P6+2,IF(O6=0,0,P6+1)))))))))))))))</f>
        <v>641</v>
      </c>
    </row>
    <row r="7" spans="1:24" ht="15" customHeight="1" x14ac:dyDescent="0.2">
      <c r="A7" s="3"/>
      <c r="B7" s="19" t="s">
        <v>6</v>
      </c>
      <c r="C7" s="14">
        <v>12</v>
      </c>
      <c r="D7" s="14">
        <v>0</v>
      </c>
      <c r="E7" s="3">
        <f t="shared" si="2"/>
        <v>7</v>
      </c>
      <c r="F7" s="6" t="s">
        <v>18</v>
      </c>
      <c r="G7" s="14">
        <v>11</v>
      </c>
      <c r="H7" s="14">
        <v>5</v>
      </c>
      <c r="I7" s="3">
        <f>IF(G7=11,17+H7,IF(G7=12,27+H7,IF(G7=10,11+H7,IF(G7=13,43+H7,IF(G7=14,70+H7,IF(G7=15,110+H7,IF(G7=9,7+H7,IF(G7=8,4+H7,IF(G7=7,2+H7,IF(G7=0,0,1+H7))))))))))</f>
        <v>22</v>
      </c>
      <c r="J7" s="4" t="s">
        <v>56</v>
      </c>
      <c r="K7" s="14">
        <v>13</v>
      </c>
      <c r="L7" s="14">
        <v>44</v>
      </c>
      <c r="M7" s="3">
        <f>IF(K7=15,L7+396,IF(K7=14,L7+252,IF(K7=13,L7+156,IF(K7=12,L7+96,IF(K7=11,L7+60,IF(K7=10,L7+42,IF(K7=9,L7+30,IF(K7=8,L7+20,IF(K7=7,L7+12,IF(K7=6,L7+7,IF(K7=5,L7+4,IF(K7=4,L7+2,IF(K7=0,0,1+L7)))))))))))))</f>
        <v>200</v>
      </c>
      <c r="N7" s="9" t="s">
        <v>83</v>
      </c>
      <c r="O7" s="14">
        <v>13</v>
      </c>
      <c r="P7" s="14">
        <v>97</v>
      </c>
      <c r="Q7" s="3">
        <f t="shared" ref="Q7:Q13" si="3">IF(O7=15,P7+1177,IF(O7=14,P7+777,IF(O7=13,P7+491,IF(O7=12,P7+311,IF(O7=11,P7+200,IF(O7=10,P7+128,IF(O7=9,P7+83,IF(O7=8,P7+53,IF(O7=7,P7+33,IF(O7=6,P7+20,IF(O7=5,P7+12,IF(O7=4,P7+7,IF(O7=3,P7+4,IF(O7=2,P7+2,IF(O7=0,0,P7+1)))))))))))))))</f>
        <v>588</v>
      </c>
      <c r="S7" s="353" t="s">
        <v>103</v>
      </c>
      <c r="T7" s="358">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1332500</v>
      </c>
      <c r="U7" s="358"/>
      <c r="V7" s="361">
        <f>T7/卡牌!V7</f>
        <v>0.10971593248250308</v>
      </c>
    </row>
    <row r="8" spans="1:24" ht="15" customHeight="1" x14ac:dyDescent="0.2">
      <c r="A8" s="3"/>
      <c r="B8" s="19" t="s">
        <v>9</v>
      </c>
      <c r="C8" s="14">
        <v>12</v>
      </c>
      <c r="D8" s="14">
        <v>2</v>
      </c>
      <c r="E8" s="3">
        <f t="shared" si="2"/>
        <v>9</v>
      </c>
      <c r="F8" s="6" t="s">
        <v>19</v>
      </c>
      <c r="G8" s="14">
        <v>12</v>
      </c>
      <c r="H8" s="14">
        <v>7</v>
      </c>
      <c r="I8" s="3">
        <f>IF(G8=11,17+H8,IF(G8=12,27+H8,IF(G8=10,11+H8,IF(G8=13,43+H8,IF(G8=14,70+H8,IF(G8=15,110+H8,IF(G8=9,7+H8,IF(G8=8,4+H8,IF(G8=7,2+H8,IF(G8=0,0,1+H8))))))))))</f>
        <v>34</v>
      </c>
      <c r="J8" s="4" t="s">
        <v>48</v>
      </c>
      <c r="K8" s="14">
        <v>13</v>
      </c>
      <c r="L8" s="14">
        <v>65</v>
      </c>
      <c r="M8" s="3">
        <f>IF(K8=15,L8+396,IF(K8=14,L8+252,IF(K8=13,L8+156,IF(K8=12,L8+96,IF(K8=11,L8+60,IF(K8=10,L8+42,IF(K8=9,L8+30,IF(K8=8,L8+20,IF(K8=7,L8+12,IF(K8=6,L8+7,IF(K8=5,L8+4,IF(K8=4,L8+2,IF(K8=0,0,1+L8)))))))))))))</f>
        <v>221</v>
      </c>
      <c r="N8" s="9" t="s">
        <v>84</v>
      </c>
      <c r="O8" s="14">
        <v>13</v>
      </c>
      <c r="P8" s="14">
        <v>160</v>
      </c>
      <c r="Q8" s="3">
        <f t="shared" si="3"/>
        <v>651</v>
      </c>
      <c r="S8" s="357"/>
      <c r="T8" s="359"/>
      <c r="U8" s="359"/>
      <c r="V8" s="362"/>
    </row>
    <row r="9" spans="1:24" ht="15" customHeight="1" x14ac:dyDescent="0.2">
      <c r="A9" s="3"/>
      <c r="B9" s="19" t="s">
        <v>12</v>
      </c>
      <c r="C9" s="14">
        <v>12</v>
      </c>
      <c r="D9" s="14">
        <v>0</v>
      </c>
      <c r="E9" s="3">
        <f>IF(C9=15,32+D9,IF(C9=14,20+D9,IF(C9=13,12+D9,IF(C9=12,7+D9,IF(C9=11,4+D9,IF(C9=10,2+D9,IF(C9=0,0,1+D9)))))))</f>
        <v>7</v>
      </c>
      <c r="F9" s="6" t="s">
        <v>24</v>
      </c>
      <c r="G9" s="14">
        <v>12</v>
      </c>
      <c r="H9" s="14">
        <v>10</v>
      </c>
      <c r="I9" s="3">
        <f t="shared" si="0"/>
        <v>37</v>
      </c>
      <c r="J9" s="4" t="s">
        <v>49</v>
      </c>
      <c r="K9" s="14">
        <v>13</v>
      </c>
      <c r="L9" s="14">
        <v>66</v>
      </c>
      <c r="M9" s="3">
        <f>IF(K9=15,L9+396,IF(K9=14,L9+252,IF(K9=13,L9+156,IF(K9=12,L9+96,IF(K9=11,L9+60,IF(K9=10,L9+42,IF(K9=9,L9+30,IF(K9=8,L9+20,IF(K9=7,L9+12,IF(K9=6,L9+7,IF(K9=5,L9+4,IF(K9=4,L9+2,IF(K9=0,0,1+L9)))))))))))))</f>
        <v>222</v>
      </c>
      <c r="N9" s="9" t="s">
        <v>85</v>
      </c>
      <c r="O9" s="14">
        <v>13</v>
      </c>
      <c r="P9" s="14">
        <v>103</v>
      </c>
      <c r="Q9" s="3">
        <f t="shared" si="3"/>
        <v>594</v>
      </c>
      <c r="S9" s="354"/>
      <c r="T9" s="360"/>
      <c r="U9" s="360"/>
      <c r="V9" s="363"/>
    </row>
    <row r="10" spans="1:24" ht="15" customHeight="1" x14ac:dyDescent="0.2">
      <c r="A10" s="3"/>
      <c r="B10" s="19" t="s">
        <v>11</v>
      </c>
      <c r="C10" s="14">
        <v>12</v>
      </c>
      <c r="D10" s="14">
        <v>3</v>
      </c>
      <c r="E10" s="3">
        <f t="shared" si="2"/>
        <v>10</v>
      </c>
      <c r="F10" s="6" t="s">
        <v>25</v>
      </c>
      <c r="G10" s="14">
        <v>12</v>
      </c>
      <c r="H10" s="14">
        <v>8</v>
      </c>
      <c r="I10" s="3">
        <f t="shared" si="0"/>
        <v>35</v>
      </c>
      <c r="J10" s="4" t="s">
        <v>52</v>
      </c>
      <c r="K10" s="14">
        <v>13</v>
      </c>
      <c r="L10" s="14">
        <v>56</v>
      </c>
      <c r="M10" s="3">
        <f t="shared" si="1"/>
        <v>212</v>
      </c>
      <c r="N10" s="9" t="s">
        <v>86</v>
      </c>
      <c r="O10" s="14">
        <v>13</v>
      </c>
      <c r="P10" s="14">
        <v>136</v>
      </c>
      <c r="Q10" s="3">
        <f t="shared" si="3"/>
        <v>627</v>
      </c>
    </row>
    <row r="11" spans="1:24" ht="15" customHeight="1" x14ac:dyDescent="0.2">
      <c r="A11" s="3"/>
      <c r="B11" s="19" t="s">
        <v>8</v>
      </c>
      <c r="C11" s="14">
        <v>12</v>
      </c>
      <c r="D11" s="14">
        <v>2</v>
      </c>
      <c r="E11" s="3">
        <f t="shared" si="2"/>
        <v>9</v>
      </c>
      <c r="F11" s="6" t="s">
        <v>28</v>
      </c>
      <c r="G11" s="14">
        <v>12</v>
      </c>
      <c r="H11" s="14">
        <v>7</v>
      </c>
      <c r="I11" s="3">
        <f t="shared" si="0"/>
        <v>34</v>
      </c>
      <c r="J11" s="4" t="s">
        <v>53</v>
      </c>
      <c r="K11" s="14">
        <v>13</v>
      </c>
      <c r="L11" s="14">
        <v>30</v>
      </c>
      <c r="M11" s="3">
        <f t="shared" si="1"/>
        <v>186</v>
      </c>
      <c r="N11" s="9" t="s">
        <v>87</v>
      </c>
      <c r="O11" s="14">
        <v>13</v>
      </c>
      <c r="P11" s="14">
        <v>81</v>
      </c>
      <c r="Q11" s="3">
        <f t="shared" si="3"/>
        <v>572</v>
      </c>
    </row>
    <row r="12" spans="1:24" ht="15" customHeight="1" x14ac:dyDescent="0.2">
      <c r="A12" s="3"/>
      <c r="B12" s="19" t="s">
        <v>10</v>
      </c>
      <c r="C12" s="14">
        <v>12</v>
      </c>
      <c r="D12" s="14">
        <v>0</v>
      </c>
      <c r="E12" s="3">
        <f t="shared" si="2"/>
        <v>7</v>
      </c>
      <c r="F12" s="6" t="s">
        <v>29</v>
      </c>
      <c r="G12" s="14">
        <v>12</v>
      </c>
      <c r="H12" s="14">
        <v>4</v>
      </c>
      <c r="I12" s="3">
        <f t="shared" si="0"/>
        <v>31</v>
      </c>
      <c r="J12" s="4" t="s">
        <v>57</v>
      </c>
      <c r="K12" s="14">
        <v>13</v>
      </c>
      <c r="L12" s="14">
        <v>45</v>
      </c>
      <c r="M12" s="3">
        <f t="shared" si="1"/>
        <v>201</v>
      </c>
      <c r="N12" s="9" t="s">
        <v>88</v>
      </c>
      <c r="O12" s="14">
        <v>13</v>
      </c>
      <c r="P12" s="14">
        <v>53</v>
      </c>
      <c r="Q12" s="3">
        <f t="shared" si="3"/>
        <v>544</v>
      </c>
    </row>
    <row r="13" spans="1:24" ht="15" customHeight="1" x14ac:dyDescent="0.2">
      <c r="A13" s="3"/>
      <c r="B13" s="19" t="s">
        <v>13</v>
      </c>
      <c r="C13" s="14">
        <v>12</v>
      </c>
      <c r="D13" s="14">
        <v>0</v>
      </c>
      <c r="E13" s="3">
        <f t="shared" si="2"/>
        <v>7</v>
      </c>
      <c r="F13" s="6" t="s">
        <v>108</v>
      </c>
      <c r="G13" s="14">
        <v>11</v>
      </c>
      <c r="H13" s="14">
        <v>7</v>
      </c>
      <c r="I13" s="3">
        <f t="shared" si="0"/>
        <v>24</v>
      </c>
      <c r="J13" s="4" t="s">
        <v>61</v>
      </c>
      <c r="K13" s="14">
        <v>13</v>
      </c>
      <c r="L13" s="14">
        <v>68</v>
      </c>
      <c r="M13" s="3">
        <f t="shared" si="1"/>
        <v>224</v>
      </c>
      <c r="N13" s="9" t="s">
        <v>78</v>
      </c>
      <c r="O13" s="14">
        <v>13</v>
      </c>
      <c r="P13" s="14">
        <v>35</v>
      </c>
      <c r="Q13" s="3">
        <f t="shared" si="3"/>
        <v>526</v>
      </c>
      <c r="S13" s="353" t="s">
        <v>99</v>
      </c>
      <c r="T13" s="355">
        <v>84</v>
      </c>
      <c r="U13"/>
      <c r="V13"/>
      <c r="W13"/>
    </row>
    <row r="14" spans="1:24" ht="15" customHeight="1" x14ac:dyDescent="0.2">
      <c r="A14" s="3"/>
      <c r="B14" s="19" t="s">
        <v>15</v>
      </c>
      <c r="C14" s="14">
        <v>11</v>
      </c>
      <c r="D14" s="14">
        <v>0</v>
      </c>
      <c r="E14" s="3">
        <f>IF(C14=15,32+D14,IF(C14=14,20+D14,IF(C14=13,12+D14,IF(C14=12,7+D14,IF(C14=11,4+D14,IF(C14=10,2+D14,IF(C14=0,0,1+D14)))))))</f>
        <v>4</v>
      </c>
      <c r="F14" s="6" t="s">
        <v>32</v>
      </c>
      <c r="G14" s="14">
        <v>12</v>
      </c>
      <c r="H14" s="14">
        <v>7</v>
      </c>
      <c r="I14" s="3">
        <f t="shared" si="0"/>
        <v>34</v>
      </c>
      <c r="J14" s="4" t="s">
        <v>58</v>
      </c>
      <c r="K14" s="14">
        <v>13</v>
      </c>
      <c r="L14" s="14">
        <v>38</v>
      </c>
      <c r="M14" s="3">
        <f t="shared" si="1"/>
        <v>194</v>
      </c>
      <c r="N14" s="10" t="s">
        <v>54</v>
      </c>
      <c r="O14" s="14">
        <v>13</v>
      </c>
      <c r="P14" s="14">
        <v>111</v>
      </c>
      <c r="Q14" s="3">
        <f>IF(O14=15,P14+1177,IF(O14=14,P14+777,IF(O14=13,P14+491,IF(O14=12,P14+311,IF(O14=11,P14+200,IF(O14=10,P14+128,IF(O14=9,P14+83,IF(O14=8,P14+53,IF(O14=7,P14+33,IF(O14=6,P14+20,IF(O14=5,P14+12,IF(O14=4,P14+7,IF(O14=3,P14+4,IF(O14=2,P14+2,IF(O14=0,0,P14+1)))))))))))))))</f>
        <v>602</v>
      </c>
      <c r="S14" s="354"/>
      <c r="T14" s="356"/>
      <c r="U14"/>
      <c r="V14"/>
      <c r="W14"/>
    </row>
    <row r="15" spans="1:24" ht="15" customHeight="1" x14ac:dyDescent="0.2">
      <c r="A15" s="3"/>
      <c r="B15" s="19" t="s">
        <v>14</v>
      </c>
      <c r="C15" s="14">
        <v>10</v>
      </c>
      <c r="D15" s="14">
        <v>1</v>
      </c>
      <c r="E15" s="3">
        <f>IF(C15=15,32+D15,IF(C15=14,20+D15,IF(C15=13,12+D15,IF(C15=12,7+D15,IF(C15=11,4+D15,IF(C15=10,2+D15,IF(C15=0,0,1+D15)))))))</f>
        <v>3</v>
      </c>
      <c r="F15" s="6" t="s">
        <v>33</v>
      </c>
      <c r="G15" s="14">
        <v>12</v>
      </c>
      <c r="H15" s="14">
        <v>8</v>
      </c>
      <c r="I15" s="3">
        <f t="shared" si="0"/>
        <v>35</v>
      </c>
      <c r="J15" s="4" t="s">
        <v>62</v>
      </c>
      <c r="K15" s="14">
        <v>13</v>
      </c>
      <c r="L15" s="14">
        <v>55</v>
      </c>
      <c r="M15" s="3">
        <f t="shared" si="1"/>
        <v>211</v>
      </c>
      <c r="N15" s="9"/>
      <c r="O15" s="14"/>
      <c r="P15" s="14"/>
      <c r="Q15" s="3"/>
    </row>
    <row r="16" spans="1:24" ht="15" customHeight="1" x14ac:dyDescent="0.2">
      <c r="A16" s="3"/>
      <c r="B16" s="19" t="s">
        <v>135</v>
      </c>
      <c r="C16" s="14">
        <v>10</v>
      </c>
      <c r="D16" s="14">
        <v>1</v>
      </c>
      <c r="E16" s="3">
        <f t="shared" ref="E16:E22" si="4">IF(C16=15,32+D16,IF(C16=14,20+D16,IF(C16=13,12+D16,IF(C16=12,7+D16,IF(C16=11,4+D16,IF(C16=10,2+D16,IF(C16=0,0,1+D16)))))))</f>
        <v>3</v>
      </c>
      <c r="F16" s="6" t="s">
        <v>30</v>
      </c>
      <c r="G16" s="14">
        <v>12</v>
      </c>
      <c r="H16" s="14">
        <v>1</v>
      </c>
      <c r="I16" s="3">
        <f t="shared" si="0"/>
        <v>28</v>
      </c>
      <c r="J16" s="4" t="s">
        <v>59</v>
      </c>
      <c r="K16" s="14">
        <v>13</v>
      </c>
      <c r="L16" s="14">
        <v>76</v>
      </c>
      <c r="M16" s="3">
        <f t="shared" si="1"/>
        <v>232</v>
      </c>
      <c r="N16" s="9"/>
      <c r="O16" s="14"/>
      <c r="P16" s="14"/>
      <c r="Q16" s="3"/>
    </row>
    <row r="17" spans="1:21" ht="15" customHeight="1" x14ac:dyDescent="0.2">
      <c r="A17" s="3"/>
      <c r="B17" s="19" t="s">
        <v>74</v>
      </c>
      <c r="C17" s="14">
        <v>12</v>
      </c>
      <c r="D17" s="14">
        <v>1</v>
      </c>
      <c r="E17" s="3">
        <f t="shared" si="4"/>
        <v>8</v>
      </c>
      <c r="F17" s="6" t="s">
        <v>31</v>
      </c>
      <c r="G17" s="14">
        <v>12</v>
      </c>
      <c r="H17" s="14">
        <v>7</v>
      </c>
      <c r="I17" s="3">
        <f t="shared" si="0"/>
        <v>34</v>
      </c>
      <c r="J17" s="4" t="s">
        <v>60</v>
      </c>
      <c r="K17" s="14">
        <v>12</v>
      </c>
      <c r="L17" s="14">
        <v>45</v>
      </c>
      <c r="M17" s="3">
        <f t="shared" si="1"/>
        <v>141</v>
      </c>
      <c r="N17" s="9"/>
      <c r="O17" s="14"/>
      <c r="P17" s="14"/>
      <c r="Q17" s="3"/>
      <c r="S17" s="342" t="s">
        <v>100</v>
      </c>
      <c r="T17" s="342"/>
      <c r="U17" s="344" t="e">
        <f>IF(T13&lt;96,(V2/(I35/卡牌!#REF!)-V2)/(100-T13)*(1+卡牌!Y4*卡牌!Y5),IF(T13=100,0,卡牌!#REF!))</f>
        <v>#REF!</v>
      </c>
    </row>
    <row r="18" spans="1:21" ht="15" customHeight="1" x14ac:dyDescent="0.2">
      <c r="A18" s="3"/>
      <c r="B18" s="19" t="s">
        <v>75</v>
      </c>
      <c r="C18" s="14">
        <v>11</v>
      </c>
      <c r="D18" s="14">
        <v>1</v>
      </c>
      <c r="E18" s="3">
        <f t="shared" si="4"/>
        <v>5</v>
      </c>
      <c r="F18" s="6" t="s">
        <v>35</v>
      </c>
      <c r="G18" s="14">
        <v>12</v>
      </c>
      <c r="H18" s="14">
        <v>3</v>
      </c>
      <c r="I18" s="3">
        <f t="shared" si="0"/>
        <v>30</v>
      </c>
      <c r="J18" s="4" t="s">
        <v>63</v>
      </c>
      <c r="K18" s="14">
        <v>13</v>
      </c>
      <c r="L18" s="14">
        <v>66</v>
      </c>
      <c r="M18" s="3">
        <f t="shared" si="1"/>
        <v>222</v>
      </c>
      <c r="N18" s="9"/>
      <c r="O18" s="14"/>
      <c r="P18" s="14"/>
      <c r="Q18" s="3"/>
      <c r="S18" s="343"/>
      <c r="T18" s="343"/>
      <c r="U18" s="345"/>
    </row>
    <row r="19" spans="1:21" ht="15" customHeight="1" x14ac:dyDescent="0.2">
      <c r="A19" s="3"/>
      <c r="B19" s="19" t="s">
        <v>104</v>
      </c>
      <c r="C19" s="14">
        <v>12</v>
      </c>
      <c r="D19" s="14">
        <v>2</v>
      </c>
      <c r="E19" s="3">
        <f t="shared" si="4"/>
        <v>9</v>
      </c>
      <c r="F19" s="6" t="s">
        <v>34</v>
      </c>
      <c r="G19" s="14">
        <v>12</v>
      </c>
      <c r="H19" s="14">
        <v>5</v>
      </c>
      <c r="I19" s="3">
        <f t="shared" si="0"/>
        <v>32</v>
      </c>
      <c r="J19" s="4" t="s">
        <v>65</v>
      </c>
      <c r="K19" s="14">
        <v>13</v>
      </c>
      <c r="L19" s="14">
        <v>66</v>
      </c>
      <c r="M19" s="3">
        <f t="shared" si="1"/>
        <v>222</v>
      </c>
      <c r="N19" s="9"/>
      <c r="O19" s="14"/>
      <c r="P19" s="14"/>
      <c r="Q19" s="3"/>
      <c r="S19" s="342" t="s">
        <v>111</v>
      </c>
      <c r="T19" s="342"/>
      <c r="U19" s="333" t="e">
        <f>IF(T13&lt;96,U17*(100-T13),IF(U17=0,"已满级",U17*(100-T13)&amp;"(存在误差)"))</f>
        <v>#REF!</v>
      </c>
    </row>
    <row r="20" spans="1:21" ht="15" customHeight="1" x14ac:dyDescent="0.2">
      <c r="A20" s="3"/>
      <c r="B20" s="19" t="s">
        <v>76</v>
      </c>
      <c r="C20" s="14">
        <v>11</v>
      </c>
      <c r="D20" s="14">
        <v>2</v>
      </c>
      <c r="E20" s="3">
        <f t="shared" si="4"/>
        <v>6</v>
      </c>
      <c r="F20" s="6" t="s">
        <v>36</v>
      </c>
      <c r="G20" s="14">
        <v>12</v>
      </c>
      <c r="H20" s="14">
        <v>12</v>
      </c>
      <c r="I20" s="3">
        <f t="shared" si="0"/>
        <v>39</v>
      </c>
      <c r="J20" s="4" t="s">
        <v>66</v>
      </c>
      <c r="K20" s="14">
        <v>13</v>
      </c>
      <c r="L20" s="14">
        <v>60</v>
      </c>
      <c r="M20" s="3">
        <f t="shared" si="1"/>
        <v>216</v>
      </c>
      <c r="N20" s="9"/>
      <c r="O20" s="14"/>
      <c r="P20" s="14"/>
      <c r="Q20" s="3"/>
      <c r="S20" s="343"/>
      <c r="T20" s="343"/>
      <c r="U20" s="334"/>
    </row>
    <row r="21" spans="1:21" ht="15" customHeight="1" x14ac:dyDescent="0.2">
      <c r="A21" s="3"/>
      <c r="B21" s="19" t="s">
        <v>105</v>
      </c>
      <c r="C21" s="14">
        <v>11</v>
      </c>
      <c r="D21" s="14">
        <v>2</v>
      </c>
      <c r="E21" s="3">
        <f t="shared" si="4"/>
        <v>6</v>
      </c>
      <c r="F21" s="6" t="s">
        <v>37</v>
      </c>
      <c r="G21" s="14">
        <v>12</v>
      </c>
      <c r="H21" s="14">
        <v>3</v>
      </c>
      <c r="I21" s="3">
        <f t="shared" si="0"/>
        <v>30</v>
      </c>
      <c r="J21" s="4" t="s">
        <v>64</v>
      </c>
      <c r="K21" s="14">
        <v>13</v>
      </c>
      <c r="L21" s="14">
        <v>37</v>
      </c>
      <c r="M21" s="3">
        <f t="shared" si="1"/>
        <v>193</v>
      </c>
      <c r="N21" s="9"/>
      <c r="O21" s="14"/>
      <c r="P21" s="14"/>
      <c r="Q21" s="3"/>
    </row>
    <row r="22" spans="1:21" ht="15" customHeight="1" x14ac:dyDescent="0.2">
      <c r="A22" s="3"/>
      <c r="B22" s="19" t="s">
        <v>77</v>
      </c>
      <c r="C22" s="14">
        <v>12</v>
      </c>
      <c r="D22" s="14">
        <v>4</v>
      </c>
      <c r="E22" s="3">
        <f t="shared" si="4"/>
        <v>11</v>
      </c>
      <c r="F22" s="6" t="s">
        <v>40</v>
      </c>
      <c r="G22" s="14">
        <v>12</v>
      </c>
      <c r="H22" s="14">
        <v>10</v>
      </c>
      <c r="I22" s="3">
        <f t="shared" si="0"/>
        <v>37</v>
      </c>
      <c r="J22" s="4" t="s">
        <v>50</v>
      </c>
      <c r="K22" s="14">
        <v>13</v>
      </c>
      <c r="L22" s="14">
        <v>71</v>
      </c>
      <c r="M22" s="3">
        <f>IF(K22=15,L22+396,IF(K22=14,L22+252,IF(K22=13,L22+156,IF(K22=12,L22+96,IF(K22=11,L22+60,IF(K22=10,L22+42,IF(K22=9,L22+30,IF(K22=8,L22+20,IF(K22=7,L22+12,IF(K22=6,L22+7,IF(K22=5,L22+4,IF(K22=4,L22+2,IF(K22=0,0,1+L22)))))))))))))</f>
        <v>227</v>
      </c>
      <c r="N22" s="9"/>
      <c r="O22" s="14"/>
      <c r="P22" s="14"/>
      <c r="Q22" s="3"/>
    </row>
    <row r="23" spans="1:21" ht="15" customHeight="1" x14ac:dyDescent="0.2">
      <c r="A23" s="3"/>
      <c r="B23" s="19"/>
      <c r="C23" s="14"/>
      <c r="D23" s="14"/>
      <c r="E23" s="3"/>
      <c r="F23" s="6" t="s">
        <v>41</v>
      </c>
      <c r="G23" s="14">
        <v>12</v>
      </c>
      <c r="H23" s="14">
        <v>12</v>
      </c>
      <c r="I23" s="3">
        <f t="shared" si="0"/>
        <v>39</v>
      </c>
      <c r="J23" s="4" t="s">
        <v>55</v>
      </c>
      <c r="K23" s="14">
        <v>13</v>
      </c>
      <c r="L23" s="14">
        <v>67</v>
      </c>
      <c r="M23" s="3">
        <f>IF(K23=15,L23+396,IF(K23=14,L23+252,IF(K23=13,L23+156,IF(K23=12,L23+96,IF(K23=11,L23+60,IF(K23=10,L23+42,IF(K23=9,L23+30,IF(K23=8,L23+20,IF(K23=7,L23+12,IF(K23=6,L23+7,IF(K23=5,L23+4,IF(K23=4,L23+2,IF(K23=0,0,1+L23)))))))))))))</f>
        <v>223</v>
      </c>
      <c r="N23" s="9"/>
      <c r="O23" s="14"/>
      <c r="P23" s="14"/>
      <c r="Q23" s="3"/>
    </row>
    <row r="24" spans="1:21" ht="15" customHeight="1" x14ac:dyDescent="0.2">
      <c r="A24" s="3"/>
      <c r="B24" s="19"/>
      <c r="C24" s="14"/>
      <c r="D24" s="14"/>
      <c r="E24" s="3"/>
      <c r="F24" s="6" t="s">
        <v>38</v>
      </c>
      <c r="G24" s="14">
        <v>12</v>
      </c>
      <c r="H24" s="14">
        <v>4</v>
      </c>
      <c r="I24" s="3">
        <f t="shared" si="0"/>
        <v>31</v>
      </c>
      <c r="J24" s="4" t="s">
        <v>68</v>
      </c>
      <c r="K24" s="14">
        <v>13</v>
      </c>
      <c r="L24" s="14">
        <v>12</v>
      </c>
      <c r="M24" s="3">
        <f t="shared" si="1"/>
        <v>168</v>
      </c>
      <c r="N24" s="9"/>
      <c r="O24" s="14"/>
      <c r="P24" s="14"/>
      <c r="Q24" s="3"/>
    </row>
    <row r="25" spans="1:21" ht="15" customHeight="1" x14ac:dyDescent="0.2">
      <c r="A25" s="3"/>
      <c r="B25" s="19"/>
      <c r="C25" s="14"/>
      <c r="D25" s="14"/>
      <c r="E25" s="3"/>
      <c r="F25" s="6" t="s">
        <v>39</v>
      </c>
      <c r="G25" s="14">
        <v>12</v>
      </c>
      <c r="H25" s="14">
        <v>10</v>
      </c>
      <c r="I25" s="3">
        <f t="shared" si="0"/>
        <v>37</v>
      </c>
      <c r="J25" s="4" t="s">
        <v>69</v>
      </c>
      <c r="K25" s="14">
        <v>13</v>
      </c>
      <c r="L25" s="14">
        <v>13</v>
      </c>
      <c r="M25" s="3">
        <f t="shared" si="1"/>
        <v>169</v>
      </c>
      <c r="N25" s="9"/>
      <c r="O25" s="14"/>
      <c r="P25" s="14"/>
      <c r="Q25" s="3"/>
    </row>
    <row r="26" spans="1:21" ht="15" customHeight="1" x14ac:dyDescent="0.2">
      <c r="A26" s="3"/>
      <c r="B26" s="19"/>
      <c r="C26" s="14"/>
      <c r="D26" s="14"/>
      <c r="E26" s="3"/>
      <c r="F26" s="6" t="s">
        <v>26</v>
      </c>
      <c r="G26" s="14">
        <v>13</v>
      </c>
      <c r="H26" s="14">
        <v>2</v>
      </c>
      <c r="I26" s="3">
        <f t="shared" si="0"/>
        <v>45</v>
      </c>
      <c r="J26" s="4" t="s">
        <v>67</v>
      </c>
      <c r="K26" s="14">
        <v>13</v>
      </c>
      <c r="L26" s="14">
        <v>28</v>
      </c>
      <c r="M26" s="3">
        <f t="shared" si="1"/>
        <v>184</v>
      </c>
      <c r="N26" s="9"/>
      <c r="O26" s="14"/>
      <c r="P26" s="14"/>
      <c r="Q26" s="3"/>
    </row>
    <row r="27" spans="1:21" ht="15" customHeight="1" x14ac:dyDescent="0.2">
      <c r="A27" s="3"/>
      <c r="B27" s="19"/>
      <c r="C27" s="14"/>
      <c r="D27" s="14"/>
      <c r="E27" s="3"/>
      <c r="F27" s="6" t="s">
        <v>27</v>
      </c>
      <c r="G27" s="14">
        <v>13</v>
      </c>
      <c r="H27" s="14">
        <v>3</v>
      </c>
      <c r="I27" s="3">
        <f t="shared" si="0"/>
        <v>46</v>
      </c>
      <c r="J27" s="4"/>
      <c r="K27" s="14"/>
      <c r="L27" s="14"/>
      <c r="M27" s="3"/>
      <c r="N27" s="9"/>
      <c r="O27" s="14"/>
      <c r="P27" s="14"/>
      <c r="Q27" s="3"/>
    </row>
    <row r="28" spans="1:21" ht="15" customHeight="1" x14ac:dyDescent="0.2">
      <c r="A28" s="3"/>
      <c r="B28" s="19"/>
      <c r="C28" s="14"/>
      <c r="D28" s="14"/>
      <c r="E28" s="3"/>
      <c r="F28" s="6" t="s">
        <v>42</v>
      </c>
      <c r="G28" s="14">
        <v>11</v>
      </c>
      <c r="H28" s="14">
        <v>9</v>
      </c>
      <c r="I28" s="3">
        <f t="shared" si="0"/>
        <v>26</v>
      </c>
      <c r="J28" s="4"/>
      <c r="K28" s="14"/>
      <c r="L28" s="14"/>
      <c r="M28" s="3"/>
      <c r="N28" s="9"/>
      <c r="O28" s="14"/>
      <c r="P28" s="14"/>
      <c r="Q28" s="3"/>
    </row>
    <row r="29" spans="1:21" ht="15" customHeight="1" x14ac:dyDescent="0.2">
      <c r="A29" s="3"/>
      <c r="B29" s="19"/>
      <c r="C29" s="14"/>
      <c r="D29" s="14"/>
      <c r="E29" s="3"/>
      <c r="F29" s="6" t="s">
        <v>73</v>
      </c>
      <c r="G29" s="14">
        <v>12</v>
      </c>
      <c r="H29" s="14">
        <v>13</v>
      </c>
      <c r="I29" s="3">
        <f t="shared" si="0"/>
        <v>40</v>
      </c>
      <c r="J29" s="4"/>
      <c r="K29" s="14"/>
      <c r="L29" s="14"/>
      <c r="M29" s="3"/>
      <c r="N29" s="9"/>
      <c r="O29" s="14"/>
      <c r="P29" s="14"/>
      <c r="Q29" s="3"/>
    </row>
    <row r="30" spans="1:21" ht="15" customHeight="1" x14ac:dyDescent="0.2">
      <c r="A30" s="3"/>
      <c r="B30" s="19"/>
      <c r="C30" s="14"/>
      <c r="D30" s="14"/>
      <c r="E30" s="3"/>
      <c r="F30" s="6" t="s">
        <v>72</v>
      </c>
      <c r="G30" s="14">
        <v>12</v>
      </c>
      <c r="H30" s="14">
        <v>6</v>
      </c>
      <c r="I30" s="3">
        <f t="shared" si="0"/>
        <v>33</v>
      </c>
      <c r="J30" s="4"/>
      <c r="K30" s="14"/>
      <c r="L30" s="14"/>
      <c r="M30" s="3"/>
      <c r="N30" s="9"/>
      <c r="O30" s="14"/>
      <c r="P30" s="14"/>
      <c r="Q30" s="3"/>
    </row>
    <row r="31" spans="1:21" ht="15" customHeight="1" x14ac:dyDescent="0.2">
      <c r="A31" s="3"/>
      <c r="B31" s="19"/>
      <c r="C31" s="14"/>
      <c r="D31" s="14"/>
      <c r="E31" s="3"/>
      <c r="F31" s="6" t="s">
        <v>71</v>
      </c>
      <c r="G31" s="14">
        <v>12</v>
      </c>
      <c r="H31" s="14">
        <v>1</v>
      </c>
      <c r="I31" s="3">
        <f t="shared" si="0"/>
        <v>28</v>
      </c>
      <c r="J31" s="4"/>
      <c r="K31" s="14"/>
      <c r="L31" s="14"/>
      <c r="M31" s="3"/>
      <c r="N31" s="9"/>
      <c r="O31" s="14"/>
      <c r="P31" s="14"/>
      <c r="Q31" s="3"/>
    </row>
    <row r="32" spans="1:21" ht="15" customHeight="1" x14ac:dyDescent="0.2">
      <c r="A32" s="3"/>
      <c r="B32" s="19"/>
      <c r="C32" s="14"/>
      <c r="D32" s="14"/>
      <c r="E32" s="3"/>
      <c r="F32" s="6" t="s">
        <v>70</v>
      </c>
      <c r="G32" s="14">
        <v>12</v>
      </c>
      <c r="H32" s="14">
        <v>1</v>
      </c>
      <c r="I32" s="3">
        <f t="shared" si="0"/>
        <v>28</v>
      </c>
      <c r="J32" s="4"/>
      <c r="K32" s="14"/>
      <c r="L32" s="14"/>
      <c r="M32" s="3"/>
      <c r="N32" s="9"/>
      <c r="O32" s="14"/>
      <c r="P32" s="14"/>
      <c r="Q32" s="3"/>
    </row>
    <row r="33" spans="1:19" ht="15" customHeight="1" x14ac:dyDescent="0.2">
      <c r="A33" s="3"/>
      <c r="B33" s="19"/>
      <c r="C33" s="14"/>
      <c r="D33" s="14"/>
      <c r="E33" s="3"/>
      <c r="F33" s="6" t="s">
        <v>43</v>
      </c>
      <c r="G33" s="14">
        <v>12</v>
      </c>
      <c r="H33" s="14">
        <v>14</v>
      </c>
      <c r="I33" s="3">
        <f t="shared" si="0"/>
        <v>41</v>
      </c>
      <c r="J33" s="4"/>
      <c r="K33" s="14"/>
      <c r="L33" s="14"/>
      <c r="M33" s="3"/>
      <c r="N33" s="9"/>
      <c r="O33" s="14"/>
      <c r="P33" s="14"/>
      <c r="Q33" s="3"/>
      <c r="R33"/>
    </row>
    <row r="34" spans="1:19" s="1" customFormat="1" ht="15" customHeight="1" x14ac:dyDescent="0.2">
      <c r="B34" s="19"/>
      <c r="C34" s="14"/>
      <c r="D34" s="14"/>
      <c r="E34" s="3"/>
      <c r="F34" s="6" t="s">
        <v>44</v>
      </c>
      <c r="G34" s="14">
        <v>13</v>
      </c>
      <c r="H34" s="14">
        <v>1</v>
      </c>
      <c r="I34" s="3">
        <f t="shared" si="0"/>
        <v>44</v>
      </c>
      <c r="J34" s="4"/>
      <c r="K34" s="14"/>
      <c r="L34" s="14"/>
      <c r="M34" s="3"/>
      <c r="N34" s="9"/>
      <c r="O34" s="14"/>
      <c r="P34" s="14"/>
      <c r="Q34" s="3"/>
      <c r="R34" s="10" t="s">
        <v>101</v>
      </c>
      <c r="S34" s="10" t="s">
        <v>102</v>
      </c>
    </row>
    <row r="35" spans="1:19" s="1" customFormat="1" x14ac:dyDescent="0.2">
      <c r="A35" s="7" t="s">
        <v>5</v>
      </c>
      <c r="B35" s="7">
        <f>IF(B2="传说卡",COUNTIF(C5:C34,"&gt;0"),COUNTIF(C3:C4,"&gt;0"))</f>
        <v>2</v>
      </c>
      <c r="C35" s="16">
        <f>IF(B2="传说卡",SUM(C5:C21)/B35,SUM(C3:C4)/B35)</f>
        <v>10</v>
      </c>
      <c r="D35" s="7"/>
      <c r="E35" s="7">
        <f>IF(B2="传说卡",SUM(E5:E34),SUM(E3:E4))</f>
        <v>5</v>
      </c>
      <c r="F35" s="7">
        <f>COUNTIF(G3:G34,"&gt;0")</f>
        <v>32</v>
      </c>
      <c r="G35" s="38">
        <f>SUM(G3:G34)/F35</f>
        <v>12</v>
      </c>
      <c r="H35" s="7"/>
      <c r="I35" s="7">
        <f>SUM(I3:I34)</f>
        <v>1095</v>
      </c>
      <c r="J35" s="7">
        <f>COUNTIF(K3:K34,"&gt;0")</f>
        <v>24</v>
      </c>
      <c r="K35" s="16">
        <f>AVERAGE(K3:K27)</f>
        <v>12.916666666666666</v>
      </c>
      <c r="L35" s="7"/>
      <c r="M35" s="7">
        <f>SUM(M3:M34)</f>
        <v>4827</v>
      </c>
      <c r="N35" s="7">
        <f>COUNTIF(O3:O34,"&gt;0")</f>
        <v>12</v>
      </c>
      <c r="O35" s="16">
        <f>AVERAGE(O3:O25)</f>
        <v>13</v>
      </c>
      <c r="P35" s="7"/>
      <c r="Q35" s="7">
        <f>SUM(Q3:Q33)</f>
        <v>7181</v>
      </c>
      <c r="R35" s="7">
        <f>COUNTIF(C3:C34,"&gt;0")+COUNTIF(G3:G34,"&gt;0")+COUNTIF(K3:K34,"&gt;0")+COUNTIF(O3:O34,"&gt;0")</f>
        <v>87</v>
      </c>
      <c r="S35" s="16">
        <f>SUM(C3:C33,G3:G34,K3:K33,O3:O33)/R35</f>
        <v>12.229885057471265</v>
      </c>
    </row>
    <row r="36" spans="1:19" s="1" customFormat="1" x14ac:dyDescent="0.2">
      <c r="A36" s="8" t="s">
        <v>93</v>
      </c>
      <c r="B36" s="11">
        <f>IF(B2="传说卡",B35/卡牌!U3,B35/卡牌!U2)</f>
        <v>0.2857142857142857</v>
      </c>
      <c r="C36" s="11"/>
      <c r="D36" s="11"/>
      <c r="E36" s="11">
        <f>IF(B2="传说卡",E35/卡牌!V3,E35/卡牌!V2)</f>
        <v>1.3736263736263736E-2</v>
      </c>
      <c r="F36" s="11">
        <f>F35/卡牌!U4</f>
        <v>0.88888888888888884</v>
      </c>
      <c r="G36" s="11"/>
      <c r="H36" s="11"/>
      <c r="I36" s="11">
        <f>I35/卡牌!V4</f>
        <v>0.21882494004796163</v>
      </c>
      <c r="J36" s="11">
        <f>J35/卡牌!U5</f>
        <v>1</v>
      </c>
      <c r="K36" s="11"/>
      <c r="L36" s="11"/>
      <c r="M36" s="11">
        <f>M35/卡牌!V5</f>
        <v>0.32703252032520325</v>
      </c>
      <c r="N36" s="11">
        <v>1</v>
      </c>
      <c r="O36" s="11"/>
      <c r="P36" s="11"/>
      <c r="Q36" s="11">
        <f>Q35/卡牌!V6</f>
        <v>0.26216640502354788</v>
      </c>
      <c r="R36" s="11">
        <f>R35/卡牌!U7</f>
        <v>0.86138613861386137</v>
      </c>
      <c r="S36" s="11">
        <f>AVERAGE(SUM(E3:E28)/(卡牌!V2+卡牌!V3),M36,I36,Q36)</f>
        <v>0.22226695536016722</v>
      </c>
    </row>
    <row r="37" spans="1:19" x14ac:dyDescent="0.2">
      <c r="A37" s="10" t="s">
        <v>94</v>
      </c>
      <c r="B37" s="337">
        <f>IF(B2="传说卡",V2/E36-V2,(V2-139)/E36-(V2-139))</f>
        <v>5600.4000000000005</v>
      </c>
      <c r="C37" s="338"/>
      <c r="D37" s="338"/>
      <c r="E37" s="339"/>
      <c r="F37" s="337">
        <f>V2/I36-V2</f>
        <v>774.66027397260279</v>
      </c>
      <c r="G37" s="338"/>
      <c r="H37" s="338"/>
      <c r="I37" s="339"/>
      <c r="J37" s="337">
        <f>V2/M36-V2</f>
        <v>446.54257302672465</v>
      </c>
      <c r="K37" s="338"/>
      <c r="L37" s="338"/>
      <c r="M37" s="339"/>
      <c r="N37" s="337">
        <f>V2/Q36-V2</f>
        <v>610.71856287425146</v>
      </c>
      <c r="O37" s="338"/>
      <c r="P37" s="338"/>
      <c r="Q37" s="339"/>
    </row>
    <row r="38" spans="1:19" x14ac:dyDescent="0.2">
      <c r="A38" s="12" t="s">
        <v>98</v>
      </c>
      <c r="B38" s="347">
        <f>IF(B2="传说卡",B37+$V$2,B37+$V$2-139)</f>
        <v>5678.4000000000005</v>
      </c>
      <c r="C38" s="347"/>
      <c r="D38" s="347"/>
      <c r="E38" s="348"/>
      <c r="F38" s="346">
        <f>F37+$V$2</f>
        <v>991.66027397260279</v>
      </c>
      <c r="G38" s="347"/>
      <c r="H38" s="347"/>
      <c r="I38" s="348"/>
      <c r="J38" s="346">
        <f>J37+$V$2</f>
        <v>663.54257302672465</v>
      </c>
      <c r="K38" s="347"/>
      <c r="L38" s="347"/>
      <c r="M38" s="348"/>
      <c r="N38" s="346">
        <f>N37+$V$2</f>
        <v>827.71856287425146</v>
      </c>
      <c r="O38" s="347"/>
      <c r="P38" s="347"/>
      <c r="Q38" s="348"/>
    </row>
    <row r="39" spans="1:19" x14ac:dyDescent="0.2">
      <c r="A39" s="3" t="s">
        <v>95</v>
      </c>
      <c r="B39" s="350">
        <f>IF(B2="传说卡",E35/V2,E35/(V2-139))</f>
        <v>6.4102564102564097E-2</v>
      </c>
      <c r="C39" s="351"/>
      <c r="D39" s="351"/>
      <c r="E39" s="352"/>
      <c r="F39" s="350">
        <f>I35/V2</f>
        <v>5.0460829493087553</v>
      </c>
      <c r="G39" s="351"/>
      <c r="H39" s="351"/>
      <c r="I39" s="352"/>
      <c r="J39" s="350">
        <f>M35/V2</f>
        <v>22.244239631336406</v>
      </c>
      <c r="K39" s="351"/>
      <c r="L39" s="351"/>
      <c r="M39" s="352"/>
      <c r="N39" s="350">
        <f>Q35/V2</f>
        <v>33.092165898617509</v>
      </c>
      <c r="O39" s="351"/>
      <c r="P39" s="351"/>
      <c r="Q39" s="352"/>
    </row>
    <row r="57" spans="10:10" x14ac:dyDescent="0.2">
      <c r="J57"/>
    </row>
  </sheetData>
  <protectedRanges>
    <protectedRange sqref="C3:D34" name="区域1"/>
  </protectedRanges>
  <mergeCells count="21">
    <mergeCell ref="S7:S9"/>
    <mergeCell ref="T7:U9"/>
    <mergeCell ref="V7:V9"/>
    <mergeCell ref="S13:S14"/>
    <mergeCell ref="T13:T14"/>
    <mergeCell ref="S17:T18"/>
    <mergeCell ref="U17:U18"/>
    <mergeCell ref="S19:T20"/>
    <mergeCell ref="U19:U20"/>
    <mergeCell ref="B37:E37"/>
    <mergeCell ref="F37:I37"/>
    <mergeCell ref="J37:M37"/>
    <mergeCell ref="N37:Q37"/>
    <mergeCell ref="B38:E38"/>
    <mergeCell ref="F38:I38"/>
    <mergeCell ref="J38:M38"/>
    <mergeCell ref="N38:Q38"/>
    <mergeCell ref="B39:E39"/>
    <mergeCell ref="F39:I39"/>
    <mergeCell ref="J39:M39"/>
    <mergeCell ref="N39:Q39"/>
  </mergeCells>
  <phoneticPr fontId="1" type="noConversion"/>
  <conditionalFormatting sqref="B2">
    <cfRule type="containsText" dxfId="8" priority="1" operator="containsText" text="传说">
      <formula>NOT(ISERROR(SEARCH("传说",B2)))</formula>
    </cfRule>
    <cfRule type="containsText" dxfId="7" priority="2" operator="containsText" text="传说">
      <formula>NOT(ISERROR(SEARCH("传说",B2)))</formula>
    </cfRule>
    <cfRule type="containsText" dxfId="6" priority="3" operator="containsText" text="禁忌">
      <formula>NOT(ISERROR(SEARCH("禁忌",B2)))</formula>
    </cfRule>
  </conditionalFormatting>
  <dataValidations count="10">
    <dataValidation type="whole" allowBlank="1" showInputMessage="1" showErrorMessage="1" errorTitle="注意" error="输入对应卡牌的等级" promptTitle="注意" prompt="输入对应卡牌的等级" sqref="G3:G12 G14:G34 K3:K26 O5:O6 O13 C3:C22" xr:uid="{A47F33EC-6D72-4C3D-918A-D6A8246F56BE}">
      <formula1>0</formula1>
      <formula2>15</formula2>
    </dataValidation>
    <dataValidation type="decimal" allowBlank="1" showInputMessage="1" showErrorMessage="1" error="输入卡牌的进度卡牌数目" prompt="输入卡牌的进度卡牌数目" sqref="D22" xr:uid="{DCFC7513-86CF-4AB2-B7DF-B93E9BD9C161}">
      <formula1>0</formula1>
      <formula2>32</formula2>
    </dataValidation>
    <dataValidation type="whole" allowBlank="1" showInputMessage="1" showErrorMessage="1" error="输入卡牌的进度卡牌数目" prompt="输入卡牌的进度卡牌数目" sqref="L3:L33" xr:uid="{0C7362F6-6C72-4ABA-A04E-441B221DC7AA}">
      <formula1>0</formula1>
      <formula2>396</formula2>
    </dataValidation>
    <dataValidation type="decimal" allowBlank="1" showInputMessage="1" showErrorMessage="1" error="输入卡牌的进度卡牌数目" prompt="输入卡牌的进度卡牌数目" sqref="H14:H34 H3:H12" xr:uid="{8B0CD221-D5E0-4723-9BED-573BC197532F}">
      <formula1>0</formula1>
      <formula2>110</formula2>
    </dataValidation>
    <dataValidation type="decimal" allowBlank="1" showInputMessage="1" showErrorMessage="1" prompt="输入卡牌的进度卡牌数目" sqref="D23:D33 D3:D21" xr:uid="{A01551C0-0551-4A36-ADA8-81691D517F30}">
      <formula1>0</formula1>
      <formula2>16</formula2>
    </dataValidation>
    <dataValidation type="whole" allowBlank="1" showInputMessage="1" showErrorMessage="1" error="输入卡牌的进度卡牌数目" prompt="输入卡牌的进度卡牌数目" sqref="P3:P33" xr:uid="{5A81CA26-33F5-4528-AC6B-CFD15A68A98D}">
      <formula1>0</formula1>
      <formula2>1186</formula2>
    </dataValidation>
    <dataValidation allowBlank="1" showInputMessage="1" showErrorMessage="1" errorTitle="注意" error="输入对应卡牌的等级" promptTitle="注意" prompt="输入对应卡牌的等级" sqref="K27:K33" xr:uid="{EA4ED048-40ED-46AA-ADE7-20710A0BAF42}"/>
    <dataValidation type="whole" allowBlank="1" showInputMessage="1" showErrorMessage="1" errorTitle="注意" error="输入对应卡牌的等级" promptTitle="注意" prompt="输入对应卡牌的等级" sqref="C23:C33" xr:uid="{A9E5150F-1A42-4987-9058-47D1B2F49EA2}">
      <formula1>1</formula1>
      <formula2>15</formula2>
    </dataValidation>
    <dataValidation type="list" allowBlank="1" showInputMessage="1" showErrorMessage="1" sqref="B2" xr:uid="{C3C6E1EF-96B4-4EE7-91E6-00E57562E961}">
      <formula1>"传说卡,禁忌/光辉卡"</formula1>
    </dataValidation>
    <dataValidation type="whole" allowBlank="1" showInputMessage="1" showErrorMessage="1" promptTitle="注意" prompt="输入对应卡牌的等级" sqref="O3:O4 O7:O12 O14:O34" xr:uid="{18742320-5D0B-448D-9993-00E8F6836B01}">
      <formula1>0</formula1>
      <formula2>15</formula2>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C7E59-2236-4A03-85AA-91F765BD11E6}">
  <sheetPr codeName="Sheet9"/>
  <dimension ref="A1:X57"/>
  <sheetViews>
    <sheetView workbookViewId="0">
      <pane ySplit="2" topLeftCell="A3" activePane="bottomLeft" state="frozen"/>
      <selection pane="bottomLeft" activeCell="J7" sqref="J7"/>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4" ht="18" customHeight="1" x14ac:dyDescent="0.2">
      <c r="A1" s="40" t="s">
        <v>109</v>
      </c>
      <c r="B1" s="40"/>
      <c r="C1" s="40"/>
      <c r="D1" s="40"/>
      <c r="E1" s="40"/>
      <c r="F1" s="40"/>
      <c r="G1" s="40"/>
      <c r="H1" s="40"/>
      <c r="I1" s="40"/>
      <c r="J1" s="40"/>
      <c r="K1" s="40"/>
      <c r="L1" s="40"/>
      <c r="M1" s="40"/>
      <c r="N1" s="40"/>
      <c r="O1" s="40"/>
      <c r="P1" s="40"/>
      <c r="Q1" s="40"/>
      <c r="R1" s="40"/>
      <c r="S1" s="40"/>
      <c r="T1" s="40"/>
      <c r="U1" s="40"/>
      <c r="V1" s="40"/>
      <c r="W1" s="40"/>
      <c r="X1" s="41"/>
    </row>
    <row r="2" spans="1:24" ht="34.5" customHeight="1" x14ac:dyDescent="0.2">
      <c r="A2" s="18"/>
      <c r="B2" s="35" t="s">
        <v>131</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132</v>
      </c>
      <c r="U2" s="10" t="s">
        <v>96</v>
      </c>
      <c r="V2" s="14">
        <v>153</v>
      </c>
    </row>
    <row r="3" spans="1:24" ht="15" customHeight="1" x14ac:dyDescent="0.2">
      <c r="B3" s="22" t="s">
        <v>106</v>
      </c>
      <c r="C3" s="14">
        <v>10</v>
      </c>
      <c r="D3" s="14">
        <v>1</v>
      </c>
      <c r="E3" s="3">
        <f>IF(C3=15,32+D3,IF(C3=14,20+D3,IF(C3=13,12+D3,IF(C3=12,7+D3,IF(C3=11,4+D3,IF(C3=10,2+D3,IF(C3=0,0,1+D3)))))))</f>
        <v>3</v>
      </c>
      <c r="F3" s="6" t="s">
        <v>16</v>
      </c>
      <c r="G3" s="14">
        <v>11</v>
      </c>
      <c r="H3" s="14">
        <v>7</v>
      </c>
      <c r="I3" s="3">
        <f>IF(G3=11,17+H3,IF(G3=12,27+H3,IF(G3=10,11+H3,IF(G3=13,43+H3,IF(G3=14,70+H3,IF(G3=15,110+H3,IF(G3=9,7+H3,IF(G3=8,4+H3,IF(G3=7,2+H3,IF(G3=0,0,1+H3))))))))))</f>
        <v>24</v>
      </c>
      <c r="J3" s="4" t="s">
        <v>45</v>
      </c>
      <c r="K3" s="14">
        <v>11</v>
      </c>
      <c r="L3" s="14">
        <v>35</v>
      </c>
      <c r="M3" s="3">
        <f>IF(K3=15,L3+396,IF(K3=14,L3+252,IF(K3=13,L3+156,IF(K3=12,L3+96,IF(K3=11,L3+60,IF(K3=10,L3+42,IF(K3=9,L3+30,IF(K3=8,L3+20,IF(K3=7,L3+12,IF(K3=6,L3+7,IF(K3=5,L3+4,IF(K3=4,L3+2,IF(K3=0,0,1+L3)))))))))))))</f>
        <v>95</v>
      </c>
      <c r="N3" s="9" t="s">
        <v>81</v>
      </c>
      <c r="O3" s="14">
        <v>12</v>
      </c>
      <c r="P3" s="14">
        <v>151</v>
      </c>
      <c r="Q3" s="3">
        <f>IF(O3=15,P3+1187,IF(O3=14,P3+787,IF(O3=13,P3+491,IF(O3=12,P3+311,IF(O3=11,P3+200,IF(O3=10,P3+128,IF(O3=9,P3+83,IF(O3=8,P3+53,IF(O3=7,P3+33,IF(O3=6,P3+20,IF(O3=5,P3+12,IF(O3=4,P3+7,IF(O3=3,P3+4,IF(O3=2,P3+2,IF(O3=0,0,P3+1)))))))))))))))</f>
        <v>462</v>
      </c>
    </row>
    <row r="4" spans="1:24" ht="15" customHeight="1" x14ac:dyDescent="0.2">
      <c r="A4" s="3"/>
      <c r="B4" s="21" t="s">
        <v>107</v>
      </c>
      <c r="C4" s="14">
        <v>10</v>
      </c>
      <c r="D4" s="14">
        <v>0</v>
      </c>
      <c r="E4" s="3">
        <f t="shared" ref="E4:E20" si="0">IF(C4=15,32+D4,IF(C4=14,20+D4,IF(C4=13,12+D4,IF(C4=12,7+D4,IF(C4=11,4+D4,IF(C4=10,2+D4,IF(C4=0,0,1+D4)))))))</f>
        <v>2</v>
      </c>
      <c r="F4" s="6" t="s">
        <v>17</v>
      </c>
      <c r="G4" s="14">
        <v>11</v>
      </c>
      <c r="H4" s="14">
        <v>8</v>
      </c>
      <c r="I4" s="3">
        <f t="shared" ref="I4:I34" si="1">IF(G4=11,17+H4,IF(G4=12,27+H4,IF(G4=10,11+H4,IF(G4=13,43+H4,IF(G4=14,70+H4,IF(G4=15,110+H4,IF(G4=9,7+H4,IF(G4=8,4+H4,IF(G4=7,2+H4,IF(G4=0,0,1+H4))))))))))</f>
        <v>25</v>
      </c>
      <c r="J4" s="4" t="s">
        <v>46</v>
      </c>
      <c r="K4" s="14">
        <v>13</v>
      </c>
      <c r="L4" s="14">
        <v>52</v>
      </c>
      <c r="M4" s="3">
        <f t="shared" ref="M4:M26" si="2">IF(K4=15,L4+396,IF(K4=14,L4+252,IF(K4=13,L4+156,IF(K4=12,L4+96,IF(K4=11,L4+60,IF(K4=10,L4+42,IF(K4=9,L4+30,IF(K4=8,L4+20,IF(K4=7,L4+12,IF(K4=6,L4+7,IF(K4=5,L4+4,IF(K4=4,L4+2,IF(K4=0,0,1+L4)))))))))))))</f>
        <v>208</v>
      </c>
      <c r="N4" s="9" t="s">
        <v>82</v>
      </c>
      <c r="O4" s="14">
        <v>12</v>
      </c>
      <c r="P4" s="14">
        <v>151</v>
      </c>
      <c r="Q4" s="3">
        <f>IF(O4=15,P4+1187,IF(O4=14,P4+787,IF(O4=13,P4+491,IF(O4=12,P4+311,IF(O4=11,P4+200,IF(O4=10,P4+128,IF(O4=9,P4+83,IF(O4=8,P4+53,IF(O4=7,P4+33,IF(O4=6,P4+20,IF(O4=5,P4+12,IF(O4=4,P4+7,IF(O4=3,P4+4,IF(O4=2,P4+2,IF(O4=0,0,P4+1)))))))))))))))</f>
        <v>462</v>
      </c>
    </row>
    <row r="5" spans="1:24" ht="15" customHeight="1" x14ac:dyDescent="0.2">
      <c r="A5" s="3"/>
      <c r="B5" s="19" t="s">
        <v>7</v>
      </c>
      <c r="C5" s="14">
        <v>10</v>
      </c>
      <c r="D5" s="14">
        <v>0</v>
      </c>
      <c r="E5" s="3">
        <f t="shared" ref="E5:E11" si="3">IF(C5=15,32+D5,IF(C5=14,20+D5,IF(C5=13,12+D5,IF(C5=12,7+D5,IF(C5=11,4+D5,IF(C5=10,2+D5,IF(C5=0,0,1+D5)))))))</f>
        <v>2</v>
      </c>
      <c r="F5" s="6" t="s">
        <v>20</v>
      </c>
      <c r="G5" s="14">
        <v>12</v>
      </c>
      <c r="H5" s="14">
        <v>8</v>
      </c>
      <c r="I5" s="3">
        <f>IF(G5=11,17+H5,IF(G5=12,27+H5,IF(G5=10,11+H5,IF(G5=13,43+H5,IF(G5=14,70+H5,IF(G5=15,110+H5,IF(G5=9,7+H5,IF(G5=8,4+H5,IF(G5=7,2+H5,IF(G5=0,0,1+H5))))))))))</f>
        <v>35</v>
      </c>
      <c r="J5" s="4" t="s">
        <v>47</v>
      </c>
      <c r="K5" s="14">
        <v>12</v>
      </c>
      <c r="L5" s="14">
        <v>59</v>
      </c>
      <c r="M5" s="3">
        <f t="shared" si="2"/>
        <v>155</v>
      </c>
      <c r="N5" s="9" t="s">
        <v>79</v>
      </c>
      <c r="O5" s="14">
        <v>13</v>
      </c>
      <c r="P5" s="14">
        <v>4</v>
      </c>
      <c r="Q5" s="3">
        <f>IF(O5=15,P5+1187,IF(O5=14,P5+787,IF(O5=13,P5+491,IF(O5=12,P5+311,IF(O5=11,P5+200,IF(O5=10,P5+128,IF(O5=9,P5+83,IF(O5=8,P5+53,IF(O5=7,P5+33,IF(O5=6,P5+20,IF(O5=5,P5+12,IF(O5=4,P5+7,IF(O5=3,P5+4,IF(O5=2,P5+2,IF(O5=0,0,P5+1)))))))))))))))</f>
        <v>495</v>
      </c>
    </row>
    <row r="6" spans="1:24" ht="15" customHeight="1" x14ac:dyDescent="0.2">
      <c r="A6" s="3"/>
      <c r="B6" s="19" t="s">
        <v>6</v>
      </c>
      <c r="C6" s="14">
        <v>11</v>
      </c>
      <c r="D6" s="14">
        <v>2</v>
      </c>
      <c r="E6" s="3">
        <f t="shared" si="3"/>
        <v>6</v>
      </c>
      <c r="F6" s="6" t="s">
        <v>23</v>
      </c>
      <c r="G6" s="14">
        <v>12</v>
      </c>
      <c r="H6" s="14">
        <v>1</v>
      </c>
      <c r="I6" s="3">
        <f>IF(G6=11,17+H6,IF(G6=12,27+H6,IF(G6=10,11+H6,IF(G6=13,43+H6,IF(G6=14,70+H6,IF(G6=15,110+H6,IF(G6=9,7+H6,IF(G6=8,4+H6,IF(G6=7,2+H6,IF(G6=0,0,1+H6))))))))))</f>
        <v>28</v>
      </c>
      <c r="J6" s="4" t="s">
        <v>51</v>
      </c>
      <c r="K6" s="14">
        <v>12</v>
      </c>
      <c r="L6" s="14">
        <v>36</v>
      </c>
      <c r="M6" s="3">
        <f>IF(K6=15,L6+396,IF(K6=14,L6+252,IF(K6=13,L6+156,IF(K6=12,L6+96,IF(K6=11,L6+60,IF(K6=10,L6+42,IF(K6=9,L6+30,IF(K6=8,L6+20,IF(K6=7,L6+12,IF(K6=6,L6+7,IF(K6=5,L6+4,IF(K6=4,L6+2,IF(K6=0,0,1+L6)))))))))))))</f>
        <v>132</v>
      </c>
      <c r="N6" s="9" t="s">
        <v>80</v>
      </c>
      <c r="O6" s="14">
        <v>13</v>
      </c>
      <c r="P6" s="14">
        <v>25</v>
      </c>
      <c r="Q6" s="3">
        <f>IF(O6=15,P6+1177,IF(O6=14,P6+777,IF(O6=13,P6+491,IF(O6=12,P6+311,IF(O6=11,P6+200,IF(O6=10,P6+128,IF(O6=9,P6+83,IF(O6=8,P6+53,IF(O6=7,P6+33,IF(O6=6,P6+20,IF(O6=5,P6+12,IF(O6=4,P6+7,IF(O6=3,P6+4,IF(O6=2,P6+2,IF(O6=0,0,P6+1)))))))))))))))</f>
        <v>516</v>
      </c>
    </row>
    <row r="7" spans="1:24" ht="15" customHeight="1" x14ac:dyDescent="0.2">
      <c r="A7" s="3"/>
      <c r="B7" s="19" t="s">
        <v>9</v>
      </c>
      <c r="C7" s="14">
        <v>12</v>
      </c>
      <c r="D7" s="14">
        <v>1</v>
      </c>
      <c r="E7" s="3">
        <f t="shared" si="3"/>
        <v>8</v>
      </c>
      <c r="F7" s="6" t="s">
        <v>18</v>
      </c>
      <c r="G7" s="14">
        <v>11</v>
      </c>
      <c r="H7" s="14">
        <v>2</v>
      </c>
      <c r="I7" s="3">
        <f>IF(G7=11,17+H7,IF(G7=12,27+H7,IF(G7=10,11+H7,IF(G7=13,43+H7,IF(G7=14,70+H7,IF(G7=15,110+H7,IF(G7=9,7+H7,IF(G7=8,4+H7,IF(G7=7,2+H7,IF(G7=0,0,1+H7))))))))))</f>
        <v>19</v>
      </c>
      <c r="J7" s="4" t="s">
        <v>56</v>
      </c>
      <c r="K7" s="14">
        <v>13</v>
      </c>
      <c r="L7" s="14">
        <v>4</v>
      </c>
      <c r="M7" s="3">
        <f>IF(K7=15,L7+396,IF(K7=14,L7+252,IF(K7=13,L7+156,IF(K7=12,L7+96,IF(K7=11,L7+60,IF(K7=10,L7+42,IF(K7=9,L7+30,IF(K7=8,L7+20,IF(K7=7,L7+12,IF(K7=6,L7+7,IF(K7=5,L7+4,IF(K7=4,L7+2,IF(K7=0,0,1+L7)))))))))))))</f>
        <v>160</v>
      </c>
      <c r="N7" s="9" t="s">
        <v>83</v>
      </c>
      <c r="O7" s="14">
        <v>12</v>
      </c>
      <c r="P7" s="14">
        <v>130</v>
      </c>
      <c r="Q7" s="3">
        <f t="shared" ref="Q7:Q13" si="4">IF(O7=15,P7+1177,IF(O7=14,P7+777,IF(O7=13,P7+491,IF(O7=12,P7+311,IF(O7=11,P7+200,IF(O7=10,P7+128,IF(O7=9,P7+83,IF(O7=8,P7+53,IF(O7=7,P7+33,IF(O7=6,P7+20,IF(O7=5,P7+12,IF(O7=4,P7+7,IF(O7=3,P7+4,IF(O7=2,P7+2,IF(O7=0,0,P7+1)))))))))))))))</f>
        <v>441</v>
      </c>
      <c r="S7" s="353" t="s">
        <v>103</v>
      </c>
      <c r="T7" s="358">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1113000</v>
      </c>
      <c r="U7" s="358"/>
      <c r="V7" s="361">
        <f>T7/卡牌!V7</f>
        <v>9.1642651296829969E-2</v>
      </c>
    </row>
    <row r="8" spans="1:24" ht="15" customHeight="1" x14ac:dyDescent="0.2">
      <c r="A8" s="3"/>
      <c r="B8" s="19" t="s">
        <v>12</v>
      </c>
      <c r="C8" s="14">
        <v>12</v>
      </c>
      <c r="D8" s="14">
        <v>0</v>
      </c>
      <c r="E8" s="3">
        <f t="shared" si="3"/>
        <v>7</v>
      </c>
      <c r="F8" s="6" t="s">
        <v>19</v>
      </c>
      <c r="G8" s="14">
        <v>11</v>
      </c>
      <c r="H8" s="14">
        <v>8</v>
      </c>
      <c r="I8" s="3">
        <f>IF(G8=11,17+H8,IF(G8=12,27+H8,IF(G8=10,11+H8,IF(G8=13,43+H8,IF(G8=14,70+H8,IF(G8=15,110+H8,IF(G8=9,7+H8,IF(G8=8,4+H8,IF(G8=7,2+H8,IF(G8=0,0,1+H8))))))))))</f>
        <v>25</v>
      </c>
      <c r="J8" s="4" t="s">
        <v>48</v>
      </c>
      <c r="K8" s="14">
        <v>13</v>
      </c>
      <c r="L8" s="14">
        <v>6</v>
      </c>
      <c r="M8" s="3">
        <f>IF(K8=15,L8+396,IF(K8=14,L8+252,IF(K8=13,L8+156,IF(K8=12,L8+96,IF(K8=11,L8+60,IF(K8=10,L8+42,IF(K8=9,L8+30,IF(K8=8,L8+20,IF(K8=7,L8+12,IF(K8=6,L8+7,IF(K8=5,L8+4,IF(K8=4,L8+2,IF(K8=0,0,1+L8)))))))))))))</f>
        <v>162</v>
      </c>
      <c r="N8" s="9" t="s">
        <v>84</v>
      </c>
      <c r="O8" s="14">
        <v>13</v>
      </c>
      <c r="P8" s="14">
        <v>41</v>
      </c>
      <c r="Q8" s="3">
        <f t="shared" si="4"/>
        <v>532</v>
      </c>
      <c r="S8" s="357"/>
      <c r="T8" s="359"/>
      <c r="U8" s="359"/>
      <c r="V8" s="362"/>
    </row>
    <row r="9" spans="1:24" ht="15" customHeight="1" x14ac:dyDescent="0.2">
      <c r="A9" s="3"/>
      <c r="B9" s="19" t="s">
        <v>11</v>
      </c>
      <c r="C9" s="14">
        <v>12</v>
      </c>
      <c r="D9" s="14">
        <v>1</v>
      </c>
      <c r="E9" s="3">
        <f t="shared" si="3"/>
        <v>8</v>
      </c>
      <c r="F9" s="6" t="s">
        <v>24</v>
      </c>
      <c r="G9" s="14">
        <v>12</v>
      </c>
      <c r="H9" s="14">
        <v>0</v>
      </c>
      <c r="I9" s="3">
        <f t="shared" si="1"/>
        <v>27</v>
      </c>
      <c r="J9" s="4" t="s">
        <v>49</v>
      </c>
      <c r="K9" s="14">
        <v>13</v>
      </c>
      <c r="L9" s="14">
        <v>19</v>
      </c>
      <c r="M9" s="3">
        <f>IF(K9=15,L9+396,IF(K9=14,L9+252,IF(K9=13,L9+156,IF(K9=12,L9+96,IF(K9=11,L9+60,IF(K9=10,L9+42,IF(K9=9,L9+30,IF(K9=8,L9+20,IF(K9=7,L9+12,IF(K9=6,L9+7,IF(K9=5,L9+4,IF(K9=4,L9+2,IF(K9=0,0,1+L9)))))))))))))</f>
        <v>175</v>
      </c>
      <c r="N9" s="9" t="s">
        <v>85</v>
      </c>
      <c r="O9" s="14">
        <v>12</v>
      </c>
      <c r="P9" s="14">
        <v>143</v>
      </c>
      <c r="Q9" s="3">
        <f t="shared" si="4"/>
        <v>454</v>
      </c>
      <c r="S9" s="354"/>
      <c r="T9" s="360"/>
      <c r="U9" s="360"/>
      <c r="V9" s="363"/>
    </row>
    <row r="10" spans="1:24" ht="15" customHeight="1" x14ac:dyDescent="0.2">
      <c r="A10" s="3"/>
      <c r="B10" s="19" t="s">
        <v>8</v>
      </c>
      <c r="C10" s="14">
        <v>11</v>
      </c>
      <c r="D10" s="14">
        <v>2</v>
      </c>
      <c r="E10" s="3">
        <f t="shared" si="3"/>
        <v>6</v>
      </c>
      <c r="F10" s="6" t="s">
        <v>25</v>
      </c>
      <c r="G10" s="14">
        <v>12</v>
      </c>
      <c r="H10" s="14">
        <v>5</v>
      </c>
      <c r="I10" s="3">
        <f t="shared" si="1"/>
        <v>32</v>
      </c>
      <c r="J10" s="4" t="s">
        <v>52</v>
      </c>
      <c r="K10" s="14">
        <v>13</v>
      </c>
      <c r="L10" s="14">
        <v>13</v>
      </c>
      <c r="M10" s="3">
        <f t="shared" si="2"/>
        <v>169</v>
      </c>
      <c r="N10" s="9" t="s">
        <v>86</v>
      </c>
      <c r="O10" s="14">
        <v>12</v>
      </c>
      <c r="P10" s="14">
        <v>189</v>
      </c>
      <c r="Q10" s="3">
        <f t="shared" si="4"/>
        <v>500</v>
      </c>
    </row>
    <row r="11" spans="1:24" ht="15" customHeight="1" x14ac:dyDescent="0.2">
      <c r="A11" s="3"/>
      <c r="B11" s="19" t="s">
        <v>10</v>
      </c>
      <c r="C11" s="14">
        <v>12</v>
      </c>
      <c r="D11" s="14">
        <v>0</v>
      </c>
      <c r="E11" s="3">
        <f t="shared" si="3"/>
        <v>7</v>
      </c>
      <c r="F11" s="6" t="s">
        <v>28</v>
      </c>
      <c r="G11" s="14">
        <v>12</v>
      </c>
      <c r="H11" s="14">
        <v>0</v>
      </c>
      <c r="I11" s="3">
        <f t="shared" si="1"/>
        <v>27</v>
      </c>
      <c r="J11" s="4" t="s">
        <v>53</v>
      </c>
      <c r="K11" s="14">
        <v>12</v>
      </c>
      <c r="L11" s="14">
        <v>54</v>
      </c>
      <c r="M11" s="3">
        <f t="shared" si="2"/>
        <v>150</v>
      </c>
      <c r="N11" s="9" t="s">
        <v>87</v>
      </c>
      <c r="O11" s="14">
        <v>12</v>
      </c>
      <c r="P11" s="14">
        <v>123</v>
      </c>
      <c r="Q11" s="3">
        <f t="shared" si="4"/>
        <v>434</v>
      </c>
    </row>
    <row r="12" spans="1:24" ht="15" customHeight="1" x14ac:dyDescent="0.2">
      <c r="A12" s="3"/>
      <c r="B12" s="19" t="s">
        <v>13</v>
      </c>
      <c r="C12" s="14">
        <v>11</v>
      </c>
      <c r="D12" s="14">
        <v>0</v>
      </c>
      <c r="E12" s="3">
        <f t="shared" si="0"/>
        <v>4</v>
      </c>
      <c r="F12" s="6" t="s">
        <v>29</v>
      </c>
      <c r="G12" s="14">
        <v>10</v>
      </c>
      <c r="H12" s="14">
        <v>5</v>
      </c>
      <c r="I12" s="3">
        <f t="shared" si="1"/>
        <v>16</v>
      </c>
      <c r="J12" s="4" t="s">
        <v>57</v>
      </c>
      <c r="K12" s="14">
        <v>13</v>
      </c>
      <c r="L12" s="14">
        <v>5</v>
      </c>
      <c r="M12" s="3">
        <f t="shared" si="2"/>
        <v>161</v>
      </c>
      <c r="N12" s="9" t="s">
        <v>88</v>
      </c>
      <c r="O12" s="14">
        <v>12</v>
      </c>
      <c r="P12" s="14">
        <v>126</v>
      </c>
      <c r="Q12" s="3">
        <f t="shared" si="4"/>
        <v>437</v>
      </c>
    </row>
    <row r="13" spans="1:24" ht="15" customHeight="1" x14ac:dyDescent="0.2">
      <c r="A13" s="3"/>
      <c r="B13" s="19" t="s">
        <v>15</v>
      </c>
      <c r="C13" s="14">
        <v>11</v>
      </c>
      <c r="D13" s="14">
        <v>0</v>
      </c>
      <c r="E13" s="3">
        <f>IF(C13=15,32+D13,IF(C13=14,20+D13,IF(C13=13,12+D13,IF(C13=12,7+D13,IF(C13=11,4+D13,IF(C13=10,2+D13,IF(C13=0,0,1+D13)))))))</f>
        <v>4</v>
      </c>
      <c r="F13" s="6" t="s">
        <v>108</v>
      </c>
      <c r="G13" s="14">
        <v>10</v>
      </c>
      <c r="H13" s="14">
        <v>5</v>
      </c>
      <c r="I13" s="3">
        <f t="shared" si="1"/>
        <v>16</v>
      </c>
      <c r="J13" s="4" t="s">
        <v>61</v>
      </c>
      <c r="K13" s="14">
        <v>13</v>
      </c>
      <c r="L13" s="14">
        <v>13</v>
      </c>
      <c r="M13" s="3">
        <f t="shared" si="2"/>
        <v>169</v>
      </c>
      <c r="N13" s="9" t="s">
        <v>78</v>
      </c>
      <c r="O13" s="14">
        <v>12</v>
      </c>
      <c r="P13" s="14">
        <v>108</v>
      </c>
      <c r="Q13" s="3">
        <f t="shared" si="4"/>
        <v>419</v>
      </c>
      <c r="S13" s="353" t="s">
        <v>99</v>
      </c>
      <c r="T13" s="355">
        <v>80</v>
      </c>
      <c r="U13"/>
      <c r="V13"/>
      <c r="W13"/>
    </row>
    <row r="14" spans="1:24" ht="15" customHeight="1" x14ac:dyDescent="0.2">
      <c r="A14" s="3"/>
      <c r="B14" s="19" t="s">
        <v>14</v>
      </c>
      <c r="C14" s="14">
        <v>10</v>
      </c>
      <c r="D14" s="14">
        <v>1</v>
      </c>
      <c r="E14" s="3">
        <f>IF(C14=15,32+D14,IF(C14=14,20+D14,IF(C14=13,12+D14,IF(C14=12,7+D14,IF(C14=11,4+D14,IF(C14=10,2+D14,IF(C14=0,0,1+D14)))))))</f>
        <v>3</v>
      </c>
      <c r="F14" s="6" t="s">
        <v>32</v>
      </c>
      <c r="G14" s="14">
        <v>12</v>
      </c>
      <c r="H14" s="14">
        <v>2</v>
      </c>
      <c r="I14" s="3">
        <f t="shared" si="1"/>
        <v>29</v>
      </c>
      <c r="J14" s="4" t="s">
        <v>58</v>
      </c>
      <c r="K14" s="14">
        <v>12</v>
      </c>
      <c r="L14" s="14">
        <v>61</v>
      </c>
      <c r="M14" s="3">
        <f t="shared" si="2"/>
        <v>157</v>
      </c>
      <c r="N14" s="10" t="s">
        <v>54</v>
      </c>
      <c r="O14" s="14">
        <v>12</v>
      </c>
      <c r="P14" s="14">
        <v>170</v>
      </c>
      <c r="Q14" s="3">
        <f>IF(O14=15,P14+1177,IF(O14=14,P14+777,IF(O14=13,P14+491,IF(O14=12,P14+311,IF(O14=11,P14+200,IF(O14=10,P14+128,IF(O14=9,P14+83,IF(O14=8,P14+53,IF(O14=7,P14+33,IF(O14=6,P14+20,IF(O14=5,P14+12,IF(O14=4,P14+7,IF(O14=3,P14+4,IF(O14=2,P14+2,IF(O14=0,0,P14+1)))))))))))))))</f>
        <v>481</v>
      </c>
      <c r="S14" s="354"/>
      <c r="T14" s="356"/>
      <c r="U14"/>
      <c r="V14"/>
      <c r="W14"/>
    </row>
    <row r="15" spans="1:24" ht="15" customHeight="1" x14ac:dyDescent="0.2">
      <c r="A15" s="3"/>
      <c r="B15" s="19" t="s">
        <v>74</v>
      </c>
      <c r="C15" s="14">
        <v>12</v>
      </c>
      <c r="D15" s="14">
        <v>0</v>
      </c>
      <c r="E15" s="3">
        <f t="shared" si="0"/>
        <v>7</v>
      </c>
      <c r="F15" s="6" t="s">
        <v>33</v>
      </c>
      <c r="G15" s="14">
        <v>12</v>
      </c>
      <c r="H15" s="14">
        <v>3</v>
      </c>
      <c r="I15" s="3">
        <f t="shared" si="1"/>
        <v>30</v>
      </c>
      <c r="J15" s="4" t="s">
        <v>62</v>
      </c>
      <c r="K15" s="14">
        <v>13</v>
      </c>
      <c r="L15" s="14">
        <v>11</v>
      </c>
      <c r="M15" s="3">
        <f t="shared" si="2"/>
        <v>167</v>
      </c>
      <c r="N15" s="9"/>
      <c r="O15" s="14"/>
      <c r="P15" s="14"/>
      <c r="Q15" s="3"/>
    </row>
    <row r="16" spans="1:24" ht="15" customHeight="1" x14ac:dyDescent="0.2">
      <c r="A16" s="3"/>
      <c r="B16" s="19" t="s">
        <v>75</v>
      </c>
      <c r="C16" s="14">
        <v>10</v>
      </c>
      <c r="D16" s="14">
        <v>1</v>
      </c>
      <c r="E16" s="3">
        <f t="shared" si="0"/>
        <v>3</v>
      </c>
      <c r="F16" s="6" t="s">
        <v>30</v>
      </c>
      <c r="G16" s="14">
        <v>11</v>
      </c>
      <c r="H16" s="14">
        <v>6</v>
      </c>
      <c r="I16" s="3">
        <f t="shared" si="1"/>
        <v>23</v>
      </c>
      <c r="J16" s="4" t="s">
        <v>59</v>
      </c>
      <c r="K16" s="14">
        <v>13</v>
      </c>
      <c r="L16" s="14">
        <v>26</v>
      </c>
      <c r="M16" s="3">
        <f t="shared" si="2"/>
        <v>182</v>
      </c>
      <c r="N16" s="9"/>
      <c r="O16" s="14"/>
      <c r="P16" s="14"/>
      <c r="Q16" s="3"/>
    </row>
    <row r="17" spans="1:21" ht="15" customHeight="1" x14ac:dyDescent="0.2">
      <c r="A17" s="3"/>
      <c r="B17" s="19" t="s">
        <v>104</v>
      </c>
      <c r="C17" s="14">
        <v>12</v>
      </c>
      <c r="D17" s="14">
        <v>0</v>
      </c>
      <c r="E17" s="3">
        <f t="shared" si="0"/>
        <v>7</v>
      </c>
      <c r="F17" s="6" t="s">
        <v>31</v>
      </c>
      <c r="G17" s="14">
        <v>11</v>
      </c>
      <c r="H17" s="14">
        <v>4</v>
      </c>
      <c r="I17" s="3">
        <f t="shared" si="1"/>
        <v>21</v>
      </c>
      <c r="J17" s="4" t="s">
        <v>60</v>
      </c>
      <c r="K17" s="14">
        <v>11</v>
      </c>
      <c r="L17" s="14">
        <v>29</v>
      </c>
      <c r="M17" s="3">
        <f t="shared" si="2"/>
        <v>89</v>
      </c>
      <c r="N17" s="9"/>
      <c r="O17" s="14"/>
      <c r="P17" s="14"/>
      <c r="Q17" s="3"/>
      <c r="S17" s="342" t="s">
        <v>100</v>
      </c>
      <c r="T17" s="342"/>
      <c r="U17" s="344" t="e">
        <f>IF(T13&lt;96,(V2/(I35/卡牌!#REF!)-V2)/(100-T13)*(1+卡牌!Y4*卡牌!Y5),IF(T13=100,0,卡牌!#REF!))</f>
        <v>#REF!</v>
      </c>
    </row>
    <row r="18" spans="1:21" ht="15" customHeight="1" x14ac:dyDescent="0.2">
      <c r="A18" s="3"/>
      <c r="B18" s="19" t="s">
        <v>76</v>
      </c>
      <c r="C18" s="14">
        <v>10</v>
      </c>
      <c r="D18" s="14">
        <v>1</v>
      </c>
      <c r="E18" s="3">
        <f t="shared" si="0"/>
        <v>3</v>
      </c>
      <c r="F18" s="6" t="s">
        <v>35</v>
      </c>
      <c r="G18" s="14">
        <v>11</v>
      </c>
      <c r="H18" s="14">
        <v>7</v>
      </c>
      <c r="I18" s="3">
        <f t="shared" si="1"/>
        <v>24</v>
      </c>
      <c r="J18" s="4" t="s">
        <v>63</v>
      </c>
      <c r="K18" s="14">
        <v>13</v>
      </c>
      <c r="L18" s="14">
        <v>21</v>
      </c>
      <c r="M18" s="3">
        <f t="shared" si="2"/>
        <v>177</v>
      </c>
      <c r="N18" s="9"/>
      <c r="O18" s="14"/>
      <c r="P18" s="14"/>
      <c r="Q18" s="3"/>
      <c r="S18" s="343"/>
      <c r="T18" s="343"/>
      <c r="U18" s="345"/>
    </row>
    <row r="19" spans="1:21" ht="15" customHeight="1" x14ac:dyDescent="0.2">
      <c r="A19" s="3"/>
      <c r="B19" s="19" t="s">
        <v>105</v>
      </c>
      <c r="C19" s="14">
        <v>11</v>
      </c>
      <c r="D19" s="14">
        <v>1</v>
      </c>
      <c r="E19" s="3">
        <f t="shared" si="0"/>
        <v>5</v>
      </c>
      <c r="F19" s="6" t="s">
        <v>34</v>
      </c>
      <c r="G19" s="14">
        <v>12</v>
      </c>
      <c r="H19" s="14">
        <v>2</v>
      </c>
      <c r="I19" s="3">
        <f t="shared" si="1"/>
        <v>29</v>
      </c>
      <c r="J19" s="4" t="s">
        <v>65</v>
      </c>
      <c r="K19" s="14">
        <v>13</v>
      </c>
      <c r="L19" s="14">
        <v>24</v>
      </c>
      <c r="M19" s="3">
        <f t="shared" si="2"/>
        <v>180</v>
      </c>
      <c r="N19" s="9"/>
      <c r="O19" s="14"/>
      <c r="P19" s="14"/>
      <c r="Q19" s="3"/>
      <c r="S19" s="342" t="s">
        <v>111</v>
      </c>
      <c r="T19" s="342"/>
      <c r="U19" s="333" t="e">
        <f>IF(T13&lt;96,U17*(100-T13),IF(U17=0,"已满级",U17*(100-T13)&amp;"(存在误差)"))</f>
        <v>#REF!</v>
      </c>
    </row>
    <row r="20" spans="1:21" ht="15" customHeight="1" x14ac:dyDescent="0.2">
      <c r="A20" s="3"/>
      <c r="B20" s="19" t="s">
        <v>77</v>
      </c>
      <c r="C20" s="14">
        <v>12</v>
      </c>
      <c r="D20" s="14">
        <v>2</v>
      </c>
      <c r="E20" s="3">
        <f t="shared" si="0"/>
        <v>9</v>
      </c>
      <c r="F20" s="6" t="s">
        <v>36</v>
      </c>
      <c r="G20" s="14">
        <v>12</v>
      </c>
      <c r="H20" s="14">
        <v>6</v>
      </c>
      <c r="I20" s="3">
        <f t="shared" si="1"/>
        <v>33</v>
      </c>
      <c r="J20" s="4" t="s">
        <v>66</v>
      </c>
      <c r="K20" s="14">
        <v>12</v>
      </c>
      <c r="L20" s="14">
        <v>62</v>
      </c>
      <c r="M20" s="3">
        <f t="shared" si="2"/>
        <v>158</v>
      </c>
      <c r="N20" s="9"/>
      <c r="O20" s="14"/>
      <c r="P20" s="14"/>
      <c r="Q20" s="3"/>
      <c r="S20" s="343"/>
      <c r="T20" s="343"/>
      <c r="U20" s="334"/>
    </row>
    <row r="21" spans="1:21" ht="15" customHeight="1" x14ac:dyDescent="0.2">
      <c r="A21" s="3"/>
      <c r="B21" s="19"/>
      <c r="C21" s="14"/>
      <c r="D21" s="14"/>
      <c r="E21" s="3"/>
      <c r="F21" s="6" t="s">
        <v>37</v>
      </c>
      <c r="G21" s="14">
        <v>12</v>
      </c>
      <c r="H21" s="14">
        <v>1</v>
      </c>
      <c r="I21" s="3">
        <f t="shared" si="1"/>
        <v>28</v>
      </c>
      <c r="J21" s="4" t="s">
        <v>64</v>
      </c>
      <c r="K21" s="14">
        <v>13</v>
      </c>
      <c r="L21" s="14">
        <v>4</v>
      </c>
      <c r="M21" s="3">
        <f t="shared" si="2"/>
        <v>160</v>
      </c>
      <c r="N21" s="9"/>
      <c r="O21" s="14"/>
      <c r="P21" s="14"/>
      <c r="Q21" s="3"/>
    </row>
    <row r="22" spans="1:21" ht="15" customHeight="1" x14ac:dyDescent="0.2">
      <c r="A22" s="3"/>
      <c r="B22" s="19"/>
      <c r="C22" s="14"/>
      <c r="D22" s="14"/>
      <c r="E22" s="3"/>
      <c r="F22" s="6" t="s">
        <v>40</v>
      </c>
      <c r="G22" s="14">
        <v>12</v>
      </c>
      <c r="H22" s="14">
        <v>3</v>
      </c>
      <c r="I22" s="3">
        <f t="shared" si="1"/>
        <v>30</v>
      </c>
      <c r="J22" s="4" t="s">
        <v>50</v>
      </c>
      <c r="K22" s="14">
        <v>13</v>
      </c>
      <c r="L22" s="14">
        <v>6</v>
      </c>
      <c r="M22" s="3">
        <f>IF(K22=15,L22+396,IF(K22=14,L22+252,IF(K22=13,L22+156,IF(K22=12,L22+96,IF(K22=11,L22+60,IF(K22=10,L22+42,IF(K22=9,L22+30,IF(K22=8,L22+20,IF(K22=7,L22+12,IF(K22=6,L22+7,IF(K22=5,L22+4,IF(K22=4,L22+2,IF(K22=0,0,1+L22)))))))))))))</f>
        <v>162</v>
      </c>
      <c r="N22" s="9"/>
      <c r="O22" s="14"/>
      <c r="P22" s="14"/>
      <c r="Q22" s="3"/>
    </row>
    <row r="23" spans="1:21" ht="15" customHeight="1" x14ac:dyDescent="0.2">
      <c r="A23" s="3"/>
      <c r="B23" s="19"/>
      <c r="C23" s="14"/>
      <c r="D23" s="14"/>
      <c r="E23" s="3"/>
      <c r="F23" s="6" t="s">
        <v>41</v>
      </c>
      <c r="G23" s="14">
        <v>12</v>
      </c>
      <c r="H23" s="14">
        <v>10</v>
      </c>
      <c r="I23" s="3">
        <f t="shared" si="1"/>
        <v>37</v>
      </c>
      <c r="J23" s="4" t="s">
        <v>55</v>
      </c>
      <c r="K23" s="14">
        <v>13</v>
      </c>
      <c r="L23" s="14">
        <v>18</v>
      </c>
      <c r="M23" s="3">
        <f>IF(K23=15,L23+396,IF(K23=14,L23+252,IF(K23=13,L23+156,IF(K23=12,L23+96,IF(K23=11,L23+60,IF(K23=10,L23+42,IF(K23=9,L23+30,IF(K23=8,L23+20,IF(K23=7,L23+12,IF(K23=6,L23+7,IF(K23=5,L23+4,IF(K23=4,L23+2,IF(K23=0,0,1+L23)))))))))))))</f>
        <v>174</v>
      </c>
      <c r="N23" s="9"/>
      <c r="O23" s="14"/>
      <c r="P23" s="14"/>
      <c r="Q23" s="3"/>
    </row>
    <row r="24" spans="1:21" ht="15" customHeight="1" x14ac:dyDescent="0.2">
      <c r="A24" s="3"/>
      <c r="B24" s="19"/>
      <c r="C24" s="14"/>
      <c r="D24" s="14"/>
      <c r="E24" s="3"/>
      <c r="F24" s="6" t="s">
        <v>38</v>
      </c>
      <c r="G24" s="14">
        <v>11</v>
      </c>
      <c r="H24" s="14">
        <v>9</v>
      </c>
      <c r="I24" s="3">
        <f t="shared" si="1"/>
        <v>26</v>
      </c>
      <c r="J24" s="4" t="s">
        <v>68</v>
      </c>
      <c r="K24" s="14">
        <v>13</v>
      </c>
      <c r="L24" s="14">
        <v>12</v>
      </c>
      <c r="M24" s="3">
        <f t="shared" si="2"/>
        <v>168</v>
      </c>
      <c r="N24" s="9"/>
      <c r="O24" s="14"/>
      <c r="P24" s="14"/>
      <c r="Q24" s="3"/>
    </row>
    <row r="25" spans="1:21" ht="15" customHeight="1" x14ac:dyDescent="0.2">
      <c r="A25" s="3"/>
      <c r="B25" s="19"/>
      <c r="C25" s="14"/>
      <c r="D25" s="14"/>
      <c r="E25" s="3"/>
      <c r="F25" s="6" t="s">
        <v>39</v>
      </c>
      <c r="G25" s="14">
        <v>12</v>
      </c>
      <c r="H25" s="14">
        <v>6</v>
      </c>
      <c r="I25" s="3">
        <f t="shared" si="1"/>
        <v>33</v>
      </c>
      <c r="J25" s="4" t="s">
        <v>69</v>
      </c>
      <c r="K25" s="14">
        <v>13</v>
      </c>
      <c r="L25" s="14">
        <v>13</v>
      </c>
      <c r="M25" s="3">
        <f t="shared" si="2"/>
        <v>169</v>
      </c>
      <c r="N25" s="9"/>
      <c r="O25" s="14"/>
      <c r="P25" s="14"/>
      <c r="Q25" s="3"/>
    </row>
    <row r="26" spans="1:21" ht="15" customHeight="1" x14ac:dyDescent="0.2">
      <c r="A26" s="3"/>
      <c r="B26" s="19"/>
      <c r="C26" s="14"/>
      <c r="D26" s="14"/>
      <c r="E26" s="3"/>
      <c r="F26" s="6" t="s">
        <v>26</v>
      </c>
      <c r="G26" s="14">
        <v>12</v>
      </c>
      <c r="H26" s="14">
        <v>11</v>
      </c>
      <c r="I26" s="3">
        <f t="shared" si="1"/>
        <v>38</v>
      </c>
      <c r="J26" s="4" t="s">
        <v>67</v>
      </c>
      <c r="K26" s="14">
        <v>13</v>
      </c>
      <c r="L26" s="14">
        <v>28</v>
      </c>
      <c r="M26" s="3">
        <f t="shared" si="2"/>
        <v>184</v>
      </c>
      <c r="N26" s="9"/>
      <c r="O26" s="14"/>
      <c r="P26" s="14"/>
      <c r="Q26" s="3"/>
    </row>
    <row r="27" spans="1:21" ht="15" customHeight="1" x14ac:dyDescent="0.2">
      <c r="A27" s="3"/>
      <c r="B27" s="19"/>
      <c r="C27" s="14"/>
      <c r="D27" s="14"/>
      <c r="E27" s="3"/>
      <c r="F27" s="6" t="s">
        <v>27</v>
      </c>
      <c r="G27" s="14">
        <v>12</v>
      </c>
      <c r="H27" s="14">
        <v>10</v>
      </c>
      <c r="I27" s="3">
        <f t="shared" si="1"/>
        <v>37</v>
      </c>
      <c r="J27" s="4"/>
      <c r="K27" s="14"/>
      <c r="L27" s="14"/>
      <c r="M27" s="3"/>
      <c r="N27" s="9"/>
      <c r="O27" s="14"/>
      <c r="P27" s="14"/>
      <c r="Q27" s="3"/>
    </row>
    <row r="28" spans="1:21" ht="15" customHeight="1" x14ac:dyDescent="0.2">
      <c r="A28" s="3"/>
      <c r="B28" s="19"/>
      <c r="C28" s="14"/>
      <c r="D28" s="14"/>
      <c r="E28" s="3"/>
      <c r="F28" s="6" t="s">
        <v>42</v>
      </c>
      <c r="G28" s="14">
        <v>10</v>
      </c>
      <c r="H28" s="14">
        <v>3</v>
      </c>
      <c r="I28" s="3">
        <f t="shared" si="1"/>
        <v>14</v>
      </c>
      <c r="J28" s="4"/>
      <c r="K28" s="14"/>
      <c r="L28" s="14"/>
      <c r="M28" s="3"/>
      <c r="N28" s="9"/>
      <c r="O28" s="14"/>
      <c r="P28" s="14"/>
      <c r="Q28" s="3"/>
    </row>
    <row r="29" spans="1:21" ht="15" customHeight="1" x14ac:dyDescent="0.2">
      <c r="A29" s="3"/>
      <c r="B29" s="19"/>
      <c r="C29" s="14"/>
      <c r="D29" s="14"/>
      <c r="E29" s="3"/>
      <c r="F29" s="6" t="s">
        <v>73</v>
      </c>
      <c r="G29" s="14">
        <v>12</v>
      </c>
      <c r="H29" s="14">
        <v>4</v>
      </c>
      <c r="I29" s="3">
        <f t="shared" si="1"/>
        <v>31</v>
      </c>
      <c r="J29" s="4"/>
      <c r="K29" s="14"/>
      <c r="L29" s="14"/>
      <c r="M29" s="3"/>
      <c r="N29" s="9"/>
      <c r="O29" s="14"/>
      <c r="P29" s="14"/>
      <c r="Q29" s="3"/>
    </row>
    <row r="30" spans="1:21" ht="15" customHeight="1" x14ac:dyDescent="0.2">
      <c r="A30" s="3"/>
      <c r="B30" s="19"/>
      <c r="C30" s="14"/>
      <c r="D30" s="14"/>
      <c r="E30" s="3"/>
      <c r="F30" s="6" t="s">
        <v>72</v>
      </c>
      <c r="G30" s="14">
        <v>11</v>
      </c>
      <c r="H30" s="14">
        <v>7</v>
      </c>
      <c r="I30" s="3">
        <f t="shared" si="1"/>
        <v>24</v>
      </c>
      <c r="J30" s="4"/>
      <c r="K30" s="14"/>
      <c r="L30" s="14"/>
      <c r="M30" s="3"/>
      <c r="N30" s="9"/>
      <c r="O30" s="14"/>
      <c r="P30" s="14"/>
      <c r="Q30" s="3"/>
    </row>
    <row r="31" spans="1:21" ht="15" customHeight="1" x14ac:dyDescent="0.2">
      <c r="A31" s="3"/>
      <c r="B31" s="19"/>
      <c r="C31" s="14"/>
      <c r="D31" s="14"/>
      <c r="E31" s="3"/>
      <c r="F31" s="6" t="s">
        <v>71</v>
      </c>
      <c r="G31" s="14">
        <v>12</v>
      </c>
      <c r="H31" s="14">
        <v>1</v>
      </c>
      <c r="I31" s="3">
        <f t="shared" si="1"/>
        <v>28</v>
      </c>
      <c r="J31" s="4"/>
      <c r="K31" s="14"/>
      <c r="L31" s="14"/>
      <c r="M31" s="3"/>
      <c r="N31" s="9"/>
      <c r="O31" s="14"/>
      <c r="P31" s="14"/>
      <c r="Q31" s="3"/>
    </row>
    <row r="32" spans="1:21" ht="15" customHeight="1" x14ac:dyDescent="0.2">
      <c r="A32" s="3"/>
      <c r="B32" s="19"/>
      <c r="C32" s="14"/>
      <c r="D32" s="14"/>
      <c r="E32" s="3"/>
      <c r="F32" s="6" t="s">
        <v>70</v>
      </c>
      <c r="G32" s="14">
        <v>11</v>
      </c>
      <c r="H32" s="14">
        <v>6</v>
      </c>
      <c r="I32" s="3">
        <f t="shared" si="1"/>
        <v>23</v>
      </c>
      <c r="J32" s="4"/>
      <c r="K32" s="14"/>
      <c r="L32" s="14"/>
      <c r="M32" s="3"/>
      <c r="N32" s="9"/>
      <c r="O32" s="14"/>
      <c r="P32" s="14"/>
      <c r="Q32" s="3"/>
    </row>
    <row r="33" spans="1:19" ht="15" customHeight="1" x14ac:dyDescent="0.2">
      <c r="A33" s="3"/>
      <c r="B33" s="19"/>
      <c r="C33" s="14"/>
      <c r="D33" s="14"/>
      <c r="E33" s="3"/>
      <c r="F33" s="6" t="s">
        <v>43</v>
      </c>
      <c r="G33" s="14">
        <v>12</v>
      </c>
      <c r="H33" s="14">
        <v>5</v>
      </c>
      <c r="I33" s="3">
        <f t="shared" si="1"/>
        <v>32</v>
      </c>
      <c r="J33" s="4"/>
      <c r="K33" s="14"/>
      <c r="L33" s="14"/>
      <c r="M33" s="3"/>
      <c r="N33" s="9"/>
      <c r="O33" s="14"/>
      <c r="P33" s="14"/>
      <c r="Q33" s="3"/>
      <c r="R33"/>
    </row>
    <row r="34" spans="1:19" s="1" customFormat="1" ht="15" customHeight="1" x14ac:dyDescent="0.2">
      <c r="B34" s="19"/>
      <c r="C34" s="14"/>
      <c r="D34" s="14"/>
      <c r="E34" s="3"/>
      <c r="F34" s="6" t="s">
        <v>44</v>
      </c>
      <c r="G34" s="14">
        <v>12</v>
      </c>
      <c r="H34" s="14">
        <v>4</v>
      </c>
      <c r="I34" s="3">
        <f t="shared" si="1"/>
        <v>31</v>
      </c>
      <c r="J34" s="4"/>
      <c r="K34" s="14"/>
      <c r="L34" s="14"/>
      <c r="M34" s="3"/>
      <c r="N34" s="9"/>
      <c r="O34" s="14"/>
      <c r="P34" s="14"/>
      <c r="Q34" s="3"/>
      <c r="R34" s="10" t="s">
        <v>101</v>
      </c>
      <c r="S34" s="10" t="s">
        <v>102</v>
      </c>
    </row>
    <row r="35" spans="1:19" s="1" customFormat="1" x14ac:dyDescent="0.2">
      <c r="A35" s="7" t="s">
        <v>5</v>
      </c>
      <c r="B35" s="7">
        <f>IF(B2="传说卡",COUNTIF(C5:C34,"&gt;0"),COUNTIF(C3:C4,"&gt;0"))</f>
        <v>16</v>
      </c>
      <c r="C35" s="16">
        <f>IF(B2="传说卡",SUM(C5:C20)/B35,SUM(C3:C4)/B35)</f>
        <v>11.1875</v>
      </c>
      <c r="D35" s="7"/>
      <c r="E35" s="7">
        <f>IF(B2="传说卡",SUM(E5:E34),SUM(E3:E4))</f>
        <v>89</v>
      </c>
      <c r="F35" s="7">
        <f>COUNTIF(G3:G34,"&gt;0")</f>
        <v>32</v>
      </c>
      <c r="G35" s="38">
        <f>SUM(G3:G34)/F35</f>
        <v>11.5</v>
      </c>
      <c r="H35" s="7"/>
      <c r="I35" s="7">
        <f>SUM(I3:I34)</f>
        <v>875</v>
      </c>
      <c r="J35" s="7">
        <f>COUNTIF(K3:K34,"&gt;0")</f>
        <v>24</v>
      </c>
      <c r="K35" s="16">
        <f>AVERAGE(K3:K27)</f>
        <v>12.625</v>
      </c>
      <c r="L35" s="7"/>
      <c r="M35" s="7">
        <f>SUM(M3:M34)</f>
        <v>3863</v>
      </c>
      <c r="N35" s="7">
        <f>COUNTIF(O3:O34,"&gt;0")</f>
        <v>12</v>
      </c>
      <c r="O35" s="16">
        <f>AVERAGE(O3:O25)</f>
        <v>12.25</v>
      </c>
      <c r="P35" s="7"/>
      <c r="Q35" s="7">
        <f>SUM(Q3:Q33)</f>
        <v>5633</v>
      </c>
      <c r="R35" s="7">
        <f>COUNTIF(C3:C34,"&gt;0")+COUNTIF(G3:G34,"&gt;0")+COUNTIF(K3:K34,"&gt;0")+COUNTIF(O3:O34,"&gt;0")</f>
        <v>86</v>
      </c>
      <c r="S35" s="16">
        <f>SUM(C3:C33,G3:G34,K3:K33,O3:O33)/R35</f>
        <v>11.825581395348838</v>
      </c>
    </row>
    <row r="36" spans="1:19" s="1" customFormat="1" x14ac:dyDescent="0.2">
      <c r="A36" s="8" t="s">
        <v>93</v>
      </c>
      <c r="B36" s="11">
        <f>IF(B2="传说卡",B35/卡牌!U3,B35/卡牌!U2)</f>
        <v>0.76190476190476186</v>
      </c>
      <c r="C36" s="11"/>
      <c r="D36" s="11"/>
      <c r="E36" s="11">
        <f>IF(B2="传说卡",E35/卡牌!V3,E35/卡牌!V2)</f>
        <v>8.1501831501831504E-2</v>
      </c>
      <c r="F36" s="11">
        <f>F35/卡牌!U4</f>
        <v>0.88888888888888884</v>
      </c>
      <c r="G36" s="11"/>
      <c r="H36" s="11"/>
      <c r="I36" s="11">
        <f>I35/卡牌!V4</f>
        <v>0.17486011191047163</v>
      </c>
      <c r="J36" s="11">
        <f>J35/卡牌!U5</f>
        <v>1</v>
      </c>
      <c r="K36" s="11"/>
      <c r="L36" s="11"/>
      <c r="M36" s="11">
        <f>M35/卡牌!V5</f>
        <v>0.2617208672086721</v>
      </c>
      <c r="N36" s="11">
        <v>1</v>
      </c>
      <c r="O36" s="11"/>
      <c r="P36" s="11"/>
      <c r="Q36" s="11">
        <f>Q35/卡牌!V6</f>
        <v>0.20565149136577707</v>
      </c>
      <c r="R36" s="11">
        <f>R35/卡牌!U7</f>
        <v>0.85148514851485146</v>
      </c>
      <c r="S36" s="11">
        <f>AVERAGE(SUM(E3:E20)/(卡牌!V2+卡牌!V3),M36,I36,Q36)</f>
        <v>0.17669822751134009</v>
      </c>
    </row>
    <row r="37" spans="1:19" x14ac:dyDescent="0.2">
      <c r="A37" s="10" t="s">
        <v>94</v>
      </c>
      <c r="B37" s="337">
        <f>IF(B2="传说卡",V2/E36-V2,(V2-139)/E36-(V2-139))</f>
        <v>1724.2584269662921</v>
      </c>
      <c r="C37" s="338"/>
      <c r="D37" s="338"/>
      <c r="E37" s="339"/>
      <c r="F37" s="337">
        <f>V2/I36-V2</f>
        <v>721.98514285714282</v>
      </c>
      <c r="G37" s="338"/>
      <c r="H37" s="338"/>
      <c r="I37" s="339"/>
      <c r="J37" s="337">
        <f>V2/M36-V2</f>
        <v>431.59228578824741</v>
      </c>
      <c r="K37" s="338"/>
      <c r="L37" s="338"/>
      <c r="M37" s="339"/>
      <c r="N37" s="337">
        <f>V2/Q36-V2</f>
        <v>590.97709923664127</v>
      </c>
      <c r="O37" s="338"/>
      <c r="P37" s="338"/>
      <c r="Q37" s="339"/>
    </row>
    <row r="38" spans="1:19" x14ac:dyDescent="0.2">
      <c r="A38" s="12" t="s">
        <v>98</v>
      </c>
      <c r="B38" s="347">
        <f>IF(B2="传说卡",B37+$V$2,B37+$V$2-139)</f>
        <v>1877.2584269662921</v>
      </c>
      <c r="C38" s="347"/>
      <c r="D38" s="347"/>
      <c r="E38" s="348"/>
      <c r="F38" s="346">
        <f>F37+$V$2</f>
        <v>874.98514285714282</v>
      </c>
      <c r="G38" s="347"/>
      <c r="H38" s="347"/>
      <c r="I38" s="348"/>
      <c r="J38" s="346">
        <f>J37+$V$2</f>
        <v>584.59228578824741</v>
      </c>
      <c r="K38" s="347"/>
      <c r="L38" s="347"/>
      <c r="M38" s="348"/>
      <c r="N38" s="346">
        <f>N37+$V$2</f>
        <v>743.97709923664127</v>
      </c>
      <c r="O38" s="347"/>
      <c r="P38" s="347"/>
      <c r="Q38" s="348"/>
    </row>
    <row r="39" spans="1:19" x14ac:dyDescent="0.2">
      <c r="A39" s="3" t="s">
        <v>95</v>
      </c>
      <c r="B39" s="350">
        <f>IF(B2="传说卡",E35/V2,E35/(V2-139))</f>
        <v>0.5816993464052288</v>
      </c>
      <c r="C39" s="351"/>
      <c r="D39" s="351"/>
      <c r="E39" s="352"/>
      <c r="F39" s="350">
        <f>I35/V2</f>
        <v>5.7189542483660132</v>
      </c>
      <c r="G39" s="351"/>
      <c r="H39" s="351"/>
      <c r="I39" s="352"/>
      <c r="J39" s="350">
        <f>M35/V2</f>
        <v>25.248366013071895</v>
      </c>
      <c r="K39" s="351"/>
      <c r="L39" s="351"/>
      <c r="M39" s="352"/>
      <c r="N39" s="350">
        <f>Q35/V2</f>
        <v>36.816993464052288</v>
      </c>
      <c r="O39" s="351"/>
      <c r="P39" s="351"/>
      <c r="Q39" s="352"/>
    </row>
    <row r="57" spans="10:10" x14ac:dyDescent="0.2">
      <c r="J57"/>
    </row>
  </sheetData>
  <mergeCells count="21">
    <mergeCell ref="B38:E38"/>
    <mergeCell ref="F38:I38"/>
    <mergeCell ref="J38:M38"/>
    <mergeCell ref="N38:Q38"/>
    <mergeCell ref="B39:E39"/>
    <mergeCell ref="F39:I39"/>
    <mergeCell ref="J39:M39"/>
    <mergeCell ref="N39:Q39"/>
    <mergeCell ref="S17:T18"/>
    <mergeCell ref="U17:U18"/>
    <mergeCell ref="S19:T20"/>
    <mergeCell ref="U19:U20"/>
    <mergeCell ref="B37:E37"/>
    <mergeCell ref="F37:I37"/>
    <mergeCell ref="J37:M37"/>
    <mergeCell ref="N37:Q37"/>
    <mergeCell ref="S7:S9"/>
    <mergeCell ref="T7:U9"/>
    <mergeCell ref="V7:V9"/>
    <mergeCell ref="S13:S14"/>
    <mergeCell ref="T13:T14"/>
  </mergeCells>
  <phoneticPr fontId="1" type="noConversion"/>
  <conditionalFormatting sqref="B2">
    <cfRule type="containsText" dxfId="5" priority="1" operator="containsText" text="传说">
      <formula>NOT(ISERROR(SEARCH("传说",B2)))</formula>
    </cfRule>
    <cfRule type="containsText" dxfId="4" priority="2" operator="containsText" text="传说">
      <formula>NOT(ISERROR(SEARCH("传说",B2)))</formula>
    </cfRule>
    <cfRule type="containsText" dxfId="3" priority="3" operator="containsText" text="禁忌">
      <formula>NOT(ISERROR(SEARCH("禁忌",B2)))</formula>
    </cfRule>
  </conditionalFormatting>
  <dataValidations count="10">
    <dataValidation type="whole" allowBlank="1" showInputMessage="1" showErrorMessage="1" promptTitle="注意" prompt="输入对应卡牌的等级" sqref="O3:O4 O7:O12 O14:O34" xr:uid="{43486146-9827-4E55-9DFA-F10B634F520C}">
      <formula1>0</formula1>
      <formula2>15</formula2>
    </dataValidation>
    <dataValidation type="whole" allowBlank="1" showInputMessage="1" showErrorMessage="1" error="输入卡牌的进度卡牌数目" prompt="输入卡牌的进度卡牌数目" sqref="P3:P33" xr:uid="{E8C653B4-795F-4875-BA57-D5B836C9C9BF}">
      <formula1>0</formula1>
      <formula2>1186</formula2>
    </dataValidation>
    <dataValidation type="whole" allowBlank="1" showInputMessage="1" showErrorMessage="1" error="输入卡牌的进度卡牌数目" prompt="输入卡牌的进度卡牌数目" sqref="L3:L33" xr:uid="{F73821B4-D63F-450A-A92B-1B4D5B07E97D}">
      <formula1>0</formula1>
      <formula2>396</formula2>
    </dataValidation>
    <dataValidation type="decimal" allowBlank="1" showInputMessage="1" showErrorMessage="1" error="输入卡牌的进度卡牌数目" prompt="输入卡牌的进度卡牌数目" sqref="H14:H34 H3:H12" xr:uid="{60A6ADED-3F53-4B0F-8D06-7179839ACA38}">
      <formula1>0</formula1>
      <formula2>110</formula2>
    </dataValidation>
    <dataValidation type="whole" allowBlank="1" showInputMessage="1" showErrorMessage="1" errorTitle="注意" error="输入对应卡牌的等级" promptTitle="注意" prompt="输入对应卡牌的等级" sqref="G3:G12 G14:G34 K3:K26 O5:O6 O13 C3:C20" xr:uid="{575908B9-41E5-42A5-9033-C63B8D1098AE}">
      <formula1>0</formula1>
      <formula2>15</formula2>
    </dataValidation>
    <dataValidation type="decimal" allowBlank="1" showInputMessage="1" showErrorMessage="1" error="输入卡牌的进度卡牌数目" prompt="输入卡牌的进度卡牌数目" sqref="D20" xr:uid="{7C59F77F-8A29-4E92-94C7-C634D6B57AA2}">
      <formula1>0</formula1>
      <formula2>32</formula2>
    </dataValidation>
    <dataValidation type="decimal" allowBlank="1" showInputMessage="1" showErrorMessage="1" prompt="输入卡牌的进度卡牌数目" sqref="D21:D33 D3:D19" xr:uid="{E80E1FB9-E97F-4457-8EEA-304AED0EC9BD}">
      <formula1>0</formula1>
      <formula2>16</formula2>
    </dataValidation>
    <dataValidation allowBlank="1" showInputMessage="1" showErrorMessage="1" errorTitle="注意" error="输入对应卡牌的等级" promptTitle="注意" prompt="输入对应卡牌的等级" sqref="K27:K33" xr:uid="{4813C41D-3AE9-4666-AE12-69EDA308B792}"/>
    <dataValidation type="whole" allowBlank="1" showInputMessage="1" showErrorMessage="1" errorTitle="注意" error="输入对应卡牌的等级" promptTitle="注意" prompt="输入对应卡牌的等级" sqref="C21:C33" xr:uid="{C5A5BF3E-9263-4200-9C0B-BC85891DB5A3}">
      <formula1>1</formula1>
      <formula2>15</formula2>
    </dataValidation>
    <dataValidation type="list" allowBlank="1" showInputMessage="1" showErrorMessage="1" sqref="B2" xr:uid="{0E0E6AE0-33FD-4936-A63F-58D8983C5799}">
      <formula1>"传说卡,禁忌/光辉卡"</formula1>
    </dataValidation>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2D92-BD73-4389-B2BC-33E90A86F98F}">
  <sheetPr codeName="Sheet10"/>
  <dimension ref="A1:X57"/>
  <sheetViews>
    <sheetView workbookViewId="0">
      <pane ySplit="2" topLeftCell="A6" activePane="bottomLeft" state="frozen"/>
      <selection pane="bottomLeft" activeCell="E6" sqref="E6"/>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ustomWidth="1"/>
    <col min="19" max="19" width="15.125" style="2" customWidth="1"/>
    <col min="20" max="20" width="12.625" style="2" customWidth="1"/>
    <col min="21" max="21" width="18.125" style="2" customWidth="1"/>
    <col min="22" max="16384" width="9" style="2"/>
  </cols>
  <sheetData>
    <row r="1" spans="1:24" ht="18" customHeight="1" x14ac:dyDescent="0.2">
      <c r="A1" s="325" t="s">
        <v>109</v>
      </c>
      <c r="B1" s="325"/>
      <c r="C1" s="325"/>
      <c r="D1" s="325"/>
      <c r="E1" s="325"/>
      <c r="F1" s="325"/>
      <c r="G1" s="325"/>
      <c r="H1" s="325"/>
      <c r="I1" s="325"/>
      <c r="J1" s="325"/>
      <c r="K1" s="325"/>
      <c r="L1" s="325"/>
      <c r="M1" s="325"/>
      <c r="N1" s="325"/>
      <c r="O1" s="325"/>
      <c r="P1" s="325"/>
      <c r="Q1" s="325"/>
      <c r="R1" s="325"/>
      <c r="S1" s="325"/>
      <c r="T1" s="325"/>
      <c r="U1" s="325"/>
      <c r="V1" s="325"/>
      <c r="W1" s="325"/>
      <c r="X1" s="326"/>
    </row>
    <row r="2" spans="1:24" ht="34.5" customHeight="1" x14ac:dyDescent="0.2">
      <c r="A2" s="18"/>
      <c r="B2" s="35" t="s">
        <v>131</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132</v>
      </c>
      <c r="U2" s="10" t="s">
        <v>96</v>
      </c>
      <c r="V2" s="14">
        <v>144</v>
      </c>
    </row>
    <row r="3" spans="1:24" ht="15" customHeight="1" x14ac:dyDescent="0.2">
      <c r="A3" s="3"/>
      <c r="B3" s="22" t="s">
        <v>106</v>
      </c>
      <c r="C3" s="14">
        <v>9</v>
      </c>
      <c r="D3" s="14">
        <v>0</v>
      </c>
      <c r="E3" s="3">
        <f>IF(C3=15,32+D3,IF(C3=14,20+D3,IF(C3=13,12+D3,IF(C3=12,7+D3,IF(C3=11,4+D3,IF(C3=10,2+D3,IF(C3=0,0,1+D3)))))))</f>
        <v>1</v>
      </c>
      <c r="F3" s="6" t="s">
        <v>16</v>
      </c>
      <c r="G3" s="14">
        <v>11</v>
      </c>
      <c r="H3" s="14">
        <v>7</v>
      </c>
      <c r="I3" s="3">
        <f t="shared" ref="I3:I10" si="0">IF(G3=11,17+H3,IF(G3=12,27+H3,IF(G3=10,11+H3,IF(G3=13,43+H3,IF(G3=14,70+H3,IF(G3=15,110+H3,IF(G3=9,7+H3,IF(G3=8,4+H3,IF(G3=7,2+H3,IF(G3=0,0,1+H3))))))))))</f>
        <v>24</v>
      </c>
      <c r="J3" s="4" t="s">
        <v>45</v>
      </c>
      <c r="K3" s="14">
        <v>11</v>
      </c>
      <c r="L3" s="14">
        <v>5</v>
      </c>
      <c r="M3" s="3">
        <f t="shared" ref="M3:M11" si="1">IF(K3=15,L3+396,IF(K3=14,L3+252,IF(K3=13,L3+156,IF(K3=12,L3+96,IF(K3=11,L3+60,IF(K3=10,L3+42,IF(K3=9,L3+30,IF(K3=8,L3+20,IF(K3=7,L3+12,IF(K3=6,L3+7,IF(K3=5,L3+4,IF(K3=4,L3+2,IF(K3=0,0,1+L3)))))))))))))</f>
        <v>65</v>
      </c>
      <c r="N3" s="9" t="s">
        <v>81</v>
      </c>
      <c r="O3" s="14">
        <v>12</v>
      </c>
      <c r="P3" s="14">
        <v>126</v>
      </c>
      <c r="Q3" s="3">
        <f t="shared" ref="Q3:Q13" si="2">IF(O3=15,P3+1187,IF(O3=14,P3+787,IF(O3=13,P3+491,IF(O3=12,P3+311,IF(O3=11,P3+200,IF(O3=10,P3+128,IF(O3=9,P3+83,IF(O3=8,P3+53,IF(O3=7,P3+33,IF(O3=6,P3+20,IF(O3=5,P3+12,IF(O3=4,P3+7,IF(O3=3,P3+4,IF(O3=2,P3+2,IF(O3=0,0,P3+1)))))))))))))))</f>
        <v>437</v>
      </c>
    </row>
    <row r="4" spans="1:24" ht="15" customHeight="1" x14ac:dyDescent="0.2">
      <c r="A4" s="3"/>
      <c r="B4" s="21" t="s">
        <v>107</v>
      </c>
      <c r="C4" s="14">
        <v>9</v>
      </c>
      <c r="D4" s="14">
        <v>0</v>
      </c>
      <c r="E4" s="3">
        <f t="shared" ref="E4:E20" si="3">IF(C4=15,32+D4,IF(C4=14,20+D4,IF(C4=13,12+D4,IF(C4=12,7+D4,IF(C4=11,4+D4,IF(C4=10,2+D4,IF(C4=0,0,1+D4)))))))</f>
        <v>1</v>
      </c>
      <c r="F4" s="6" t="s">
        <v>17</v>
      </c>
      <c r="G4" s="14">
        <v>11</v>
      </c>
      <c r="H4" s="14">
        <v>5</v>
      </c>
      <c r="I4" s="3">
        <f t="shared" si="0"/>
        <v>22</v>
      </c>
      <c r="J4" s="4" t="s">
        <v>46</v>
      </c>
      <c r="K4" s="14">
        <v>13</v>
      </c>
      <c r="L4" s="14">
        <v>41</v>
      </c>
      <c r="M4" s="3">
        <f t="shared" si="1"/>
        <v>197</v>
      </c>
      <c r="N4" s="9" t="s">
        <v>82</v>
      </c>
      <c r="O4" s="14">
        <v>12</v>
      </c>
      <c r="P4" s="14">
        <v>119</v>
      </c>
      <c r="Q4" s="3">
        <f t="shared" si="2"/>
        <v>430</v>
      </c>
    </row>
    <row r="5" spans="1:24" ht="15" customHeight="1" x14ac:dyDescent="0.2">
      <c r="A5" s="3"/>
      <c r="B5" s="19" t="s">
        <v>6</v>
      </c>
      <c r="C5" s="14">
        <v>11</v>
      </c>
      <c r="D5" s="14">
        <v>2</v>
      </c>
      <c r="E5" s="3">
        <f t="shared" si="3"/>
        <v>6</v>
      </c>
      <c r="F5" s="6" t="s">
        <v>20</v>
      </c>
      <c r="G5" s="14">
        <v>12</v>
      </c>
      <c r="H5" s="14">
        <v>3</v>
      </c>
      <c r="I5" s="3">
        <f t="shared" si="0"/>
        <v>30</v>
      </c>
      <c r="J5" s="4" t="s">
        <v>47</v>
      </c>
      <c r="K5" s="14">
        <v>12</v>
      </c>
      <c r="L5" s="14">
        <v>54</v>
      </c>
      <c r="M5" s="3">
        <f t="shared" si="1"/>
        <v>150</v>
      </c>
      <c r="N5" s="9" t="s">
        <v>79</v>
      </c>
      <c r="O5" s="14">
        <v>12</v>
      </c>
      <c r="P5" s="14">
        <v>145</v>
      </c>
      <c r="Q5" s="3">
        <f t="shared" si="2"/>
        <v>456</v>
      </c>
    </row>
    <row r="6" spans="1:24" ht="15" customHeight="1" x14ac:dyDescent="0.2">
      <c r="A6" s="3"/>
      <c r="B6" s="19" t="s">
        <v>7</v>
      </c>
      <c r="C6" s="14">
        <v>10</v>
      </c>
      <c r="D6" s="14">
        <v>0</v>
      </c>
      <c r="E6" s="3">
        <f t="shared" si="3"/>
        <v>2</v>
      </c>
      <c r="F6" s="6" t="s">
        <v>23</v>
      </c>
      <c r="G6" s="14">
        <v>12</v>
      </c>
      <c r="H6" s="14">
        <v>0</v>
      </c>
      <c r="I6" s="3">
        <f t="shared" si="0"/>
        <v>27</v>
      </c>
      <c r="J6" s="4" t="s">
        <v>51</v>
      </c>
      <c r="K6" s="14">
        <v>12</v>
      </c>
      <c r="L6" s="14">
        <v>29</v>
      </c>
      <c r="M6" s="3">
        <f t="shared" si="1"/>
        <v>125</v>
      </c>
      <c r="N6" s="9" t="s">
        <v>80</v>
      </c>
      <c r="O6" s="14">
        <v>13</v>
      </c>
      <c r="P6" s="14">
        <v>4</v>
      </c>
      <c r="Q6" s="3">
        <f t="shared" si="2"/>
        <v>495</v>
      </c>
    </row>
    <row r="7" spans="1:24" ht="15" customHeight="1" x14ac:dyDescent="0.2">
      <c r="A7" s="3"/>
      <c r="B7" s="19" t="s">
        <v>8</v>
      </c>
      <c r="C7" s="14">
        <v>11</v>
      </c>
      <c r="D7" s="14">
        <v>2</v>
      </c>
      <c r="E7" s="3">
        <f t="shared" si="3"/>
        <v>6</v>
      </c>
      <c r="F7" s="6" t="s">
        <v>18</v>
      </c>
      <c r="G7" s="14">
        <v>11</v>
      </c>
      <c r="H7" s="14">
        <v>0</v>
      </c>
      <c r="I7" s="3">
        <f t="shared" si="0"/>
        <v>17</v>
      </c>
      <c r="J7" s="4" t="s">
        <v>56</v>
      </c>
      <c r="K7" s="14">
        <v>12</v>
      </c>
      <c r="L7" s="14">
        <v>53</v>
      </c>
      <c r="M7" s="3">
        <f t="shared" si="1"/>
        <v>149</v>
      </c>
      <c r="N7" s="9" t="s">
        <v>83</v>
      </c>
      <c r="O7" s="14">
        <v>12</v>
      </c>
      <c r="P7" s="14">
        <v>92</v>
      </c>
      <c r="Q7" s="3">
        <f t="shared" si="2"/>
        <v>403</v>
      </c>
      <c r="S7" s="353" t="s">
        <v>103</v>
      </c>
      <c r="T7" s="358">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1021500</v>
      </c>
      <c r="U7" s="358"/>
      <c r="V7" s="361">
        <f>T7/卡牌!V7</f>
        <v>8.4108686702346641E-2</v>
      </c>
    </row>
    <row r="8" spans="1:24" ht="15" customHeight="1" x14ac:dyDescent="0.2">
      <c r="A8" s="3"/>
      <c r="B8" s="19" t="s">
        <v>9</v>
      </c>
      <c r="C8" s="14">
        <v>12</v>
      </c>
      <c r="D8" s="14">
        <v>1</v>
      </c>
      <c r="E8" s="3">
        <f t="shared" si="3"/>
        <v>8</v>
      </c>
      <c r="F8" s="6" t="s">
        <v>19</v>
      </c>
      <c r="G8" s="14">
        <v>11</v>
      </c>
      <c r="H8" s="14">
        <v>6</v>
      </c>
      <c r="I8" s="3">
        <f t="shared" si="0"/>
        <v>23</v>
      </c>
      <c r="J8" s="4" t="s">
        <v>48</v>
      </c>
      <c r="K8" s="14">
        <v>13</v>
      </c>
      <c r="L8" s="14">
        <v>1</v>
      </c>
      <c r="M8" s="3">
        <f t="shared" si="1"/>
        <v>157</v>
      </c>
      <c r="N8" s="9" t="s">
        <v>84</v>
      </c>
      <c r="O8" s="14">
        <v>13</v>
      </c>
      <c r="P8" s="14">
        <v>16</v>
      </c>
      <c r="Q8" s="3">
        <f t="shared" si="2"/>
        <v>507</v>
      </c>
      <c r="S8" s="357"/>
      <c r="T8" s="359"/>
      <c r="U8" s="359"/>
      <c r="V8" s="362"/>
    </row>
    <row r="9" spans="1:24" ht="15" customHeight="1" x14ac:dyDescent="0.2">
      <c r="A9" s="3"/>
      <c r="B9" s="19" t="s">
        <v>10</v>
      </c>
      <c r="C9" s="14">
        <v>11</v>
      </c>
      <c r="D9" s="14">
        <v>2</v>
      </c>
      <c r="E9" s="3">
        <f t="shared" si="3"/>
        <v>6</v>
      </c>
      <c r="F9" s="6" t="s">
        <v>24</v>
      </c>
      <c r="G9" s="14">
        <v>11</v>
      </c>
      <c r="H9" s="14">
        <v>9</v>
      </c>
      <c r="I9" s="3">
        <f t="shared" si="0"/>
        <v>26</v>
      </c>
      <c r="J9" s="4" t="s">
        <v>49</v>
      </c>
      <c r="K9" s="14">
        <v>13</v>
      </c>
      <c r="L9" s="14">
        <v>5</v>
      </c>
      <c r="M9" s="3">
        <f t="shared" si="1"/>
        <v>161</v>
      </c>
      <c r="N9" s="9" t="s">
        <v>85</v>
      </c>
      <c r="O9" s="14">
        <v>12</v>
      </c>
      <c r="P9" s="14">
        <v>120</v>
      </c>
      <c r="Q9" s="3">
        <f t="shared" si="2"/>
        <v>431</v>
      </c>
      <c r="S9" s="354"/>
      <c r="T9" s="360"/>
      <c r="U9" s="360"/>
      <c r="V9" s="363"/>
    </row>
    <row r="10" spans="1:24" ht="15" customHeight="1" x14ac:dyDescent="0.2">
      <c r="A10" s="3"/>
      <c r="B10" s="19" t="s">
        <v>11</v>
      </c>
      <c r="C10" s="14">
        <v>12</v>
      </c>
      <c r="D10" s="14">
        <v>1</v>
      </c>
      <c r="E10" s="3">
        <f t="shared" si="3"/>
        <v>8</v>
      </c>
      <c r="F10" s="6" t="s">
        <v>25</v>
      </c>
      <c r="G10" s="14">
        <v>12</v>
      </c>
      <c r="H10" s="14">
        <v>5</v>
      </c>
      <c r="I10" s="3">
        <f t="shared" si="0"/>
        <v>32</v>
      </c>
      <c r="J10" s="4" t="s">
        <v>52</v>
      </c>
      <c r="K10" s="14">
        <v>13</v>
      </c>
      <c r="L10" s="14">
        <v>6</v>
      </c>
      <c r="M10" s="3">
        <f t="shared" si="1"/>
        <v>162</v>
      </c>
      <c r="N10" s="9" t="s">
        <v>86</v>
      </c>
      <c r="O10" s="14">
        <v>12</v>
      </c>
      <c r="P10" s="14">
        <v>154</v>
      </c>
      <c r="Q10" s="3">
        <f t="shared" si="2"/>
        <v>465</v>
      </c>
    </row>
    <row r="11" spans="1:24" ht="15" customHeight="1" x14ac:dyDescent="0.2">
      <c r="A11" s="3"/>
      <c r="B11" s="19" t="s">
        <v>12</v>
      </c>
      <c r="C11" s="14">
        <v>12</v>
      </c>
      <c r="D11" s="14">
        <v>0</v>
      </c>
      <c r="E11" s="3">
        <f t="shared" si="3"/>
        <v>7</v>
      </c>
      <c r="F11" s="6" t="s">
        <v>28</v>
      </c>
      <c r="G11" s="14">
        <v>11</v>
      </c>
      <c r="H11" s="14">
        <v>8</v>
      </c>
      <c r="I11" s="3">
        <f t="shared" ref="I11:I18" si="4">IF(G11=11,17+H11,IF(G11=12,27+H11,IF(G11=10,11+H11,IF(G11=13,43+H11,IF(G11=14,70+H11,IF(G11=15,110+H11,IF(G11=9,7+H11,IF(G11=8,4+H11,IF(G11=7,2+H11,IF(G11=0,0,1+H11))))))))))</f>
        <v>25</v>
      </c>
      <c r="J11" s="4" t="s">
        <v>53</v>
      </c>
      <c r="K11" s="14">
        <v>12</v>
      </c>
      <c r="L11" s="14">
        <v>48</v>
      </c>
      <c r="M11" s="3">
        <f t="shared" si="1"/>
        <v>144</v>
      </c>
      <c r="N11" s="9" t="s">
        <v>87</v>
      </c>
      <c r="O11" s="14">
        <v>12</v>
      </c>
      <c r="P11" s="14">
        <v>94</v>
      </c>
      <c r="Q11" s="3">
        <f t="shared" si="2"/>
        <v>405</v>
      </c>
    </row>
    <row r="12" spans="1:24" ht="15" customHeight="1" x14ac:dyDescent="0.2">
      <c r="A12" s="3"/>
      <c r="B12" s="19" t="s">
        <v>13</v>
      </c>
      <c r="C12" s="14">
        <v>11</v>
      </c>
      <c r="D12" s="14">
        <v>0</v>
      </c>
      <c r="E12" s="3">
        <f t="shared" si="3"/>
        <v>4</v>
      </c>
      <c r="F12" s="6" t="s">
        <v>29</v>
      </c>
      <c r="G12" s="14">
        <v>10</v>
      </c>
      <c r="H12" s="14">
        <v>2</v>
      </c>
      <c r="I12" s="3">
        <f t="shared" si="4"/>
        <v>13</v>
      </c>
      <c r="J12" s="4" t="s">
        <v>57</v>
      </c>
      <c r="K12" s="14">
        <v>12</v>
      </c>
      <c r="L12" s="14">
        <v>53</v>
      </c>
      <c r="M12" s="3">
        <f t="shared" ref="M12:M20" si="5">IF(K12=15,L12+396,IF(K12=14,L12+252,IF(K12=13,L12+156,IF(K12=12,L12+96,IF(K12=11,L12+60,IF(K12=10,L12+42,IF(K12=9,L12+30,IF(K12=8,L12+20,IF(K12=7,L12+12,IF(K12=6,L12+7,IF(K12=5,L12+4,IF(K12=4,L12+2,IF(K12=0,0,1+L12)))))))))))))</f>
        <v>149</v>
      </c>
      <c r="N12" s="9" t="s">
        <v>88</v>
      </c>
      <c r="O12" s="14">
        <v>12</v>
      </c>
      <c r="P12" s="14">
        <v>105</v>
      </c>
      <c r="Q12" s="3">
        <f t="shared" si="2"/>
        <v>416</v>
      </c>
    </row>
    <row r="13" spans="1:24" ht="15" customHeight="1" x14ac:dyDescent="0.2">
      <c r="A13" s="3"/>
      <c r="B13" s="19" t="s">
        <v>14</v>
      </c>
      <c r="C13" s="14">
        <v>10</v>
      </c>
      <c r="D13" s="14">
        <v>1</v>
      </c>
      <c r="E13" s="3">
        <f t="shared" si="3"/>
        <v>3</v>
      </c>
      <c r="F13" s="6" t="s">
        <v>108</v>
      </c>
      <c r="G13" s="14">
        <v>10</v>
      </c>
      <c r="H13" s="14">
        <v>2</v>
      </c>
      <c r="I13" s="3">
        <f t="shared" si="4"/>
        <v>13</v>
      </c>
      <c r="J13" s="4" t="s">
        <v>61</v>
      </c>
      <c r="K13" s="14">
        <v>12</v>
      </c>
      <c r="L13" s="14">
        <v>58</v>
      </c>
      <c r="M13" s="3">
        <f t="shared" si="5"/>
        <v>154</v>
      </c>
      <c r="N13" s="9" t="s">
        <v>78</v>
      </c>
      <c r="O13" s="14">
        <v>12</v>
      </c>
      <c r="P13" s="14">
        <v>80</v>
      </c>
      <c r="Q13" s="3">
        <f t="shared" si="2"/>
        <v>391</v>
      </c>
      <c r="S13" s="353" t="s">
        <v>99</v>
      </c>
      <c r="T13" s="355">
        <v>78</v>
      </c>
      <c r="U13"/>
      <c r="V13"/>
      <c r="W13"/>
    </row>
    <row r="14" spans="1:24" ht="15" customHeight="1" x14ac:dyDescent="0.2">
      <c r="A14" s="3"/>
      <c r="B14" s="19" t="s">
        <v>15</v>
      </c>
      <c r="C14" s="14">
        <v>11</v>
      </c>
      <c r="D14" s="14">
        <v>0</v>
      </c>
      <c r="E14" s="3">
        <f t="shared" si="3"/>
        <v>4</v>
      </c>
      <c r="F14" s="6" t="s">
        <v>32</v>
      </c>
      <c r="G14" s="14">
        <v>11</v>
      </c>
      <c r="H14" s="14">
        <v>7</v>
      </c>
      <c r="I14" s="3">
        <f t="shared" si="4"/>
        <v>24</v>
      </c>
      <c r="J14" s="4" t="s">
        <v>58</v>
      </c>
      <c r="K14" s="14">
        <v>12</v>
      </c>
      <c r="L14" s="14">
        <v>45</v>
      </c>
      <c r="M14" s="3">
        <f t="shared" si="5"/>
        <v>141</v>
      </c>
      <c r="N14" s="10" t="s">
        <v>54</v>
      </c>
      <c r="O14" s="14">
        <v>12</v>
      </c>
      <c r="P14" s="14">
        <v>138</v>
      </c>
      <c r="Q14" s="3">
        <f>IF(O14=15,P14+1187,IF(O14=14,P14+787,IF(O14=13,P14+491,IF(O14=12,P14+311,IF(O14=11,P14+200,IF(O14=10,P14+128,IF(O14=9,P14+83,IF(O14=8,P14+53,IF(O14=7,P14+33,IF(O14=6,P14+20,IF(O14=5,P14+12,IF(O14=4,P14+7,IF(O14=3,P14+4,IF(O14=2,P14+2,IF(O14=0,0,P14+1)))))))))))))))</f>
        <v>449</v>
      </c>
      <c r="S14" s="354"/>
      <c r="T14" s="356"/>
      <c r="U14"/>
      <c r="V14"/>
      <c r="W14"/>
    </row>
    <row r="15" spans="1:24" ht="15" customHeight="1" x14ac:dyDescent="0.2">
      <c r="A15" s="3"/>
      <c r="B15" s="19" t="s">
        <v>74</v>
      </c>
      <c r="C15" s="14">
        <v>12</v>
      </c>
      <c r="D15" s="14">
        <v>0</v>
      </c>
      <c r="E15" s="3">
        <f t="shared" si="3"/>
        <v>7</v>
      </c>
      <c r="F15" s="6" t="s">
        <v>33</v>
      </c>
      <c r="G15" s="14">
        <v>12</v>
      </c>
      <c r="H15" s="14">
        <v>0</v>
      </c>
      <c r="I15" s="3">
        <f t="shared" si="4"/>
        <v>27</v>
      </c>
      <c r="J15" s="4" t="s">
        <v>62</v>
      </c>
      <c r="K15" s="14">
        <v>12</v>
      </c>
      <c r="L15" s="14">
        <v>55</v>
      </c>
      <c r="M15" s="3">
        <f t="shared" si="5"/>
        <v>151</v>
      </c>
      <c r="N15" s="9"/>
      <c r="O15" s="14"/>
      <c r="P15" s="14"/>
      <c r="Q15" s="3"/>
    </row>
    <row r="16" spans="1:24" ht="15" customHeight="1" x14ac:dyDescent="0.2">
      <c r="A16" s="3"/>
      <c r="B16" s="19" t="s">
        <v>75</v>
      </c>
      <c r="C16" s="14">
        <v>10</v>
      </c>
      <c r="D16" s="14">
        <v>1</v>
      </c>
      <c r="E16" s="3">
        <f t="shared" si="3"/>
        <v>3</v>
      </c>
      <c r="F16" s="6" t="s">
        <v>30</v>
      </c>
      <c r="G16" s="14">
        <v>11</v>
      </c>
      <c r="H16" s="14">
        <v>5</v>
      </c>
      <c r="I16" s="3">
        <f t="shared" si="4"/>
        <v>22</v>
      </c>
      <c r="J16" s="4" t="s">
        <v>59</v>
      </c>
      <c r="K16" s="14">
        <v>13</v>
      </c>
      <c r="L16" s="14">
        <v>13</v>
      </c>
      <c r="M16" s="3">
        <f t="shared" si="5"/>
        <v>169</v>
      </c>
      <c r="N16" s="9"/>
      <c r="O16" s="14"/>
      <c r="P16" s="14"/>
      <c r="Q16" s="3"/>
    </row>
    <row r="17" spans="1:21" ht="15" customHeight="1" x14ac:dyDescent="0.2">
      <c r="A17" s="3"/>
      <c r="B17" s="19" t="s">
        <v>104</v>
      </c>
      <c r="C17" s="14">
        <v>11</v>
      </c>
      <c r="D17" s="14">
        <v>2</v>
      </c>
      <c r="E17" s="3">
        <f t="shared" si="3"/>
        <v>6</v>
      </c>
      <c r="F17" s="6" t="s">
        <v>31</v>
      </c>
      <c r="G17" s="14">
        <v>11</v>
      </c>
      <c r="H17" s="14">
        <v>3</v>
      </c>
      <c r="I17" s="3">
        <f t="shared" si="4"/>
        <v>20</v>
      </c>
      <c r="J17" s="4" t="s">
        <v>60</v>
      </c>
      <c r="K17" s="14">
        <v>11</v>
      </c>
      <c r="L17" s="14">
        <v>24</v>
      </c>
      <c r="M17" s="3">
        <f t="shared" si="5"/>
        <v>84</v>
      </c>
      <c r="N17" s="9"/>
      <c r="O17" s="14"/>
      <c r="P17" s="14"/>
      <c r="Q17" s="3"/>
      <c r="S17" s="342" t="s">
        <v>100</v>
      </c>
      <c r="T17" s="342"/>
      <c r="U17" s="344" t="e">
        <f>IF(T13&lt;96,(V2/(I35/卡牌!#REF!)-V2)/(100-T13)*(1+卡牌!Y4*卡牌!Y5),IF(T13=100,0,卡牌!#REF!))</f>
        <v>#REF!</v>
      </c>
    </row>
    <row r="18" spans="1:21" ht="15" customHeight="1" x14ac:dyDescent="0.2">
      <c r="A18" s="3"/>
      <c r="B18" s="19" t="s">
        <v>76</v>
      </c>
      <c r="C18" s="14">
        <v>10</v>
      </c>
      <c r="D18" s="14">
        <v>1</v>
      </c>
      <c r="E18" s="3">
        <f t="shared" si="3"/>
        <v>3</v>
      </c>
      <c r="F18" s="6" t="s">
        <v>35</v>
      </c>
      <c r="G18" s="14">
        <v>11</v>
      </c>
      <c r="H18" s="14">
        <v>6</v>
      </c>
      <c r="I18" s="3">
        <f t="shared" si="4"/>
        <v>23</v>
      </c>
      <c r="J18" s="4" t="s">
        <v>63</v>
      </c>
      <c r="K18" s="14">
        <v>13</v>
      </c>
      <c r="L18" s="14">
        <v>11</v>
      </c>
      <c r="M18" s="3">
        <f t="shared" si="5"/>
        <v>167</v>
      </c>
      <c r="N18" s="9"/>
      <c r="O18" s="14"/>
      <c r="P18" s="14"/>
      <c r="Q18" s="3"/>
      <c r="S18" s="343"/>
      <c r="T18" s="343"/>
      <c r="U18" s="345"/>
    </row>
    <row r="19" spans="1:21" ht="15" customHeight="1" x14ac:dyDescent="0.2">
      <c r="A19" s="3"/>
      <c r="B19" s="19" t="s">
        <v>105</v>
      </c>
      <c r="C19" s="14">
        <v>11</v>
      </c>
      <c r="D19" s="14">
        <v>1</v>
      </c>
      <c r="E19" s="3">
        <f t="shared" si="3"/>
        <v>5</v>
      </c>
      <c r="F19" s="6" t="s">
        <v>34</v>
      </c>
      <c r="G19" s="14">
        <v>11</v>
      </c>
      <c r="H19" s="14">
        <v>9</v>
      </c>
      <c r="I19" s="3">
        <f>IF(G19=11,17+H19,IF(G19=12,27+H19,IF(G19=10,11+H19,IF(G19=13,43+H19,IF(G19=14,70+H19,IF(G19=15,110+H19,IF(G19=9,7+H19,IF(G19=8,4+H19,IF(G19=7,2+H19,IF(G19=0,0,1+H19))))))))))</f>
        <v>26</v>
      </c>
      <c r="J19" s="4" t="s">
        <v>65</v>
      </c>
      <c r="K19" s="14">
        <v>13</v>
      </c>
      <c r="L19" s="14">
        <v>13</v>
      </c>
      <c r="M19" s="3">
        <f t="shared" si="5"/>
        <v>169</v>
      </c>
      <c r="N19" s="9"/>
      <c r="O19" s="14"/>
      <c r="P19" s="14"/>
      <c r="Q19" s="3"/>
      <c r="S19" s="342" t="s">
        <v>111</v>
      </c>
      <c r="T19" s="342"/>
      <c r="U19" s="333" t="e">
        <f>IF(T13&lt;96,U17*(100-T13),IF(U17=0,"已满级",U17*(100-T13)&amp;"(存在误差)"))</f>
        <v>#REF!</v>
      </c>
    </row>
    <row r="20" spans="1:21" ht="15" customHeight="1" x14ac:dyDescent="0.2">
      <c r="A20" s="3"/>
      <c r="B20" s="19" t="s">
        <v>77</v>
      </c>
      <c r="C20" s="14">
        <v>12</v>
      </c>
      <c r="D20" s="14">
        <v>0</v>
      </c>
      <c r="E20" s="3">
        <f t="shared" si="3"/>
        <v>7</v>
      </c>
      <c r="F20" s="6" t="s">
        <v>36</v>
      </c>
      <c r="G20" s="14">
        <v>12</v>
      </c>
      <c r="H20" s="14">
        <v>4</v>
      </c>
      <c r="I20" s="3">
        <f t="shared" ref="I20:I34" si="6">IF(G20=11,17+H20,IF(G20=12,27+H20,IF(G20=10,11+H20,IF(G20=13,43+H20,IF(G20=14,70+H20,IF(G20=15,110+H20,IF(G20=9,7+H20,IF(G20=8,4+H20,IF(G20=7,2+H20,IF(G20=0,0,1+H20))))))))))</f>
        <v>31</v>
      </c>
      <c r="J20" s="4" t="s">
        <v>66</v>
      </c>
      <c r="K20" s="14">
        <v>12</v>
      </c>
      <c r="L20" s="14">
        <v>53</v>
      </c>
      <c r="M20" s="3">
        <f t="shared" si="5"/>
        <v>149</v>
      </c>
      <c r="N20" s="9"/>
      <c r="O20" s="14"/>
      <c r="P20" s="14"/>
      <c r="Q20" s="3"/>
      <c r="S20" s="343"/>
      <c r="T20" s="343"/>
      <c r="U20" s="334"/>
    </row>
    <row r="21" spans="1:21" ht="15" customHeight="1" x14ac:dyDescent="0.2">
      <c r="A21" s="3"/>
      <c r="B21" s="19"/>
      <c r="C21" s="14"/>
      <c r="D21" s="14"/>
      <c r="E21" s="3"/>
      <c r="F21" s="6" t="s">
        <v>37</v>
      </c>
      <c r="G21" s="14">
        <v>11</v>
      </c>
      <c r="H21" s="14">
        <v>10</v>
      </c>
      <c r="I21" s="3">
        <f t="shared" si="6"/>
        <v>27</v>
      </c>
      <c r="J21" s="4" t="s">
        <v>64</v>
      </c>
      <c r="K21" s="14">
        <v>12</v>
      </c>
      <c r="L21" s="14">
        <v>58</v>
      </c>
      <c r="M21" s="3">
        <f t="shared" ref="M21:M26" si="7">IF(K21=15,L21+396,IF(K21=14,L21+252,IF(K21=13,L21+156,IF(K21=12,L21+96,IF(K21=11,L21+60,IF(K21=10,L21+42,IF(K21=9,L21+30,IF(K21=8,L21+20,IF(K21=7,L21+12,IF(K21=6,L21+7,IF(K21=5,L21+4,IF(K21=4,L21+2,IF(K21=0,0,1+L21)))))))))))))</f>
        <v>154</v>
      </c>
      <c r="N21" s="9"/>
      <c r="O21" s="14"/>
      <c r="P21" s="14"/>
      <c r="Q21" s="3"/>
    </row>
    <row r="22" spans="1:21" ht="15" customHeight="1" x14ac:dyDescent="0.2">
      <c r="A22" s="3"/>
      <c r="B22" s="19"/>
      <c r="C22" s="14"/>
      <c r="D22" s="14"/>
      <c r="E22" s="3"/>
      <c r="F22" s="6" t="s">
        <v>40</v>
      </c>
      <c r="G22" s="14">
        <v>12</v>
      </c>
      <c r="H22" s="14">
        <v>0</v>
      </c>
      <c r="I22" s="3">
        <f t="shared" si="6"/>
        <v>27</v>
      </c>
      <c r="J22" s="4" t="s">
        <v>50</v>
      </c>
      <c r="K22" s="14">
        <v>12</v>
      </c>
      <c r="L22" s="14">
        <v>56</v>
      </c>
      <c r="M22" s="3">
        <f t="shared" si="7"/>
        <v>152</v>
      </c>
      <c r="N22" s="9"/>
      <c r="O22" s="14"/>
      <c r="P22" s="14"/>
      <c r="Q22" s="3"/>
    </row>
    <row r="23" spans="1:21" ht="15" customHeight="1" x14ac:dyDescent="0.2">
      <c r="A23" s="3"/>
      <c r="B23" s="19"/>
      <c r="C23" s="14"/>
      <c r="D23" s="14"/>
      <c r="E23" s="3"/>
      <c r="F23" s="6" t="s">
        <v>41</v>
      </c>
      <c r="G23" s="14">
        <v>12</v>
      </c>
      <c r="H23" s="14">
        <v>8</v>
      </c>
      <c r="I23" s="3">
        <f t="shared" si="6"/>
        <v>35</v>
      </c>
      <c r="J23" s="4" t="s">
        <v>55</v>
      </c>
      <c r="K23" s="14">
        <v>13</v>
      </c>
      <c r="L23" s="14">
        <v>7</v>
      </c>
      <c r="M23" s="3">
        <f t="shared" si="7"/>
        <v>163</v>
      </c>
      <c r="N23" s="9"/>
      <c r="O23" s="14"/>
      <c r="P23" s="14"/>
      <c r="Q23" s="3"/>
    </row>
    <row r="24" spans="1:21" ht="15" customHeight="1" x14ac:dyDescent="0.2">
      <c r="A24" s="3"/>
      <c r="B24" s="19"/>
      <c r="C24" s="14"/>
      <c r="D24" s="14"/>
      <c r="E24" s="3"/>
      <c r="F24" s="6" t="s">
        <v>38</v>
      </c>
      <c r="G24" s="14">
        <v>11</v>
      </c>
      <c r="H24" s="14">
        <v>7</v>
      </c>
      <c r="I24" s="3">
        <f t="shared" si="6"/>
        <v>24</v>
      </c>
      <c r="J24" s="4" t="s">
        <v>68</v>
      </c>
      <c r="K24" s="14">
        <v>13</v>
      </c>
      <c r="L24" s="14">
        <v>6</v>
      </c>
      <c r="M24" s="3">
        <f t="shared" si="7"/>
        <v>162</v>
      </c>
      <c r="N24" s="9"/>
      <c r="O24" s="14"/>
      <c r="P24" s="14"/>
      <c r="Q24" s="3"/>
    </row>
    <row r="25" spans="1:21" ht="15" customHeight="1" x14ac:dyDescent="0.2">
      <c r="A25" s="3"/>
      <c r="B25" s="19"/>
      <c r="C25" s="14"/>
      <c r="D25" s="14"/>
      <c r="E25" s="3"/>
      <c r="F25" s="6" t="s">
        <v>39</v>
      </c>
      <c r="G25" s="14">
        <v>12</v>
      </c>
      <c r="H25" s="14">
        <v>6</v>
      </c>
      <c r="I25" s="3">
        <f t="shared" si="6"/>
        <v>33</v>
      </c>
      <c r="J25" s="4" t="s">
        <v>69</v>
      </c>
      <c r="K25" s="14">
        <v>13</v>
      </c>
      <c r="L25" s="14">
        <v>2</v>
      </c>
      <c r="M25" s="3">
        <f t="shared" si="7"/>
        <v>158</v>
      </c>
      <c r="N25" s="9"/>
      <c r="O25" s="14"/>
      <c r="P25" s="14"/>
      <c r="Q25" s="3"/>
    </row>
    <row r="26" spans="1:21" ht="15" customHeight="1" x14ac:dyDescent="0.2">
      <c r="A26" s="3"/>
      <c r="B26" s="19"/>
      <c r="C26" s="14"/>
      <c r="D26" s="14"/>
      <c r="E26" s="3"/>
      <c r="F26" s="6" t="s">
        <v>26</v>
      </c>
      <c r="G26" s="14">
        <v>12</v>
      </c>
      <c r="H26" s="14">
        <v>10</v>
      </c>
      <c r="I26" s="3">
        <f t="shared" si="6"/>
        <v>37</v>
      </c>
      <c r="J26" s="4" t="s">
        <v>67</v>
      </c>
      <c r="K26" s="14">
        <v>13</v>
      </c>
      <c r="L26" s="14">
        <v>13</v>
      </c>
      <c r="M26" s="3">
        <f t="shared" si="7"/>
        <v>169</v>
      </c>
      <c r="N26" s="9"/>
      <c r="O26" s="14"/>
      <c r="P26" s="14"/>
      <c r="Q26" s="3"/>
    </row>
    <row r="27" spans="1:21" ht="15" customHeight="1" x14ac:dyDescent="0.2">
      <c r="A27" s="3"/>
      <c r="B27" s="19"/>
      <c r="C27" s="14"/>
      <c r="D27" s="14"/>
      <c r="E27" s="3"/>
      <c r="F27" s="6" t="s">
        <v>27</v>
      </c>
      <c r="G27" s="14">
        <v>12</v>
      </c>
      <c r="H27" s="14">
        <v>6</v>
      </c>
      <c r="I27" s="3">
        <f t="shared" si="6"/>
        <v>33</v>
      </c>
      <c r="J27" s="4"/>
      <c r="K27" s="14"/>
      <c r="L27" s="14"/>
      <c r="M27" s="3"/>
      <c r="N27" s="9"/>
      <c r="O27" s="14"/>
      <c r="P27" s="14"/>
      <c r="Q27" s="3"/>
    </row>
    <row r="28" spans="1:21" ht="15" customHeight="1" x14ac:dyDescent="0.2">
      <c r="A28" s="3"/>
      <c r="B28" s="19"/>
      <c r="C28" s="14"/>
      <c r="D28" s="14"/>
      <c r="E28" s="3"/>
      <c r="F28" s="6" t="s">
        <v>42</v>
      </c>
      <c r="G28" s="14">
        <v>10</v>
      </c>
      <c r="H28" s="14">
        <v>3</v>
      </c>
      <c r="I28" s="3">
        <f t="shared" si="6"/>
        <v>14</v>
      </c>
      <c r="J28" s="4"/>
      <c r="K28" s="14"/>
      <c r="L28" s="14"/>
      <c r="M28" s="3"/>
      <c r="N28" s="9"/>
      <c r="O28" s="14"/>
      <c r="P28" s="14"/>
      <c r="Q28" s="3"/>
    </row>
    <row r="29" spans="1:21" ht="15" customHeight="1" x14ac:dyDescent="0.2">
      <c r="A29" s="3"/>
      <c r="B29" s="19"/>
      <c r="C29" s="14"/>
      <c r="D29" s="14"/>
      <c r="E29" s="3"/>
      <c r="F29" s="6" t="s">
        <v>73</v>
      </c>
      <c r="G29" s="14">
        <v>12</v>
      </c>
      <c r="H29" s="14">
        <v>0</v>
      </c>
      <c r="I29" s="3">
        <f t="shared" si="6"/>
        <v>27</v>
      </c>
      <c r="J29" s="4"/>
      <c r="K29" s="14"/>
      <c r="L29" s="14"/>
      <c r="M29" s="3"/>
      <c r="N29" s="9"/>
      <c r="O29" s="14"/>
      <c r="P29" s="14"/>
      <c r="Q29" s="3"/>
    </row>
    <row r="30" spans="1:21" ht="15" customHeight="1" x14ac:dyDescent="0.2">
      <c r="A30" s="3"/>
      <c r="B30" s="19"/>
      <c r="C30" s="14"/>
      <c r="D30" s="14"/>
      <c r="E30" s="3"/>
      <c r="F30" s="6" t="s">
        <v>72</v>
      </c>
      <c r="G30" s="14">
        <v>11</v>
      </c>
      <c r="H30" s="14">
        <v>4</v>
      </c>
      <c r="I30" s="3">
        <f t="shared" si="6"/>
        <v>21</v>
      </c>
      <c r="J30" s="4"/>
      <c r="K30" s="14"/>
      <c r="L30" s="14"/>
      <c r="M30" s="3"/>
      <c r="N30" s="9"/>
      <c r="O30" s="14"/>
      <c r="P30" s="14"/>
      <c r="Q30" s="3"/>
    </row>
    <row r="31" spans="1:21" ht="15" customHeight="1" x14ac:dyDescent="0.2">
      <c r="A31" s="3"/>
      <c r="B31" s="19"/>
      <c r="C31" s="14"/>
      <c r="D31" s="14"/>
      <c r="E31" s="3"/>
      <c r="F31" s="6" t="s">
        <v>71</v>
      </c>
      <c r="G31" s="14">
        <v>12</v>
      </c>
      <c r="H31" s="14">
        <v>0</v>
      </c>
      <c r="I31" s="3">
        <f t="shared" si="6"/>
        <v>27</v>
      </c>
      <c r="J31" s="4"/>
      <c r="K31" s="14"/>
      <c r="L31" s="14"/>
      <c r="M31" s="3"/>
      <c r="N31" s="9"/>
      <c r="O31" s="14"/>
      <c r="P31" s="14"/>
      <c r="Q31" s="3"/>
    </row>
    <row r="32" spans="1:21" ht="15" customHeight="1" x14ac:dyDescent="0.2">
      <c r="A32" s="3"/>
      <c r="B32" s="19"/>
      <c r="C32" s="14"/>
      <c r="D32" s="14"/>
      <c r="E32" s="3"/>
      <c r="F32" s="6" t="s">
        <v>70</v>
      </c>
      <c r="G32" s="14">
        <v>11</v>
      </c>
      <c r="H32" s="14">
        <v>4</v>
      </c>
      <c r="I32" s="3">
        <f t="shared" si="6"/>
        <v>21</v>
      </c>
      <c r="J32" s="4"/>
      <c r="K32" s="14"/>
      <c r="L32" s="14"/>
      <c r="M32" s="3"/>
      <c r="N32" s="9"/>
      <c r="O32" s="14"/>
      <c r="P32" s="14"/>
      <c r="Q32" s="3"/>
    </row>
    <row r="33" spans="1:19" ht="15" customHeight="1" x14ac:dyDescent="0.2">
      <c r="A33" s="3"/>
      <c r="B33" s="19"/>
      <c r="C33" s="14"/>
      <c r="D33" s="14"/>
      <c r="E33" s="3"/>
      <c r="F33" s="6" t="s">
        <v>43</v>
      </c>
      <c r="G33" s="14">
        <v>12</v>
      </c>
      <c r="H33" s="14">
        <v>4</v>
      </c>
      <c r="I33" s="3">
        <f t="shared" si="6"/>
        <v>31</v>
      </c>
      <c r="J33" s="4"/>
      <c r="K33" s="14"/>
      <c r="L33" s="14"/>
      <c r="M33" s="3"/>
      <c r="N33" s="9"/>
      <c r="O33" s="14"/>
      <c r="P33" s="14"/>
      <c r="Q33" s="3"/>
      <c r="R33"/>
    </row>
    <row r="34" spans="1:19" s="1" customFormat="1" ht="15" customHeight="1" x14ac:dyDescent="0.2">
      <c r="B34" s="19"/>
      <c r="C34" s="14"/>
      <c r="D34" s="14"/>
      <c r="E34" s="3"/>
      <c r="F34" s="6" t="s">
        <v>44</v>
      </c>
      <c r="G34" s="14">
        <v>12</v>
      </c>
      <c r="H34" s="14">
        <v>2</v>
      </c>
      <c r="I34" s="3">
        <f t="shared" si="6"/>
        <v>29</v>
      </c>
      <c r="J34" s="4"/>
      <c r="K34" s="14"/>
      <c r="L34" s="14"/>
      <c r="M34" s="3"/>
      <c r="N34" s="9"/>
      <c r="O34" s="14"/>
      <c r="P34" s="14"/>
      <c r="Q34" s="3"/>
      <c r="R34" s="10" t="s">
        <v>101</v>
      </c>
      <c r="S34" s="10" t="s">
        <v>102</v>
      </c>
    </row>
    <row r="35" spans="1:19" s="1" customFormat="1" x14ac:dyDescent="0.2">
      <c r="A35" s="7" t="s">
        <v>5</v>
      </c>
      <c r="B35" s="7">
        <f>IF(B2="传说卡",卡牌!U3-COUNTIF(C5:C20,"0"),卡牌!U2-COUNTIF(C3:C4,"0"))</f>
        <v>21</v>
      </c>
      <c r="C35" s="16">
        <f>IF(B2="传说卡",SUM(C5:C20)/B35,SUM(C3:C4)/B35)</f>
        <v>8.4285714285714288</v>
      </c>
      <c r="D35" s="7"/>
      <c r="E35" s="7">
        <f>IF(B2="传说卡",SUM(E5:E34),SUM(E3:E4))</f>
        <v>85</v>
      </c>
      <c r="F35" s="7">
        <f>COUNTIF(G3:G34,"&gt;0")</f>
        <v>32</v>
      </c>
      <c r="G35" s="38">
        <f>SUM(G3:G34)/F35</f>
        <v>11.34375</v>
      </c>
      <c r="H35" s="7"/>
      <c r="I35" s="7">
        <f>SUM(I3:I34)</f>
        <v>811</v>
      </c>
      <c r="J35" s="7">
        <f>卡牌!U5-COUNTIF(K3:K33,"0")</f>
        <v>24</v>
      </c>
      <c r="K35" s="16">
        <f>AVERAGE(K3:K27)</f>
        <v>12.375</v>
      </c>
      <c r="L35" s="7"/>
      <c r="M35" s="7">
        <f>SUM(M3:M34)</f>
        <v>3601</v>
      </c>
      <c r="N35" s="7">
        <f>卡牌!U6-COUNTIF(O3:O14,"0")</f>
        <v>13</v>
      </c>
      <c r="O35" s="16">
        <f>AVERAGE(O3:O25)</f>
        <v>12.166666666666666</v>
      </c>
      <c r="P35" s="7"/>
      <c r="Q35" s="7">
        <f>SUM(Q3:Q33)</f>
        <v>5285</v>
      </c>
      <c r="R35" s="7">
        <f>COUNTIF(C3:C34,"&gt;0")+COUNTIF(G3:G34,"&gt;0")+COUNTIF(K3:K34,"&gt;0")+COUNTIF(O3:O34,"&gt;0")</f>
        <v>86</v>
      </c>
      <c r="S35" s="16">
        <f>SUM(C3:C33,G3:G34,K3:K33,O3:O33)/R35</f>
        <v>11.63953488372093</v>
      </c>
    </row>
    <row r="36" spans="1:19" s="1" customFormat="1" x14ac:dyDescent="0.2">
      <c r="A36" s="8" t="s">
        <v>93</v>
      </c>
      <c r="B36" s="11">
        <f>IF(B2="传说卡",B35/卡牌!U3,B35/卡牌!U2)</f>
        <v>1</v>
      </c>
      <c r="C36" s="11"/>
      <c r="D36" s="11"/>
      <c r="E36" s="11">
        <f>IF(B2="传说卡",E35/卡牌!V3,E35/卡牌!V2)</f>
        <v>7.783882783882784E-2</v>
      </c>
      <c r="F36" s="11">
        <f>F35/卡牌!U4</f>
        <v>0.88888888888888884</v>
      </c>
      <c r="G36" s="11"/>
      <c r="H36" s="11"/>
      <c r="I36" s="11">
        <f>I35/卡牌!V4</f>
        <v>0.16207034372501999</v>
      </c>
      <c r="J36" s="11">
        <f>J35/卡牌!U5</f>
        <v>1</v>
      </c>
      <c r="K36" s="11"/>
      <c r="L36" s="11"/>
      <c r="M36" s="11">
        <f>M35/卡牌!V5</f>
        <v>0.24397018970189702</v>
      </c>
      <c r="N36" s="11">
        <v>1</v>
      </c>
      <c r="O36" s="11"/>
      <c r="P36" s="11"/>
      <c r="Q36" s="11">
        <f>Q35/卡牌!V6</f>
        <v>0.19294658829542549</v>
      </c>
      <c r="R36" s="11">
        <f>R35/卡牌!U7</f>
        <v>0.85148514851485146</v>
      </c>
      <c r="S36" s="11">
        <f>AVERAGE(SUM(E3:E20)/(卡牌!V2+卡牌!V3),M36,I36,Q36)</f>
        <v>0.16468496724377243</v>
      </c>
    </row>
    <row r="37" spans="1:19" x14ac:dyDescent="0.2">
      <c r="A37" s="10" t="s">
        <v>94</v>
      </c>
      <c r="B37" s="337">
        <f>IF(B2="传说卡",V2/E36-V2,(V2-139)/E36-(V2-139))</f>
        <v>1705.9764705882353</v>
      </c>
      <c r="C37" s="338"/>
      <c r="D37" s="338"/>
      <c r="E37" s="339"/>
      <c r="F37" s="337">
        <f>V2/I36-V2</f>
        <v>744.50308261405667</v>
      </c>
      <c r="G37" s="338"/>
      <c r="H37" s="338"/>
      <c r="I37" s="339"/>
      <c r="J37" s="337">
        <f>V2/M36-V2</f>
        <v>446.23604554290478</v>
      </c>
      <c r="K37" s="338"/>
      <c r="L37" s="338"/>
      <c r="M37" s="339"/>
      <c r="N37" s="337">
        <f>V2/Q36-V2</f>
        <v>602.3205298013246</v>
      </c>
      <c r="O37" s="338"/>
      <c r="P37" s="338"/>
      <c r="Q37" s="339"/>
    </row>
    <row r="38" spans="1:19" x14ac:dyDescent="0.2">
      <c r="A38" s="12" t="s">
        <v>98</v>
      </c>
      <c r="B38" s="347">
        <f>IF(B2="传说卡",B37+$V$2,B37+$V$2-139)</f>
        <v>1849.9764705882353</v>
      </c>
      <c r="C38" s="347"/>
      <c r="D38" s="347"/>
      <c r="E38" s="348"/>
      <c r="F38" s="346">
        <f>F37+$V$2</f>
        <v>888.50308261405667</v>
      </c>
      <c r="G38" s="347"/>
      <c r="H38" s="347"/>
      <c r="I38" s="348"/>
      <c r="J38" s="346">
        <f>J37+$V$2</f>
        <v>590.23604554290478</v>
      </c>
      <c r="K38" s="347"/>
      <c r="L38" s="347"/>
      <c r="M38" s="348"/>
      <c r="N38" s="346">
        <f>N37+$V$2</f>
        <v>746.3205298013246</v>
      </c>
      <c r="O38" s="347"/>
      <c r="P38" s="347"/>
      <c r="Q38" s="348"/>
    </row>
    <row r="39" spans="1:19" x14ac:dyDescent="0.2">
      <c r="A39" s="3" t="s">
        <v>95</v>
      </c>
      <c r="B39" s="350">
        <f>IF(B2="传说卡",E35/V2,E35/(V2-139))</f>
        <v>0.59027777777777779</v>
      </c>
      <c r="C39" s="351"/>
      <c r="D39" s="351"/>
      <c r="E39" s="352"/>
      <c r="F39" s="350">
        <f>I35/V2</f>
        <v>5.6319444444444446</v>
      </c>
      <c r="G39" s="351"/>
      <c r="H39" s="351"/>
      <c r="I39" s="352"/>
      <c r="J39" s="350">
        <f>M35/V2</f>
        <v>25.006944444444443</v>
      </c>
      <c r="K39" s="351"/>
      <c r="L39" s="351"/>
      <c r="M39" s="352"/>
      <c r="N39" s="350">
        <f>Q35/V2</f>
        <v>36.701388888888886</v>
      </c>
      <c r="O39" s="351"/>
      <c r="P39" s="351"/>
      <c r="Q39" s="352"/>
    </row>
    <row r="57" spans="10:10" x14ac:dyDescent="0.2">
      <c r="J57"/>
    </row>
  </sheetData>
  <mergeCells count="22">
    <mergeCell ref="A1:X1"/>
    <mergeCell ref="S7:S9"/>
    <mergeCell ref="T7:U9"/>
    <mergeCell ref="V7:V9"/>
    <mergeCell ref="S13:S14"/>
    <mergeCell ref="T13:T14"/>
    <mergeCell ref="S17:T18"/>
    <mergeCell ref="U17:U18"/>
    <mergeCell ref="S19:T20"/>
    <mergeCell ref="U19:U20"/>
    <mergeCell ref="B37:E37"/>
    <mergeCell ref="F37:I37"/>
    <mergeCell ref="J37:M37"/>
    <mergeCell ref="N37:Q37"/>
    <mergeCell ref="B38:E38"/>
    <mergeCell ref="F38:I38"/>
    <mergeCell ref="J38:M38"/>
    <mergeCell ref="N38:Q38"/>
    <mergeCell ref="B39:E39"/>
    <mergeCell ref="F39:I39"/>
    <mergeCell ref="J39:M39"/>
    <mergeCell ref="N39:Q39"/>
  </mergeCells>
  <phoneticPr fontId="1" type="noConversion"/>
  <conditionalFormatting sqref="B2">
    <cfRule type="containsText" dxfId="2" priority="1" operator="containsText" text="传说">
      <formula>NOT(ISERROR(SEARCH("传说",B2)))</formula>
    </cfRule>
    <cfRule type="containsText" dxfId="1" priority="2" operator="containsText" text="传说">
      <formula>NOT(ISERROR(SEARCH("传说",B2)))</formula>
    </cfRule>
    <cfRule type="containsText" dxfId="0" priority="3" operator="containsText" text="禁忌">
      <formula>NOT(ISERROR(SEARCH("禁忌",B2)))</formula>
    </cfRule>
  </conditionalFormatting>
  <dataValidations count="9">
    <dataValidation type="list" allowBlank="1" showInputMessage="1" showErrorMessage="1" sqref="B2" xr:uid="{A1B21018-8463-4804-9555-5E411F852430}">
      <formula1>"传说卡,禁忌/光辉卡"</formula1>
    </dataValidation>
    <dataValidation type="whole" allowBlank="1" showInputMessage="1" showErrorMessage="1" errorTitle="注意" error="输入对应卡牌的等级" promptTitle="注意" prompt="输入对应卡牌的等级" sqref="C21:C33" xr:uid="{4B43FFFB-F0ED-408F-8366-35133F00ED23}">
      <formula1>1</formula1>
      <formula2>15</formula2>
    </dataValidation>
    <dataValidation allowBlank="1" showInputMessage="1" showErrorMessage="1" errorTitle="注意" error="输入对应卡牌的等级" promptTitle="注意" prompt="输入对应卡牌的等级" sqref="K27:K33" xr:uid="{914E11AA-DEAD-4FC2-8018-AB35740C7E4E}"/>
    <dataValidation type="decimal" allowBlank="1" showInputMessage="1" showErrorMessage="1" prompt="输入卡牌的进度卡牌数目" sqref="D21:D33" xr:uid="{E38B8EC0-08DA-49AE-9D30-595B2AD397C8}">
      <formula1>0</formula1>
      <formula2>16</formula2>
    </dataValidation>
    <dataValidation type="whole" allowBlank="1" showInputMessage="1" showErrorMessage="1" errorTitle="注意" error="输入对应卡牌的等级" promptTitle="注意" prompt="输入对应卡牌的等级" sqref="C3:C20 G3:G12 G14:G34 K3:K26 O5 O13 O6" xr:uid="{E73346D7-D870-4807-9E3C-442883F30679}">
      <formula1>0</formula1>
      <formula2>15</formula2>
    </dataValidation>
    <dataValidation type="decimal" allowBlank="1" showInputMessage="1" showErrorMessage="1" error="输入卡牌的进度卡牌数目" prompt="输入卡牌的进度卡牌数目" sqref="H26 H27 H3:H12 H24:H25 H14:H23 H28:H34" xr:uid="{0BCC662D-0B18-4CEC-894A-2CB2917CD10E}">
      <formula1>0</formula1>
      <formula2>110</formula2>
    </dataValidation>
    <dataValidation type="whole" allowBlank="1" showInputMessage="1" showErrorMessage="1" error="输入卡牌的进度卡牌数目" prompt="输入卡牌的进度卡牌数目" sqref="L22:L23 L3:L21 L24:L33" xr:uid="{4E17E86E-5FD7-44EA-B33E-61A61E2B0C13}">
      <formula1>0</formula1>
      <formula2>396</formula2>
    </dataValidation>
    <dataValidation type="whole" allowBlank="1" showInputMessage="1" showErrorMessage="1" error="输入卡牌的进度卡牌数目" prompt="输入卡牌的进度卡牌数目" sqref="P13 P3:P12 P14:P33" xr:uid="{A791A94B-B525-40A3-9A91-435928879D48}">
      <formula1>0</formula1>
      <formula2>1186</formula2>
    </dataValidation>
    <dataValidation type="whole" allowBlank="1" showInputMessage="1" showErrorMessage="1" promptTitle="注意" prompt="输入对应卡牌的等级" sqref="O3:O4 O7:O12 O14:O34" xr:uid="{4479398B-C088-4332-B5C2-0182A9139B45}">
      <formula1>0</formula1>
      <formula2>15</formula2>
    </dataValidation>
  </dataValidation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5921-5199-4770-9D3D-52F7F897F8F0}">
  <sheetPr codeName="Sheet11"/>
  <dimension ref="A1:W57"/>
  <sheetViews>
    <sheetView workbookViewId="0">
      <pane ySplit="2" topLeftCell="A3" activePane="bottomLeft" state="frozen"/>
      <selection pane="bottomLeft" activeCell="G3" sqref="G3:H32"/>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3" ht="18" customHeight="1" x14ac:dyDescent="0.2">
      <c r="A1" s="364" t="s">
        <v>109</v>
      </c>
      <c r="B1" s="364"/>
      <c r="C1" s="364"/>
      <c r="D1" s="364"/>
      <c r="E1" s="364"/>
      <c r="F1" s="364"/>
      <c r="G1" s="364"/>
      <c r="H1" s="364"/>
      <c r="I1" s="364"/>
      <c r="J1" s="364"/>
      <c r="K1" s="364"/>
      <c r="L1" s="364"/>
      <c r="M1" s="364"/>
      <c r="N1" s="364"/>
      <c r="O1" s="364"/>
      <c r="P1" s="364"/>
      <c r="Q1" s="364"/>
      <c r="R1" s="364"/>
      <c r="S1" s="364"/>
      <c r="T1" s="364"/>
      <c r="U1" s="364"/>
      <c r="V1" s="364"/>
    </row>
    <row r="2" spans="1:23" ht="34.5" customHeight="1" x14ac:dyDescent="0.2">
      <c r="A2" s="18"/>
      <c r="B2" s="35" t="s">
        <v>131</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17" t="s">
        <v>112</v>
      </c>
      <c r="U2" s="10" t="s">
        <v>96</v>
      </c>
      <c r="V2" s="14">
        <v>140</v>
      </c>
    </row>
    <row r="3" spans="1:23" ht="15" customHeight="1" x14ac:dyDescent="0.2">
      <c r="A3" s="3"/>
      <c r="B3" s="22" t="s">
        <v>106</v>
      </c>
      <c r="C3" s="14">
        <v>0</v>
      </c>
      <c r="D3" s="14">
        <v>0</v>
      </c>
      <c r="E3" s="3">
        <f>IF(C3=15,32+D3,IF(C3=14,20+D3,IF(C3=13,12+D3,IF(C3=12,7+D3,IF(C3=11,4+D3,IF(C3=10,2+D3,IF(C3=0,0,1+D3)))))))</f>
        <v>0</v>
      </c>
      <c r="F3" s="6" t="s">
        <v>16</v>
      </c>
      <c r="G3" s="14">
        <v>11</v>
      </c>
      <c r="H3" s="14">
        <v>6</v>
      </c>
      <c r="I3" s="3">
        <f>IF(G3=11,17+H3,IF(G3=12,27+H3,IF(G3=10,11+H3,IF(G3=13,43+H3,IF(G3=14,70+H3,IF(G3=15,110+H3,IF(G3=9,7+H3,IF(G3=8,4+H3,IF(G3=7,2+H3,IF(G3=0,0,1+H3))))))))))</f>
        <v>23</v>
      </c>
      <c r="J3" s="4" t="s">
        <v>45</v>
      </c>
      <c r="K3" s="14">
        <v>11</v>
      </c>
      <c r="L3" s="14">
        <v>2</v>
      </c>
      <c r="M3" s="3">
        <f>IF(K3=15,L3+396,IF(K3=14,L3+252,IF(K3=13,L3+156,IF(K3=12,L3+96,IF(K3=11,L3+60,IF(K3=10,L3+42,IF(K3=9,L3+30,IF(K3=8,L3+20,IF(K3=7,L3+12,IF(K3=6,L3+7,IF(K3=5,L3+4,IF(K3=4,L3+2,IF(K3=0,0,1+L3)))))))))))))</f>
        <v>62</v>
      </c>
      <c r="N3" s="9" t="s">
        <v>78</v>
      </c>
      <c r="O3" s="14">
        <v>12</v>
      </c>
      <c r="P3" s="14">
        <v>62</v>
      </c>
      <c r="Q3" s="3">
        <f>IF(O3=15,P3+1187,IF(O3=14,P3+787,IF(O3=13,P3+491,IF(O3=12,P3+311,IF(O3=11,P3+200,IF(O3=10,P3+128,IF(O3=9,P3+83,IF(O3=8,P3+53,IF(O3=7,P3+33,IF(O3=6,P3+20,IF(O3=5,P3+12,IF(O3=4,P3+7,IF(O3=3,P3+4,IF(O3=2,P3+2,IF(O3=0,0,P3+1)))))))))))))))</f>
        <v>373</v>
      </c>
    </row>
    <row r="4" spans="1:23" ht="15" customHeight="1" x14ac:dyDescent="0.2">
      <c r="A4" s="3"/>
      <c r="B4" s="21" t="s">
        <v>107</v>
      </c>
      <c r="C4" s="14">
        <v>9</v>
      </c>
      <c r="D4" s="14">
        <v>0</v>
      </c>
      <c r="E4" s="3">
        <f t="shared" ref="E4:E20" si="0">IF(C4=15,32+D4,IF(C4=14,20+D4,IF(C4=13,12+D4,IF(C4=12,7+D4,IF(C4=11,4+D4,IF(C4=10,2+D4,IF(C4=0,0,1+D4)))))))</f>
        <v>1</v>
      </c>
      <c r="F4" s="6" t="s">
        <v>17</v>
      </c>
      <c r="G4" s="14">
        <v>11</v>
      </c>
      <c r="H4" s="14">
        <v>5</v>
      </c>
      <c r="I4" s="3">
        <f t="shared" ref="I4:I34" si="1">IF(G4=11,17+H4,IF(G4=12,27+H4,IF(G4=10,11+H4,IF(G4=13,43+H4,IF(G4=14,70+H4,IF(G4=15,110+H4,IF(G4=9,7+H4,IF(G4=8,4+H4,IF(G4=7,2+H4,IF(G4=0,0,1+H4))))))))))</f>
        <v>22</v>
      </c>
      <c r="J4" s="4" t="s">
        <v>46</v>
      </c>
      <c r="K4" s="14">
        <v>13</v>
      </c>
      <c r="L4" s="14">
        <v>39</v>
      </c>
      <c r="M4" s="3">
        <f t="shared" ref="M4:M26" si="2">IF(K4=15,L4+396,IF(K4=14,L4+252,IF(K4=13,L4+156,IF(K4=12,L4+96,IF(K4=11,L4+60,IF(K4=10,L4+42,IF(K4=9,L4+30,IF(K4=8,L4+20,IF(K4=7,L4+12,IF(K4=6,L4+7,IF(K4=5,L4+4,IF(K4=4,L4+2,IF(K4=0,0,1+L4)))))))))))))</f>
        <v>195</v>
      </c>
      <c r="N4" s="9" t="s">
        <v>79</v>
      </c>
      <c r="O4" s="14">
        <v>12</v>
      </c>
      <c r="P4" s="14">
        <v>130</v>
      </c>
      <c r="Q4" s="3">
        <f t="shared" ref="Q4:Q14" si="3">IF(O4=15,P4+1187,IF(O4=14,P4+787,IF(O4=13,P4+491,IF(O4=12,P4+311,IF(O4=11,P4+200,IF(O4=10,P4+128,IF(O4=9,P4+83,IF(O4=8,P4+53,IF(O4=7,P4+33,IF(O4=6,P4+20,IF(O4=5,P4+12,IF(O4=4,P4+7,IF(O4=3,P4+4,IF(O4=2,P4+2,IF(O4=0,0,P4+1)))))))))))))))</f>
        <v>441</v>
      </c>
    </row>
    <row r="5" spans="1:23" ht="15" customHeight="1" x14ac:dyDescent="0.2">
      <c r="A5" s="3"/>
      <c r="B5" s="19" t="s">
        <v>6</v>
      </c>
      <c r="C5" s="14">
        <v>11</v>
      </c>
      <c r="D5" s="14">
        <v>2</v>
      </c>
      <c r="E5" s="3">
        <f t="shared" si="0"/>
        <v>6</v>
      </c>
      <c r="F5" s="6" t="s">
        <v>18</v>
      </c>
      <c r="G5" s="14">
        <v>10</v>
      </c>
      <c r="H5" s="14">
        <v>5</v>
      </c>
      <c r="I5" s="3">
        <f t="shared" si="1"/>
        <v>16</v>
      </c>
      <c r="J5" s="4" t="s">
        <v>47</v>
      </c>
      <c r="K5" s="14">
        <v>12</v>
      </c>
      <c r="L5" s="14">
        <v>52</v>
      </c>
      <c r="M5" s="3">
        <f t="shared" si="2"/>
        <v>148</v>
      </c>
      <c r="N5" s="9" t="s">
        <v>80</v>
      </c>
      <c r="O5" s="14">
        <v>12</v>
      </c>
      <c r="P5" s="14">
        <v>174</v>
      </c>
      <c r="Q5" s="3">
        <f t="shared" si="3"/>
        <v>485</v>
      </c>
    </row>
    <row r="6" spans="1:23" ht="15" customHeight="1" x14ac:dyDescent="0.2">
      <c r="A6" s="3"/>
      <c r="B6" s="19" t="s">
        <v>7</v>
      </c>
      <c r="C6" s="14">
        <v>10</v>
      </c>
      <c r="D6" s="14">
        <v>0</v>
      </c>
      <c r="E6" s="3">
        <f t="shared" si="0"/>
        <v>2</v>
      </c>
      <c r="F6" s="6" t="s">
        <v>19</v>
      </c>
      <c r="G6" s="14">
        <v>11</v>
      </c>
      <c r="H6" s="14">
        <v>5</v>
      </c>
      <c r="I6" s="3">
        <f t="shared" si="1"/>
        <v>22</v>
      </c>
      <c r="J6" s="4" t="s">
        <v>48</v>
      </c>
      <c r="K6" s="14">
        <v>12</v>
      </c>
      <c r="L6" s="14">
        <v>57</v>
      </c>
      <c r="M6" s="3">
        <f t="shared" si="2"/>
        <v>153</v>
      </c>
      <c r="N6" s="9" t="s">
        <v>81</v>
      </c>
      <c r="O6" s="14">
        <v>12</v>
      </c>
      <c r="P6" s="14">
        <v>113</v>
      </c>
      <c r="Q6" s="3">
        <f t="shared" si="3"/>
        <v>424</v>
      </c>
    </row>
    <row r="7" spans="1:23" ht="15" customHeight="1" x14ac:dyDescent="0.2">
      <c r="A7" s="3"/>
      <c r="B7" s="19" t="s">
        <v>8</v>
      </c>
      <c r="C7" s="14">
        <v>11</v>
      </c>
      <c r="D7" s="14">
        <v>2</v>
      </c>
      <c r="E7" s="3">
        <f t="shared" si="0"/>
        <v>6</v>
      </c>
      <c r="F7" s="6" t="s">
        <v>20</v>
      </c>
      <c r="G7" s="14">
        <v>12</v>
      </c>
      <c r="H7" s="14">
        <v>1</v>
      </c>
      <c r="I7" s="3">
        <f t="shared" si="1"/>
        <v>28</v>
      </c>
      <c r="J7" s="4" t="s">
        <v>49</v>
      </c>
      <c r="K7" s="14">
        <v>12</v>
      </c>
      <c r="L7" s="14">
        <v>59</v>
      </c>
      <c r="M7" s="3">
        <f t="shared" si="2"/>
        <v>155</v>
      </c>
      <c r="N7" s="9" t="s">
        <v>82</v>
      </c>
      <c r="O7" s="14">
        <v>12</v>
      </c>
      <c r="P7" s="14">
        <v>113</v>
      </c>
      <c r="Q7" s="3">
        <f t="shared" si="3"/>
        <v>424</v>
      </c>
      <c r="S7" s="353" t="s">
        <v>103</v>
      </c>
      <c r="T7" s="358">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34,"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974000</v>
      </c>
      <c r="U7" s="358"/>
      <c r="V7" s="361">
        <f>T7/卡牌!V7</f>
        <v>8.0197612186084802E-2</v>
      </c>
    </row>
    <row r="8" spans="1:23" ht="15" customHeight="1" x14ac:dyDescent="0.2">
      <c r="A8" s="3"/>
      <c r="B8" s="19" t="s">
        <v>9</v>
      </c>
      <c r="C8" s="14">
        <v>12</v>
      </c>
      <c r="D8" s="14">
        <v>0</v>
      </c>
      <c r="E8" s="3">
        <f t="shared" si="0"/>
        <v>7</v>
      </c>
      <c r="F8" s="6" t="s">
        <v>23</v>
      </c>
      <c r="G8" s="14">
        <v>11</v>
      </c>
      <c r="H8" s="14">
        <v>9</v>
      </c>
      <c r="I8" s="3">
        <f t="shared" si="1"/>
        <v>26</v>
      </c>
      <c r="J8" s="4" t="s">
        <v>50</v>
      </c>
      <c r="K8" s="14">
        <v>12</v>
      </c>
      <c r="L8" s="14">
        <v>38</v>
      </c>
      <c r="M8" s="3">
        <f t="shared" si="2"/>
        <v>134</v>
      </c>
      <c r="N8" s="9" t="s">
        <v>83</v>
      </c>
      <c r="O8" s="14">
        <v>12</v>
      </c>
      <c r="P8" s="14">
        <v>68</v>
      </c>
      <c r="Q8" s="3">
        <f t="shared" si="3"/>
        <v>379</v>
      </c>
      <c r="S8" s="357"/>
      <c r="T8" s="359"/>
      <c r="U8" s="359"/>
      <c r="V8" s="362"/>
    </row>
    <row r="9" spans="1:23" ht="15" customHeight="1" x14ac:dyDescent="0.2">
      <c r="A9" s="3"/>
      <c r="B9" s="19" t="s">
        <v>10</v>
      </c>
      <c r="C9" s="14">
        <v>11</v>
      </c>
      <c r="D9" s="14">
        <v>1</v>
      </c>
      <c r="E9" s="3">
        <f t="shared" si="0"/>
        <v>5</v>
      </c>
      <c r="F9" s="6" t="s">
        <v>24</v>
      </c>
      <c r="G9" s="14">
        <v>11</v>
      </c>
      <c r="H9" s="14">
        <v>9</v>
      </c>
      <c r="I9" s="3">
        <f t="shared" si="1"/>
        <v>26</v>
      </c>
      <c r="J9" s="4" t="s">
        <v>51</v>
      </c>
      <c r="K9" s="14">
        <v>12</v>
      </c>
      <c r="L9" s="14">
        <v>26</v>
      </c>
      <c r="M9" s="3">
        <f t="shared" si="2"/>
        <v>122</v>
      </c>
      <c r="N9" s="9" t="s">
        <v>84</v>
      </c>
      <c r="O9" s="14">
        <v>13</v>
      </c>
      <c r="P9" s="14">
        <v>7</v>
      </c>
      <c r="Q9" s="3">
        <f t="shared" si="3"/>
        <v>498</v>
      </c>
      <c r="S9" s="354"/>
      <c r="T9" s="360"/>
      <c r="U9" s="360"/>
      <c r="V9" s="363"/>
    </row>
    <row r="10" spans="1:23" ht="15" customHeight="1" x14ac:dyDescent="0.2">
      <c r="A10" s="3"/>
      <c r="B10" s="19" t="s">
        <v>11</v>
      </c>
      <c r="C10" s="14">
        <v>12</v>
      </c>
      <c r="D10" s="14">
        <v>1</v>
      </c>
      <c r="E10" s="3">
        <f t="shared" si="0"/>
        <v>8</v>
      </c>
      <c r="F10" s="6" t="s">
        <v>25</v>
      </c>
      <c r="G10" s="14">
        <v>12</v>
      </c>
      <c r="H10" s="14">
        <v>5</v>
      </c>
      <c r="I10" s="3">
        <f t="shared" si="1"/>
        <v>32</v>
      </c>
      <c r="J10" s="4" t="s">
        <v>52</v>
      </c>
      <c r="K10" s="14">
        <v>13</v>
      </c>
      <c r="L10" s="14">
        <v>2</v>
      </c>
      <c r="M10" s="3">
        <f t="shared" si="2"/>
        <v>158</v>
      </c>
      <c r="N10" s="9" t="s">
        <v>85</v>
      </c>
      <c r="O10" s="14">
        <v>12</v>
      </c>
      <c r="P10" s="14">
        <v>114</v>
      </c>
      <c r="Q10" s="3">
        <f t="shared" si="3"/>
        <v>425</v>
      </c>
    </row>
    <row r="11" spans="1:23" ht="15" customHeight="1" x14ac:dyDescent="0.2">
      <c r="A11" s="3"/>
      <c r="B11" s="19" t="s">
        <v>12</v>
      </c>
      <c r="C11" s="14">
        <v>12</v>
      </c>
      <c r="D11" s="14">
        <v>0</v>
      </c>
      <c r="E11" s="3">
        <f t="shared" si="0"/>
        <v>7</v>
      </c>
      <c r="F11" s="6" t="s">
        <v>26</v>
      </c>
      <c r="G11" s="14">
        <v>12</v>
      </c>
      <c r="H11" s="14">
        <v>10</v>
      </c>
      <c r="I11" s="3">
        <f t="shared" si="1"/>
        <v>37</v>
      </c>
      <c r="J11" s="4" t="s">
        <v>53</v>
      </c>
      <c r="K11" s="14">
        <v>12</v>
      </c>
      <c r="L11" s="14">
        <v>48</v>
      </c>
      <c r="M11" s="3">
        <f t="shared" si="2"/>
        <v>144</v>
      </c>
      <c r="N11" s="9" t="s">
        <v>86</v>
      </c>
      <c r="O11" s="14">
        <v>12</v>
      </c>
      <c r="P11" s="14">
        <v>147</v>
      </c>
      <c r="Q11" s="3">
        <f t="shared" si="3"/>
        <v>458</v>
      </c>
    </row>
    <row r="12" spans="1:23" ht="15" customHeight="1" x14ac:dyDescent="0.2">
      <c r="A12" s="3"/>
      <c r="B12" s="19" t="s">
        <v>13</v>
      </c>
      <c r="C12" s="14">
        <v>11</v>
      </c>
      <c r="D12" s="14">
        <v>0</v>
      </c>
      <c r="E12" s="3">
        <f t="shared" si="0"/>
        <v>4</v>
      </c>
      <c r="F12" s="6" t="s">
        <v>27</v>
      </c>
      <c r="G12" s="14">
        <v>12</v>
      </c>
      <c r="H12" s="14">
        <v>3</v>
      </c>
      <c r="I12" s="3">
        <f t="shared" si="1"/>
        <v>30</v>
      </c>
      <c r="J12" s="4" t="s">
        <v>55</v>
      </c>
      <c r="K12" s="14">
        <v>13</v>
      </c>
      <c r="L12" s="14">
        <v>5</v>
      </c>
      <c r="M12" s="3">
        <f t="shared" si="2"/>
        <v>161</v>
      </c>
      <c r="N12" s="9" t="s">
        <v>87</v>
      </c>
      <c r="O12" s="14">
        <v>12</v>
      </c>
      <c r="P12" s="14">
        <v>87</v>
      </c>
      <c r="Q12" s="3">
        <f t="shared" si="3"/>
        <v>398</v>
      </c>
    </row>
    <row r="13" spans="1:23" ht="15" customHeight="1" x14ac:dyDescent="0.2">
      <c r="A13" s="3"/>
      <c r="B13" s="19" t="s">
        <v>14</v>
      </c>
      <c r="C13" s="14">
        <v>10</v>
      </c>
      <c r="D13" s="14">
        <v>1</v>
      </c>
      <c r="E13" s="3">
        <f t="shared" si="0"/>
        <v>3</v>
      </c>
      <c r="F13" s="6" t="s">
        <v>28</v>
      </c>
      <c r="G13" s="14">
        <v>11</v>
      </c>
      <c r="H13" s="14">
        <v>7</v>
      </c>
      <c r="I13" s="3">
        <f t="shared" si="1"/>
        <v>24</v>
      </c>
      <c r="J13" s="4" t="s">
        <v>56</v>
      </c>
      <c r="K13" s="14">
        <v>12</v>
      </c>
      <c r="L13" s="14">
        <v>46</v>
      </c>
      <c r="M13" s="3">
        <f t="shared" si="2"/>
        <v>142</v>
      </c>
      <c r="N13" s="9" t="s">
        <v>88</v>
      </c>
      <c r="O13" s="14">
        <v>12</v>
      </c>
      <c r="P13" s="14">
        <v>98</v>
      </c>
      <c r="Q13" s="3">
        <f t="shared" si="3"/>
        <v>409</v>
      </c>
      <c r="S13" s="353" t="s">
        <v>99</v>
      </c>
      <c r="T13" s="355">
        <v>77</v>
      </c>
      <c r="U13"/>
      <c r="V13"/>
      <c r="W13"/>
    </row>
    <row r="14" spans="1:23" ht="15" customHeight="1" x14ac:dyDescent="0.2">
      <c r="A14" s="3"/>
      <c r="B14" s="19" t="s">
        <v>15</v>
      </c>
      <c r="C14" s="14">
        <v>11</v>
      </c>
      <c r="D14" s="14">
        <v>0</v>
      </c>
      <c r="E14" s="3">
        <f t="shared" si="0"/>
        <v>4</v>
      </c>
      <c r="F14" s="6" t="s">
        <v>29</v>
      </c>
      <c r="G14" s="14">
        <v>10</v>
      </c>
      <c r="H14" s="14">
        <v>2</v>
      </c>
      <c r="I14" s="3">
        <f t="shared" si="1"/>
        <v>13</v>
      </c>
      <c r="J14" s="4" t="s">
        <v>57</v>
      </c>
      <c r="K14" s="14">
        <v>12</v>
      </c>
      <c r="L14" s="14">
        <v>46</v>
      </c>
      <c r="M14" s="3">
        <f t="shared" si="2"/>
        <v>142</v>
      </c>
      <c r="N14" s="10" t="s">
        <v>54</v>
      </c>
      <c r="O14" s="14">
        <v>12</v>
      </c>
      <c r="P14" s="14">
        <v>129</v>
      </c>
      <c r="Q14" s="3">
        <f t="shared" si="3"/>
        <v>440</v>
      </c>
      <c r="S14" s="354"/>
      <c r="T14" s="356"/>
      <c r="U14"/>
      <c r="V14"/>
      <c r="W14"/>
    </row>
    <row r="15" spans="1:23" ht="15" customHeight="1" x14ac:dyDescent="0.2">
      <c r="A15" s="3"/>
      <c r="B15" s="19" t="s">
        <v>74</v>
      </c>
      <c r="C15" s="14">
        <v>12</v>
      </c>
      <c r="D15" s="14">
        <v>0</v>
      </c>
      <c r="E15" s="3">
        <f t="shared" si="0"/>
        <v>7</v>
      </c>
      <c r="F15" s="6" t="s">
        <v>30</v>
      </c>
      <c r="G15" s="14">
        <v>11</v>
      </c>
      <c r="H15" s="14">
        <v>4</v>
      </c>
      <c r="I15" s="3">
        <f t="shared" si="1"/>
        <v>21</v>
      </c>
      <c r="J15" s="4" t="s">
        <v>58</v>
      </c>
      <c r="K15" s="14">
        <v>12</v>
      </c>
      <c r="L15" s="14">
        <v>43</v>
      </c>
      <c r="M15" s="3">
        <f t="shared" si="2"/>
        <v>139</v>
      </c>
      <c r="N15" s="9"/>
      <c r="O15" s="14"/>
      <c r="P15" s="14"/>
      <c r="Q15" s="3"/>
    </row>
    <row r="16" spans="1:23" ht="15" customHeight="1" x14ac:dyDescent="0.2">
      <c r="A16" s="3"/>
      <c r="B16" s="19" t="s">
        <v>75</v>
      </c>
      <c r="C16" s="14">
        <v>10</v>
      </c>
      <c r="D16" s="14">
        <v>1</v>
      </c>
      <c r="E16" s="3">
        <f t="shared" si="0"/>
        <v>3</v>
      </c>
      <c r="F16" s="6" t="s">
        <v>31</v>
      </c>
      <c r="G16" s="14">
        <v>11</v>
      </c>
      <c r="H16" s="14">
        <v>2</v>
      </c>
      <c r="I16" s="3">
        <f t="shared" si="1"/>
        <v>19</v>
      </c>
      <c r="J16" s="4" t="s">
        <v>59</v>
      </c>
      <c r="K16" s="14">
        <v>13</v>
      </c>
      <c r="L16" s="14">
        <v>10</v>
      </c>
      <c r="M16" s="3">
        <f t="shared" si="2"/>
        <v>166</v>
      </c>
      <c r="N16" s="9"/>
      <c r="O16" s="14"/>
      <c r="P16" s="14"/>
      <c r="Q16" s="3"/>
    </row>
    <row r="17" spans="1:21" ht="15" customHeight="1" x14ac:dyDescent="0.2">
      <c r="A17" s="3"/>
      <c r="B17" s="19" t="s">
        <v>104</v>
      </c>
      <c r="C17" s="14">
        <v>11</v>
      </c>
      <c r="D17" s="14">
        <v>2</v>
      </c>
      <c r="E17" s="3">
        <f t="shared" si="0"/>
        <v>6</v>
      </c>
      <c r="F17" s="6" t="s">
        <v>32</v>
      </c>
      <c r="G17" s="14">
        <v>11</v>
      </c>
      <c r="H17" s="14">
        <v>6</v>
      </c>
      <c r="I17" s="3">
        <f t="shared" si="1"/>
        <v>23</v>
      </c>
      <c r="J17" s="4" t="s">
        <v>60</v>
      </c>
      <c r="K17" s="14">
        <v>11</v>
      </c>
      <c r="L17" s="14">
        <v>23</v>
      </c>
      <c r="M17" s="3">
        <f t="shared" si="2"/>
        <v>83</v>
      </c>
      <c r="N17" s="9"/>
      <c r="O17" s="14"/>
      <c r="P17" s="14"/>
      <c r="Q17" s="3"/>
      <c r="S17" s="342" t="s">
        <v>100</v>
      </c>
      <c r="T17" s="342"/>
      <c r="U17" s="344" t="e">
        <f>IF(T13&lt;96,(V2/(I35/卡牌!#REF!)-V2)/(100-T13)*(1+卡牌!Y4*卡牌!Y5),IF(T13=100,0,卡牌!#REF!))</f>
        <v>#REF!</v>
      </c>
    </row>
    <row r="18" spans="1:21" ht="15" customHeight="1" x14ac:dyDescent="0.2">
      <c r="A18" s="3"/>
      <c r="B18" s="19" t="s">
        <v>76</v>
      </c>
      <c r="C18" s="14">
        <v>10</v>
      </c>
      <c r="D18" s="14">
        <v>1</v>
      </c>
      <c r="E18" s="3">
        <f t="shared" si="0"/>
        <v>3</v>
      </c>
      <c r="F18" s="6" t="s">
        <v>33</v>
      </c>
      <c r="G18" s="14">
        <v>11</v>
      </c>
      <c r="H18" s="14">
        <v>9</v>
      </c>
      <c r="I18" s="3">
        <f t="shared" si="1"/>
        <v>26</v>
      </c>
      <c r="J18" s="4" t="s">
        <v>61</v>
      </c>
      <c r="K18" s="14">
        <v>12</v>
      </c>
      <c r="L18" s="14">
        <v>55</v>
      </c>
      <c r="M18" s="3">
        <f t="shared" si="2"/>
        <v>151</v>
      </c>
      <c r="N18" s="9"/>
      <c r="O18" s="14"/>
      <c r="P18" s="14"/>
      <c r="Q18" s="3"/>
      <c r="S18" s="343"/>
      <c r="T18" s="343"/>
      <c r="U18" s="345"/>
    </row>
    <row r="19" spans="1:21" ht="15" customHeight="1" x14ac:dyDescent="0.2">
      <c r="A19" s="3"/>
      <c r="B19" s="19" t="s">
        <v>105</v>
      </c>
      <c r="C19" s="14">
        <v>11</v>
      </c>
      <c r="D19" s="14">
        <v>1</v>
      </c>
      <c r="E19" s="3">
        <f t="shared" si="0"/>
        <v>5</v>
      </c>
      <c r="F19" s="6" t="s">
        <v>34</v>
      </c>
      <c r="G19" s="14">
        <v>11</v>
      </c>
      <c r="H19" s="14">
        <v>8</v>
      </c>
      <c r="I19" s="3">
        <f t="shared" si="1"/>
        <v>25</v>
      </c>
      <c r="J19" s="4" t="s">
        <v>62</v>
      </c>
      <c r="K19" s="14">
        <v>12</v>
      </c>
      <c r="L19" s="14">
        <v>50</v>
      </c>
      <c r="M19" s="3">
        <f t="shared" si="2"/>
        <v>146</v>
      </c>
      <c r="N19" s="9"/>
      <c r="O19" s="14"/>
      <c r="P19" s="14"/>
      <c r="Q19" s="3"/>
      <c r="S19" s="342" t="s">
        <v>111</v>
      </c>
      <c r="T19" s="342"/>
      <c r="U19" s="333" t="e">
        <f>IF(T13&lt;96,U17*(100-T13),IF(U17=0,"已满级",U17*(100-T13)&amp;"(存在误差)"))</f>
        <v>#REF!</v>
      </c>
    </row>
    <row r="20" spans="1:21" ht="15" customHeight="1" x14ac:dyDescent="0.2">
      <c r="A20" s="3"/>
      <c r="B20" s="19" t="s">
        <v>77</v>
      </c>
      <c r="C20" s="14">
        <v>12</v>
      </c>
      <c r="D20" s="14">
        <v>0</v>
      </c>
      <c r="E20" s="3">
        <f t="shared" si="0"/>
        <v>7</v>
      </c>
      <c r="F20" s="6" t="s">
        <v>35</v>
      </c>
      <c r="G20" s="14">
        <v>11</v>
      </c>
      <c r="H20" s="14">
        <v>6</v>
      </c>
      <c r="I20" s="3">
        <f t="shared" si="1"/>
        <v>23</v>
      </c>
      <c r="J20" s="4" t="s">
        <v>63</v>
      </c>
      <c r="K20" s="14">
        <v>13</v>
      </c>
      <c r="L20" s="14">
        <v>6</v>
      </c>
      <c r="M20" s="3">
        <f t="shared" si="2"/>
        <v>162</v>
      </c>
      <c r="N20" s="9"/>
      <c r="O20" s="14"/>
      <c r="P20" s="14"/>
      <c r="Q20" s="3"/>
      <c r="S20" s="343"/>
      <c r="T20" s="343"/>
      <c r="U20" s="334"/>
    </row>
    <row r="21" spans="1:21" ht="15" customHeight="1" x14ac:dyDescent="0.2">
      <c r="A21" s="3"/>
      <c r="B21" s="19"/>
      <c r="C21" s="14"/>
      <c r="D21" s="14"/>
      <c r="E21" s="3"/>
      <c r="F21" s="6" t="s">
        <v>36</v>
      </c>
      <c r="G21" s="14">
        <v>12</v>
      </c>
      <c r="H21" s="14">
        <v>3</v>
      </c>
      <c r="I21" s="3">
        <f t="shared" si="1"/>
        <v>30</v>
      </c>
      <c r="J21" s="4" t="s">
        <v>64</v>
      </c>
      <c r="K21" s="14">
        <v>12</v>
      </c>
      <c r="L21" s="14">
        <v>52</v>
      </c>
      <c r="M21" s="3">
        <f t="shared" si="2"/>
        <v>148</v>
      </c>
      <c r="N21" s="9"/>
      <c r="O21" s="14"/>
      <c r="P21" s="14"/>
      <c r="Q21" s="3"/>
    </row>
    <row r="22" spans="1:21" ht="15" customHeight="1" x14ac:dyDescent="0.2">
      <c r="A22" s="3"/>
      <c r="B22" s="19"/>
      <c r="C22" s="14"/>
      <c r="D22" s="14"/>
      <c r="E22" s="3"/>
      <c r="F22" s="6" t="s">
        <v>37</v>
      </c>
      <c r="G22" s="14">
        <v>11</v>
      </c>
      <c r="H22" s="14">
        <v>8</v>
      </c>
      <c r="I22" s="3">
        <f t="shared" si="1"/>
        <v>25</v>
      </c>
      <c r="J22" s="4" t="s">
        <v>65</v>
      </c>
      <c r="K22" s="14">
        <v>13</v>
      </c>
      <c r="L22" s="14">
        <v>7</v>
      </c>
      <c r="M22" s="3">
        <f t="shared" si="2"/>
        <v>163</v>
      </c>
      <c r="N22" s="9"/>
      <c r="O22" s="14"/>
      <c r="P22" s="14"/>
      <c r="Q22" s="3"/>
    </row>
    <row r="23" spans="1:21" ht="15" customHeight="1" x14ac:dyDescent="0.2">
      <c r="A23" s="3"/>
      <c r="B23" s="19"/>
      <c r="C23" s="14"/>
      <c r="D23" s="14"/>
      <c r="E23" s="3"/>
      <c r="F23" s="6" t="s">
        <v>38</v>
      </c>
      <c r="G23" s="14">
        <v>11</v>
      </c>
      <c r="H23" s="14">
        <v>7</v>
      </c>
      <c r="I23" s="3">
        <f t="shared" si="1"/>
        <v>24</v>
      </c>
      <c r="J23" s="4" t="s">
        <v>66</v>
      </c>
      <c r="K23" s="14">
        <v>12</v>
      </c>
      <c r="L23" s="14">
        <v>48</v>
      </c>
      <c r="M23" s="3">
        <f t="shared" si="2"/>
        <v>144</v>
      </c>
      <c r="N23" s="9"/>
      <c r="O23" s="14"/>
      <c r="P23" s="14"/>
      <c r="Q23" s="3"/>
    </row>
    <row r="24" spans="1:21" ht="15" customHeight="1" x14ac:dyDescent="0.2">
      <c r="A24" s="3"/>
      <c r="B24" s="19"/>
      <c r="C24" s="14"/>
      <c r="D24" s="14"/>
      <c r="E24" s="3"/>
      <c r="F24" s="6" t="s">
        <v>39</v>
      </c>
      <c r="G24" s="14">
        <v>12</v>
      </c>
      <c r="H24" s="14">
        <v>5</v>
      </c>
      <c r="I24" s="3">
        <f t="shared" si="1"/>
        <v>32</v>
      </c>
      <c r="J24" s="4" t="s">
        <v>68</v>
      </c>
      <c r="K24" s="14">
        <v>13</v>
      </c>
      <c r="L24" s="14">
        <v>6</v>
      </c>
      <c r="M24" s="3">
        <f t="shared" si="2"/>
        <v>162</v>
      </c>
      <c r="N24" s="9"/>
      <c r="O24" s="14"/>
      <c r="P24" s="14"/>
      <c r="Q24" s="3"/>
    </row>
    <row r="25" spans="1:21" ht="15" customHeight="1" x14ac:dyDescent="0.2">
      <c r="A25" s="3"/>
      <c r="B25" s="19"/>
      <c r="C25" s="14"/>
      <c r="D25" s="14"/>
      <c r="E25" s="3"/>
      <c r="F25" s="6" t="s">
        <v>40</v>
      </c>
      <c r="G25" s="14">
        <v>11</v>
      </c>
      <c r="H25" s="14">
        <v>8</v>
      </c>
      <c r="I25" s="3">
        <f t="shared" si="1"/>
        <v>25</v>
      </c>
      <c r="J25" s="4" t="s">
        <v>69</v>
      </c>
      <c r="K25" s="14">
        <v>13</v>
      </c>
      <c r="L25" s="14">
        <v>0</v>
      </c>
      <c r="M25" s="3">
        <f t="shared" si="2"/>
        <v>156</v>
      </c>
      <c r="N25" s="9"/>
      <c r="O25" s="14"/>
      <c r="P25" s="14"/>
      <c r="Q25" s="3"/>
    </row>
    <row r="26" spans="1:21" ht="15" customHeight="1" x14ac:dyDescent="0.2">
      <c r="A26" s="3"/>
      <c r="B26" s="19"/>
      <c r="C26" s="14"/>
      <c r="D26" s="14"/>
      <c r="E26" s="3"/>
      <c r="F26" s="6" t="s">
        <v>41</v>
      </c>
      <c r="G26" s="14">
        <v>12</v>
      </c>
      <c r="H26" s="14">
        <v>7</v>
      </c>
      <c r="I26" s="3">
        <f t="shared" si="1"/>
        <v>34</v>
      </c>
      <c r="J26" s="4" t="s">
        <v>67</v>
      </c>
      <c r="K26" s="14">
        <v>13</v>
      </c>
      <c r="L26" s="14">
        <v>11</v>
      </c>
      <c r="M26" s="3">
        <f t="shared" si="2"/>
        <v>167</v>
      </c>
      <c r="N26" s="9"/>
      <c r="O26" s="14"/>
      <c r="P26" s="14"/>
      <c r="Q26" s="3"/>
    </row>
    <row r="27" spans="1:21" ht="15" customHeight="1" x14ac:dyDescent="0.2">
      <c r="A27" s="3"/>
      <c r="B27" s="32"/>
      <c r="C27" s="14"/>
      <c r="D27" s="14"/>
      <c r="E27" s="3"/>
      <c r="F27" s="6" t="s">
        <v>42</v>
      </c>
      <c r="G27" s="14">
        <v>10</v>
      </c>
      <c r="H27" s="14">
        <v>2</v>
      </c>
      <c r="I27" s="3">
        <f t="shared" si="1"/>
        <v>13</v>
      </c>
      <c r="J27" s="4"/>
      <c r="K27" s="14"/>
      <c r="L27" s="14"/>
      <c r="M27" s="3"/>
      <c r="N27" s="9"/>
      <c r="O27" s="14"/>
      <c r="P27" s="14"/>
      <c r="Q27" s="3"/>
    </row>
    <row r="28" spans="1:21" ht="15" customHeight="1" x14ac:dyDescent="0.2">
      <c r="A28" s="3"/>
      <c r="B28" s="32"/>
      <c r="C28" s="14"/>
      <c r="D28" s="14"/>
      <c r="E28" s="3"/>
      <c r="F28" s="6" t="s">
        <v>73</v>
      </c>
      <c r="G28" s="14">
        <v>11</v>
      </c>
      <c r="H28" s="14">
        <v>7</v>
      </c>
      <c r="I28" s="3">
        <f t="shared" si="1"/>
        <v>24</v>
      </c>
      <c r="J28" s="4"/>
      <c r="K28" s="14"/>
      <c r="L28" s="14"/>
      <c r="M28" s="3"/>
      <c r="N28" s="9"/>
      <c r="O28" s="14"/>
      <c r="P28" s="14"/>
      <c r="Q28" s="3"/>
    </row>
    <row r="29" spans="1:21" ht="15" customHeight="1" x14ac:dyDescent="0.2">
      <c r="A29" s="3"/>
      <c r="B29" s="32"/>
      <c r="C29" s="14"/>
      <c r="D29" s="14"/>
      <c r="E29" s="3"/>
      <c r="F29" s="6" t="s">
        <v>72</v>
      </c>
      <c r="G29" s="14">
        <v>11</v>
      </c>
      <c r="H29" s="14">
        <v>3</v>
      </c>
      <c r="I29" s="3">
        <f t="shared" si="1"/>
        <v>20</v>
      </c>
      <c r="J29" s="4"/>
      <c r="K29" s="14"/>
      <c r="L29" s="14"/>
      <c r="M29" s="3"/>
      <c r="N29" s="9"/>
      <c r="O29" s="14"/>
      <c r="P29" s="14"/>
      <c r="Q29" s="3"/>
    </row>
    <row r="30" spans="1:21" ht="15" customHeight="1" x14ac:dyDescent="0.2">
      <c r="A30" s="3"/>
      <c r="B30" s="32"/>
      <c r="C30" s="14"/>
      <c r="D30" s="14"/>
      <c r="E30" s="3"/>
      <c r="F30" s="6" t="s">
        <v>71</v>
      </c>
      <c r="G30" s="14">
        <v>12</v>
      </c>
      <c r="H30" s="14">
        <v>0</v>
      </c>
      <c r="I30" s="3">
        <f t="shared" si="1"/>
        <v>27</v>
      </c>
      <c r="J30" s="4"/>
      <c r="K30" s="14"/>
      <c r="L30" s="14"/>
      <c r="M30" s="3"/>
      <c r="N30" s="9"/>
      <c r="O30" s="14"/>
      <c r="P30" s="14"/>
      <c r="Q30" s="3"/>
    </row>
    <row r="31" spans="1:21" ht="15" customHeight="1" x14ac:dyDescent="0.2">
      <c r="A31" s="3"/>
      <c r="B31" s="32"/>
      <c r="C31" s="14"/>
      <c r="D31" s="14"/>
      <c r="E31" s="3"/>
      <c r="F31" s="6" t="s">
        <v>70</v>
      </c>
      <c r="G31" s="14">
        <v>11</v>
      </c>
      <c r="H31" s="14">
        <v>4</v>
      </c>
      <c r="I31" s="3">
        <f t="shared" si="1"/>
        <v>21</v>
      </c>
      <c r="J31" s="4"/>
      <c r="K31" s="14"/>
      <c r="L31" s="14"/>
      <c r="M31" s="3"/>
      <c r="N31" s="9"/>
      <c r="O31" s="14"/>
      <c r="P31" s="14"/>
      <c r="Q31" s="3"/>
    </row>
    <row r="32" spans="1:21" ht="15" customHeight="1" x14ac:dyDescent="0.2">
      <c r="A32" s="3"/>
      <c r="B32" s="32"/>
      <c r="C32" s="14"/>
      <c r="D32" s="14"/>
      <c r="E32" s="3"/>
      <c r="F32" s="6" t="s">
        <v>43</v>
      </c>
      <c r="G32" s="14">
        <v>12</v>
      </c>
      <c r="H32" s="14">
        <v>4</v>
      </c>
      <c r="I32" s="3">
        <f t="shared" si="1"/>
        <v>31</v>
      </c>
      <c r="J32" s="4"/>
      <c r="K32" s="14"/>
      <c r="L32" s="14"/>
      <c r="M32" s="3"/>
      <c r="N32" s="9"/>
      <c r="O32" s="14"/>
      <c r="P32" s="14"/>
      <c r="Q32" s="3"/>
    </row>
    <row r="33" spans="1:19" ht="15" customHeight="1" x14ac:dyDescent="0.2">
      <c r="A33" s="3"/>
      <c r="B33" s="32"/>
      <c r="C33" s="14"/>
      <c r="D33" s="14"/>
      <c r="E33" s="3"/>
      <c r="F33" s="6" t="s">
        <v>44</v>
      </c>
      <c r="G33" s="14">
        <v>12</v>
      </c>
      <c r="H33" s="14">
        <v>1</v>
      </c>
      <c r="I33" s="3">
        <f t="shared" si="1"/>
        <v>28</v>
      </c>
      <c r="J33" s="4"/>
      <c r="K33" s="14"/>
      <c r="L33" s="14"/>
      <c r="M33" s="3"/>
      <c r="N33" s="9"/>
      <c r="O33" s="14"/>
      <c r="P33" s="14"/>
      <c r="Q33" s="3"/>
      <c r="R33"/>
      <c r="S33"/>
    </row>
    <row r="34" spans="1:19" s="1" customFormat="1" ht="15" customHeight="1" x14ac:dyDescent="0.2">
      <c r="B34" s="32"/>
      <c r="C34" s="14"/>
      <c r="D34" s="14"/>
      <c r="E34" s="3"/>
      <c r="F34" s="6" t="s">
        <v>108</v>
      </c>
      <c r="G34" s="14">
        <v>9</v>
      </c>
      <c r="H34" s="14">
        <v>1</v>
      </c>
      <c r="I34" s="3">
        <f t="shared" si="1"/>
        <v>8</v>
      </c>
      <c r="J34" s="4"/>
      <c r="K34" s="14"/>
      <c r="L34" s="14"/>
      <c r="M34" s="3"/>
      <c r="N34" s="9"/>
      <c r="O34" s="14"/>
      <c r="P34" s="14"/>
      <c r="Q34" s="3"/>
      <c r="R34" s="10" t="s">
        <v>101</v>
      </c>
      <c r="S34" s="10" t="s">
        <v>102</v>
      </c>
    </row>
    <row r="35" spans="1:19" s="1" customFormat="1" x14ac:dyDescent="0.2">
      <c r="A35" s="7" t="s">
        <v>5</v>
      </c>
      <c r="B35" s="7">
        <f>IF(B2="传说卡",卡牌!U3-COUNTIF(C5:C20,"0"),卡牌!U2-COUNTIF(C3:C4,"0"))</f>
        <v>21</v>
      </c>
      <c r="C35" s="16">
        <f>IF(B2="传说卡",SUM(C5:C20)/B35,SUM(C3:C4)/B35)</f>
        <v>8.4285714285714288</v>
      </c>
      <c r="D35" s="7"/>
      <c r="E35" s="7">
        <f>IF(B2="传说卡",SUM(E5:E34),SUM(E3:E4))</f>
        <v>83</v>
      </c>
      <c r="F35" s="7">
        <f>卡牌!U4-COUNTIF(G3:G34,"0")</f>
        <v>36</v>
      </c>
      <c r="G35" s="16">
        <f>SUM(G3:G34)/F35</f>
        <v>9.9166666666666661</v>
      </c>
      <c r="H35" s="7"/>
      <c r="I35" s="7">
        <f>SUM(I3:I34)</f>
        <v>778</v>
      </c>
      <c r="J35" s="7">
        <f>卡牌!U5-COUNTIF(K3:K33,"0")</f>
        <v>24</v>
      </c>
      <c r="K35" s="16">
        <f>AVERAGE(K3:K27)</f>
        <v>12.291666666666666</v>
      </c>
      <c r="L35" s="7"/>
      <c r="M35" s="7">
        <f>SUM(M3:M34)</f>
        <v>3503</v>
      </c>
      <c r="N35" s="7">
        <f>卡牌!U6-COUNTIF(O3:O14,"0")</f>
        <v>13</v>
      </c>
      <c r="O35" s="16">
        <f>AVERAGE(O3:O25)</f>
        <v>12.083333333333334</v>
      </c>
      <c r="P35" s="7"/>
      <c r="Q35" s="7">
        <f>SUM(Q3:Q33)</f>
        <v>5154</v>
      </c>
      <c r="R35" s="7">
        <f>卡牌!U7-COUNTIF(C3:C34,"0")-COUNTIF(G3:G34,"0")-COUNTIF(K3:K34,"0")-COUNTIF(O3:O34,"0")</f>
        <v>100</v>
      </c>
      <c r="S35" s="16">
        <f>SUM(C3:C33,G3:G34,K3:K33,O3:O33)/R35</f>
        <v>9.83</v>
      </c>
    </row>
    <row r="36" spans="1:19" s="1" customFormat="1" x14ac:dyDescent="0.2">
      <c r="A36" s="8" t="s">
        <v>93</v>
      </c>
      <c r="B36" s="11">
        <f>IF(B2="传说卡",B35/卡牌!U3,B35/卡牌!U2)</f>
        <v>1</v>
      </c>
      <c r="C36" s="11"/>
      <c r="D36" s="11"/>
      <c r="E36" s="11">
        <f>IF(B2="传说卡",E35/卡牌!V3,E35/卡牌!V2)</f>
        <v>7.6007326007326001E-2</v>
      </c>
      <c r="F36" s="11">
        <f>F35/卡牌!U4</f>
        <v>1</v>
      </c>
      <c r="G36" s="11"/>
      <c r="H36" s="11"/>
      <c r="I36" s="11">
        <f>I35/卡牌!V4</f>
        <v>0.15547561950439648</v>
      </c>
      <c r="J36" s="11">
        <f>J35/卡牌!U5</f>
        <v>1</v>
      </c>
      <c r="K36" s="11"/>
      <c r="L36" s="11"/>
      <c r="M36" s="11">
        <f>M35/卡牌!V5</f>
        <v>0.23733062330623306</v>
      </c>
      <c r="N36" s="11">
        <v>1</v>
      </c>
      <c r="O36" s="11"/>
      <c r="P36" s="11"/>
      <c r="Q36" s="11">
        <f>Q35/卡牌!V6</f>
        <v>0.18816399547296558</v>
      </c>
      <c r="R36" s="11">
        <f>R35/卡牌!U7</f>
        <v>0.99009900990099009</v>
      </c>
      <c r="S36" s="11">
        <f>AVERAGE(Q36,M36,I36,E36)</f>
        <v>0.16424439107273026</v>
      </c>
    </row>
    <row r="37" spans="1:19" x14ac:dyDescent="0.2">
      <c r="A37" s="10" t="s">
        <v>94</v>
      </c>
      <c r="B37" s="337">
        <f>IF(B2="传说卡",V2/E36-V2,(V2-139)/E36-(V2-139))</f>
        <v>1701.9277108433737</v>
      </c>
      <c r="C37" s="338"/>
      <c r="D37" s="338"/>
      <c r="E37" s="339"/>
      <c r="F37" s="337">
        <f>V2/I36-V2</f>
        <v>760.46272493573269</v>
      </c>
      <c r="G37" s="338"/>
      <c r="H37" s="338"/>
      <c r="I37" s="339"/>
      <c r="J37" s="337">
        <f>V2/M36-V2</f>
        <v>449.89437624892946</v>
      </c>
      <c r="K37" s="338"/>
      <c r="L37" s="338"/>
      <c r="M37" s="339"/>
      <c r="N37" s="337">
        <f>V2/Q36-V2</f>
        <v>604.03181994567319</v>
      </c>
      <c r="O37" s="338"/>
      <c r="P37" s="338"/>
      <c r="Q37" s="339"/>
    </row>
    <row r="38" spans="1:19" x14ac:dyDescent="0.2">
      <c r="A38" s="12" t="s">
        <v>98</v>
      </c>
      <c r="B38" s="347">
        <f>IF(B2="传说卡",B37+$V$2,B37+$V$2-139)</f>
        <v>1841.9277108433737</v>
      </c>
      <c r="C38" s="347"/>
      <c r="D38" s="347"/>
      <c r="E38" s="348"/>
      <c r="F38" s="346">
        <f>F37+$V$2</f>
        <v>900.46272493573269</v>
      </c>
      <c r="G38" s="347"/>
      <c r="H38" s="347"/>
      <c r="I38" s="348"/>
      <c r="J38" s="346">
        <f>J37+$V$2</f>
        <v>589.89437624892946</v>
      </c>
      <c r="K38" s="347"/>
      <c r="L38" s="347"/>
      <c r="M38" s="348"/>
      <c r="N38" s="346">
        <f>N37+$V$2</f>
        <v>744.03181994567319</v>
      </c>
      <c r="O38" s="347"/>
      <c r="P38" s="347"/>
      <c r="Q38" s="348"/>
    </row>
    <row r="39" spans="1:19" x14ac:dyDescent="0.2">
      <c r="A39" s="3" t="s">
        <v>95</v>
      </c>
      <c r="B39" s="350">
        <f>IF(B2="传说卡",E35/V2,E35/(V2-139))</f>
        <v>0.59285714285714286</v>
      </c>
      <c r="C39" s="351"/>
      <c r="D39" s="351"/>
      <c r="E39" s="352"/>
      <c r="F39" s="350">
        <f>I35/V2</f>
        <v>5.5571428571428569</v>
      </c>
      <c r="G39" s="351"/>
      <c r="H39" s="351"/>
      <c r="I39" s="352"/>
      <c r="J39" s="350">
        <f>M35/V2</f>
        <v>25.021428571428572</v>
      </c>
      <c r="K39" s="351"/>
      <c r="L39" s="351"/>
      <c r="M39" s="352"/>
      <c r="N39" s="350">
        <f>Q35/V2</f>
        <v>36.814285714285717</v>
      </c>
      <c r="O39" s="351"/>
      <c r="P39" s="351"/>
      <c r="Q39" s="352"/>
    </row>
    <row r="57" spans="10:10" x14ac:dyDescent="0.2">
      <c r="J57"/>
    </row>
  </sheetData>
  <mergeCells count="22">
    <mergeCell ref="A1:V1"/>
    <mergeCell ref="S7:S9"/>
    <mergeCell ref="T7:U9"/>
    <mergeCell ref="V7:V9"/>
    <mergeCell ref="S13:S14"/>
    <mergeCell ref="T13:T14"/>
    <mergeCell ref="S17:T18"/>
    <mergeCell ref="U17:U18"/>
    <mergeCell ref="S19:T20"/>
    <mergeCell ref="U19:U20"/>
    <mergeCell ref="B37:E37"/>
    <mergeCell ref="F37:I37"/>
    <mergeCell ref="J37:M37"/>
    <mergeCell ref="N37:Q37"/>
    <mergeCell ref="B38:E38"/>
    <mergeCell ref="F38:I38"/>
    <mergeCell ref="J38:M38"/>
    <mergeCell ref="N38:Q38"/>
    <mergeCell ref="B39:E39"/>
    <mergeCell ref="F39:I39"/>
    <mergeCell ref="J39:M39"/>
    <mergeCell ref="N39:Q39"/>
  </mergeCells>
  <phoneticPr fontId="1" type="noConversion"/>
  <dataValidations count="10">
    <dataValidation type="whole" allowBlank="1" showInputMessage="1" showErrorMessage="1" promptTitle="注意" prompt="输入对应卡牌的等级" sqref="O6:O34" xr:uid="{B8339E2B-2CEB-4062-9A16-F5F8F5B775FD}">
      <formula1>0</formula1>
      <formula2>15</formula2>
    </dataValidation>
    <dataValidation type="whole" allowBlank="1" showInputMessage="1" showErrorMessage="1" errorTitle="注意" error="输入对应卡牌的等级" promptTitle="注意" prompt="输入对应卡牌的等级" sqref="C3:C20 G3:G33 K3:K26 O3:O5" xr:uid="{224E62CD-832D-4181-A587-8B1412F3B838}">
      <formula1>0</formula1>
      <formula2>15</formula2>
    </dataValidation>
    <dataValidation type="decimal" allowBlank="1" showInputMessage="1" showErrorMessage="1" error="输入卡牌的进度卡牌数目" prompt="输入卡牌的进度卡牌数目" sqref="D20" xr:uid="{792ABB2D-F5A4-4642-94CF-B8970205441B}">
      <formula1>0</formula1>
      <formula2>32</formula2>
    </dataValidation>
    <dataValidation type="whole" allowBlank="1" showInputMessage="1" showErrorMessage="1" error="输入卡牌的进度卡牌数目" prompt="输入卡牌的进度卡牌数目" sqref="L3:L33" xr:uid="{58B35746-2BF9-4187-BE9D-E530C0668179}">
      <formula1>0</formula1>
      <formula2>396</formula2>
    </dataValidation>
    <dataValidation type="decimal" allowBlank="1" showInputMessage="1" showErrorMessage="1" error="输入卡牌的进度卡牌数目" prompt="输入卡牌的进度卡牌数目" sqref="H3:H33" xr:uid="{A9433FDD-DAB3-4F0A-AE4C-6B2399D7D83E}">
      <formula1>0</formula1>
      <formula2>110</formula2>
    </dataValidation>
    <dataValidation type="decimal" allowBlank="1" showInputMessage="1" showErrorMessage="1" prompt="输入卡牌的进度卡牌数目" sqref="D21:D33 D3:D19" xr:uid="{4A7953DB-7F3E-4BA2-950B-DBBB933F350D}">
      <formula1>0</formula1>
      <formula2>16</formula2>
    </dataValidation>
    <dataValidation type="whole" allowBlank="1" showInputMessage="1" showErrorMessage="1" error="输入卡牌的进度卡牌数目" prompt="输入卡牌的进度卡牌数目" sqref="P3:P33" xr:uid="{2C9CA46E-FF52-49F3-AB54-66D8F32B1EBA}">
      <formula1>0</formula1>
      <formula2>1186</formula2>
    </dataValidation>
    <dataValidation allowBlank="1" showInputMessage="1" showErrorMessage="1" errorTitle="注意" error="输入对应卡牌的等级" promptTitle="注意" prompt="输入对应卡牌的等级" sqref="K27:K33" xr:uid="{88311048-7BCA-48F2-80B5-9A4C6EA25A13}"/>
    <dataValidation type="whole" allowBlank="1" showInputMessage="1" showErrorMessage="1" errorTitle="注意" error="输入对应卡牌的等级" promptTitle="注意" prompt="输入对应卡牌的等级" sqref="C21:C33" xr:uid="{DBDF5E7A-A99E-46BF-8313-8B3DA7A4B9F3}">
      <formula1>1</formula1>
      <formula2>15</formula2>
    </dataValidation>
    <dataValidation type="list" allowBlank="1" showInputMessage="1" showErrorMessage="1" sqref="B2" xr:uid="{B0E4442D-7A3D-4E65-8CE5-192A9317665D}">
      <formula1>"传说卡,禁忌/光辉卡"</formula1>
    </dataValidation>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4960E-AC60-4297-8E4B-3F8168E29013}">
  <sheetPr codeName="Sheet12"/>
  <dimension ref="A1:W57"/>
  <sheetViews>
    <sheetView zoomScaleNormal="100" workbookViewId="0">
      <pane ySplit="2" topLeftCell="A3" activePane="bottomLeft" state="frozen"/>
      <selection activeCell="S36" sqref="S36"/>
      <selection pane="bottomLeft" activeCell="N17" sqref="N17"/>
    </sheetView>
  </sheetViews>
  <sheetFormatPr defaultRowHeight="14.25" x14ac:dyDescent="0.2"/>
  <cols>
    <col min="1" max="1" width="9" style="2"/>
    <col min="2" max="2" width="23.625" style="2" customWidth="1"/>
    <col min="3" max="3" width="7" style="2" customWidth="1"/>
    <col min="4" max="4" width="5.625" style="2" customWidth="1"/>
    <col min="5" max="5" width="7.625" style="2" customWidth="1"/>
    <col min="6" max="6" width="12" style="2" customWidth="1"/>
    <col min="7" max="7" width="6.25" style="2" customWidth="1"/>
    <col min="8" max="8" width="5.625" style="2" customWidth="1"/>
    <col min="9" max="9" width="7.625" style="2" customWidth="1"/>
    <col min="10" max="10" width="14.375" style="2" customWidth="1"/>
    <col min="11" max="11" width="7.5" style="2" customWidth="1"/>
    <col min="12" max="12" width="5.625" style="2" customWidth="1"/>
    <col min="13" max="13" width="7.625" style="2" customWidth="1"/>
    <col min="14" max="14" width="13.75" style="2" customWidth="1"/>
    <col min="15" max="15" width="6.5" style="2" customWidth="1"/>
    <col min="16" max="16" width="5.625" style="2" customWidth="1"/>
    <col min="17" max="17" width="7.625" style="2" customWidth="1"/>
    <col min="18" max="18" width="9" style="2"/>
    <col min="19" max="19" width="15.125" style="2" customWidth="1"/>
    <col min="20" max="20" width="12.625" style="2" customWidth="1"/>
    <col min="21" max="21" width="18.125" style="2" customWidth="1"/>
    <col min="22" max="16384" width="9" style="2"/>
  </cols>
  <sheetData>
    <row r="1" spans="1:23" ht="18" customHeight="1" x14ac:dyDescent="0.2">
      <c r="A1" s="364" t="s">
        <v>109</v>
      </c>
      <c r="B1" s="364"/>
      <c r="C1" s="364"/>
      <c r="D1" s="364"/>
      <c r="E1" s="364"/>
      <c r="F1" s="364"/>
      <c r="G1" s="364"/>
      <c r="H1" s="364"/>
      <c r="I1" s="364"/>
      <c r="J1" s="364"/>
      <c r="K1" s="364"/>
      <c r="L1" s="364"/>
      <c r="M1" s="364"/>
      <c r="N1" s="364"/>
      <c r="O1" s="364"/>
      <c r="P1" s="364"/>
      <c r="Q1" s="364"/>
      <c r="R1" s="364"/>
      <c r="S1" s="364"/>
      <c r="T1" s="364"/>
      <c r="U1" s="364"/>
      <c r="V1" s="364"/>
    </row>
    <row r="2" spans="1:23" ht="34.5" customHeight="1" x14ac:dyDescent="0.2">
      <c r="A2" s="3"/>
      <c r="B2" s="35" t="s">
        <v>127</v>
      </c>
      <c r="C2" s="3" t="s">
        <v>1</v>
      </c>
      <c r="D2" s="3" t="s">
        <v>90</v>
      </c>
      <c r="E2" s="5" t="s">
        <v>92</v>
      </c>
      <c r="F2" s="6" t="s">
        <v>2</v>
      </c>
      <c r="G2" s="3" t="s">
        <v>1</v>
      </c>
      <c r="H2" s="3" t="s">
        <v>90</v>
      </c>
      <c r="I2" s="5" t="s">
        <v>92</v>
      </c>
      <c r="J2" s="4" t="s">
        <v>4</v>
      </c>
      <c r="K2" s="3" t="s">
        <v>1</v>
      </c>
      <c r="L2" s="3" t="s">
        <v>90</v>
      </c>
      <c r="M2" s="5" t="s">
        <v>92</v>
      </c>
      <c r="N2" s="9" t="s">
        <v>3</v>
      </c>
      <c r="O2" s="3" t="s">
        <v>0</v>
      </c>
      <c r="P2" s="3" t="s">
        <v>89</v>
      </c>
      <c r="Q2" s="5" t="s">
        <v>91</v>
      </c>
      <c r="S2" s="39" t="s">
        <v>133</v>
      </c>
      <c r="U2" s="10" t="s">
        <v>96</v>
      </c>
      <c r="V2" s="14">
        <v>112</v>
      </c>
    </row>
    <row r="3" spans="1:23" ht="15" customHeight="1" x14ac:dyDescent="0.2">
      <c r="A3" s="3"/>
      <c r="B3" s="22" t="s">
        <v>106</v>
      </c>
      <c r="C3" s="14">
        <v>0</v>
      </c>
      <c r="D3" s="14">
        <v>0</v>
      </c>
      <c r="E3" s="3">
        <v>0</v>
      </c>
      <c r="F3" s="6" t="s">
        <v>16</v>
      </c>
      <c r="G3" s="14">
        <v>11</v>
      </c>
      <c r="H3" s="14">
        <v>1</v>
      </c>
      <c r="I3" s="3">
        <f>IF(G3=11,17+H3,IF(G3=12,27+H3,IF(G3=10,11+H3,IF(G3=13,43+H3,IF(G3=14,70+H3,IF(G3=15,110+H3,IF(G3=9,7+H3,IF(G3=8,4+H3,IF(G3=7,2+H3,1+H3)))))))))</f>
        <v>18</v>
      </c>
      <c r="J3" s="4" t="s">
        <v>45</v>
      </c>
      <c r="K3" s="14">
        <v>8</v>
      </c>
      <c r="L3" s="14">
        <v>5</v>
      </c>
      <c r="M3" s="3">
        <f>IF(K3=15,L3+396,IF(K3=14,L3+252,IF(K3=13,L3+156,IF(K3=12,L3+96,IF(K3=11,L3+60,IF(K3=10,L3+42,IF(K3=9,L3+30,IF(K3=8,L3+20,IF(K3=7,L3+12,IF(K3=6,L3+7,IF(K3=5,L3+4,IF(K3=4,L3+2,1+L3))))))))))))</f>
        <v>25</v>
      </c>
      <c r="N3" s="9" t="s">
        <v>78</v>
      </c>
      <c r="O3" s="14">
        <v>12</v>
      </c>
      <c r="P3" s="14">
        <v>16</v>
      </c>
      <c r="Q3" s="3">
        <f>IF(O3=15,P3+1187,IF(O3=14,P3+787,IF(O3=13,P3+491,IF(O3=12,P3+311,IF(O3=11,P3+200,IF(O3=10,P3+128,IF(O3=9,P3+83,IF(O3=8,P3+53,IF(O3=7,P3+33,IF(O3=6,P3+20,IF(O3=5,P3+12,IF(O3=4,P3+7,IF(O3=3,P3+4,IF(O3=2,P3+2,P3+1))))))))))))))</f>
        <v>327</v>
      </c>
    </row>
    <row r="4" spans="1:23" ht="15" customHeight="1" x14ac:dyDescent="0.2">
      <c r="A4" s="3"/>
      <c r="B4" s="21" t="s">
        <v>107</v>
      </c>
      <c r="C4" s="14">
        <v>0</v>
      </c>
      <c r="D4" s="14">
        <v>0</v>
      </c>
      <c r="E4" s="3">
        <v>0</v>
      </c>
      <c r="F4" s="6" t="s">
        <v>17</v>
      </c>
      <c r="G4" s="14">
        <v>11</v>
      </c>
      <c r="H4" s="14">
        <v>5</v>
      </c>
      <c r="I4" s="3">
        <f t="shared" ref="I4:I33" si="0">IF(G4=11,17+H4,IF(G4=12,27+H4,IF(G4=10,11+H4,IF(G4=13,43+H4,IF(G4=14,70+H4,IF(G4=15,110+H4,IF(G4=9,7+H4,IF(G4=8,4+H4,IF(G4=7,2+H4,1+H4)))))))))</f>
        <v>22</v>
      </c>
      <c r="J4" s="4" t="s">
        <v>46</v>
      </c>
      <c r="K4" s="14">
        <v>12</v>
      </c>
      <c r="L4" s="14">
        <v>60</v>
      </c>
      <c r="M4" s="3">
        <f t="shared" ref="M4:M26" si="1">IF(K4=15,L4+396,IF(K4=14,L4+252,IF(K4=13,L4+156,IF(K4=12,L4+96,IF(K4=11,L4+60,IF(K4=10,L4+42,IF(K4=9,L4+30,IF(K4=8,L4+20,IF(K4=7,L4+12,IF(K4=6,L4+7,IF(K4=5,L4+4,IF(K4=4,L4+2,1+L4))))))))))))</f>
        <v>156</v>
      </c>
      <c r="N4" s="9" t="s">
        <v>79</v>
      </c>
      <c r="O4" s="14">
        <v>12</v>
      </c>
      <c r="P4" s="14">
        <v>38</v>
      </c>
      <c r="Q4" s="3">
        <f t="shared" ref="Q4:Q14" si="2">IF(O4=15,P4+1187,IF(O4=14,P4+787,IF(O4=13,P4+491,IF(O4=12,P4+311,IF(O4=11,P4+200,IF(O4=10,P4+128,IF(O4=9,P4+83,IF(O4=8,P4+53,IF(O4=7,P4+33,IF(O4=6,P4+20,IF(O4=5,P4+12,IF(O4=4,P4+7,IF(O4=3,P4+4,IF(O4=2,P4+2,P4+1))))))))))))))</f>
        <v>349</v>
      </c>
    </row>
    <row r="5" spans="1:23" ht="15" customHeight="1" x14ac:dyDescent="0.2">
      <c r="A5" s="3"/>
      <c r="B5" s="19" t="s">
        <v>6</v>
      </c>
      <c r="C5" s="14">
        <v>11</v>
      </c>
      <c r="D5" s="14">
        <v>1</v>
      </c>
      <c r="E5" s="3">
        <f>IF(C5=15,32+D5,IF(C5=14,20+D5,IF(C5=13,12+D5,IF(C5=12,7+D5,IF(C5=11,4+D5,IF(C5=10,2+D5,1+D5))))))</f>
        <v>5</v>
      </c>
      <c r="F5" s="6" t="s">
        <v>18</v>
      </c>
      <c r="G5" s="14">
        <v>10</v>
      </c>
      <c r="H5" s="14">
        <v>3</v>
      </c>
      <c r="I5" s="3">
        <f t="shared" si="0"/>
        <v>14</v>
      </c>
      <c r="J5" s="4" t="s">
        <v>47</v>
      </c>
      <c r="K5" s="14">
        <v>12</v>
      </c>
      <c r="L5" s="14">
        <v>10</v>
      </c>
      <c r="M5" s="3">
        <f t="shared" si="1"/>
        <v>106</v>
      </c>
      <c r="N5" s="9" t="s">
        <v>80</v>
      </c>
      <c r="O5" s="14">
        <v>12</v>
      </c>
      <c r="P5" s="14">
        <v>79</v>
      </c>
      <c r="Q5" s="3">
        <f t="shared" si="2"/>
        <v>390</v>
      </c>
    </row>
    <row r="6" spans="1:23" ht="15" customHeight="1" x14ac:dyDescent="0.2">
      <c r="A6" s="3"/>
      <c r="B6" s="19" t="s">
        <v>7</v>
      </c>
      <c r="C6" s="14">
        <v>10</v>
      </c>
      <c r="D6" s="14">
        <v>0</v>
      </c>
      <c r="E6" s="3">
        <f t="shared" ref="E6:E14" si="3">IF(C6=15,32+D6,IF(C6=14,20+D6,IF(C6=13,12+D6,IF(C6=12,7+D6,IF(C6=11,4+D6,IF(C6=10,2+D6,IF(C6=9,1+D6,0)))))))</f>
        <v>2</v>
      </c>
      <c r="F6" s="6" t="s">
        <v>19</v>
      </c>
      <c r="G6" s="14">
        <v>10</v>
      </c>
      <c r="H6" s="14">
        <v>5</v>
      </c>
      <c r="I6" s="3">
        <f t="shared" si="0"/>
        <v>16</v>
      </c>
      <c r="J6" s="4" t="s">
        <v>48</v>
      </c>
      <c r="K6" s="14">
        <v>12</v>
      </c>
      <c r="L6" s="14">
        <v>23</v>
      </c>
      <c r="M6" s="3">
        <f t="shared" si="1"/>
        <v>119</v>
      </c>
      <c r="N6" s="9" t="s">
        <v>81</v>
      </c>
      <c r="O6" s="14">
        <v>12</v>
      </c>
      <c r="P6" s="14">
        <v>41</v>
      </c>
      <c r="Q6" s="3">
        <f t="shared" si="2"/>
        <v>352</v>
      </c>
    </row>
    <row r="7" spans="1:23" ht="15" customHeight="1" x14ac:dyDescent="0.2">
      <c r="A7" s="3"/>
      <c r="B7" s="19" t="s">
        <v>8</v>
      </c>
      <c r="C7" s="14">
        <v>11</v>
      </c>
      <c r="D7" s="14">
        <v>1</v>
      </c>
      <c r="E7" s="3">
        <f t="shared" si="3"/>
        <v>5</v>
      </c>
      <c r="F7" s="6" t="s">
        <v>20</v>
      </c>
      <c r="G7" s="14">
        <v>11</v>
      </c>
      <c r="H7" s="14">
        <v>5</v>
      </c>
      <c r="I7" s="3">
        <f t="shared" si="0"/>
        <v>22</v>
      </c>
      <c r="J7" s="4" t="s">
        <v>49</v>
      </c>
      <c r="K7" s="14">
        <v>12</v>
      </c>
      <c r="L7" s="14">
        <v>35</v>
      </c>
      <c r="M7" s="3">
        <f t="shared" si="1"/>
        <v>131</v>
      </c>
      <c r="N7" s="9" t="s">
        <v>82</v>
      </c>
      <c r="O7" s="14">
        <v>12</v>
      </c>
      <c r="P7" s="14">
        <v>31</v>
      </c>
      <c r="Q7" s="3">
        <f t="shared" si="2"/>
        <v>342</v>
      </c>
      <c r="S7" s="353" t="s">
        <v>103</v>
      </c>
      <c r="T7" s="358">
        <f>COUNTIF(O3:O14,"3")*250+COUNTIF(O3:O14,"2")*100+COUNTIF(K3:K26,"4")*200+COUNTIF(O3:O14,"4")*450+COUNTIF(K3:K26,"5")*500+COUNTIF(O3:O14,"5")*725+COUNTIF(K3:K26,"6")*1000+COUNTIF(O3:O14,"6")*1250+COUNTIF(G3:G34,"7")*750+COUNTIF(K3:K26,"7")*1750+COUNTIF(O3:O14,"7")*2000+COUNTIF(G3:G34,"8")*1750+COUNTIF(K3:K26,"8")*2750+COUNTIF(O3:O14,"8")*3000+COUNTIF(G3:G34,"9")*3250+COUNTIF(K3:K26,"9")*4250+COUNTIF(O3:O14,"9")*4500+COUNTIF(C3:C18,"10")*2000+COUNTIF(G3:G34,"10")*5250+COUNTIF(K3:K26,"10")*6250+COUNTIF(O3:O14,"10")*6500+COUNTIF(C3:C34,"11")*5000+COUNTIF(G3:G34,"11")*8250+COUNTIF(K3:K26,"11")*9250+COUNTIF(O3:O14,"11")*9500+COUNTIF(C3:C34,"12")*10000+COUNTIF(G3:G34,"12")*13250+COUNTIF(K3:K26,"12")*14250+COUNTIF(O3:O14,"12")*14500+COUNTIF(C3:C34,"13")*17500+COUNTIF(G3:G34,"13")*20750+COUNTIF(K3:K26,"13")*21750+COUNTIF(O3:O14,"13")*22000+COUNTIF(C3:C34,"14")*27500+COUNTIF(G3:G34,"14")*30750+COUNTIF(K3:K26,"14")*31750+COUNTIF(O3:O14,"14")*32000+COUNTIF(C3:C34,"15")*42500+COUNTIF(G3:G34,"15")*45750+COUNTIF(K3:K26,"15")*46750+COUNTIF(O3:O14,"15")*47000</f>
        <v>798250</v>
      </c>
      <c r="U7" s="358"/>
      <c r="V7" s="361">
        <f>T7/卡牌!V7</f>
        <v>6.572663647591602E-2</v>
      </c>
    </row>
    <row r="8" spans="1:23" ht="15" customHeight="1" x14ac:dyDescent="0.2">
      <c r="A8" s="3"/>
      <c r="B8" s="19" t="s">
        <v>9</v>
      </c>
      <c r="C8" s="14">
        <v>11</v>
      </c>
      <c r="D8" s="14">
        <v>0</v>
      </c>
      <c r="E8" s="3">
        <f t="shared" si="3"/>
        <v>4</v>
      </c>
      <c r="F8" s="6" t="s">
        <v>23</v>
      </c>
      <c r="G8" s="14">
        <v>11</v>
      </c>
      <c r="H8" s="14">
        <v>3</v>
      </c>
      <c r="I8" s="3">
        <f t="shared" si="0"/>
        <v>20</v>
      </c>
      <c r="J8" s="4" t="s">
        <v>50</v>
      </c>
      <c r="K8" s="14">
        <v>12</v>
      </c>
      <c r="L8" s="14">
        <v>19</v>
      </c>
      <c r="M8" s="3">
        <f t="shared" si="1"/>
        <v>115</v>
      </c>
      <c r="N8" s="9" t="s">
        <v>83</v>
      </c>
      <c r="O8" s="14">
        <v>11</v>
      </c>
      <c r="P8" s="14">
        <v>98</v>
      </c>
      <c r="Q8" s="3">
        <f t="shared" si="2"/>
        <v>298</v>
      </c>
      <c r="S8" s="357"/>
      <c r="T8" s="359"/>
      <c r="U8" s="359"/>
      <c r="V8" s="362"/>
    </row>
    <row r="9" spans="1:23" ht="15" customHeight="1" x14ac:dyDescent="0.2">
      <c r="A9" s="3"/>
      <c r="B9" s="19" t="s">
        <v>10</v>
      </c>
      <c r="C9" s="14">
        <v>11</v>
      </c>
      <c r="D9" s="14">
        <v>0</v>
      </c>
      <c r="E9" s="3">
        <f t="shared" si="3"/>
        <v>4</v>
      </c>
      <c r="F9" s="6" t="s">
        <v>24</v>
      </c>
      <c r="G9" s="14">
        <v>11</v>
      </c>
      <c r="H9" s="14">
        <v>7</v>
      </c>
      <c r="I9" s="3">
        <f t="shared" si="0"/>
        <v>24</v>
      </c>
      <c r="J9" s="4" t="s">
        <v>51</v>
      </c>
      <c r="K9" s="14">
        <v>12</v>
      </c>
      <c r="L9" s="14">
        <v>2</v>
      </c>
      <c r="M9" s="3">
        <f t="shared" si="1"/>
        <v>98</v>
      </c>
      <c r="N9" s="9" t="s">
        <v>84</v>
      </c>
      <c r="O9" s="14">
        <v>12</v>
      </c>
      <c r="P9" s="14">
        <v>78</v>
      </c>
      <c r="Q9" s="3">
        <f t="shared" si="2"/>
        <v>389</v>
      </c>
      <c r="S9" s="354"/>
      <c r="T9" s="360"/>
      <c r="U9" s="360"/>
      <c r="V9" s="363"/>
    </row>
    <row r="10" spans="1:23" ht="15" customHeight="1" x14ac:dyDescent="0.2">
      <c r="A10" s="3"/>
      <c r="B10" s="19" t="s">
        <v>11</v>
      </c>
      <c r="C10" s="14">
        <v>11</v>
      </c>
      <c r="D10" s="14">
        <v>1</v>
      </c>
      <c r="E10" s="3">
        <f t="shared" si="3"/>
        <v>5</v>
      </c>
      <c r="F10" s="6" t="s">
        <v>25</v>
      </c>
      <c r="G10" s="14">
        <v>11</v>
      </c>
      <c r="H10" s="14">
        <v>8</v>
      </c>
      <c r="I10" s="3">
        <f t="shared" si="0"/>
        <v>25</v>
      </c>
      <c r="J10" s="4" t="s">
        <v>52</v>
      </c>
      <c r="K10" s="14">
        <v>12</v>
      </c>
      <c r="L10" s="14">
        <v>34</v>
      </c>
      <c r="M10" s="3">
        <f t="shared" si="1"/>
        <v>130</v>
      </c>
      <c r="N10" s="9" t="s">
        <v>85</v>
      </c>
      <c r="O10" s="14">
        <v>12</v>
      </c>
      <c r="P10" s="14">
        <v>23</v>
      </c>
      <c r="Q10" s="3">
        <f t="shared" si="2"/>
        <v>334</v>
      </c>
    </row>
    <row r="11" spans="1:23" ht="15" customHeight="1" x14ac:dyDescent="0.2">
      <c r="A11" s="3"/>
      <c r="B11" s="19" t="s">
        <v>12</v>
      </c>
      <c r="C11" s="14">
        <v>11</v>
      </c>
      <c r="D11" s="14">
        <v>2</v>
      </c>
      <c r="E11" s="3">
        <f t="shared" si="3"/>
        <v>6</v>
      </c>
      <c r="F11" s="6" t="s">
        <v>26</v>
      </c>
      <c r="G11" s="14">
        <v>12</v>
      </c>
      <c r="H11" s="14">
        <v>3</v>
      </c>
      <c r="I11" s="3">
        <f t="shared" si="0"/>
        <v>30</v>
      </c>
      <c r="J11" s="4" t="s">
        <v>53</v>
      </c>
      <c r="K11" s="14">
        <v>12</v>
      </c>
      <c r="L11" s="14">
        <v>36</v>
      </c>
      <c r="M11" s="3">
        <f t="shared" si="1"/>
        <v>132</v>
      </c>
      <c r="N11" s="9" t="s">
        <v>86</v>
      </c>
      <c r="O11" s="14">
        <v>12</v>
      </c>
      <c r="P11" s="14">
        <v>56</v>
      </c>
      <c r="Q11" s="3">
        <f t="shared" si="2"/>
        <v>367</v>
      </c>
    </row>
    <row r="12" spans="1:23" ht="15" customHeight="1" x14ac:dyDescent="0.2">
      <c r="A12" s="3"/>
      <c r="B12" s="19" t="s">
        <v>13</v>
      </c>
      <c r="C12" s="14">
        <v>11</v>
      </c>
      <c r="D12" s="14">
        <v>0</v>
      </c>
      <c r="E12" s="3">
        <f t="shared" si="3"/>
        <v>4</v>
      </c>
      <c r="F12" s="6" t="s">
        <v>27</v>
      </c>
      <c r="G12" s="14">
        <v>11</v>
      </c>
      <c r="H12" s="14">
        <v>5</v>
      </c>
      <c r="I12" s="3">
        <f t="shared" si="0"/>
        <v>22</v>
      </c>
      <c r="J12" s="4" t="s">
        <v>55</v>
      </c>
      <c r="K12" s="14">
        <v>12</v>
      </c>
      <c r="L12" s="14">
        <v>30</v>
      </c>
      <c r="M12" s="3">
        <f t="shared" si="1"/>
        <v>126</v>
      </c>
      <c r="N12" s="9" t="s">
        <v>87</v>
      </c>
      <c r="O12" s="14">
        <v>11</v>
      </c>
      <c r="P12" s="14">
        <v>120</v>
      </c>
      <c r="Q12" s="3">
        <f t="shared" si="2"/>
        <v>320</v>
      </c>
    </row>
    <row r="13" spans="1:23" ht="15" customHeight="1" x14ac:dyDescent="0.2">
      <c r="A13" s="3"/>
      <c r="B13" s="19" t="s">
        <v>14</v>
      </c>
      <c r="C13" s="14">
        <v>10</v>
      </c>
      <c r="D13" s="14">
        <v>0</v>
      </c>
      <c r="E13" s="3">
        <f t="shared" si="3"/>
        <v>2</v>
      </c>
      <c r="F13" s="6" t="s">
        <v>28</v>
      </c>
      <c r="G13" s="14">
        <v>11</v>
      </c>
      <c r="H13" s="14">
        <v>2</v>
      </c>
      <c r="I13" s="3">
        <f t="shared" si="0"/>
        <v>19</v>
      </c>
      <c r="J13" s="4" t="s">
        <v>56</v>
      </c>
      <c r="K13" s="14">
        <v>12</v>
      </c>
      <c r="L13" s="14">
        <v>19</v>
      </c>
      <c r="M13" s="3">
        <f t="shared" si="1"/>
        <v>115</v>
      </c>
      <c r="N13" s="9" t="s">
        <v>88</v>
      </c>
      <c r="O13" s="14">
        <v>12</v>
      </c>
      <c r="P13" s="14">
        <v>20</v>
      </c>
      <c r="Q13" s="3">
        <f t="shared" si="2"/>
        <v>331</v>
      </c>
      <c r="S13" s="353" t="s">
        <v>99</v>
      </c>
      <c r="T13" s="355">
        <v>73</v>
      </c>
      <c r="U13"/>
      <c r="V13"/>
      <c r="W13"/>
    </row>
    <row r="14" spans="1:23" ht="15" customHeight="1" x14ac:dyDescent="0.2">
      <c r="A14" s="3"/>
      <c r="B14" s="19" t="s">
        <v>15</v>
      </c>
      <c r="C14" s="14">
        <v>11</v>
      </c>
      <c r="D14" s="14">
        <v>0</v>
      </c>
      <c r="E14" s="3">
        <f t="shared" si="3"/>
        <v>4</v>
      </c>
      <c r="F14" s="6" t="s">
        <v>29</v>
      </c>
      <c r="G14" s="14">
        <v>8</v>
      </c>
      <c r="H14" s="14">
        <v>2</v>
      </c>
      <c r="I14" s="3">
        <f t="shared" si="0"/>
        <v>6</v>
      </c>
      <c r="J14" s="4" t="s">
        <v>57</v>
      </c>
      <c r="K14" s="14">
        <v>12</v>
      </c>
      <c r="L14" s="14">
        <v>22</v>
      </c>
      <c r="M14" s="3">
        <f t="shared" si="1"/>
        <v>118</v>
      </c>
      <c r="N14" s="10" t="s">
        <v>54</v>
      </c>
      <c r="O14" s="14">
        <v>12</v>
      </c>
      <c r="P14" s="14">
        <v>36</v>
      </c>
      <c r="Q14" s="3">
        <f t="shared" si="2"/>
        <v>347</v>
      </c>
      <c r="S14" s="354"/>
      <c r="T14" s="356"/>
      <c r="U14"/>
      <c r="V14"/>
      <c r="W14"/>
    </row>
    <row r="15" spans="1:23" ht="15" customHeight="1" x14ac:dyDescent="0.2">
      <c r="A15" s="3"/>
      <c r="B15" s="19" t="s">
        <v>135</v>
      </c>
      <c r="C15" s="14">
        <v>0</v>
      </c>
      <c r="D15" s="14">
        <v>0</v>
      </c>
      <c r="E15" s="3">
        <f>IF(C15=15,32+D15,IF(C15=14,20+D15,IF(C15=13,12+D15,IF(C15=12,7+D15,IF(C15=11,4+D15,IF(C15=10,2+D15,IF(C15=9,1+D15,0)))))))</f>
        <v>0</v>
      </c>
      <c r="F15" s="6" t="s">
        <v>30</v>
      </c>
      <c r="G15" s="14">
        <v>11</v>
      </c>
      <c r="H15" s="14">
        <v>1</v>
      </c>
      <c r="I15" s="3">
        <f t="shared" si="0"/>
        <v>18</v>
      </c>
      <c r="J15" s="4" t="s">
        <v>58</v>
      </c>
      <c r="K15" s="14">
        <v>12</v>
      </c>
      <c r="L15" s="14">
        <v>25</v>
      </c>
      <c r="M15" s="3">
        <f t="shared" si="1"/>
        <v>121</v>
      </c>
      <c r="N15" s="9"/>
      <c r="O15" s="14"/>
      <c r="P15" s="14"/>
      <c r="Q15" s="3"/>
    </row>
    <row r="16" spans="1:23" ht="15" customHeight="1" x14ac:dyDescent="0.2">
      <c r="A16" s="3"/>
      <c r="B16" s="19" t="s">
        <v>74</v>
      </c>
      <c r="C16" s="14">
        <v>11</v>
      </c>
      <c r="D16" s="14">
        <v>2</v>
      </c>
      <c r="E16" s="3">
        <f t="shared" ref="E16:E21" si="4">IF(C16=15,32+D16,IF(C16=14,20+D16,IF(C16=13,12+D16,IF(C16=12,7+D16,IF(C16=11,4+D16,IF(C16=10,2+D16,IF(C16=9,1+D16,0)))))))</f>
        <v>6</v>
      </c>
      <c r="F16" s="6" t="s">
        <v>31</v>
      </c>
      <c r="G16" s="14">
        <v>11</v>
      </c>
      <c r="H16" s="14">
        <v>1</v>
      </c>
      <c r="I16" s="3">
        <f t="shared" si="0"/>
        <v>18</v>
      </c>
      <c r="J16" s="4" t="s">
        <v>59</v>
      </c>
      <c r="K16" s="14">
        <v>12</v>
      </c>
      <c r="L16" s="14">
        <v>38</v>
      </c>
      <c r="M16" s="3">
        <f t="shared" si="1"/>
        <v>134</v>
      </c>
      <c r="N16" s="9"/>
      <c r="O16" s="14"/>
      <c r="P16" s="14"/>
      <c r="Q16" s="3"/>
    </row>
    <row r="17" spans="1:21" ht="15" customHeight="1" x14ac:dyDescent="0.2">
      <c r="A17" s="3"/>
      <c r="B17" s="19" t="s">
        <v>75</v>
      </c>
      <c r="C17" s="14">
        <v>10</v>
      </c>
      <c r="D17" s="14">
        <v>1</v>
      </c>
      <c r="E17" s="3">
        <f t="shared" si="4"/>
        <v>3</v>
      </c>
      <c r="F17" s="6" t="s">
        <v>32</v>
      </c>
      <c r="G17" s="14">
        <v>10</v>
      </c>
      <c r="H17" s="14">
        <v>9</v>
      </c>
      <c r="I17" s="3">
        <f t="shared" si="0"/>
        <v>20</v>
      </c>
      <c r="J17" s="4" t="s">
        <v>60</v>
      </c>
      <c r="K17" s="14">
        <v>10</v>
      </c>
      <c r="L17" s="14">
        <v>7</v>
      </c>
      <c r="M17" s="3">
        <f t="shared" si="1"/>
        <v>49</v>
      </c>
      <c r="N17" s="9"/>
      <c r="O17" s="14"/>
      <c r="P17" s="14"/>
      <c r="Q17" s="3"/>
      <c r="S17" s="342" t="s">
        <v>100</v>
      </c>
      <c r="T17" s="342"/>
      <c r="U17" s="344" t="e">
        <f>IF(T13&lt;96,(V2/(I35/卡牌!#REF!)-V2)/(100-T13)*(1+卡牌!Y4*卡牌!Y5),IF(T13=100,0,卡牌!#REF!))</f>
        <v>#REF!</v>
      </c>
    </row>
    <row r="18" spans="1:21" ht="15" customHeight="1" x14ac:dyDescent="0.2">
      <c r="A18" s="3"/>
      <c r="B18" s="19" t="s">
        <v>104</v>
      </c>
      <c r="C18" s="14">
        <v>11</v>
      </c>
      <c r="D18" s="14">
        <v>0</v>
      </c>
      <c r="E18" s="3">
        <f t="shared" si="4"/>
        <v>4</v>
      </c>
      <c r="F18" s="6" t="s">
        <v>33</v>
      </c>
      <c r="G18" s="14">
        <v>11</v>
      </c>
      <c r="H18" s="14">
        <v>3</v>
      </c>
      <c r="I18" s="3">
        <f t="shared" si="0"/>
        <v>20</v>
      </c>
      <c r="J18" s="4" t="s">
        <v>61</v>
      </c>
      <c r="K18" s="14">
        <v>12</v>
      </c>
      <c r="L18" s="14">
        <v>24</v>
      </c>
      <c r="M18" s="3">
        <f t="shared" si="1"/>
        <v>120</v>
      </c>
      <c r="N18" s="9"/>
      <c r="O18" s="14"/>
      <c r="P18" s="14"/>
      <c r="Q18" s="3"/>
      <c r="S18" s="343"/>
      <c r="T18" s="343"/>
      <c r="U18" s="345"/>
    </row>
    <row r="19" spans="1:21" ht="15" customHeight="1" x14ac:dyDescent="0.2">
      <c r="A19" s="3"/>
      <c r="B19" s="19" t="s">
        <v>76</v>
      </c>
      <c r="C19" s="14">
        <v>10</v>
      </c>
      <c r="D19" s="14">
        <v>0</v>
      </c>
      <c r="E19" s="3">
        <f t="shared" si="4"/>
        <v>2</v>
      </c>
      <c r="F19" s="6" t="s">
        <v>34</v>
      </c>
      <c r="G19" s="14">
        <v>11</v>
      </c>
      <c r="H19" s="14">
        <v>4</v>
      </c>
      <c r="I19" s="3">
        <f t="shared" si="0"/>
        <v>21</v>
      </c>
      <c r="J19" s="4" t="s">
        <v>62</v>
      </c>
      <c r="K19" s="14">
        <v>12</v>
      </c>
      <c r="L19" s="14">
        <v>18</v>
      </c>
      <c r="M19" s="3">
        <f t="shared" si="1"/>
        <v>114</v>
      </c>
      <c r="N19" s="9"/>
      <c r="O19" s="14"/>
      <c r="P19" s="14"/>
      <c r="Q19" s="3"/>
      <c r="S19" s="342" t="s">
        <v>111</v>
      </c>
      <c r="T19" s="342"/>
      <c r="U19" s="333" t="e">
        <f>IF(T13&lt;96,U17*(100-T13),IF(U17=0,"已满级",U17*(100-T13)&amp;"(存在误差)"))</f>
        <v>#REF!</v>
      </c>
    </row>
    <row r="20" spans="1:21" ht="15" customHeight="1" x14ac:dyDescent="0.2">
      <c r="A20" s="3"/>
      <c r="B20" s="19" t="s">
        <v>105</v>
      </c>
      <c r="C20" s="14">
        <v>11</v>
      </c>
      <c r="D20" s="14">
        <v>1</v>
      </c>
      <c r="E20" s="3">
        <f t="shared" si="4"/>
        <v>5</v>
      </c>
      <c r="F20" s="6" t="s">
        <v>35</v>
      </c>
      <c r="G20" s="14">
        <v>11</v>
      </c>
      <c r="H20" s="14">
        <v>0</v>
      </c>
      <c r="I20" s="3">
        <f t="shared" si="0"/>
        <v>17</v>
      </c>
      <c r="J20" s="4" t="s">
        <v>63</v>
      </c>
      <c r="K20" s="14">
        <v>12</v>
      </c>
      <c r="L20" s="14">
        <v>32</v>
      </c>
      <c r="M20" s="3">
        <f t="shared" si="1"/>
        <v>128</v>
      </c>
      <c r="N20" s="9"/>
      <c r="O20" s="14"/>
      <c r="P20" s="14"/>
      <c r="Q20" s="3"/>
      <c r="S20" s="343"/>
      <c r="T20" s="343"/>
      <c r="U20" s="334"/>
    </row>
    <row r="21" spans="1:21" ht="15" customHeight="1" x14ac:dyDescent="0.2">
      <c r="A21" s="3"/>
      <c r="B21" s="19" t="s">
        <v>77</v>
      </c>
      <c r="C21" s="14">
        <v>11</v>
      </c>
      <c r="D21" s="14">
        <v>1</v>
      </c>
      <c r="E21" s="3">
        <f t="shared" si="4"/>
        <v>5</v>
      </c>
      <c r="F21" s="6" t="s">
        <v>36</v>
      </c>
      <c r="G21" s="14">
        <v>11</v>
      </c>
      <c r="H21" s="14">
        <v>9</v>
      </c>
      <c r="I21" s="3">
        <f t="shared" si="0"/>
        <v>26</v>
      </c>
      <c r="J21" s="4" t="s">
        <v>64</v>
      </c>
      <c r="K21" s="14">
        <v>12</v>
      </c>
      <c r="L21" s="14">
        <v>27</v>
      </c>
      <c r="M21" s="3">
        <f t="shared" si="1"/>
        <v>123</v>
      </c>
      <c r="N21" s="9"/>
      <c r="O21" s="14"/>
      <c r="P21" s="14"/>
      <c r="Q21" s="3"/>
    </row>
    <row r="22" spans="1:21" ht="15" customHeight="1" x14ac:dyDescent="0.2">
      <c r="A22" s="3"/>
      <c r="B22" s="19"/>
      <c r="C22" s="14"/>
      <c r="D22" s="14"/>
      <c r="E22" s="3"/>
      <c r="F22" s="6" t="s">
        <v>37</v>
      </c>
      <c r="G22" s="14">
        <v>11</v>
      </c>
      <c r="H22" s="14">
        <v>3</v>
      </c>
      <c r="I22" s="3">
        <f t="shared" si="0"/>
        <v>20</v>
      </c>
      <c r="J22" s="4" t="s">
        <v>65</v>
      </c>
      <c r="K22" s="14">
        <v>12</v>
      </c>
      <c r="L22" s="14">
        <v>32</v>
      </c>
      <c r="M22" s="3">
        <f t="shared" si="1"/>
        <v>128</v>
      </c>
      <c r="N22" s="9"/>
      <c r="O22" s="14"/>
      <c r="P22" s="14"/>
      <c r="Q22" s="3"/>
    </row>
    <row r="23" spans="1:21" ht="15" customHeight="1" x14ac:dyDescent="0.2">
      <c r="A23" s="3"/>
      <c r="B23" s="19"/>
      <c r="C23" s="14"/>
      <c r="D23" s="14"/>
      <c r="E23" s="3"/>
      <c r="F23" s="6" t="s">
        <v>38</v>
      </c>
      <c r="G23" s="14">
        <v>11</v>
      </c>
      <c r="H23" s="14">
        <v>2</v>
      </c>
      <c r="I23" s="3">
        <f t="shared" si="0"/>
        <v>19</v>
      </c>
      <c r="J23" s="4" t="s">
        <v>66</v>
      </c>
      <c r="K23" s="14">
        <v>12</v>
      </c>
      <c r="L23" s="14">
        <v>21</v>
      </c>
      <c r="M23" s="3">
        <f t="shared" si="1"/>
        <v>117</v>
      </c>
      <c r="N23" s="9"/>
      <c r="O23" s="14"/>
      <c r="P23" s="14"/>
      <c r="Q23" s="3"/>
    </row>
    <row r="24" spans="1:21" ht="15" customHeight="1" x14ac:dyDescent="0.2">
      <c r="A24" s="3"/>
      <c r="B24" s="19"/>
      <c r="C24" s="14"/>
      <c r="D24" s="14"/>
      <c r="E24" s="3"/>
      <c r="F24" s="6" t="s">
        <v>39</v>
      </c>
      <c r="G24" s="14">
        <v>12</v>
      </c>
      <c r="H24" s="14">
        <v>1</v>
      </c>
      <c r="I24" s="3">
        <f t="shared" si="0"/>
        <v>28</v>
      </c>
      <c r="J24" s="4" t="s">
        <v>68</v>
      </c>
      <c r="K24" s="14">
        <v>12</v>
      </c>
      <c r="L24" s="14">
        <v>32</v>
      </c>
      <c r="M24" s="3">
        <f t="shared" si="1"/>
        <v>128</v>
      </c>
      <c r="N24" s="9"/>
      <c r="O24" s="14"/>
      <c r="P24" s="14"/>
      <c r="Q24" s="3"/>
    </row>
    <row r="25" spans="1:21" ht="15" customHeight="1" x14ac:dyDescent="0.2">
      <c r="A25" s="3"/>
      <c r="B25" s="19"/>
      <c r="C25" s="14"/>
      <c r="D25" s="14"/>
      <c r="E25" s="3"/>
      <c r="F25" s="6" t="s">
        <v>40</v>
      </c>
      <c r="G25" s="14">
        <v>11</v>
      </c>
      <c r="H25" s="14">
        <v>4</v>
      </c>
      <c r="I25" s="3">
        <f t="shared" si="0"/>
        <v>21</v>
      </c>
      <c r="J25" s="4" t="s">
        <v>69</v>
      </c>
      <c r="K25" s="14">
        <v>12</v>
      </c>
      <c r="L25" s="14">
        <v>17</v>
      </c>
      <c r="M25" s="3">
        <f t="shared" si="1"/>
        <v>113</v>
      </c>
      <c r="N25" s="9"/>
      <c r="O25" s="14"/>
      <c r="P25" s="14"/>
      <c r="Q25" s="3"/>
    </row>
    <row r="26" spans="1:21" ht="15" customHeight="1" x14ac:dyDescent="0.2">
      <c r="A26" s="3"/>
      <c r="B26" s="19"/>
      <c r="C26" s="14"/>
      <c r="D26" s="14"/>
      <c r="E26" s="3"/>
      <c r="F26" s="6" t="s">
        <v>41</v>
      </c>
      <c r="G26" s="14">
        <v>12</v>
      </c>
      <c r="H26" s="14">
        <v>2</v>
      </c>
      <c r="I26" s="3">
        <f t="shared" si="0"/>
        <v>29</v>
      </c>
      <c r="J26" s="4" t="s">
        <v>67</v>
      </c>
      <c r="K26" s="14">
        <v>12</v>
      </c>
      <c r="L26" s="14">
        <v>39</v>
      </c>
      <c r="M26" s="3">
        <f t="shared" si="1"/>
        <v>135</v>
      </c>
      <c r="N26" s="9"/>
      <c r="O26" s="14"/>
      <c r="P26" s="14"/>
      <c r="Q26" s="3"/>
    </row>
    <row r="27" spans="1:21" ht="15" customHeight="1" x14ac:dyDescent="0.2">
      <c r="A27" s="3"/>
      <c r="B27" s="19"/>
      <c r="C27" s="14"/>
      <c r="D27" s="14"/>
      <c r="E27" s="3"/>
      <c r="F27" s="6" t="s">
        <v>42</v>
      </c>
      <c r="G27" s="14">
        <v>8</v>
      </c>
      <c r="H27" s="14">
        <v>2</v>
      </c>
      <c r="I27" s="3">
        <f t="shared" si="0"/>
        <v>6</v>
      </c>
      <c r="J27" s="4"/>
      <c r="K27" s="14"/>
      <c r="L27" s="14"/>
      <c r="M27" s="3"/>
      <c r="N27" s="9"/>
      <c r="O27" s="14"/>
      <c r="P27" s="14"/>
      <c r="Q27" s="3"/>
    </row>
    <row r="28" spans="1:21" ht="15" customHeight="1" x14ac:dyDescent="0.2">
      <c r="A28" s="3"/>
      <c r="B28" s="19"/>
      <c r="C28" s="14"/>
      <c r="D28" s="14"/>
      <c r="E28" s="3"/>
      <c r="F28" s="6" t="s">
        <v>73</v>
      </c>
      <c r="G28" s="14">
        <v>11</v>
      </c>
      <c r="H28" s="14">
        <v>1</v>
      </c>
      <c r="I28" s="3">
        <f t="shared" si="0"/>
        <v>18</v>
      </c>
      <c r="J28" s="4"/>
      <c r="K28" s="14"/>
      <c r="L28" s="14"/>
      <c r="M28" s="3"/>
      <c r="N28" s="9"/>
      <c r="O28" s="14"/>
      <c r="P28" s="14"/>
      <c r="Q28" s="3"/>
    </row>
    <row r="29" spans="1:21" ht="15" customHeight="1" x14ac:dyDescent="0.2">
      <c r="A29" s="3"/>
      <c r="B29" s="19"/>
      <c r="C29" s="14"/>
      <c r="D29" s="14"/>
      <c r="E29" s="3"/>
      <c r="F29" s="6" t="s">
        <v>72</v>
      </c>
      <c r="G29" s="14">
        <v>10</v>
      </c>
      <c r="H29" s="14">
        <v>3</v>
      </c>
      <c r="I29" s="3">
        <f t="shared" si="0"/>
        <v>14</v>
      </c>
      <c r="J29" s="4"/>
      <c r="K29" s="14"/>
      <c r="L29" s="14"/>
      <c r="M29" s="3"/>
      <c r="N29" s="9"/>
      <c r="O29" s="14"/>
      <c r="P29" s="14"/>
      <c r="Q29" s="3"/>
    </row>
    <row r="30" spans="1:21" ht="15" customHeight="1" x14ac:dyDescent="0.2">
      <c r="A30" s="3"/>
      <c r="B30" s="19"/>
      <c r="C30" s="14"/>
      <c r="D30" s="14"/>
      <c r="E30" s="3"/>
      <c r="F30" s="6" t="s">
        <v>71</v>
      </c>
      <c r="G30" s="14">
        <v>11</v>
      </c>
      <c r="H30" s="14">
        <v>4</v>
      </c>
      <c r="I30" s="3">
        <f t="shared" si="0"/>
        <v>21</v>
      </c>
      <c r="J30" s="4"/>
      <c r="K30" s="14"/>
      <c r="L30" s="14"/>
      <c r="M30" s="3"/>
      <c r="N30" s="9"/>
      <c r="O30" s="14"/>
      <c r="P30" s="14"/>
      <c r="Q30" s="3"/>
    </row>
    <row r="31" spans="1:21" ht="15" customHeight="1" x14ac:dyDescent="0.2">
      <c r="A31" s="3"/>
      <c r="B31" s="19"/>
      <c r="C31" s="14"/>
      <c r="D31" s="14"/>
      <c r="E31" s="3"/>
      <c r="F31" s="6" t="s">
        <v>70</v>
      </c>
      <c r="G31" s="14">
        <v>11</v>
      </c>
      <c r="H31" s="14">
        <v>2</v>
      </c>
      <c r="I31" s="3">
        <f t="shared" si="0"/>
        <v>19</v>
      </c>
      <c r="J31" s="4"/>
      <c r="K31" s="14"/>
      <c r="L31" s="14"/>
      <c r="M31" s="3"/>
      <c r="N31" s="9"/>
      <c r="O31" s="14"/>
      <c r="P31" s="14"/>
      <c r="Q31" s="3"/>
    </row>
    <row r="32" spans="1:21" ht="15" customHeight="1" x14ac:dyDescent="0.2">
      <c r="A32" s="3"/>
      <c r="B32" s="19"/>
      <c r="C32" s="14"/>
      <c r="D32" s="14"/>
      <c r="E32" s="3"/>
      <c r="F32" s="6" t="s">
        <v>43</v>
      </c>
      <c r="G32" s="14">
        <v>11</v>
      </c>
      <c r="H32" s="14">
        <v>3</v>
      </c>
      <c r="I32" s="3">
        <f t="shared" si="0"/>
        <v>20</v>
      </c>
      <c r="J32" s="4"/>
      <c r="K32" s="14"/>
      <c r="L32" s="14"/>
      <c r="M32" s="3"/>
      <c r="N32" s="9"/>
      <c r="O32" s="14"/>
      <c r="P32" s="14"/>
      <c r="Q32" s="3"/>
    </row>
    <row r="33" spans="1:19" ht="15" customHeight="1" x14ac:dyDescent="0.2">
      <c r="A33" s="3"/>
      <c r="B33" s="19"/>
      <c r="C33" s="14"/>
      <c r="D33" s="14"/>
      <c r="E33" s="3"/>
      <c r="F33" s="6" t="s">
        <v>44</v>
      </c>
      <c r="G33" s="14">
        <v>11</v>
      </c>
      <c r="H33" s="14">
        <v>7</v>
      </c>
      <c r="I33" s="3">
        <f t="shared" si="0"/>
        <v>24</v>
      </c>
      <c r="J33" s="4"/>
      <c r="K33" s="14"/>
      <c r="L33" s="14"/>
      <c r="M33" s="3"/>
      <c r="N33" s="9"/>
      <c r="O33" s="14"/>
      <c r="P33" s="14"/>
      <c r="Q33" s="3"/>
    </row>
    <row r="34" spans="1:19" s="1" customFormat="1" ht="15" customHeight="1" x14ac:dyDescent="0.2">
      <c r="B34" s="19"/>
      <c r="C34" s="14"/>
      <c r="D34" s="14"/>
      <c r="E34" s="3"/>
      <c r="F34" s="6" t="s">
        <v>108</v>
      </c>
      <c r="G34" s="14">
        <v>0</v>
      </c>
      <c r="H34" s="14">
        <v>0</v>
      </c>
      <c r="I34" s="2">
        <v>0</v>
      </c>
      <c r="J34" s="4"/>
      <c r="K34" s="14"/>
      <c r="L34" s="14"/>
      <c r="M34" s="3"/>
      <c r="N34" s="9"/>
      <c r="O34" s="14"/>
      <c r="P34" s="14"/>
      <c r="Q34" s="3"/>
      <c r="R34" s="10" t="s">
        <v>101</v>
      </c>
      <c r="S34" s="10" t="s">
        <v>102</v>
      </c>
    </row>
    <row r="35" spans="1:19" s="1" customFormat="1" x14ac:dyDescent="0.2">
      <c r="A35" s="7" t="s">
        <v>5</v>
      </c>
      <c r="B35" s="7">
        <v>16</v>
      </c>
      <c r="C35" s="16">
        <f>SUM(C3:C34)/B35</f>
        <v>10.75</v>
      </c>
      <c r="D35" s="7"/>
      <c r="E35" s="7">
        <f>SUM(E3:E34)</f>
        <v>66</v>
      </c>
      <c r="F35" s="7">
        <f>卡牌!U4-COUNTIF(G3:G34,"0")</f>
        <v>35</v>
      </c>
      <c r="G35" s="7">
        <f>SUM(G3:G34)/F35</f>
        <v>9.5428571428571427</v>
      </c>
      <c r="H35" s="7"/>
      <c r="I35" s="7">
        <f>SUM(I3:I34)</f>
        <v>617</v>
      </c>
      <c r="J35" s="7">
        <f>卡牌!U5-COUNTIF(K3:K33,"0")</f>
        <v>24</v>
      </c>
      <c r="K35" s="7">
        <f>AVERAGE(K3:K26)</f>
        <v>11.75</v>
      </c>
      <c r="L35" s="7"/>
      <c r="M35" s="7">
        <f>SUM(M3:M33)</f>
        <v>2781</v>
      </c>
      <c r="N35" s="7">
        <f>卡牌!U6-COUNTIF(O3:O14,"0")</f>
        <v>13</v>
      </c>
      <c r="O35" s="7">
        <f>AVERAGE(O3:O14)</f>
        <v>11.833333333333334</v>
      </c>
      <c r="P35" s="7"/>
      <c r="Q35" s="7">
        <f>SUM(Q3:Q33)</f>
        <v>4146</v>
      </c>
      <c r="R35" s="7">
        <f>COUNTIF(C3:C34,"&gt;0")+COUNTIF(G3:G34,"&gt;0")+COUNTIF(K3:K34,"&gt;0")+COUNTIF(O3:O34,"&gt;0")</f>
        <v>83</v>
      </c>
      <c r="S35" s="16">
        <f>SUM(C3:C34,G3:G34,K3:K34,O3:O34)/R35</f>
        <v>11.204819277108435</v>
      </c>
    </row>
    <row r="36" spans="1:19" s="1" customFormat="1" x14ac:dyDescent="0.2">
      <c r="A36" s="8" t="s">
        <v>93</v>
      </c>
      <c r="B36" s="11">
        <f>B35/卡牌!U3</f>
        <v>0.76190476190476186</v>
      </c>
      <c r="C36" s="11"/>
      <c r="D36" s="11"/>
      <c r="E36" s="11">
        <f>E35/卡牌!V3</f>
        <v>6.043956043956044E-2</v>
      </c>
      <c r="F36" s="11">
        <f>F35/卡牌!U4</f>
        <v>0.97222222222222221</v>
      </c>
      <c r="G36" s="11"/>
      <c r="H36" s="11"/>
      <c r="I36" s="11">
        <f>I35/卡牌!V4</f>
        <v>0.12330135891286971</v>
      </c>
      <c r="J36" s="11">
        <f>J35/卡牌!U5</f>
        <v>1</v>
      </c>
      <c r="K36" s="11"/>
      <c r="L36" s="11"/>
      <c r="M36" s="11">
        <f>M35/卡牌!V5</f>
        <v>0.18841463414634146</v>
      </c>
      <c r="N36" s="11">
        <v>1</v>
      </c>
      <c r="O36" s="11"/>
      <c r="P36" s="11"/>
      <c r="Q36" s="11">
        <f>Q35/卡牌!V6</f>
        <v>0.15136358657953342</v>
      </c>
      <c r="R36" s="11">
        <f>R35/卡牌!U7</f>
        <v>0.82178217821782173</v>
      </c>
      <c r="S36" s="11">
        <f>AVERAGE(SUM(E3:E20)/(卡牌!V2+卡牌!V3),M36,I36,Q36)</f>
        <v>0.12624379600858726</v>
      </c>
    </row>
    <row r="37" spans="1:19" x14ac:dyDescent="0.2">
      <c r="A37" s="10" t="s">
        <v>94</v>
      </c>
      <c r="B37" s="337">
        <f>V2/E36-V2</f>
        <v>1741.090909090909</v>
      </c>
      <c r="C37" s="338"/>
      <c r="D37" s="338"/>
      <c r="E37" s="339"/>
      <c r="F37" s="337">
        <f>V2/I36-V2</f>
        <v>796.3435980551053</v>
      </c>
      <c r="G37" s="338"/>
      <c r="H37" s="338"/>
      <c r="I37" s="339"/>
      <c r="J37" s="337">
        <f>V2/M36-V2</f>
        <v>482.43365695792875</v>
      </c>
      <c r="K37" s="338"/>
      <c r="L37" s="338"/>
      <c r="M37" s="339"/>
      <c r="N37" s="337">
        <f>V2/Q36-V2</f>
        <v>627.94018330921369</v>
      </c>
      <c r="O37" s="338"/>
      <c r="P37" s="338"/>
      <c r="Q37" s="339"/>
      <c r="R37" s="1"/>
      <c r="S37" s="1"/>
    </row>
    <row r="38" spans="1:19" x14ac:dyDescent="0.2">
      <c r="A38" s="12" t="s">
        <v>98</v>
      </c>
      <c r="B38" s="347">
        <f>B37+$V$2</f>
        <v>1853.090909090909</v>
      </c>
      <c r="C38" s="347"/>
      <c r="D38" s="347"/>
      <c r="E38" s="348"/>
      <c r="F38" s="346">
        <f>F37+$V$2</f>
        <v>908.3435980551053</v>
      </c>
      <c r="G38" s="347"/>
      <c r="H38" s="347"/>
      <c r="I38" s="348"/>
      <c r="J38" s="346">
        <f>J37+$V$2</f>
        <v>594.43365695792875</v>
      </c>
      <c r="K38" s="347"/>
      <c r="L38" s="347"/>
      <c r="M38" s="348"/>
      <c r="N38" s="346">
        <f>N37+$V$2</f>
        <v>739.94018330921369</v>
      </c>
      <c r="O38" s="347"/>
      <c r="P38" s="347"/>
      <c r="Q38" s="348"/>
    </row>
    <row r="39" spans="1:19" x14ac:dyDescent="0.2">
      <c r="A39" s="3" t="s">
        <v>95</v>
      </c>
      <c r="B39" s="350">
        <f>E35/V2</f>
        <v>0.5892857142857143</v>
      </c>
      <c r="C39" s="351"/>
      <c r="D39" s="351"/>
      <c r="E39" s="352"/>
      <c r="F39" s="350">
        <f>I35/V2</f>
        <v>5.5089285714285712</v>
      </c>
      <c r="G39" s="351"/>
      <c r="H39" s="351"/>
      <c r="I39" s="352"/>
      <c r="J39" s="350">
        <f>M35/V2</f>
        <v>24.830357142857142</v>
      </c>
      <c r="K39" s="351"/>
      <c r="L39" s="351"/>
      <c r="M39" s="352"/>
      <c r="N39" s="350">
        <f>Q35/V2</f>
        <v>37.017857142857146</v>
      </c>
      <c r="O39" s="351"/>
      <c r="P39" s="351"/>
      <c r="Q39" s="352"/>
    </row>
    <row r="57" spans="10:10" x14ac:dyDescent="0.2">
      <c r="J57"/>
    </row>
  </sheetData>
  <protectedRanges>
    <protectedRange sqref="C3:D34" name="区域1"/>
  </protectedRanges>
  <mergeCells count="22">
    <mergeCell ref="N37:Q37"/>
    <mergeCell ref="J37:M37"/>
    <mergeCell ref="F37:I37"/>
    <mergeCell ref="B37:E37"/>
    <mergeCell ref="A1:V1"/>
    <mergeCell ref="S7:S9"/>
    <mergeCell ref="T7:U9"/>
    <mergeCell ref="V7:V9"/>
    <mergeCell ref="S19:T20"/>
    <mergeCell ref="U19:U20"/>
    <mergeCell ref="S13:S14"/>
    <mergeCell ref="T13:T14"/>
    <mergeCell ref="S17:T18"/>
    <mergeCell ref="U17:U18"/>
    <mergeCell ref="B39:E39"/>
    <mergeCell ref="F39:I39"/>
    <mergeCell ref="N39:Q39"/>
    <mergeCell ref="N38:Q38"/>
    <mergeCell ref="J38:M38"/>
    <mergeCell ref="F38:I38"/>
    <mergeCell ref="B38:E38"/>
    <mergeCell ref="J39:M39"/>
  </mergeCells>
  <phoneticPr fontId="1" type="noConversion"/>
  <dataValidations xWindow="573" yWindow="902" count="8">
    <dataValidation type="whole" allowBlank="1" showInputMessage="1" showErrorMessage="1" errorTitle="注意" error="输入对应卡牌的等级" promptTitle="注意" prompt="输入对应卡牌的等级" sqref="C22:C33" xr:uid="{C945EB3C-40EC-47FA-A41D-E66CD8A7623F}">
      <formula1>1</formula1>
      <formula2>15</formula2>
    </dataValidation>
    <dataValidation allowBlank="1" showInputMessage="1" showErrorMessage="1" errorTitle="注意" error="输入对应卡牌的等级" promptTitle="注意" prompt="输入对应卡牌的等级" sqref="K27:K33 O15:O33" xr:uid="{B9FE2D6C-E4D6-46DC-941C-5B6AA88A8FF0}"/>
    <dataValidation type="whole" allowBlank="1" showInputMessage="1" showErrorMessage="1" error="输入卡牌的进度卡牌数目" prompt="输入卡牌的进度卡牌数目" sqref="P3:P33" xr:uid="{B18F3232-3D8D-499F-8801-90EFD7754D99}">
      <formula1>0</formula1>
      <formula2>1186</formula2>
    </dataValidation>
    <dataValidation type="decimal" allowBlank="1" showInputMessage="1" showErrorMessage="1" prompt="输入卡牌的进度卡牌数目" sqref="D3:D20 D22:D33" xr:uid="{6A645406-EEE5-4FAE-A4D0-79BBE2383D54}">
      <formula1>0</formula1>
      <formula2>16</formula2>
    </dataValidation>
    <dataValidation type="decimal" allowBlank="1" showInputMessage="1" showErrorMessage="1" error="输入卡牌的进度卡牌数目" prompt="输入卡牌的进度卡牌数目" sqref="H3:H33" xr:uid="{C6712D29-E1B3-4172-A868-5C11825EC8E4}">
      <formula1>0</formula1>
      <formula2>110</formula2>
    </dataValidation>
    <dataValidation type="whole" allowBlank="1" showInputMessage="1" showErrorMessage="1" error="输入卡牌的进度卡牌数目" prompt="输入卡牌的进度卡牌数目" sqref="L3:L33" xr:uid="{FBE28121-7FE7-41B5-B4E1-B08C984A146B}">
      <formula1>0</formula1>
      <formula2>396</formula2>
    </dataValidation>
    <dataValidation type="decimal" allowBlank="1" showInputMessage="1" showErrorMessage="1" error="输入卡牌的进度卡牌数目" prompt="输入卡牌的进度卡牌数目" sqref="D21" xr:uid="{BFC2D944-D569-4D9F-AE3E-304E30C7A773}">
      <formula1>0</formula1>
      <formula2>32</formula2>
    </dataValidation>
    <dataValidation type="whole" allowBlank="1" showInputMessage="1" showErrorMessage="1" errorTitle="注意" error="输入对应卡牌的等级" promptTitle="注意" prompt="输入对应卡牌的等级" sqref="O3:O14 G3:G33 K3:K26 C3:C21" xr:uid="{AD2948DE-53E7-4F23-909D-1AF578D69B35}">
      <formula1>0</formula1>
      <formula2>15</formula2>
    </dataValidation>
  </dataValidation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81974-8177-4AE2-B47A-41DDDB773370}">
  <sheetPr codeName="Sheet4">
    <tabColor rgb="FFFFFF00"/>
  </sheetPr>
  <dimension ref="A1:Y28"/>
  <sheetViews>
    <sheetView workbookViewId="0">
      <selection activeCell="S4" sqref="S4"/>
    </sheetView>
  </sheetViews>
  <sheetFormatPr defaultRowHeight="14.25" x14ac:dyDescent="0.2"/>
  <cols>
    <col min="1" max="1" width="25.5" customWidth="1"/>
    <col min="2" max="19" width="5.625" customWidth="1"/>
    <col min="20" max="20" width="10.75" customWidth="1"/>
    <col min="21" max="21" width="9.875" customWidth="1"/>
    <col min="22" max="22" width="15.375" customWidth="1"/>
    <col min="23" max="26" width="20.625" customWidth="1"/>
  </cols>
  <sheetData>
    <row r="1" spans="1:25" ht="24" customHeight="1" x14ac:dyDescent="0.25">
      <c r="A1" s="3" t="s">
        <v>1</v>
      </c>
      <c r="B1" s="3">
        <v>1</v>
      </c>
      <c r="C1" s="3">
        <v>2</v>
      </c>
      <c r="D1" s="3">
        <v>3</v>
      </c>
      <c r="E1" s="3">
        <v>4</v>
      </c>
      <c r="F1" s="3">
        <v>5</v>
      </c>
      <c r="G1" s="3">
        <v>6</v>
      </c>
      <c r="H1" s="3">
        <v>7</v>
      </c>
      <c r="I1" s="3">
        <v>8</v>
      </c>
      <c r="J1" s="3">
        <v>9</v>
      </c>
      <c r="K1" s="3">
        <v>10</v>
      </c>
      <c r="L1" s="3">
        <v>11</v>
      </c>
      <c r="M1" s="3">
        <v>12</v>
      </c>
      <c r="N1" s="3">
        <v>13</v>
      </c>
      <c r="O1" s="3">
        <v>14</v>
      </c>
      <c r="P1" s="3">
        <v>15</v>
      </c>
      <c r="Q1" s="3">
        <v>16</v>
      </c>
      <c r="R1" s="3">
        <v>17</v>
      </c>
      <c r="S1" s="3">
        <v>18</v>
      </c>
      <c r="T1" s="3" t="s">
        <v>21</v>
      </c>
      <c r="U1" s="3" t="s">
        <v>22</v>
      </c>
      <c r="V1" s="123" t="s">
        <v>5</v>
      </c>
      <c r="W1" s="239"/>
      <c r="X1" s="239"/>
      <c r="Y1" s="239"/>
    </row>
    <row r="2" spans="1:25" ht="42" customHeight="1" x14ac:dyDescent="0.25">
      <c r="A2" s="33" t="s">
        <v>164</v>
      </c>
      <c r="B2" s="34"/>
      <c r="C2" s="34"/>
      <c r="D2" s="34"/>
      <c r="E2" s="34"/>
      <c r="F2" s="34"/>
      <c r="G2" s="34"/>
      <c r="H2" s="34"/>
      <c r="I2" s="34"/>
      <c r="J2" s="34">
        <v>1</v>
      </c>
      <c r="K2" s="34">
        <v>1</v>
      </c>
      <c r="L2" s="34">
        <v>2</v>
      </c>
      <c r="M2" s="34">
        <v>3</v>
      </c>
      <c r="N2" s="34">
        <v>4</v>
      </c>
      <c r="O2" s="34">
        <v>5</v>
      </c>
      <c r="P2" s="34">
        <v>6</v>
      </c>
      <c r="Q2" s="34">
        <v>8</v>
      </c>
      <c r="R2" s="34">
        <v>10</v>
      </c>
      <c r="S2" s="34">
        <v>12</v>
      </c>
      <c r="T2" s="34">
        <f>SUM(J2:S2)</f>
        <v>52</v>
      </c>
      <c r="U2" s="34">
        <v>7</v>
      </c>
      <c r="V2" s="34">
        <f>T2*U2</f>
        <v>364</v>
      </c>
      <c r="W2" s="239"/>
      <c r="X2" s="239"/>
      <c r="Y2" s="239"/>
    </row>
    <row r="3" spans="1:25" ht="42" customHeight="1" x14ac:dyDescent="0.25">
      <c r="A3" s="20" t="s">
        <v>127</v>
      </c>
      <c r="B3" s="32"/>
      <c r="C3" s="32"/>
      <c r="D3" s="32"/>
      <c r="E3" s="32"/>
      <c r="F3" s="32"/>
      <c r="G3" s="32"/>
      <c r="H3" s="32"/>
      <c r="I3" s="32"/>
      <c r="J3" s="32">
        <v>1</v>
      </c>
      <c r="K3" s="32">
        <v>1</v>
      </c>
      <c r="L3" s="32">
        <v>2</v>
      </c>
      <c r="M3" s="32">
        <v>3</v>
      </c>
      <c r="N3" s="32">
        <v>4</v>
      </c>
      <c r="O3" s="32">
        <v>5</v>
      </c>
      <c r="P3" s="32">
        <v>6</v>
      </c>
      <c r="Q3" s="32">
        <v>8</v>
      </c>
      <c r="R3" s="32">
        <v>10</v>
      </c>
      <c r="S3" s="32">
        <v>12</v>
      </c>
      <c r="T3" s="32">
        <f>SUM(J3:S3)</f>
        <v>52</v>
      </c>
      <c r="U3" s="32">
        <v>21</v>
      </c>
      <c r="V3" s="32">
        <f>T3*U3</f>
        <v>1092</v>
      </c>
      <c r="W3" s="239"/>
      <c r="X3" s="239"/>
      <c r="Y3" s="239"/>
    </row>
    <row r="4" spans="1:25" ht="42" customHeight="1" x14ac:dyDescent="0.25">
      <c r="A4" s="28" t="s">
        <v>2</v>
      </c>
      <c r="B4" s="28"/>
      <c r="C4" s="28"/>
      <c r="D4" s="28"/>
      <c r="E4" s="28"/>
      <c r="F4" s="28"/>
      <c r="G4" s="28">
        <v>1</v>
      </c>
      <c r="H4" s="28">
        <v>1</v>
      </c>
      <c r="I4" s="28">
        <v>2</v>
      </c>
      <c r="J4" s="28">
        <v>3</v>
      </c>
      <c r="K4" s="28">
        <v>4</v>
      </c>
      <c r="L4" s="28">
        <v>6</v>
      </c>
      <c r="M4" s="28">
        <v>8</v>
      </c>
      <c r="N4" s="28">
        <v>10</v>
      </c>
      <c r="O4" s="28">
        <v>13</v>
      </c>
      <c r="P4" s="28">
        <v>16</v>
      </c>
      <c r="Q4" s="28">
        <v>20</v>
      </c>
      <c r="R4" s="28">
        <v>25</v>
      </c>
      <c r="S4" s="28">
        <v>30</v>
      </c>
      <c r="T4" s="28">
        <f>SUM(G4:S4)</f>
        <v>139</v>
      </c>
      <c r="U4" s="28">
        <v>36</v>
      </c>
      <c r="V4" s="30">
        <f>T4*U4</f>
        <v>5004</v>
      </c>
      <c r="W4" s="239"/>
      <c r="X4" s="239"/>
      <c r="Y4" s="239"/>
    </row>
    <row r="5" spans="1:25" ht="42" customHeight="1" x14ac:dyDescent="0.25">
      <c r="A5" s="4" t="s">
        <v>4</v>
      </c>
      <c r="B5" s="4"/>
      <c r="C5" s="4"/>
      <c r="D5" s="4">
        <v>1</v>
      </c>
      <c r="E5" s="4">
        <v>1</v>
      </c>
      <c r="F5" s="4">
        <v>2</v>
      </c>
      <c r="G5" s="4">
        <v>3</v>
      </c>
      <c r="H5" s="4">
        <v>5</v>
      </c>
      <c r="I5" s="4">
        <v>8</v>
      </c>
      <c r="J5" s="4">
        <v>10</v>
      </c>
      <c r="K5" s="4">
        <v>12</v>
      </c>
      <c r="L5" s="4">
        <v>18</v>
      </c>
      <c r="M5" s="4">
        <v>25</v>
      </c>
      <c r="N5" s="4">
        <v>35</v>
      </c>
      <c r="O5" s="4">
        <v>50</v>
      </c>
      <c r="P5" s="4">
        <v>70</v>
      </c>
      <c r="Q5" s="4">
        <v>95</v>
      </c>
      <c r="R5" s="4">
        <v>125</v>
      </c>
      <c r="S5" s="4">
        <v>155</v>
      </c>
      <c r="T5" s="4">
        <f>SUM(D5:S5)</f>
        <v>615</v>
      </c>
      <c r="U5" s="4">
        <v>24</v>
      </c>
      <c r="V5" s="31">
        <f>T5*U5</f>
        <v>14760</v>
      </c>
      <c r="W5" s="239"/>
      <c r="X5" s="239"/>
      <c r="Y5" s="239"/>
    </row>
    <row r="6" spans="1:25" ht="42" customHeight="1" x14ac:dyDescent="0.25">
      <c r="A6" s="29" t="s">
        <v>3</v>
      </c>
      <c r="B6" s="29">
        <v>1</v>
      </c>
      <c r="C6" s="29">
        <v>1</v>
      </c>
      <c r="D6" s="29">
        <v>2</v>
      </c>
      <c r="E6" s="29">
        <v>3</v>
      </c>
      <c r="F6" s="29">
        <v>5</v>
      </c>
      <c r="G6" s="29">
        <v>8</v>
      </c>
      <c r="H6" s="29">
        <v>12</v>
      </c>
      <c r="I6" s="29">
        <v>20</v>
      </c>
      <c r="J6" s="29">
        <v>30</v>
      </c>
      <c r="K6" s="29">
        <v>45</v>
      </c>
      <c r="L6" s="29">
        <v>70</v>
      </c>
      <c r="M6" s="29">
        <v>100</v>
      </c>
      <c r="N6" s="29">
        <v>140</v>
      </c>
      <c r="O6" s="29">
        <v>190</v>
      </c>
      <c r="P6" s="29">
        <v>250</v>
      </c>
      <c r="Q6" s="29">
        <v>320</v>
      </c>
      <c r="R6" s="29">
        <v>410</v>
      </c>
      <c r="S6" s="29">
        <v>500</v>
      </c>
      <c r="T6" s="29">
        <f>SUM(B6:S6)</f>
        <v>2107</v>
      </c>
      <c r="U6" s="29">
        <v>13</v>
      </c>
      <c r="V6" s="10">
        <f>T6*U6</f>
        <v>27391</v>
      </c>
      <c r="W6" s="239"/>
      <c r="X6" s="239"/>
      <c r="Y6" s="239"/>
    </row>
    <row r="7" spans="1:25" ht="42" customHeight="1" x14ac:dyDescent="0.25">
      <c r="A7" s="3" t="s">
        <v>97</v>
      </c>
      <c r="B7" s="3"/>
      <c r="C7" s="29">
        <v>100</v>
      </c>
      <c r="D7" s="29">
        <v>150</v>
      </c>
      <c r="E7" s="4">
        <v>200</v>
      </c>
      <c r="F7" s="4">
        <v>300</v>
      </c>
      <c r="G7" s="4">
        <v>500</v>
      </c>
      <c r="H7" s="28">
        <v>750</v>
      </c>
      <c r="I7" s="28">
        <v>1000</v>
      </c>
      <c r="J7" s="28">
        <v>1500</v>
      </c>
      <c r="K7" s="43">
        <v>2000</v>
      </c>
      <c r="L7" s="43">
        <v>3000</v>
      </c>
      <c r="M7" s="43">
        <v>5000</v>
      </c>
      <c r="N7" s="43">
        <v>7500</v>
      </c>
      <c r="O7" s="43">
        <v>10000</v>
      </c>
      <c r="P7" s="43">
        <v>15000</v>
      </c>
      <c r="Q7" s="43">
        <v>20000</v>
      </c>
      <c r="R7" s="43">
        <v>25000</v>
      </c>
      <c r="S7" s="43">
        <v>30000</v>
      </c>
      <c r="T7" s="298"/>
      <c r="U7" s="296">
        <f>SUM(U2:U6)</f>
        <v>101</v>
      </c>
      <c r="V7" s="15">
        <f>SUM(C7:S7)*U6+SUM(E7:S7)*U5+SUM(H7:S7)*U4+SUM(K7:S7)*(U3+U2)</f>
        <v>12145000</v>
      </c>
      <c r="W7" s="239"/>
      <c r="X7" s="239"/>
      <c r="Y7" s="239"/>
    </row>
    <row r="8" spans="1:25" ht="42" customHeight="1" x14ac:dyDescent="0.25">
      <c r="A8" s="3" t="s">
        <v>110</v>
      </c>
      <c r="B8" s="3"/>
      <c r="C8" s="29">
        <v>200</v>
      </c>
      <c r="D8" s="29">
        <v>250</v>
      </c>
      <c r="E8" s="4">
        <v>300</v>
      </c>
      <c r="F8" s="4">
        <v>400</v>
      </c>
      <c r="G8" s="4">
        <v>500</v>
      </c>
      <c r="H8" s="28">
        <v>600</v>
      </c>
      <c r="I8" s="28">
        <v>700</v>
      </c>
      <c r="J8" s="28">
        <v>750</v>
      </c>
      <c r="K8" s="43">
        <v>800</v>
      </c>
      <c r="L8" s="43">
        <v>850</v>
      </c>
      <c r="M8" s="43">
        <v>900</v>
      </c>
      <c r="N8" s="43">
        <v>950</v>
      </c>
      <c r="O8" s="43">
        <v>1000</v>
      </c>
      <c r="P8" s="43">
        <v>1200</v>
      </c>
      <c r="Q8" s="43"/>
      <c r="R8" s="43"/>
      <c r="S8" s="43"/>
      <c r="T8" s="299"/>
      <c r="U8" s="297"/>
      <c r="V8" s="15" t="str">
        <f>SUM(C8:S8)*U6+SUM(E8:S8)*U5+SUM(H8:S8)*U4+SUM(K8:S8)*(U3+U2)&amp;"/565790"</f>
        <v>775600/565790</v>
      </c>
      <c r="W8" s="239"/>
      <c r="X8" s="239"/>
      <c r="Y8" s="239"/>
    </row>
    <row r="9" spans="1:25" ht="15.75" x14ac:dyDescent="0.25">
      <c r="A9" s="239"/>
      <c r="B9" s="239"/>
      <c r="C9" s="239"/>
      <c r="D9" s="239"/>
      <c r="E9" s="239"/>
      <c r="F9" s="239"/>
      <c r="G9" s="239"/>
      <c r="H9" s="239"/>
      <c r="I9" s="239"/>
      <c r="J9" s="239"/>
      <c r="K9" s="239"/>
      <c r="L9" s="239"/>
      <c r="M9" s="239"/>
      <c r="N9" s="239"/>
      <c r="O9" s="239"/>
      <c r="P9" s="239"/>
      <c r="Q9" s="239"/>
      <c r="R9" s="239"/>
      <c r="S9" s="239"/>
      <c r="T9" s="239"/>
      <c r="U9" s="239"/>
      <c r="V9" s="239"/>
      <c r="W9" s="239"/>
      <c r="X9" s="239"/>
      <c r="Y9" s="239"/>
    </row>
    <row r="10" spans="1:25" ht="15.75" x14ac:dyDescent="0.25">
      <c r="A10" s="239"/>
      <c r="B10" s="239"/>
      <c r="C10" s="239"/>
      <c r="D10" s="239"/>
      <c r="E10" s="239"/>
      <c r="F10" s="239"/>
      <c r="G10" s="239"/>
      <c r="H10" s="239"/>
      <c r="I10" s="239"/>
      <c r="J10" s="239"/>
      <c r="K10" s="239"/>
      <c r="L10" s="239"/>
      <c r="M10" s="239"/>
      <c r="N10" s="239"/>
      <c r="O10" s="239"/>
      <c r="P10" s="239"/>
      <c r="Q10" s="239"/>
      <c r="R10" s="239"/>
      <c r="S10" s="239"/>
      <c r="T10" s="239"/>
      <c r="U10" s="239"/>
      <c r="V10" s="239"/>
      <c r="W10" s="239"/>
      <c r="X10" s="239"/>
      <c r="Y10" s="239"/>
    </row>
    <row r="11" spans="1:25" ht="15.75" x14ac:dyDescent="0.25">
      <c r="A11" s="239"/>
      <c r="B11" s="239"/>
      <c r="C11" s="239"/>
      <c r="D11" s="239"/>
      <c r="E11" s="239"/>
      <c r="F11" s="239"/>
      <c r="G11" s="239"/>
      <c r="H11" s="239"/>
      <c r="I11" s="239"/>
      <c r="J11" s="239"/>
      <c r="K11" s="239"/>
      <c r="L11" s="239"/>
      <c r="M11" s="239"/>
      <c r="N11" s="239"/>
      <c r="O11" s="239"/>
      <c r="P11" s="239"/>
      <c r="Q11" s="239"/>
      <c r="R11" s="239"/>
      <c r="S11" s="239"/>
      <c r="T11" s="239"/>
      <c r="U11" s="239"/>
      <c r="V11" s="239"/>
      <c r="W11" s="239"/>
      <c r="X11" s="239"/>
      <c r="Y11" s="239"/>
    </row>
    <row r="12" spans="1:25" ht="15.75" x14ac:dyDescent="0.25">
      <c r="A12" s="239"/>
      <c r="B12" s="239"/>
      <c r="C12" s="239"/>
      <c r="D12" s="239"/>
      <c r="E12" s="239"/>
      <c r="F12" s="239"/>
      <c r="G12" s="239"/>
      <c r="H12" s="239"/>
      <c r="I12" s="239"/>
      <c r="J12" s="239"/>
      <c r="K12" s="239"/>
      <c r="L12" s="239"/>
      <c r="M12" s="239"/>
      <c r="N12" s="239"/>
      <c r="O12" s="239"/>
      <c r="P12" s="239"/>
      <c r="Q12" s="239"/>
      <c r="R12" s="239"/>
      <c r="S12" s="239"/>
      <c r="T12" s="239"/>
      <c r="U12" s="239"/>
      <c r="V12" s="239"/>
      <c r="W12" s="239"/>
      <c r="X12" s="239"/>
      <c r="Y12" s="239"/>
    </row>
    <row r="13" spans="1:25" ht="15.75" x14ac:dyDescent="0.25">
      <c r="A13" s="239"/>
      <c r="B13" s="239"/>
      <c r="C13" s="239"/>
      <c r="D13" s="239"/>
      <c r="E13" s="239"/>
      <c r="F13" s="239"/>
      <c r="G13" s="239"/>
      <c r="H13" s="239"/>
      <c r="I13" s="239"/>
      <c r="J13" s="239"/>
      <c r="K13" s="239"/>
      <c r="L13" s="239"/>
      <c r="M13" s="239"/>
      <c r="N13" s="239"/>
      <c r="O13" s="239"/>
      <c r="P13" s="239"/>
      <c r="Q13" s="239"/>
      <c r="R13" s="239"/>
      <c r="S13" s="239"/>
      <c r="T13" s="239"/>
      <c r="U13" s="239"/>
      <c r="V13" s="239"/>
      <c r="W13" s="239"/>
      <c r="X13" s="239"/>
      <c r="Y13" s="239"/>
    </row>
    <row r="14" spans="1:25" ht="15.75" x14ac:dyDescent="0.25">
      <c r="A14" s="239"/>
      <c r="B14" s="239"/>
      <c r="C14" s="239"/>
      <c r="D14" s="239"/>
      <c r="E14" s="239"/>
      <c r="F14" s="239"/>
      <c r="G14" s="239"/>
      <c r="H14" s="239"/>
      <c r="I14" s="239"/>
      <c r="J14" s="239"/>
      <c r="K14" s="239"/>
      <c r="L14" s="239"/>
      <c r="M14" s="239"/>
      <c r="N14" s="239"/>
      <c r="O14" s="239"/>
      <c r="P14" s="239"/>
      <c r="Q14" s="239"/>
      <c r="R14" s="239"/>
      <c r="S14" s="239"/>
      <c r="T14" s="239"/>
      <c r="U14" s="239"/>
      <c r="V14" s="239"/>
      <c r="W14" s="239"/>
      <c r="X14" s="239"/>
      <c r="Y14" s="239"/>
    </row>
    <row r="15" spans="1:25" ht="15.75" x14ac:dyDescent="0.25">
      <c r="A15" s="239"/>
      <c r="B15" s="239"/>
      <c r="C15" s="239"/>
      <c r="D15" s="239"/>
      <c r="E15" s="239"/>
      <c r="F15" s="239"/>
      <c r="G15" s="239"/>
      <c r="H15" s="239"/>
      <c r="I15" s="239"/>
      <c r="J15" s="239"/>
      <c r="K15" s="239"/>
      <c r="L15" s="239"/>
      <c r="M15" s="239"/>
      <c r="N15" s="239"/>
      <c r="O15" s="239"/>
      <c r="P15" s="239"/>
      <c r="Q15" s="239"/>
      <c r="R15" s="239"/>
      <c r="S15" s="239"/>
      <c r="T15" s="239"/>
      <c r="U15" s="239"/>
      <c r="V15" s="239"/>
      <c r="W15" s="239"/>
      <c r="X15" s="239"/>
      <c r="Y15" s="239"/>
    </row>
    <row r="16" spans="1:25" ht="15.75" x14ac:dyDescent="0.25">
      <c r="A16" s="239"/>
      <c r="B16" s="239"/>
      <c r="C16" s="239"/>
      <c r="D16" s="239"/>
      <c r="E16" s="239"/>
      <c r="F16" s="239"/>
      <c r="G16" s="239"/>
      <c r="H16" s="239"/>
      <c r="I16" s="239"/>
      <c r="J16" s="239"/>
      <c r="K16" s="239"/>
      <c r="L16" s="239"/>
      <c r="M16" s="239"/>
      <c r="N16" s="239"/>
      <c r="O16" s="239"/>
      <c r="P16" s="239"/>
      <c r="Q16" s="239"/>
      <c r="R16" s="239"/>
      <c r="S16" s="239"/>
      <c r="T16" s="239"/>
      <c r="U16" s="239"/>
      <c r="V16" s="239"/>
      <c r="W16" s="239"/>
      <c r="X16" s="239"/>
      <c r="Y16" s="239"/>
    </row>
    <row r="17" spans="1:25" ht="15.75" x14ac:dyDescent="0.25">
      <c r="A17" s="239"/>
      <c r="B17" s="239"/>
      <c r="C17" s="239"/>
      <c r="D17" s="239"/>
      <c r="E17" s="239"/>
      <c r="F17" s="239"/>
      <c r="G17" s="239"/>
      <c r="H17" s="239"/>
      <c r="I17" s="239"/>
      <c r="J17" s="239"/>
      <c r="K17" s="239"/>
      <c r="L17" s="239"/>
      <c r="M17" s="239"/>
      <c r="N17" s="239"/>
      <c r="O17" s="239"/>
      <c r="P17" s="239"/>
      <c r="Q17" s="239"/>
      <c r="R17" s="239"/>
      <c r="S17" s="239"/>
      <c r="T17" s="239"/>
      <c r="U17" s="239"/>
      <c r="V17" s="239"/>
      <c r="W17" s="239"/>
      <c r="X17" s="239"/>
      <c r="Y17" s="239"/>
    </row>
    <row r="18" spans="1:25" ht="15.75" x14ac:dyDescent="0.25">
      <c r="A18" s="239"/>
      <c r="B18" s="239"/>
      <c r="C18" s="239"/>
      <c r="D18" s="239"/>
      <c r="E18" s="239"/>
      <c r="F18" s="239"/>
      <c r="G18" s="239"/>
      <c r="H18" s="239"/>
      <c r="I18" s="239"/>
      <c r="J18" s="239"/>
      <c r="K18" s="239"/>
      <c r="L18" s="239"/>
      <c r="M18" s="239"/>
      <c r="N18" s="239"/>
      <c r="O18" s="239"/>
      <c r="P18" s="239"/>
      <c r="Q18" s="239"/>
      <c r="R18" s="239"/>
      <c r="S18" s="239"/>
      <c r="T18" s="239"/>
      <c r="U18" s="239"/>
      <c r="V18" s="239"/>
      <c r="W18" s="239"/>
      <c r="X18" s="239"/>
      <c r="Y18" s="239"/>
    </row>
    <row r="19" spans="1:25" ht="15.75" x14ac:dyDescent="0.25">
      <c r="A19" s="239"/>
      <c r="B19" s="239"/>
      <c r="C19" s="239"/>
      <c r="D19" s="239"/>
      <c r="E19" s="239"/>
      <c r="F19" s="239"/>
      <c r="G19" s="239"/>
      <c r="H19" s="239"/>
      <c r="I19" s="239"/>
      <c r="J19" s="239"/>
      <c r="K19" s="239"/>
      <c r="L19" s="239"/>
      <c r="M19" s="239"/>
      <c r="N19" s="239"/>
      <c r="O19" s="239"/>
      <c r="P19" s="239"/>
      <c r="Q19" s="239"/>
      <c r="R19" s="239"/>
      <c r="S19" s="239"/>
      <c r="T19" s="239"/>
      <c r="U19" s="239"/>
      <c r="V19" s="239"/>
      <c r="W19" s="239"/>
      <c r="X19" s="239"/>
      <c r="Y19" s="239"/>
    </row>
    <row r="20" spans="1:25" ht="15.75" x14ac:dyDescent="0.25">
      <c r="A20" s="239"/>
      <c r="B20" s="239"/>
      <c r="C20" s="239"/>
      <c r="D20" s="239"/>
      <c r="E20" s="239"/>
      <c r="F20" s="239"/>
      <c r="G20" s="239"/>
      <c r="H20" s="239"/>
      <c r="I20" s="239"/>
      <c r="J20" s="239"/>
      <c r="K20" s="239"/>
      <c r="L20" s="239"/>
      <c r="M20" s="239"/>
      <c r="N20" s="239"/>
      <c r="O20" s="239"/>
      <c r="P20" s="239"/>
      <c r="Q20" s="239"/>
      <c r="R20" s="239"/>
      <c r="S20" s="239"/>
      <c r="T20" s="239"/>
      <c r="U20" s="239"/>
      <c r="V20" s="239"/>
      <c r="W20" s="239"/>
      <c r="X20" s="239"/>
      <c r="Y20" s="239"/>
    </row>
    <row r="21" spans="1:25" ht="15.75" x14ac:dyDescent="0.25">
      <c r="A21" s="239"/>
      <c r="B21" s="239"/>
      <c r="C21" s="239"/>
      <c r="D21" s="239"/>
      <c r="E21" s="239"/>
      <c r="F21" s="239"/>
      <c r="G21" s="239"/>
      <c r="H21" s="239"/>
      <c r="I21" s="239"/>
      <c r="J21" s="239"/>
      <c r="K21" s="239"/>
      <c r="L21" s="239"/>
      <c r="M21" s="239"/>
      <c r="N21" s="239"/>
      <c r="O21" s="239"/>
      <c r="P21" s="239"/>
      <c r="Q21" s="239"/>
      <c r="R21" s="239"/>
      <c r="S21" s="239"/>
      <c r="T21" s="239"/>
      <c r="U21" s="239"/>
      <c r="V21" s="239"/>
      <c r="W21" s="239"/>
      <c r="X21" s="239"/>
      <c r="Y21" s="239"/>
    </row>
    <row r="22" spans="1:25" ht="15.75" x14ac:dyDescent="0.25">
      <c r="A22" s="239"/>
      <c r="B22" s="239"/>
      <c r="C22" s="239"/>
      <c r="D22" s="239"/>
      <c r="E22" s="239"/>
      <c r="F22" s="239"/>
      <c r="G22" s="239"/>
      <c r="H22" s="239"/>
      <c r="I22" s="239"/>
      <c r="J22" s="239"/>
      <c r="K22" s="239"/>
      <c r="L22" s="239"/>
      <c r="M22" s="239"/>
      <c r="N22" s="239"/>
      <c r="O22" s="239"/>
      <c r="P22" s="239"/>
      <c r="Q22" s="239"/>
      <c r="R22" s="239"/>
      <c r="S22" s="239"/>
      <c r="T22" s="239"/>
      <c r="U22" s="239"/>
      <c r="V22" s="239"/>
      <c r="W22" s="239"/>
      <c r="X22" s="239"/>
      <c r="Y22" s="239"/>
    </row>
    <row r="23" spans="1:25" ht="15.75" x14ac:dyDescent="0.25">
      <c r="A23" s="239"/>
      <c r="B23" s="239"/>
      <c r="C23" s="239"/>
      <c r="D23" s="239"/>
      <c r="E23" s="239"/>
      <c r="F23" s="239"/>
      <c r="G23" s="239"/>
      <c r="H23" s="239"/>
      <c r="I23" s="239"/>
      <c r="J23" s="239"/>
      <c r="K23" s="239"/>
      <c r="L23" s="239"/>
      <c r="M23" s="239"/>
      <c r="N23" s="239"/>
      <c r="O23" s="239"/>
      <c r="P23" s="239"/>
      <c r="Q23" s="239"/>
      <c r="R23" s="239"/>
      <c r="S23" s="239"/>
      <c r="T23" s="239"/>
      <c r="U23" s="239"/>
      <c r="V23" s="239"/>
      <c r="W23" s="239"/>
      <c r="X23" s="239"/>
      <c r="Y23" s="239"/>
    </row>
    <row r="24" spans="1:25" ht="15.75" x14ac:dyDescent="0.25">
      <c r="A24" s="239"/>
      <c r="B24" s="239"/>
      <c r="C24" s="239"/>
      <c r="D24" s="239"/>
      <c r="E24" s="239"/>
      <c r="F24" s="239"/>
      <c r="G24" s="239"/>
      <c r="H24" s="239"/>
      <c r="I24" s="239"/>
      <c r="J24" s="239"/>
      <c r="K24" s="239"/>
      <c r="L24" s="239"/>
      <c r="M24" s="239"/>
      <c r="N24" s="239"/>
      <c r="O24" s="239"/>
      <c r="P24" s="239"/>
      <c r="Q24" s="239"/>
      <c r="R24" s="239"/>
      <c r="S24" s="239"/>
      <c r="T24" s="239"/>
      <c r="U24" s="239"/>
      <c r="V24" s="239"/>
      <c r="W24" s="239"/>
      <c r="X24" s="239"/>
      <c r="Y24" s="239"/>
    </row>
    <row r="25" spans="1:25" ht="15.75" x14ac:dyDescent="0.25">
      <c r="A25" s="239"/>
      <c r="B25" s="239"/>
      <c r="C25" s="239"/>
      <c r="D25" s="239"/>
      <c r="E25" s="239"/>
      <c r="F25" s="239"/>
      <c r="G25" s="239"/>
      <c r="H25" s="239"/>
      <c r="I25" s="239"/>
      <c r="J25" s="239"/>
      <c r="K25" s="239"/>
      <c r="L25" s="239"/>
      <c r="M25" s="239"/>
      <c r="N25" s="239"/>
      <c r="O25" s="239"/>
      <c r="P25" s="239"/>
      <c r="Q25" s="239"/>
      <c r="R25" s="239"/>
      <c r="S25" s="239"/>
      <c r="T25" s="239"/>
      <c r="U25" s="239"/>
      <c r="V25" s="239"/>
      <c r="W25" s="239"/>
      <c r="X25" s="239"/>
      <c r="Y25" s="239"/>
    </row>
    <row r="26" spans="1:25" ht="15.75" x14ac:dyDescent="0.25">
      <c r="A26" s="239"/>
      <c r="B26" s="239"/>
      <c r="C26" s="239"/>
      <c r="D26" s="239"/>
      <c r="E26" s="239"/>
      <c r="F26" s="239"/>
      <c r="G26" s="239"/>
      <c r="H26" s="239"/>
      <c r="I26" s="239"/>
      <c r="J26" s="239"/>
      <c r="K26" s="239"/>
      <c r="L26" s="239"/>
      <c r="M26" s="239"/>
      <c r="N26" s="239"/>
      <c r="O26" s="239"/>
      <c r="P26" s="239"/>
      <c r="Q26" s="239"/>
      <c r="R26" s="239"/>
      <c r="S26" s="239"/>
      <c r="T26" s="239"/>
      <c r="U26" s="239"/>
      <c r="V26" s="239"/>
      <c r="W26" s="239"/>
      <c r="X26" s="239"/>
      <c r="Y26" s="239"/>
    </row>
    <row r="27" spans="1:25" ht="15.75" x14ac:dyDescent="0.25">
      <c r="A27" s="239"/>
      <c r="B27" s="239"/>
      <c r="C27" s="239"/>
      <c r="D27" s="239"/>
      <c r="E27" s="239"/>
      <c r="F27" s="239"/>
      <c r="G27" s="239"/>
      <c r="H27" s="239"/>
      <c r="I27" s="239"/>
      <c r="J27" s="239"/>
      <c r="K27" s="239"/>
      <c r="L27" s="239"/>
      <c r="M27" s="239"/>
      <c r="N27" s="239"/>
      <c r="O27" s="239"/>
      <c r="P27" s="239"/>
      <c r="Q27" s="239"/>
      <c r="R27" s="239"/>
      <c r="S27" s="239"/>
      <c r="T27" s="239"/>
      <c r="U27" s="239"/>
      <c r="V27" s="239"/>
      <c r="W27" s="239"/>
      <c r="X27" s="239"/>
      <c r="Y27" s="239"/>
    </row>
    <row r="28" spans="1:25" ht="15.75" x14ac:dyDescent="0.25">
      <c r="A28" s="239"/>
      <c r="B28" s="239"/>
      <c r="C28" s="239"/>
      <c r="D28" s="239"/>
      <c r="E28" s="239"/>
      <c r="F28" s="239"/>
      <c r="G28" s="239"/>
      <c r="H28" s="239"/>
      <c r="I28" s="239"/>
      <c r="J28" s="239"/>
      <c r="K28" s="239"/>
      <c r="L28" s="239"/>
      <c r="M28" s="239"/>
      <c r="N28" s="239"/>
      <c r="O28" s="239"/>
      <c r="P28" s="239"/>
      <c r="Q28" s="239"/>
      <c r="R28" s="239"/>
      <c r="S28" s="239"/>
      <c r="T28" s="239"/>
      <c r="U28" s="239"/>
      <c r="V28" s="239"/>
      <c r="W28" s="239"/>
      <c r="X28" s="239"/>
      <c r="Y28" s="239"/>
    </row>
  </sheetData>
  <mergeCells count="2">
    <mergeCell ref="U7:U8"/>
    <mergeCell ref="T7:T8"/>
  </mergeCells>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E5319-94BF-44CB-B8A5-A767469283DB}">
  <sheetPr>
    <tabColor theme="9" tint="0.39997558519241921"/>
  </sheetPr>
  <dimension ref="A1:H234"/>
  <sheetViews>
    <sheetView zoomScaleNormal="100" workbookViewId="0">
      <selection activeCell="G3" sqref="G3:G5"/>
    </sheetView>
  </sheetViews>
  <sheetFormatPr defaultRowHeight="14.25" x14ac:dyDescent="0.2"/>
  <cols>
    <col min="1" max="1" width="24.125" customWidth="1"/>
    <col min="3" max="3" width="11.375" customWidth="1"/>
    <col min="4" max="4" width="12.5" customWidth="1"/>
    <col min="5" max="5" width="85.375" customWidth="1"/>
    <col min="6" max="6" width="12.625" style="99" customWidth="1"/>
    <col min="7" max="7" width="50.25" customWidth="1"/>
  </cols>
  <sheetData>
    <row r="1" spans="1:7" ht="41.25" customHeight="1" x14ac:dyDescent="0.2">
      <c r="A1" s="300" t="s">
        <v>290</v>
      </c>
      <c r="B1" s="301"/>
      <c r="C1" s="301"/>
      <c r="D1" s="301"/>
      <c r="E1" s="301"/>
      <c r="F1" s="301"/>
      <c r="G1" s="301"/>
    </row>
    <row r="2" spans="1:7" ht="41.25" customHeight="1" x14ac:dyDescent="0.2">
      <c r="A2" s="186" t="s">
        <v>491</v>
      </c>
      <c r="B2" s="186" t="s">
        <v>201</v>
      </c>
      <c r="C2" s="186" t="s">
        <v>282</v>
      </c>
      <c r="D2" s="186" t="s">
        <v>284</v>
      </c>
      <c r="E2" s="186" t="s">
        <v>288</v>
      </c>
      <c r="F2" s="186" t="s">
        <v>295</v>
      </c>
      <c r="G2" s="186" t="s">
        <v>286</v>
      </c>
    </row>
    <row r="3" spans="1:7" ht="46.5" customHeight="1" x14ac:dyDescent="0.2">
      <c r="A3" s="3" t="s">
        <v>74</v>
      </c>
      <c r="B3" s="3" t="str">
        <f>IFERROR(VLOOKUP($A$3,$A$10:$G$234,2,FALSE),"")</f>
        <v>传说</v>
      </c>
      <c r="C3" s="3" t="str">
        <f>IFERROR(VLOOKUP($A$3,$A$10:$G$234,3,FALSE)," ")</f>
        <v xml:space="preserve"> </v>
      </c>
      <c r="D3" s="3" t="str">
        <f>IFERROR(VLOOKUP($A$3,$A$10:$G$234,4,FALSE),"")</f>
        <v>伙伴卡</v>
      </c>
      <c r="E3" s="3" t="str">
        <f>IFERROR(VLOOKUP($A$3,$A$10:$G$234,6,FALSE)," ")</f>
        <v xml:space="preserve"> </v>
      </c>
      <c r="F3" s="3" t="str">
        <f>IFERROR(VLOOKUP($A$3,$A$10:$G$234,7,FALSE),"")</f>
        <v>差</v>
      </c>
      <c r="G3" s="302" t="str">
        <f>IFERROR(VLOOKUP($A$3,$A$10:$G$234,5,FALSE),"                                         查询无果")</f>
        <v>召唤哈利，哈利会施放呼神护卫，消耗自身生命值持续击退范围内敌方单位。
*哈利将每5秒移除范围内所有友方单位的控制效果。</v>
      </c>
    </row>
    <row r="4" spans="1:7" ht="87.75" customHeight="1" x14ac:dyDescent="0.2">
      <c r="G4" s="303"/>
    </row>
    <row r="5" spans="1:7" ht="87.75" customHeight="1" x14ac:dyDescent="0.2">
      <c r="G5" s="304"/>
    </row>
    <row r="6" spans="1:7" ht="87.75" customHeight="1" x14ac:dyDescent="0.2"/>
    <row r="7" spans="1:7" ht="87.75" customHeight="1" x14ac:dyDescent="0.2"/>
    <row r="8" spans="1:7" ht="87.75" customHeight="1" x14ac:dyDescent="0.2"/>
    <row r="9" spans="1:7" ht="31.5" customHeight="1" x14ac:dyDescent="0.2">
      <c r="A9" s="2" t="s">
        <v>281</v>
      </c>
      <c r="B9" s="2" t="s">
        <v>289</v>
      </c>
      <c r="C9" s="2" t="s">
        <v>282</v>
      </c>
      <c r="D9" s="2" t="s">
        <v>283</v>
      </c>
      <c r="E9" s="2" t="s">
        <v>285</v>
      </c>
      <c r="F9" s="2" t="s">
        <v>287</v>
      </c>
      <c r="G9" s="2" t="s">
        <v>295</v>
      </c>
    </row>
    <row r="10" spans="1:7" ht="31.5" customHeight="1" x14ac:dyDescent="0.2">
      <c r="A10" s="22" t="s">
        <v>106</v>
      </c>
      <c r="B10" s="2" t="s">
        <v>291</v>
      </c>
      <c r="C10" s="2">
        <v>5</v>
      </c>
      <c r="D10" s="2" t="s">
        <v>501</v>
      </c>
      <c r="E10" s="187" t="s">
        <v>483</v>
      </c>
      <c r="F10" s="97" t="s">
        <v>504</v>
      </c>
      <c r="G10" s="2" t="s">
        <v>305</v>
      </c>
    </row>
    <row r="11" spans="1:7" ht="31.5" customHeight="1" x14ac:dyDescent="0.2">
      <c r="A11" s="22" t="s">
        <v>546</v>
      </c>
      <c r="B11" s="2" t="s">
        <v>291</v>
      </c>
      <c r="C11" s="2">
        <v>5</v>
      </c>
      <c r="D11" s="2" t="s">
        <v>501</v>
      </c>
      <c r="E11" s="187" t="s">
        <v>483</v>
      </c>
      <c r="F11" s="97" t="s">
        <v>504</v>
      </c>
      <c r="G11" s="2" t="s">
        <v>305</v>
      </c>
    </row>
    <row r="12" spans="1:7" ht="31.5" customHeight="1" x14ac:dyDescent="0.2">
      <c r="A12" s="21" t="s">
        <v>255</v>
      </c>
      <c r="B12" s="2" t="s">
        <v>292</v>
      </c>
      <c r="C12" s="2">
        <v>3</v>
      </c>
      <c r="D12" s="2" t="s">
        <v>501</v>
      </c>
      <c r="E12" s="187" t="s">
        <v>484</v>
      </c>
      <c r="F12" s="97" t="s">
        <v>294</v>
      </c>
      <c r="G12" s="2" t="s">
        <v>302</v>
      </c>
    </row>
    <row r="13" spans="1:7" ht="31.5" customHeight="1" x14ac:dyDescent="0.2">
      <c r="A13" s="21" t="s">
        <v>367</v>
      </c>
      <c r="B13" s="2" t="s">
        <v>292</v>
      </c>
      <c r="C13" s="2">
        <v>3</v>
      </c>
      <c r="D13" s="2" t="s">
        <v>501</v>
      </c>
      <c r="E13" s="187" t="s">
        <v>484</v>
      </c>
      <c r="F13" s="97" t="s">
        <v>294</v>
      </c>
      <c r="G13" s="2" t="s">
        <v>302</v>
      </c>
    </row>
    <row r="14" spans="1:7" ht="31.5" customHeight="1" x14ac:dyDescent="0.2">
      <c r="A14" s="21" t="s">
        <v>107</v>
      </c>
      <c r="B14" s="2" t="s">
        <v>292</v>
      </c>
      <c r="C14" s="2" t="s">
        <v>511</v>
      </c>
      <c r="D14" s="2" t="s">
        <v>316</v>
      </c>
      <c r="E14" s="187" t="s">
        <v>485</v>
      </c>
      <c r="F14" s="97" t="s">
        <v>563</v>
      </c>
      <c r="G14" s="2" t="s">
        <v>302</v>
      </c>
    </row>
    <row r="15" spans="1:7" ht="31.5" customHeight="1" x14ac:dyDescent="0.2">
      <c r="A15" s="21" t="s">
        <v>536</v>
      </c>
      <c r="B15" s="2" t="s">
        <v>292</v>
      </c>
      <c r="C15" s="2" t="s">
        <v>511</v>
      </c>
      <c r="D15" s="2" t="s">
        <v>316</v>
      </c>
      <c r="E15" s="187" t="s">
        <v>485</v>
      </c>
      <c r="F15" s="97" t="s">
        <v>563</v>
      </c>
      <c r="G15" s="2" t="s">
        <v>302</v>
      </c>
    </row>
    <row r="16" spans="1:7" ht="31.5" customHeight="1" x14ac:dyDescent="0.2">
      <c r="A16" s="21" t="s">
        <v>537</v>
      </c>
      <c r="B16" s="2" t="s">
        <v>292</v>
      </c>
      <c r="C16" s="2" t="s">
        <v>511</v>
      </c>
      <c r="D16" s="2" t="s">
        <v>316</v>
      </c>
      <c r="E16" s="187" t="s">
        <v>485</v>
      </c>
      <c r="F16" s="97" t="s">
        <v>563</v>
      </c>
      <c r="G16" s="2" t="s">
        <v>302</v>
      </c>
    </row>
    <row r="17" spans="1:7" ht="31.5" customHeight="1" x14ac:dyDescent="0.2">
      <c r="A17" s="21" t="s">
        <v>554</v>
      </c>
      <c r="B17" s="2" t="s">
        <v>292</v>
      </c>
      <c r="C17" s="2" t="s">
        <v>511</v>
      </c>
      <c r="D17" s="2" t="s">
        <v>316</v>
      </c>
      <c r="E17" s="187" t="s">
        <v>485</v>
      </c>
      <c r="F17" s="97" t="s">
        <v>563</v>
      </c>
      <c r="G17" s="2" t="s">
        <v>302</v>
      </c>
    </row>
    <row r="18" spans="1:7" ht="31.5" customHeight="1" x14ac:dyDescent="0.2">
      <c r="A18" s="21" t="s">
        <v>366</v>
      </c>
      <c r="B18" s="2" t="s">
        <v>292</v>
      </c>
      <c r="C18" s="2" t="s">
        <v>511</v>
      </c>
      <c r="D18" s="2" t="s">
        <v>316</v>
      </c>
      <c r="E18" s="187" t="s">
        <v>485</v>
      </c>
      <c r="F18" s="97" t="s">
        <v>563</v>
      </c>
      <c r="G18" s="2" t="s">
        <v>302</v>
      </c>
    </row>
    <row r="19" spans="1:7" ht="31.5" customHeight="1" x14ac:dyDescent="0.2">
      <c r="A19" s="21" t="s">
        <v>297</v>
      </c>
      <c r="B19" s="2" t="s">
        <v>292</v>
      </c>
      <c r="C19" s="2" t="s">
        <v>511</v>
      </c>
      <c r="D19" s="2" t="s">
        <v>316</v>
      </c>
      <c r="E19" s="187" t="s">
        <v>487</v>
      </c>
      <c r="F19" s="97" t="s">
        <v>303</v>
      </c>
      <c r="G19" s="2" t="s">
        <v>302</v>
      </c>
    </row>
    <row r="20" spans="1:7" ht="31.5" customHeight="1" x14ac:dyDescent="0.2">
      <c r="A20" s="21" t="s">
        <v>137</v>
      </c>
      <c r="B20" s="2" t="s">
        <v>292</v>
      </c>
      <c r="C20" s="2" t="s">
        <v>511</v>
      </c>
      <c r="D20" s="2" t="s">
        <v>316</v>
      </c>
      <c r="E20" s="187" t="s">
        <v>488</v>
      </c>
      <c r="F20" s="97" t="s">
        <v>303</v>
      </c>
      <c r="G20" s="2" t="s">
        <v>302</v>
      </c>
    </row>
    <row r="21" spans="1:7" ht="31.5" customHeight="1" x14ac:dyDescent="0.2">
      <c r="A21" s="19" t="s">
        <v>152</v>
      </c>
      <c r="B21" s="2" t="s">
        <v>291</v>
      </c>
      <c r="C21" s="2">
        <v>6</v>
      </c>
      <c r="D21" s="2" t="s">
        <v>501</v>
      </c>
      <c r="E21" s="187" t="s">
        <v>490</v>
      </c>
      <c r="F21" s="97" t="s">
        <v>304</v>
      </c>
      <c r="G21" s="2" t="s">
        <v>302</v>
      </c>
    </row>
    <row r="22" spans="1:7" ht="31.5" customHeight="1" x14ac:dyDescent="0.2">
      <c r="A22" s="19" t="s">
        <v>7</v>
      </c>
      <c r="B22" s="2" t="s">
        <v>291</v>
      </c>
      <c r="C22" s="2">
        <v>6</v>
      </c>
      <c r="D22" s="2" t="s">
        <v>501</v>
      </c>
      <c r="E22" s="187" t="s">
        <v>490</v>
      </c>
      <c r="F22" s="97" t="s">
        <v>304</v>
      </c>
      <c r="G22" s="2" t="s">
        <v>302</v>
      </c>
    </row>
    <row r="23" spans="1:7" ht="31.5" customHeight="1" x14ac:dyDescent="0.2">
      <c r="A23" s="19" t="s">
        <v>482</v>
      </c>
      <c r="B23" s="2" t="s">
        <v>291</v>
      </c>
      <c r="C23" s="2">
        <v>6</v>
      </c>
      <c r="D23" s="2" t="s">
        <v>501</v>
      </c>
      <c r="E23" s="187" t="s">
        <v>489</v>
      </c>
      <c r="F23" s="97" t="s">
        <v>304</v>
      </c>
      <c r="G23" s="2" t="s">
        <v>302</v>
      </c>
    </row>
    <row r="24" spans="1:7" ht="31.5" customHeight="1" x14ac:dyDescent="0.2">
      <c r="A24" s="19" t="s">
        <v>371</v>
      </c>
      <c r="B24" s="2" t="s">
        <v>291</v>
      </c>
      <c r="C24" s="2">
        <v>6</v>
      </c>
      <c r="D24" s="2" t="s">
        <v>501</v>
      </c>
      <c r="E24" s="187" t="s">
        <v>489</v>
      </c>
      <c r="F24" s="97" t="s">
        <v>304</v>
      </c>
      <c r="G24" s="2" t="s">
        <v>302</v>
      </c>
    </row>
    <row r="25" spans="1:7" ht="31.5" customHeight="1" x14ac:dyDescent="0.2">
      <c r="A25" s="19" t="s">
        <v>370</v>
      </c>
      <c r="B25" s="2" t="s">
        <v>291</v>
      </c>
      <c r="C25" s="2">
        <v>6</v>
      </c>
      <c r="D25" s="2" t="s">
        <v>501</v>
      </c>
      <c r="E25" s="187" t="s">
        <v>489</v>
      </c>
      <c r="F25" s="97" t="s">
        <v>304</v>
      </c>
      <c r="G25" s="2" t="s">
        <v>302</v>
      </c>
    </row>
    <row r="26" spans="1:7" ht="31.5" customHeight="1" x14ac:dyDescent="0.2">
      <c r="A26" s="19" t="s">
        <v>368</v>
      </c>
      <c r="B26" s="2" t="s">
        <v>291</v>
      </c>
      <c r="C26" s="2">
        <v>6</v>
      </c>
      <c r="D26" s="2" t="s">
        <v>501</v>
      </c>
      <c r="E26" s="187" t="s">
        <v>489</v>
      </c>
      <c r="F26" s="97" t="s">
        <v>304</v>
      </c>
      <c r="G26" s="2" t="s">
        <v>302</v>
      </c>
    </row>
    <row r="27" spans="1:7" ht="31.5" customHeight="1" x14ac:dyDescent="0.2">
      <c r="A27" s="19" t="s">
        <v>369</v>
      </c>
      <c r="B27" s="2" t="s">
        <v>291</v>
      </c>
      <c r="C27" s="2">
        <v>6</v>
      </c>
      <c r="D27" s="2" t="s">
        <v>501</v>
      </c>
      <c r="E27" s="187" t="s">
        <v>489</v>
      </c>
      <c r="F27" s="97" t="s">
        <v>304</v>
      </c>
      <c r="G27" s="2" t="s">
        <v>302</v>
      </c>
    </row>
    <row r="28" spans="1:7" ht="31.5" customHeight="1" x14ac:dyDescent="0.2">
      <c r="A28" s="19" t="s">
        <v>151</v>
      </c>
      <c r="B28" s="2" t="s">
        <v>291</v>
      </c>
      <c r="C28" s="2">
        <v>5</v>
      </c>
      <c r="D28" s="2" t="s">
        <v>501</v>
      </c>
      <c r="E28" s="187" t="s">
        <v>493</v>
      </c>
      <c r="F28" s="97" t="s">
        <v>306</v>
      </c>
      <c r="G28" s="2" t="s">
        <v>296</v>
      </c>
    </row>
    <row r="29" spans="1:7" ht="31.5" customHeight="1" x14ac:dyDescent="0.2">
      <c r="A29" s="19" t="s">
        <v>13</v>
      </c>
      <c r="B29" s="2" t="s">
        <v>291</v>
      </c>
      <c r="C29" s="2">
        <v>5</v>
      </c>
      <c r="D29" s="2" t="s">
        <v>501</v>
      </c>
      <c r="E29" s="187" t="s">
        <v>493</v>
      </c>
      <c r="F29" s="97" t="s">
        <v>306</v>
      </c>
      <c r="G29" s="2" t="s">
        <v>296</v>
      </c>
    </row>
    <row r="30" spans="1:7" ht="31.5" customHeight="1" x14ac:dyDescent="0.2">
      <c r="A30" s="19" t="s">
        <v>372</v>
      </c>
      <c r="B30" s="2" t="s">
        <v>291</v>
      </c>
      <c r="C30" s="2">
        <v>5</v>
      </c>
      <c r="D30" s="2" t="s">
        <v>501</v>
      </c>
      <c r="E30" s="187" t="s">
        <v>492</v>
      </c>
      <c r="F30" s="97" t="s">
        <v>306</v>
      </c>
      <c r="G30" s="2" t="s">
        <v>296</v>
      </c>
    </row>
    <row r="31" spans="1:7" ht="31.5" customHeight="1" x14ac:dyDescent="0.2">
      <c r="A31" s="19" t="s">
        <v>373</v>
      </c>
      <c r="B31" s="2" t="s">
        <v>291</v>
      </c>
      <c r="C31" s="2">
        <v>5</v>
      </c>
      <c r="D31" s="2" t="s">
        <v>501</v>
      </c>
      <c r="E31" s="187" t="s">
        <v>492</v>
      </c>
      <c r="F31" s="97" t="s">
        <v>306</v>
      </c>
      <c r="G31" s="2" t="s">
        <v>296</v>
      </c>
    </row>
    <row r="32" spans="1:7" ht="31.5" customHeight="1" x14ac:dyDescent="0.2">
      <c r="A32" s="19" t="s">
        <v>183</v>
      </c>
      <c r="B32" s="2" t="s">
        <v>293</v>
      </c>
      <c r="C32" s="2">
        <v>6</v>
      </c>
      <c r="D32" s="2" t="s">
        <v>318</v>
      </c>
      <c r="E32" s="187" t="s">
        <v>494</v>
      </c>
      <c r="F32" s="97" t="s">
        <v>325</v>
      </c>
      <c r="G32" s="2" t="s">
        <v>305</v>
      </c>
    </row>
    <row r="33" spans="1:7" ht="31.5" customHeight="1" x14ac:dyDescent="0.2">
      <c r="A33" s="19" t="s">
        <v>374</v>
      </c>
      <c r="B33" s="2" t="s">
        <v>293</v>
      </c>
      <c r="C33" s="2">
        <v>6</v>
      </c>
      <c r="D33" s="2" t="s">
        <v>318</v>
      </c>
      <c r="E33" s="187" t="s">
        <v>494</v>
      </c>
      <c r="F33" s="97" t="s">
        <v>325</v>
      </c>
      <c r="G33" s="2" t="s">
        <v>305</v>
      </c>
    </row>
    <row r="34" spans="1:7" ht="31.5" customHeight="1" x14ac:dyDescent="0.2">
      <c r="A34" s="19" t="s">
        <v>6</v>
      </c>
      <c r="B34" s="2" t="s">
        <v>293</v>
      </c>
      <c r="C34" s="2">
        <v>5</v>
      </c>
      <c r="D34" s="2" t="s">
        <v>318</v>
      </c>
      <c r="E34" s="187" t="s">
        <v>495</v>
      </c>
      <c r="F34" s="97" t="s">
        <v>308</v>
      </c>
      <c r="G34" s="2" t="s">
        <v>307</v>
      </c>
    </row>
    <row r="35" spans="1:7" ht="31.5" customHeight="1" x14ac:dyDescent="0.2">
      <c r="A35" s="19" t="s">
        <v>375</v>
      </c>
      <c r="B35" s="2" t="s">
        <v>293</v>
      </c>
      <c r="C35" s="2">
        <v>5</v>
      </c>
      <c r="D35" s="2" t="s">
        <v>318</v>
      </c>
      <c r="E35" s="187" t="s">
        <v>495</v>
      </c>
      <c r="F35" s="97" t="s">
        <v>308</v>
      </c>
      <c r="G35" s="2" t="s">
        <v>307</v>
      </c>
    </row>
    <row r="36" spans="1:7" ht="31.5" customHeight="1" x14ac:dyDescent="0.2">
      <c r="A36" s="19" t="s">
        <v>9</v>
      </c>
      <c r="B36" s="2" t="s">
        <v>293</v>
      </c>
      <c r="C36" s="2">
        <v>6</v>
      </c>
      <c r="D36" s="2" t="s">
        <v>318</v>
      </c>
      <c r="E36" s="187" t="s">
        <v>497</v>
      </c>
      <c r="F36" s="97" t="s">
        <v>309</v>
      </c>
      <c r="G36" s="2" t="s">
        <v>307</v>
      </c>
    </row>
    <row r="37" spans="1:7" ht="31.5" customHeight="1" x14ac:dyDescent="0.2">
      <c r="A37" s="19" t="s">
        <v>378</v>
      </c>
      <c r="B37" s="2" t="s">
        <v>293</v>
      </c>
      <c r="C37" s="2">
        <v>6</v>
      </c>
      <c r="D37" s="2" t="s">
        <v>318</v>
      </c>
      <c r="E37" s="187" t="s">
        <v>497</v>
      </c>
      <c r="F37" s="97" t="s">
        <v>309</v>
      </c>
      <c r="G37" s="2" t="s">
        <v>307</v>
      </c>
    </row>
    <row r="38" spans="1:7" ht="31.5" customHeight="1" x14ac:dyDescent="0.2">
      <c r="A38" s="19" t="s">
        <v>376</v>
      </c>
      <c r="B38" s="2" t="s">
        <v>293</v>
      </c>
      <c r="C38" s="2">
        <v>6</v>
      </c>
      <c r="D38" s="2" t="s">
        <v>318</v>
      </c>
      <c r="E38" s="187" t="s">
        <v>496</v>
      </c>
      <c r="F38" s="97" t="s">
        <v>309</v>
      </c>
      <c r="G38" s="2" t="s">
        <v>307</v>
      </c>
    </row>
    <row r="39" spans="1:7" ht="31.5" customHeight="1" x14ac:dyDescent="0.2">
      <c r="A39" s="19" t="s">
        <v>377</v>
      </c>
      <c r="B39" s="2" t="s">
        <v>293</v>
      </c>
      <c r="C39" s="2">
        <v>6</v>
      </c>
      <c r="D39" s="2" t="s">
        <v>318</v>
      </c>
      <c r="E39" s="187" t="s">
        <v>497</v>
      </c>
      <c r="F39" s="97" t="s">
        <v>309</v>
      </c>
      <c r="G39" s="2" t="s">
        <v>307</v>
      </c>
    </row>
    <row r="40" spans="1:7" ht="31.5" customHeight="1" x14ac:dyDescent="0.2">
      <c r="A40" s="19" t="s">
        <v>12</v>
      </c>
      <c r="B40" s="2" t="s">
        <v>293</v>
      </c>
      <c r="C40" s="2">
        <v>7</v>
      </c>
      <c r="D40" s="2" t="s">
        <v>318</v>
      </c>
      <c r="E40" s="187" t="s">
        <v>498</v>
      </c>
      <c r="F40" s="97" t="s">
        <v>70</v>
      </c>
      <c r="G40" s="2" t="s">
        <v>302</v>
      </c>
    </row>
    <row r="41" spans="1:7" ht="31.5" customHeight="1" x14ac:dyDescent="0.2">
      <c r="A41" s="19" t="s">
        <v>379</v>
      </c>
      <c r="B41" s="2" t="s">
        <v>293</v>
      </c>
      <c r="C41" s="2">
        <v>7</v>
      </c>
      <c r="D41" s="2" t="s">
        <v>318</v>
      </c>
      <c r="E41" s="187" t="s">
        <v>498</v>
      </c>
      <c r="F41" s="97" t="s">
        <v>70</v>
      </c>
      <c r="G41" s="2" t="s">
        <v>302</v>
      </c>
    </row>
    <row r="42" spans="1:7" ht="31.5" customHeight="1" x14ac:dyDescent="0.2">
      <c r="A42" s="19" t="s">
        <v>11</v>
      </c>
      <c r="B42" s="2" t="s">
        <v>293</v>
      </c>
      <c r="C42" s="2">
        <v>6</v>
      </c>
      <c r="D42" s="2" t="s">
        <v>318</v>
      </c>
      <c r="E42" s="187" t="s">
        <v>499</v>
      </c>
      <c r="F42" s="97" t="s">
        <v>326</v>
      </c>
      <c r="G42" s="2" t="s">
        <v>296</v>
      </c>
    </row>
    <row r="43" spans="1:7" ht="31.5" customHeight="1" x14ac:dyDescent="0.2">
      <c r="A43" s="19" t="s">
        <v>500</v>
      </c>
      <c r="B43" s="2" t="s">
        <v>293</v>
      </c>
      <c r="C43" s="2">
        <v>6</v>
      </c>
      <c r="D43" s="2" t="s">
        <v>318</v>
      </c>
      <c r="E43" s="187" t="s">
        <v>499</v>
      </c>
      <c r="F43" s="97" t="s">
        <v>326</v>
      </c>
      <c r="G43" s="2" t="s">
        <v>296</v>
      </c>
    </row>
    <row r="44" spans="1:7" ht="31.5" customHeight="1" x14ac:dyDescent="0.2">
      <c r="A44" s="19" t="s">
        <v>382</v>
      </c>
      <c r="B44" s="2" t="s">
        <v>293</v>
      </c>
      <c r="C44" s="2">
        <v>6</v>
      </c>
      <c r="D44" s="2" t="s">
        <v>318</v>
      </c>
      <c r="E44" s="187" t="s">
        <v>499</v>
      </c>
      <c r="F44" s="97" t="s">
        <v>326</v>
      </c>
      <c r="G44" s="2" t="s">
        <v>296</v>
      </c>
    </row>
    <row r="45" spans="1:7" ht="31.5" customHeight="1" x14ac:dyDescent="0.2">
      <c r="A45" s="19" t="s">
        <v>380</v>
      </c>
      <c r="B45" s="2" t="s">
        <v>293</v>
      </c>
      <c r="C45" s="2">
        <v>6</v>
      </c>
      <c r="D45" s="2" t="s">
        <v>318</v>
      </c>
      <c r="E45" s="187" t="s">
        <v>499</v>
      </c>
      <c r="F45" s="97" t="s">
        <v>326</v>
      </c>
      <c r="G45" s="2" t="s">
        <v>296</v>
      </c>
    </row>
    <row r="46" spans="1:7" ht="31.5" customHeight="1" x14ac:dyDescent="0.2">
      <c r="A46" s="19" t="s">
        <v>381</v>
      </c>
      <c r="B46" s="2" t="s">
        <v>293</v>
      </c>
      <c r="C46" s="2">
        <v>6</v>
      </c>
      <c r="D46" s="2" t="s">
        <v>318</v>
      </c>
      <c r="E46" s="187" t="s">
        <v>499</v>
      </c>
      <c r="F46" s="97" t="s">
        <v>326</v>
      </c>
      <c r="G46" s="2" t="s">
        <v>296</v>
      </c>
    </row>
    <row r="47" spans="1:7" ht="31.5" customHeight="1" x14ac:dyDescent="0.2">
      <c r="A47" s="19" t="s">
        <v>8</v>
      </c>
      <c r="B47" s="2" t="s">
        <v>293</v>
      </c>
      <c r="C47" s="2">
        <v>6</v>
      </c>
      <c r="D47" s="2" t="s">
        <v>501</v>
      </c>
      <c r="E47" s="187" t="s">
        <v>503</v>
      </c>
      <c r="F47" s="97" t="s">
        <v>505</v>
      </c>
      <c r="G47" s="2" t="s">
        <v>307</v>
      </c>
    </row>
    <row r="48" spans="1:7" ht="31.5" customHeight="1" x14ac:dyDescent="0.2">
      <c r="A48" s="19" t="s">
        <v>385</v>
      </c>
      <c r="B48" s="2" t="s">
        <v>293</v>
      </c>
      <c r="C48" s="2">
        <v>6</v>
      </c>
      <c r="D48" s="2" t="s">
        <v>501</v>
      </c>
      <c r="E48" s="187" t="s">
        <v>503</v>
      </c>
      <c r="F48" s="97" t="s">
        <v>505</v>
      </c>
      <c r="G48" s="2" t="s">
        <v>307</v>
      </c>
    </row>
    <row r="49" spans="1:8" ht="31.5" customHeight="1" x14ac:dyDescent="0.2">
      <c r="A49" s="19" t="s">
        <v>383</v>
      </c>
      <c r="B49" s="2" t="s">
        <v>293</v>
      </c>
      <c r="C49" s="2">
        <v>6</v>
      </c>
      <c r="D49" s="2" t="s">
        <v>501</v>
      </c>
      <c r="E49" s="187" t="s">
        <v>502</v>
      </c>
      <c r="F49" s="97" t="s">
        <v>505</v>
      </c>
      <c r="G49" s="2" t="s">
        <v>307</v>
      </c>
    </row>
    <row r="50" spans="1:8" ht="31.5" customHeight="1" x14ac:dyDescent="0.2">
      <c r="A50" s="19" t="s">
        <v>384</v>
      </c>
      <c r="B50" s="2" t="s">
        <v>293</v>
      </c>
      <c r="C50" s="2">
        <v>6</v>
      </c>
      <c r="D50" s="2" t="s">
        <v>501</v>
      </c>
      <c r="E50" s="187" t="s">
        <v>502</v>
      </c>
      <c r="F50" s="97" t="s">
        <v>505</v>
      </c>
      <c r="G50" s="2" t="s">
        <v>307</v>
      </c>
    </row>
    <row r="51" spans="1:8" ht="31.5" customHeight="1" x14ac:dyDescent="0.2">
      <c r="A51" s="19" t="s">
        <v>10</v>
      </c>
      <c r="B51" s="2" t="s">
        <v>293</v>
      </c>
      <c r="C51" s="2">
        <v>7</v>
      </c>
      <c r="D51" s="2" t="s">
        <v>318</v>
      </c>
      <c r="E51" s="187" t="s">
        <v>509</v>
      </c>
      <c r="F51" s="97" t="s">
        <v>298</v>
      </c>
      <c r="G51" s="2" t="s">
        <v>302</v>
      </c>
    </row>
    <row r="52" spans="1:8" ht="31.5" customHeight="1" x14ac:dyDescent="0.2">
      <c r="A52" s="19" t="s">
        <v>386</v>
      </c>
      <c r="B52" s="2" t="s">
        <v>293</v>
      </c>
      <c r="C52" s="2">
        <v>7</v>
      </c>
      <c r="D52" s="2" t="s">
        <v>318</v>
      </c>
      <c r="E52" s="187" t="s">
        <v>509</v>
      </c>
      <c r="F52" s="97" t="s">
        <v>298</v>
      </c>
      <c r="G52" s="2" t="s">
        <v>302</v>
      </c>
    </row>
    <row r="53" spans="1:8" ht="31.5" customHeight="1" x14ac:dyDescent="0.2">
      <c r="A53" s="19" t="s">
        <v>387</v>
      </c>
      <c r="B53" s="2" t="s">
        <v>293</v>
      </c>
      <c r="C53" s="2">
        <v>7</v>
      </c>
      <c r="D53" s="2" t="s">
        <v>318</v>
      </c>
      <c r="E53" s="187" t="s">
        <v>509</v>
      </c>
      <c r="F53" s="97" t="s">
        <v>298</v>
      </c>
      <c r="G53" s="2" t="s">
        <v>302</v>
      </c>
    </row>
    <row r="54" spans="1:8" ht="31.5" customHeight="1" x14ac:dyDescent="0.2">
      <c r="A54" s="19" t="s">
        <v>15</v>
      </c>
      <c r="B54" s="2" t="s">
        <v>293</v>
      </c>
      <c r="C54" s="2">
        <v>7</v>
      </c>
      <c r="D54" s="2" t="s">
        <v>318</v>
      </c>
      <c r="E54" s="187" t="s">
        <v>512</v>
      </c>
      <c r="F54" s="97" t="s">
        <v>513</v>
      </c>
      <c r="G54" s="2" t="s">
        <v>305</v>
      </c>
    </row>
    <row r="55" spans="1:8" ht="31.5" customHeight="1" x14ac:dyDescent="0.2">
      <c r="A55" s="19" t="s">
        <v>14</v>
      </c>
      <c r="B55" s="2" t="s">
        <v>293</v>
      </c>
      <c r="C55" s="2">
        <v>6</v>
      </c>
      <c r="D55" s="2" t="s">
        <v>501</v>
      </c>
      <c r="E55" s="187" t="s">
        <v>514</v>
      </c>
      <c r="F55" s="97" t="s">
        <v>310</v>
      </c>
      <c r="G55" s="2" t="s">
        <v>302</v>
      </c>
      <c r="H55" s="2"/>
    </row>
    <row r="56" spans="1:8" ht="31.5" customHeight="1" x14ac:dyDescent="0.2">
      <c r="A56" s="126" t="s">
        <v>135</v>
      </c>
      <c r="B56" s="2" t="s">
        <v>293</v>
      </c>
      <c r="C56" s="2">
        <v>5</v>
      </c>
      <c r="D56" s="2" t="s">
        <v>501</v>
      </c>
      <c r="E56" s="187" t="s">
        <v>515</v>
      </c>
      <c r="F56" s="97" t="s">
        <v>403</v>
      </c>
      <c r="G56" s="2" t="s">
        <v>305</v>
      </c>
      <c r="H56" s="2"/>
    </row>
    <row r="57" spans="1:8" ht="31.5" customHeight="1" thickBot="1" x14ac:dyDescent="0.25">
      <c r="A57" s="181" t="s">
        <v>388</v>
      </c>
      <c r="B57" s="2" t="s">
        <v>293</v>
      </c>
      <c r="C57" s="2">
        <v>5</v>
      </c>
      <c r="D57" s="2" t="s">
        <v>501</v>
      </c>
      <c r="E57" s="2"/>
      <c r="F57" s="97" t="s">
        <v>403</v>
      </c>
      <c r="G57" s="2" t="s">
        <v>305</v>
      </c>
      <c r="H57" s="2"/>
    </row>
    <row r="58" spans="1:8" ht="31.5" customHeight="1" thickTop="1" x14ac:dyDescent="0.2">
      <c r="A58" s="127" t="s">
        <v>105</v>
      </c>
      <c r="B58" s="2" t="s">
        <v>293</v>
      </c>
      <c r="C58" s="2" t="s">
        <v>510</v>
      </c>
      <c r="D58" s="2" t="s">
        <v>316</v>
      </c>
      <c r="E58" s="187" t="s">
        <v>517</v>
      </c>
      <c r="F58" s="97" t="s">
        <v>311</v>
      </c>
      <c r="G58" s="2" t="s">
        <v>302</v>
      </c>
      <c r="H58" s="2"/>
    </row>
    <row r="59" spans="1:8" ht="31.5" customHeight="1" x14ac:dyDescent="0.2">
      <c r="A59" s="180" t="s">
        <v>301</v>
      </c>
      <c r="B59" s="2" t="s">
        <v>293</v>
      </c>
      <c r="C59" s="2" t="s">
        <v>510</v>
      </c>
      <c r="D59" s="2" t="s">
        <v>316</v>
      </c>
      <c r="E59" s="2"/>
      <c r="F59" s="97" t="s">
        <v>311</v>
      </c>
      <c r="G59" s="2" t="s">
        <v>302</v>
      </c>
      <c r="H59" s="2"/>
    </row>
    <row r="60" spans="1:8" ht="31.5" customHeight="1" x14ac:dyDescent="0.2">
      <c r="A60" s="180" t="s">
        <v>389</v>
      </c>
      <c r="B60" s="2" t="s">
        <v>293</v>
      </c>
      <c r="C60" s="2" t="s">
        <v>510</v>
      </c>
      <c r="D60" s="2" t="s">
        <v>316</v>
      </c>
      <c r="E60" s="2"/>
      <c r="F60" s="97" t="s">
        <v>311</v>
      </c>
      <c r="G60" s="2" t="s">
        <v>302</v>
      </c>
      <c r="H60" s="2"/>
    </row>
    <row r="61" spans="1:8" ht="31.5" customHeight="1" x14ac:dyDescent="0.2">
      <c r="A61" s="19" t="s">
        <v>104</v>
      </c>
      <c r="B61" s="2" t="s">
        <v>293</v>
      </c>
      <c r="C61" s="2" t="s">
        <v>510</v>
      </c>
      <c r="D61" s="2" t="s">
        <v>316</v>
      </c>
      <c r="E61" s="187" t="s">
        <v>518</v>
      </c>
      <c r="F61" s="97" t="s">
        <v>364</v>
      </c>
      <c r="G61" s="2" t="s">
        <v>296</v>
      </c>
      <c r="H61" s="2"/>
    </row>
    <row r="62" spans="1:8" ht="31.5" customHeight="1" x14ac:dyDescent="0.2">
      <c r="A62" s="19" t="s">
        <v>390</v>
      </c>
      <c r="B62" s="2" t="s">
        <v>293</v>
      </c>
      <c r="C62" s="2" t="s">
        <v>510</v>
      </c>
      <c r="D62" s="2" t="s">
        <v>316</v>
      </c>
      <c r="E62" s="2"/>
      <c r="F62" s="97" t="s">
        <v>364</v>
      </c>
      <c r="G62" s="2" t="s">
        <v>296</v>
      </c>
      <c r="H62" s="2"/>
    </row>
    <row r="63" spans="1:8" ht="31.5" customHeight="1" x14ac:dyDescent="0.2">
      <c r="A63" s="19" t="s">
        <v>391</v>
      </c>
      <c r="B63" s="2" t="s">
        <v>293</v>
      </c>
      <c r="C63" s="2" t="s">
        <v>510</v>
      </c>
      <c r="D63" s="2" t="s">
        <v>316</v>
      </c>
      <c r="E63" s="2"/>
      <c r="F63" s="97" t="s">
        <v>364</v>
      </c>
      <c r="G63" s="2" t="s">
        <v>296</v>
      </c>
      <c r="H63" s="2"/>
    </row>
    <row r="64" spans="1:8" ht="31.5" customHeight="1" x14ac:dyDescent="0.2">
      <c r="A64" s="19" t="s">
        <v>392</v>
      </c>
      <c r="B64" s="2" t="s">
        <v>293</v>
      </c>
      <c r="C64" s="2" t="s">
        <v>510</v>
      </c>
      <c r="D64" s="2" t="s">
        <v>316</v>
      </c>
      <c r="E64" s="2"/>
      <c r="F64" s="97" t="s">
        <v>364</v>
      </c>
      <c r="G64" s="2" t="s">
        <v>296</v>
      </c>
      <c r="H64" s="2"/>
    </row>
    <row r="65" spans="1:8" ht="31.5" customHeight="1" x14ac:dyDescent="0.2">
      <c r="A65" s="19" t="s">
        <v>75</v>
      </c>
      <c r="B65" s="2" t="s">
        <v>293</v>
      </c>
      <c r="C65" s="2" t="s">
        <v>510</v>
      </c>
      <c r="D65" s="2" t="s">
        <v>316</v>
      </c>
      <c r="E65" s="187" t="s">
        <v>521</v>
      </c>
      <c r="F65" s="97" t="s">
        <v>312</v>
      </c>
      <c r="G65" s="2" t="s">
        <v>302</v>
      </c>
      <c r="H65" s="2"/>
    </row>
    <row r="66" spans="1:8" ht="31.5" customHeight="1" x14ac:dyDescent="0.2">
      <c r="A66" s="19" t="s">
        <v>77</v>
      </c>
      <c r="B66" s="2" t="s">
        <v>293</v>
      </c>
      <c r="C66" s="2" t="s">
        <v>510</v>
      </c>
      <c r="D66" s="2" t="s">
        <v>316</v>
      </c>
      <c r="E66" s="187" t="s">
        <v>516</v>
      </c>
      <c r="F66" s="97" t="s">
        <v>313</v>
      </c>
      <c r="G66" s="2" t="s">
        <v>307</v>
      </c>
      <c r="H66" s="2"/>
    </row>
    <row r="67" spans="1:8" ht="31.5" customHeight="1" x14ac:dyDescent="0.2">
      <c r="A67" s="19" t="s">
        <v>74</v>
      </c>
      <c r="B67" s="2" t="s">
        <v>293</v>
      </c>
      <c r="C67" s="2" t="s">
        <v>510</v>
      </c>
      <c r="D67" s="2" t="s">
        <v>316</v>
      </c>
      <c r="E67" s="187" t="s">
        <v>519</v>
      </c>
      <c r="F67" s="97" t="s">
        <v>511</v>
      </c>
      <c r="G67" s="2" t="s">
        <v>296</v>
      </c>
      <c r="H67" s="2"/>
    </row>
    <row r="68" spans="1:8" ht="31.5" customHeight="1" x14ac:dyDescent="0.2">
      <c r="A68" s="19" t="s">
        <v>393</v>
      </c>
      <c r="B68" s="2" t="s">
        <v>293</v>
      </c>
      <c r="C68" s="2" t="s">
        <v>510</v>
      </c>
      <c r="D68" s="2" t="s">
        <v>316</v>
      </c>
      <c r="E68" s="2"/>
      <c r="F68" s="97" t="s">
        <v>511</v>
      </c>
      <c r="G68" s="2" t="s">
        <v>296</v>
      </c>
      <c r="H68" s="2"/>
    </row>
    <row r="69" spans="1:8" ht="31.5" customHeight="1" x14ac:dyDescent="0.2">
      <c r="A69" s="19" t="s">
        <v>76</v>
      </c>
      <c r="B69" s="2" t="s">
        <v>293</v>
      </c>
      <c r="C69" s="2" t="s">
        <v>510</v>
      </c>
      <c r="D69" s="2" t="s">
        <v>316</v>
      </c>
      <c r="E69" s="187" t="s">
        <v>520</v>
      </c>
      <c r="F69" s="97" t="s">
        <v>314</v>
      </c>
      <c r="G69" s="2" t="s">
        <v>302</v>
      </c>
      <c r="H69" s="2"/>
    </row>
    <row r="70" spans="1:8" ht="31.5" customHeight="1" x14ac:dyDescent="0.2">
      <c r="A70" s="6" t="s">
        <v>16</v>
      </c>
      <c r="B70" s="2" t="s">
        <v>217</v>
      </c>
      <c r="C70" s="2">
        <v>4</v>
      </c>
      <c r="D70" s="2" t="s">
        <v>501</v>
      </c>
      <c r="E70" s="187" t="s">
        <v>522</v>
      </c>
      <c r="F70" s="97" t="s">
        <v>315</v>
      </c>
      <c r="G70" s="2" t="s">
        <v>307</v>
      </c>
      <c r="H70" s="2"/>
    </row>
    <row r="71" spans="1:8" ht="31.5" customHeight="1" x14ac:dyDescent="0.2">
      <c r="A71" s="6" t="s">
        <v>395</v>
      </c>
      <c r="B71" s="2" t="s">
        <v>217</v>
      </c>
      <c r="C71" s="2">
        <v>4</v>
      </c>
      <c r="D71" s="2" t="s">
        <v>501</v>
      </c>
      <c r="E71" s="2"/>
      <c r="F71" s="97" t="s">
        <v>315</v>
      </c>
      <c r="G71" s="2" t="s">
        <v>307</v>
      </c>
      <c r="H71" s="2"/>
    </row>
    <row r="72" spans="1:8" ht="31.5" customHeight="1" x14ac:dyDescent="0.2">
      <c r="A72" s="6" t="s">
        <v>394</v>
      </c>
      <c r="B72" s="2" t="s">
        <v>217</v>
      </c>
      <c r="C72" s="2">
        <v>4</v>
      </c>
      <c r="D72" s="2" t="s">
        <v>501</v>
      </c>
      <c r="E72" s="2"/>
      <c r="F72" s="97" t="s">
        <v>315</v>
      </c>
      <c r="G72" s="2" t="s">
        <v>307</v>
      </c>
      <c r="H72" s="2"/>
    </row>
    <row r="73" spans="1:8" ht="31.5" customHeight="1" x14ac:dyDescent="0.2">
      <c r="A73" s="6" t="s">
        <v>17</v>
      </c>
      <c r="B73" s="2" t="s">
        <v>217</v>
      </c>
      <c r="C73" s="2">
        <v>4</v>
      </c>
      <c r="D73" s="2" t="s">
        <v>501</v>
      </c>
      <c r="E73" s="187" t="s">
        <v>523</v>
      </c>
      <c r="F73" s="97" t="s">
        <v>319</v>
      </c>
      <c r="G73" s="2" t="s">
        <v>302</v>
      </c>
      <c r="H73" s="2"/>
    </row>
    <row r="74" spans="1:8" ht="31.5" customHeight="1" x14ac:dyDescent="0.2">
      <c r="A74" s="6" t="s">
        <v>396</v>
      </c>
      <c r="B74" s="2" t="s">
        <v>217</v>
      </c>
      <c r="C74" s="2">
        <v>4</v>
      </c>
      <c r="D74" s="2" t="s">
        <v>501</v>
      </c>
      <c r="E74" s="187" t="s">
        <v>523</v>
      </c>
      <c r="F74" s="97" t="s">
        <v>319</v>
      </c>
      <c r="G74" s="2" t="s">
        <v>302</v>
      </c>
      <c r="H74" s="2"/>
    </row>
    <row r="75" spans="1:8" ht="31.5" customHeight="1" x14ac:dyDescent="0.2">
      <c r="A75" s="6" t="s">
        <v>547</v>
      </c>
      <c r="B75" s="2" t="s">
        <v>217</v>
      </c>
      <c r="C75" s="2">
        <v>4</v>
      </c>
      <c r="D75" s="2" t="s">
        <v>501</v>
      </c>
      <c r="E75" s="187" t="s">
        <v>548</v>
      </c>
      <c r="F75" s="97" t="s">
        <v>319</v>
      </c>
      <c r="G75" s="2" t="s">
        <v>302</v>
      </c>
      <c r="H75" s="2"/>
    </row>
    <row r="76" spans="1:8" ht="31.5" customHeight="1" x14ac:dyDescent="0.2">
      <c r="A76" s="6" t="s">
        <v>20</v>
      </c>
      <c r="B76" s="2" t="s">
        <v>217</v>
      </c>
      <c r="C76" s="2">
        <v>4</v>
      </c>
      <c r="D76" s="2" t="s">
        <v>501</v>
      </c>
      <c r="E76" s="187" t="s">
        <v>524</v>
      </c>
      <c r="F76" s="97" t="s">
        <v>299</v>
      </c>
      <c r="G76" s="2" t="s">
        <v>296</v>
      </c>
      <c r="H76" s="2"/>
    </row>
    <row r="77" spans="1:8" ht="31.5" customHeight="1" x14ac:dyDescent="0.2">
      <c r="A77" s="6" t="s">
        <v>397</v>
      </c>
      <c r="B77" s="2" t="s">
        <v>217</v>
      </c>
      <c r="C77" s="2">
        <v>4</v>
      </c>
      <c r="D77" s="2" t="s">
        <v>501</v>
      </c>
      <c r="E77" s="2"/>
      <c r="F77" s="97" t="s">
        <v>299</v>
      </c>
      <c r="G77" s="2" t="s">
        <v>296</v>
      </c>
      <c r="H77" s="2"/>
    </row>
    <row r="78" spans="1:8" ht="31.5" customHeight="1" x14ac:dyDescent="0.2">
      <c r="A78" s="6" t="s">
        <v>26</v>
      </c>
      <c r="B78" s="2" t="s">
        <v>217</v>
      </c>
      <c r="C78" s="2">
        <v>14</v>
      </c>
      <c r="D78" s="179" t="s">
        <v>317</v>
      </c>
      <c r="E78" s="2"/>
      <c r="F78" s="97" t="s">
        <v>320</v>
      </c>
      <c r="G78" s="2" t="s">
        <v>305</v>
      </c>
      <c r="H78" s="2"/>
    </row>
    <row r="79" spans="1:8" ht="31.5" customHeight="1" x14ac:dyDescent="0.2">
      <c r="A79" s="6" t="s">
        <v>539</v>
      </c>
      <c r="B79" s="2" t="s">
        <v>217</v>
      </c>
      <c r="C79" s="2">
        <v>14</v>
      </c>
      <c r="D79" s="179" t="s">
        <v>317</v>
      </c>
      <c r="E79" s="2"/>
      <c r="F79" s="97" t="s">
        <v>320</v>
      </c>
      <c r="G79" s="2" t="s">
        <v>305</v>
      </c>
      <c r="H79" s="2"/>
    </row>
    <row r="80" spans="1:8" ht="31.5" customHeight="1" x14ac:dyDescent="0.2">
      <c r="A80" s="6" t="s">
        <v>398</v>
      </c>
      <c r="B80" s="2" t="s">
        <v>217</v>
      </c>
      <c r="C80" s="2">
        <v>14</v>
      </c>
      <c r="D80" s="179" t="s">
        <v>317</v>
      </c>
      <c r="E80" s="2"/>
      <c r="F80" s="97" t="s">
        <v>320</v>
      </c>
      <c r="G80" s="2" t="s">
        <v>305</v>
      </c>
      <c r="H80" s="2"/>
    </row>
    <row r="81" spans="1:8" ht="31.5" customHeight="1" x14ac:dyDescent="0.2">
      <c r="A81" s="6" t="s">
        <v>399</v>
      </c>
      <c r="B81" s="2" t="s">
        <v>217</v>
      </c>
      <c r="C81" s="2">
        <v>14</v>
      </c>
      <c r="D81" s="179" t="s">
        <v>317</v>
      </c>
      <c r="E81" s="2"/>
      <c r="F81" s="97" t="s">
        <v>320</v>
      </c>
      <c r="G81" s="2" t="s">
        <v>305</v>
      </c>
      <c r="H81" s="2"/>
    </row>
    <row r="82" spans="1:8" ht="31.5" customHeight="1" x14ac:dyDescent="0.2">
      <c r="A82" s="6" t="s">
        <v>23</v>
      </c>
      <c r="B82" s="2" t="s">
        <v>217</v>
      </c>
      <c r="C82" s="2">
        <v>0</v>
      </c>
      <c r="D82" s="2" t="s">
        <v>501</v>
      </c>
      <c r="E82" s="187" t="s">
        <v>525</v>
      </c>
      <c r="F82" s="97" t="s">
        <v>321</v>
      </c>
      <c r="G82" s="2" t="s">
        <v>302</v>
      </c>
      <c r="H82" s="2"/>
    </row>
    <row r="83" spans="1:8" ht="31.5" customHeight="1" x14ac:dyDescent="0.2">
      <c r="A83" s="6" t="s">
        <v>400</v>
      </c>
      <c r="B83" s="2" t="s">
        <v>217</v>
      </c>
      <c r="C83" s="2">
        <v>0</v>
      </c>
      <c r="D83" s="2" t="s">
        <v>501</v>
      </c>
      <c r="E83" s="2"/>
      <c r="F83" s="97" t="s">
        <v>321</v>
      </c>
      <c r="G83" s="2" t="s">
        <v>302</v>
      </c>
      <c r="H83" s="2"/>
    </row>
    <row r="84" spans="1:8" ht="31.5" customHeight="1" x14ac:dyDescent="0.2">
      <c r="A84" s="6" t="s">
        <v>18</v>
      </c>
      <c r="B84" s="2" t="s">
        <v>217</v>
      </c>
      <c r="C84" s="2">
        <v>3</v>
      </c>
      <c r="D84" s="179" t="s">
        <v>317</v>
      </c>
      <c r="E84" s="187" t="s">
        <v>526</v>
      </c>
      <c r="F84" s="97" t="s">
        <v>322</v>
      </c>
      <c r="G84" s="2" t="s">
        <v>305</v>
      </c>
      <c r="H84" s="2"/>
    </row>
    <row r="85" spans="1:8" ht="31.5" customHeight="1" x14ac:dyDescent="0.2">
      <c r="A85" s="6" t="s">
        <v>187</v>
      </c>
      <c r="B85" s="2" t="s">
        <v>217</v>
      </c>
      <c r="C85" s="2">
        <v>3</v>
      </c>
      <c r="D85" s="179" t="s">
        <v>317</v>
      </c>
      <c r="E85" s="187" t="s">
        <v>528</v>
      </c>
      <c r="F85" s="97" t="s">
        <v>323</v>
      </c>
      <c r="G85" s="2" t="s">
        <v>302</v>
      </c>
      <c r="H85" s="2"/>
    </row>
    <row r="86" spans="1:8" ht="31.5" customHeight="1" x14ac:dyDescent="0.2">
      <c r="A86" s="6" t="s">
        <v>527</v>
      </c>
      <c r="B86" s="2" t="s">
        <v>217</v>
      </c>
      <c r="C86" s="2">
        <v>3</v>
      </c>
      <c r="D86" s="179" t="s">
        <v>317</v>
      </c>
      <c r="E86" s="2"/>
      <c r="F86" s="97" t="s">
        <v>323</v>
      </c>
      <c r="G86" s="2" t="s">
        <v>302</v>
      </c>
      <c r="H86" s="2"/>
    </row>
    <row r="87" spans="1:8" ht="31.5" customHeight="1" x14ac:dyDescent="0.2">
      <c r="A87" s="6" t="s">
        <v>19</v>
      </c>
      <c r="B87" s="2" t="s">
        <v>217</v>
      </c>
      <c r="C87" s="2">
        <v>5</v>
      </c>
      <c r="D87" s="179" t="s">
        <v>317</v>
      </c>
      <c r="E87" s="187" t="s">
        <v>531</v>
      </c>
      <c r="F87" s="97" t="s">
        <v>324</v>
      </c>
      <c r="G87" s="2" t="s">
        <v>305</v>
      </c>
      <c r="H87" s="2"/>
    </row>
    <row r="88" spans="1:8" ht="31.5" customHeight="1" x14ac:dyDescent="0.2">
      <c r="A88" s="6" t="s">
        <v>401</v>
      </c>
      <c r="B88" s="2" t="s">
        <v>217</v>
      </c>
      <c r="C88" s="2">
        <v>5</v>
      </c>
      <c r="D88" s="179" t="s">
        <v>317</v>
      </c>
      <c r="E88" s="2"/>
      <c r="F88" s="97" t="s">
        <v>324</v>
      </c>
      <c r="G88" s="2" t="s">
        <v>305</v>
      </c>
      <c r="H88" s="2"/>
    </row>
    <row r="89" spans="1:8" ht="31.5" customHeight="1" x14ac:dyDescent="0.2">
      <c r="A89" s="6" t="s">
        <v>530</v>
      </c>
      <c r="B89" s="2" t="s">
        <v>217</v>
      </c>
      <c r="C89" s="2">
        <v>5</v>
      </c>
      <c r="D89" s="179" t="s">
        <v>317</v>
      </c>
      <c r="E89" s="2"/>
      <c r="F89" s="97" t="s">
        <v>324</v>
      </c>
      <c r="G89" s="2" t="s">
        <v>305</v>
      </c>
      <c r="H89" s="2"/>
    </row>
    <row r="90" spans="1:8" ht="31.5" customHeight="1" x14ac:dyDescent="0.2">
      <c r="A90" s="6" t="s">
        <v>529</v>
      </c>
      <c r="B90" s="2" t="s">
        <v>217</v>
      </c>
      <c r="C90" s="2">
        <v>5</v>
      </c>
      <c r="D90" s="179" t="s">
        <v>317</v>
      </c>
      <c r="E90" s="2"/>
      <c r="F90" s="97" t="s">
        <v>324</v>
      </c>
      <c r="G90" s="2" t="s">
        <v>305</v>
      </c>
      <c r="H90" s="2"/>
    </row>
    <row r="91" spans="1:8" ht="31.5" customHeight="1" x14ac:dyDescent="0.2">
      <c r="A91" s="6" t="s">
        <v>24</v>
      </c>
      <c r="B91" s="2" t="s">
        <v>217</v>
      </c>
      <c r="C91" s="2">
        <v>4</v>
      </c>
      <c r="D91" s="2" t="s">
        <v>501</v>
      </c>
      <c r="E91" s="2" t="s">
        <v>532</v>
      </c>
      <c r="F91" s="97" t="s">
        <v>327</v>
      </c>
      <c r="G91" s="2" t="s">
        <v>302</v>
      </c>
      <c r="H91" s="2"/>
    </row>
    <row r="92" spans="1:8" ht="31.5" customHeight="1" x14ac:dyDescent="0.2">
      <c r="A92" s="6" t="s">
        <v>402</v>
      </c>
      <c r="B92" s="2" t="s">
        <v>217</v>
      </c>
      <c r="C92" s="2">
        <v>4</v>
      </c>
      <c r="D92" s="2" t="s">
        <v>501</v>
      </c>
      <c r="E92" s="2"/>
      <c r="F92" s="97" t="s">
        <v>327</v>
      </c>
      <c r="G92" s="2" t="s">
        <v>302</v>
      </c>
      <c r="H92" s="2"/>
    </row>
    <row r="93" spans="1:8" ht="31.5" customHeight="1" x14ac:dyDescent="0.2">
      <c r="A93" s="6" t="s">
        <v>25</v>
      </c>
      <c r="B93" s="2" t="s">
        <v>217</v>
      </c>
      <c r="C93" s="2">
        <v>4</v>
      </c>
      <c r="D93" s="2" t="s">
        <v>501</v>
      </c>
      <c r="E93" s="187" t="s">
        <v>533</v>
      </c>
      <c r="F93" s="97" t="s">
        <v>304</v>
      </c>
      <c r="G93" s="2" t="s">
        <v>305</v>
      </c>
      <c r="H93" s="2"/>
    </row>
    <row r="94" spans="1:8" ht="31.5" customHeight="1" x14ac:dyDescent="0.2">
      <c r="A94" s="6" t="s">
        <v>404</v>
      </c>
      <c r="B94" s="2" t="s">
        <v>217</v>
      </c>
      <c r="C94" s="2">
        <v>4</v>
      </c>
      <c r="D94" s="2" t="s">
        <v>501</v>
      </c>
      <c r="E94" s="2"/>
      <c r="F94" s="97" t="s">
        <v>304</v>
      </c>
      <c r="G94" s="2" t="s">
        <v>305</v>
      </c>
      <c r="H94" s="2"/>
    </row>
    <row r="95" spans="1:8" ht="31.5" customHeight="1" x14ac:dyDescent="0.2">
      <c r="A95" s="6" t="s">
        <v>405</v>
      </c>
      <c r="B95" s="2" t="s">
        <v>217</v>
      </c>
      <c r="C95" s="2">
        <v>4</v>
      </c>
      <c r="D95" s="2" t="s">
        <v>501</v>
      </c>
      <c r="E95" s="2"/>
      <c r="F95" s="97" t="s">
        <v>304</v>
      </c>
      <c r="G95" s="2" t="s">
        <v>305</v>
      </c>
      <c r="H95" s="2"/>
    </row>
    <row r="96" spans="1:8" ht="31.5" customHeight="1" x14ac:dyDescent="0.2">
      <c r="A96" s="6" t="s">
        <v>28</v>
      </c>
      <c r="B96" s="2" t="s">
        <v>217</v>
      </c>
      <c r="C96" s="2">
        <v>2</v>
      </c>
      <c r="D96" s="179" t="s">
        <v>317</v>
      </c>
      <c r="E96" s="2" t="s">
        <v>535</v>
      </c>
      <c r="F96" s="97" t="s">
        <v>328</v>
      </c>
      <c r="G96" s="2" t="s">
        <v>305</v>
      </c>
      <c r="H96" s="2"/>
    </row>
    <row r="97" spans="1:8" ht="31.5" customHeight="1" x14ac:dyDescent="0.2">
      <c r="A97" s="6" t="s">
        <v>406</v>
      </c>
      <c r="B97" s="2" t="s">
        <v>217</v>
      </c>
      <c r="C97" s="2">
        <v>3</v>
      </c>
      <c r="D97" s="179" t="s">
        <v>317</v>
      </c>
      <c r="E97" s="2"/>
      <c r="F97" s="97" t="s">
        <v>328</v>
      </c>
      <c r="G97" s="2" t="s">
        <v>305</v>
      </c>
      <c r="H97" s="2"/>
    </row>
    <row r="98" spans="1:8" ht="31.5" customHeight="1" x14ac:dyDescent="0.2">
      <c r="A98" s="6" t="s">
        <v>417</v>
      </c>
      <c r="B98" s="2" t="s">
        <v>217</v>
      </c>
      <c r="C98" s="2">
        <v>5</v>
      </c>
      <c r="D98" s="179" t="s">
        <v>317</v>
      </c>
      <c r="E98" s="187" t="s">
        <v>540</v>
      </c>
      <c r="F98" s="97" t="s">
        <v>329</v>
      </c>
      <c r="G98" s="2" t="s">
        <v>302</v>
      </c>
      <c r="H98" s="2"/>
    </row>
    <row r="99" spans="1:8" ht="31.5" customHeight="1" x14ac:dyDescent="0.2">
      <c r="A99" s="6" t="s">
        <v>534</v>
      </c>
      <c r="B99" s="2" t="s">
        <v>217</v>
      </c>
      <c r="C99" s="2">
        <v>5</v>
      </c>
      <c r="D99" s="179" t="s">
        <v>317</v>
      </c>
      <c r="E99" s="2"/>
      <c r="F99" s="97" t="s">
        <v>329</v>
      </c>
      <c r="G99" s="2" t="s">
        <v>302</v>
      </c>
      <c r="H99" s="2"/>
    </row>
    <row r="100" spans="1:8" ht="31.5" customHeight="1" x14ac:dyDescent="0.2">
      <c r="A100" s="6" t="s">
        <v>407</v>
      </c>
      <c r="B100" s="2" t="s">
        <v>217</v>
      </c>
      <c r="C100" s="2">
        <v>5</v>
      </c>
      <c r="D100" s="179" t="s">
        <v>317</v>
      </c>
      <c r="E100" s="2"/>
      <c r="F100" s="97" t="s">
        <v>329</v>
      </c>
      <c r="G100" s="2" t="s">
        <v>302</v>
      </c>
      <c r="H100" s="2"/>
    </row>
    <row r="101" spans="1:8" ht="31.5" customHeight="1" x14ac:dyDescent="0.2">
      <c r="A101" s="6" t="s">
        <v>108</v>
      </c>
      <c r="B101" s="2" t="s">
        <v>217</v>
      </c>
      <c r="C101" s="2">
        <v>2</v>
      </c>
      <c r="D101" s="179" t="s">
        <v>317</v>
      </c>
      <c r="E101" s="2"/>
      <c r="F101" s="97" t="s">
        <v>353</v>
      </c>
      <c r="G101" s="2" t="s">
        <v>296</v>
      </c>
      <c r="H101" s="2"/>
    </row>
    <row r="102" spans="1:8" ht="31.5" customHeight="1" x14ac:dyDescent="0.2">
      <c r="A102" s="6" t="s">
        <v>32</v>
      </c>
      <c r="B102" s="2" t="s">
        <v>217</v>
      </c>
      <c r="C102" s="2">
        <v>5</v>
      </c>
      <c r="D102" s="2" t="s">
        <v>501</v>
      </c>
      <c r="E102" s="2"/>
      <c r="F102" s="97" t="s">
        <v>330</v>
      </c>
      <c r="G102" s="2" t="s">
        <v>305</v>
      </c>
      <c r="H102" s="2"/>
    </row>
    <row r="103" spans="1:8" ht="31.5" customHeight="1" x14ac:dyDescent="0.2">
      <c r="A103" s="6" t="s">
        <v>541</v>
      </c>
      <c r="B103" s="2" t="s">
        <v>217</v>
      </c>
      <c r="C103" s="2">
        <v>5</v>
      </c>
      <c r="D103" s="2" t="s">
        <v>501</v>
      </c>
      <c r="E103" s="2"/>
      <c r="F103" s="97" t="s">
        <v>330</v>
      </c>
      <c r="G103" s="2" t="s">
        <v>305</v>
      </c>
      <c r="H103" s="2"/>
    </row>
    <row r="104" spans="1:8" ht="31.5" customHeight="1" x14ac:dyDescent="0.2">
      <c r="A104" s="6" t="s">
        <v>27</v>
      </c>
      <c r="B104" s="2" t="s">
        <v>217</v>
      </c>
      <c r="C104" s="2">
        <v>3</v>
      </c>
      <c r="D104" s="2" t="s">
        <v>501</v>
      </c>
      <c r="E104" s="2"/>
      <c r="F104" s="97" t="s">
        <v>331</v>
      </c>
      <c r="G104" s="2" t="s">
        <v>305</v>
      </c>
      <c r="H104" s="2"/>
    </row>
    <row r="105" spans="1:8" ht="31.5" customHeight="1" x14ac:dyDescent="0.2">
      <c r="A105" s="6" t="s">
        <v>409</v>
      </c>
      <c r="B105" s="2" t="s">
        <v>217</v>
      </c>
      <c r="C105" s="2">
        <v>3</v>
      </c>
      <c r="D105" s="2" t="s">
        <v>501</v>
      </c>
      <c r="E105" s="2"/>
      <c r="F105" s="97" t="s">
        <v>331</v>
      </c>
      <c r="G105" s="2" t="s">
        <v>305</v>
      </c>
      <c r="H105" s="2"/>
    </row>
    <row r="106" spans="1:8" ht="31.5" customHeight="1" x14ac:dyDescent="0.2">
      <c r="A106" s="6" t="s">
        <v>410</v>
      </c>
      <c r="B106" s="2" t="s">
        <v>217</v>
      </c>
      <c r="C106" s="2">
        <v>3</v>
      </c>
      <c r="D106" s="2" t="s">
        <v>501</v>
      </c>
      <c r="E106" s="2"/>
      <c r="F106" s="97" t="s">
        <v>331</v>
      </c>
      <c r="G106" s="2" t="s">
        <v>305</v>
      </c>
      <c r="H106" s="2"/>
    </row>
    <row r="107" spans="1:8" ht="31.5" customHeight="1" x14ac:dyDescent="0.2">
      <c r="A107" s="6" t="s">
        <v>33</v>
      </c>
      <c r="B107" s="2" t="s">
        <v>217</v>
      </c>
      <c r="C107" s="2">
        <v>4</v>
      </c>
      <c r="D107" s="179" t="s">
        <v>317</v>
      </c>
      <c r="E107" s="2"/>
      <c r="F107" s="97"/>
      <c r="G107" s="2" t="s">
        <v>296</v>
      </c>
      <c r="H107" s="2"/>
    </row>
    <row r="108" spans="1:8" ht="31.5" customHeight="1" x14ac:dyDescent="0.2">
      <c r="A108" s="6" t="s">
        <v>411</v>
      </c>
      <c r="B108" s="2" t="s">
        <v>217</v>
      </c>
      <c r="C108" s="2">
        <v>4</v>
      </c>
      <c r="D108" s="179" t="s">
        <v>317</v>
      </c>
      <c r="E108" s="2"/>
      <c r="F108" s="97"/>
      <c r="G108" s="2" t="s">
        <v>296</v>
      </c>
      <c r="H108" s="2"/>
    </row>
    <row r="109" spans="1:8" ht="31.5" customHeight="1" x14ac:dyDescent="0.2">
      <c r="A109" s="6" t="s">
        <v>413</v>
      </c>
      <c r="B109" s="2" t="s">
        <v>217</v>
      </c>
      <c r="C109" s="2">
        <v>4</v>
      </c>
      <c r="D109" s="179" t="s">
        <v>317</v>
      </c>
      <c r="E109" s="2"/>
      <c r="F109" s="97"/>
      <c r="G109" s="2" t="s">
        <v>296</v>
      </c>
      <c r="H109" s="2"/>
    </row>
    <row r="110" spans="1:8" ht="31.5" customHeight="1" x14ac:dyDescent="0.2">
      <c r="A110" s="6" t="s">
        <v>412</v>
      </c>
      <c r="B110" s="2" t="s">
        <v>217</v>
      </c>
      <c r="C110" s="2">
        <v>4</v>
      </c>
      <c r="D110" s="179" t="s">
        <v>317</v>
      </c>
      <c r="E110" s="2"/>
      <c r="F110" s="97"/>
      <c r="G110" s="2" t="s">
        <v>296</v>
      </c>
      <c r="H110" s="2"/>
    </row>
    <row r="111" spans="1:8" ht="31.5" customHeight="1" x14ac:dyDescent="0.2">
      <c r="A111" s="6" t="s">
        <v>30</v>
      </c>
      <c r="B111" s="2" t="s">
        <v>217</v>
      </c>
      <c r="C111" s="2">
        <v>4</v>
      </c>
      <c r="D111" s="179" t="s">
        <v>317</v>
      </c>
      <c r="E111" s="2"/>
      <c r="F111" s="97" t="s">
        <v>300</v>
      </c>
      <c r="G111" s="2" t="s">
        <v>296</v>
      </c>
      <c r="H111" s="2"/>
    </row>
    <row r="112" spans="1:8" ht="31.5" customHeight="1" x14ac:dyDescent="0.2">
      <c r="A112" s="6" t="s">
        <v>31</v>
      </c>
      <c r="B112" s="2" t="s">
        <v>217</v>
      </c>
      <c r="C112" s="2">
        <v>7</v>
      </c>
      <c r="D112" s="2" t="s">
        <v>501</v>
      </c>
      <c r="E112" s="2"/>
      <c r="F112" s="97" t="s">
        <v>332</v>
      </c>
      <c r="G112" s="2" t="s">
        <v>302</v>
      </c>
      <c r="H112" s="2"/>
    </row>
    <row r="113" spans="1:8" ht="31.5" customHeight="1" x14ac:dyDescent="0.2">
      <c r="A113" s="6" t="s">
        <v>414</v>
      </c>
      <c r="B113" s="2" t="s">
        <v>217</v>
      </c>
      <c r="C113" s="2">
        <v>7</v>
      </c>
      <c r="D113" s="2" t="s">
        <v>501</v>
      </c>
      <c r="E113" s="2"/>
      <c r="F113" s="97" t="s">
        <v>332</v>
      </c>
      <c r="G113" s="2" t="s">
        <v>302</v>
      </c>
      <c r="H113" s="2"/>
    </row>
    <row r="114" spans="1:8" ht="31.5" customHeight="1" x14ac:dyDescent="0.2">
      <c r="A114" s="6" t="s">
        <v>35</v>
      </c>
      <c r="B114" s="2" t="s">
        <v>217</v>
      </c>
      <c r="C114" s="2">
        <v>7</v>
      </c>
      <c r="D114" s="179" t="s">
        <v>317</v>
      </c>
      <c r="E114" s="2"/>
      <c r="F114" s="97" t="s">
        <v>333</v>
      </c>
      <c r="G114" s="2" t="s">
        <v>305</v>
      </c>
      <c r="H114" s="2"/>
    </row>
    <row r="115" spans="1:8" ht="31.5" customHeight="1" x14ac:dyDescent="0.2">
      <c r="A115" s="6" t="s">
        <v>415</v>
      </c>
      <c r="B115" s="2" t="s">
        <v>217</v>
      </c>
      <c r="C115" s="2">
        <v>7</v>
      </c>
      <c r="D115" s="179" t="s">
        <v>317</v>
      </c>
      <c r="E115" s="2"/>
      <c r="F115" s="97" t="s">
        <v>333</v>
      </c>
      <c r="G115" s="2" t="s">
        <v>305</v>
      </c>
      <c r="H115" s="2"/>
    </row>
    <row r="116" spans="1:8" ht="31.5" customHeight="1" x14ac:dyDescent="0.2">
      <c r="A116" s="6" t="s">
        <v>34</v>
      </c>
      <c r="B116" s="2" t="s">
        <v>217</v>
      </c>
      <c r="C116" s="2">
        <v>3</v>
      </c>
      <c r="D116" s="179" t="s">
        <v>317</v>
      </c>
      <c r="E116" s="2"/>
      <c r="F116" s="97" t="s">
        <v>334</v>
      </c>
      <c r="G116" s="2" t="s">
        <v>305</v>
      </c>
      <c r="H116" s="2"/>
    </row>
    <row r="117" spans="1:8" ht="31.5" customHeight="1" x14ac:dyDescent="0.2">
      <c r="A117" s="6" t="s">
        <v>416</v>
      </c>
      <c r="B117" s="2" t="s">
        <v>217</v>
      </c>
      <c r="C117" s="2">
        <v>3</v>
      </c>
      <c r="D117" s="179" t="s">
        <v>317</v>
      </c>
      <c r="E117" s="2"/>
      <c r="F117" s="97" t="s">
        <v>334</v>
      </c>
      <c r="G117" s="2" t="s">
        <v>305</v>
      </c>
      <c r="H117" s="2"/>
    </row>
    <row r="118" spans="1:8" ht="31.5" customHeight="1" x14ac:dyDescent="0.2">
      <c r="A118" s="6" t="s">
        <v>36</v>
      </c>
      <c r="B118" s="2" t="s">
        <v>217</v>
      </c>
      <c r="C118" s="2">
        <v>2</v>
      </c>
      <c r="D118" s="179" t="s">
        <v>317</v>
      </c>
      <c r="E118" s="2"/>
      <c r="F118" s="97" t="s">
        <v>300</v>
      </c>
      <c r="G118" s="2" t="s">
        <v>296</v>
      </c>
      <c r="H118" s="2"/>
    </row>
    <row r="119" spans="1:8" ht="31.5" customHeight="1" x14ac:dyDescent="0.2">
      <c r="A119" s="6" t="s">
        <v>37</v>
      </c>
      <c r="B119" s="2" t="s">
        <v>217</v>
      </c>
      <c r="C119" s="2">
        <v>4</v>
      </c>
      <c r="D119" s="179" t="s">
        <v>317</v>
      </c>
      <c r="E119" s="2"/>
      <c r="F119" s="97" t="s">
        <v>300</v>
      </c>
      <c r="G119" s="2" t="s">
        <v>305</v>
      </c>
      <c r="H119" s="2"/>
    </row>
    <row r="120" spans="1:8" ht="31.5" customHeight="1" x14ac:dyDescent="0.2">
      <c r="A120" s="6" t="s">
        <v>418</v>
      </c>
      <c r="B120" s="2" t="s">
        <v>217</v>
      </c>
      <c r="C120" s="2">
        <v>4</v>
      </c>
      <c r="D120" s="179" t="s">
        <v>317</v>
      </c>
      <c r="E120" s="2"/>
      <c r="F120" s="97" t="s">
        <v>300</v>
      </c>
      <c r="G120" s="2" t="s">
        <v>305</v>
      </c>
      <c r="H120" s="2"/>
    </row>
    <row r="121" spans="1:8" ht="31.5" customHeight="1" x14ac:dyDescent="0.2">
      <c r="A121" s="6" t="s">
        <v>40</v>
      </c>
      <c r="B121" s="2" t="s">
        <v>217</v>
      </c>
      <c r="C121" s="2">
        <v>4</v>
      </c>
      <c r="D121" s="2" t="s">
        <v>501</v>
      </c>
      <c r="E121" s="2"/>
      <c r="F121" s="97" t="s">
        <v>335</v>
      </c>
      <c r="G121" s="2" t="s">
        <v>305</v>
      </c>
      <c r="H121" s="2"/>
    </row>
    <row r="122" spans="1:8" ht="31.5" customHeight="1" x14ac:dyDescent="0.2">
      <c r="A122" s="6" t="s">
        <v>420</v>
      </c>
      <c r="B122" s="2" t="s">
        <v>217</v>
      </c>
      <c r="C122" s="2">
        <v>4</v>
      </c>
      <c r="D122" s="2" t="s">
        <v>501</v>
      </c>
      <c r="E122" s="2"/>
      <c r="F122" s="97" t="s">
        <v>335</v>
      </c>
      <c r="G122" s="2" t="s">
        <v>305</v>
      </c>
      <c r="H122" s="2"/>
    </row>
    <row r="123" spans="1:8" ht="31.5" customHeight="1" x14ac:dyDescent="0.2">
      <c r="A123" s="6" t="s">
        <v>419</v>
      </c>
      <c r="B123" s="2" t="s">
        <v>217</v>
      </c>
      <c r="C123" s="2">
        <v>4</v>
      </c>
      <c r="D123" s="2" t="s">
        <v>501</v>
      </c>
      <c r="E123" s="2"/>
      <c r="F123" s="97" t="s">
        <v>335</v>
      </c>
      <c r="G123" s="2" t="s">
        <v>305</v>
      </c>
      <c r="H123" s="2"/>
    </row>
    <row r="124" spans="1:8" ht="31.5" customHeight="1" x14ac:dyDescent="0.2">
      <c r="A124" s="6" t="s">
        <v>41</v>
      </c>
      <c r="B124" s="2" t="s">
        <v>217</v>
      </c>
      <c r="C124" s="2">
        <v>4</v>
      </c>
      <c r="D124" s="2" t="s">
        <v>501</v>
      </c>
      <c r="E124" s="2"/>
      <c r="F124" s="97" t="s">
        <v>336</v>
      </c>
      <c r="G124" s="2" t="s">
        <v>307</v>
      </c>
      <c r="H124" s="2"/>
    </row>
    <row r="125" spans="1:8" ht="31.5" customHeight="1" x14ac:dyDescent="0.2">
      <c r="A125" s="6" t="s">
        <v>421</v>
      </c>
      <c r="B125" s="2" t="s">
        <v>217</v>
      </c>
      <c r="C125" s="2">
        <v>4</v>
      </c>
      <c r="D125" s="2" t="s">
        <v>501</v>
      </c>
      <c r="E125" s="2"/>
      <c r="F125" s="97" t="s">
        <v>336</v>
      </c>
      <c r="G125" s="2" t="s">
        <v>307</v>
      </c>
      <c r="H125" s="2"/>
    </row>
    <row r="126" spans="1:8" ht="31.5" customHeight="1" x14ac:dyDescent="0.2">
      <c r="A126" s="6" t="s">
        <v>38</v>
      </c>
      <c r="B126" s="2" t="s">
        <v>217</v>
      </c>
      <c r="C126" s="2">
        <v>5</v>
      </c>
      <c r="D126" s="2" t="s">
        <v>501</v>
      </c>
      <c r="E126" s="2"/>
      <c r="F126" s="97" t="s">
        <v>337</v>
      </c>
      <c r="G126" s="2" t="s">
        <v>302</v>
      </c>
      <c r="H126" s="2"/>
    </row>
    <row r="127" spans="1:8" ht="31.5" customHeight="1" x14ac:dyDescent="0.2">
      <c r="A127" s="6" t="s">
        <v>422</v>
      </c>
      <c r="B127" s="2" t="s">
        <v>217</v>
      </c>
      <c r="C127" s="2">
        <v>5</v>
      </c>
      <c r="D127" s="2" t="s">
        <v>501</v>
      </c>
      <c r="E127" s="2"/>
      <c r="F127" s="97" t="s">
        <v>337</v>
      </c>
      <c r="G127" s="2" t="s">
        <v>302</v>
      </c>
      <c r="H127" s="2"/>
    </row>
    <row r="128" spans="1:8" ht="31.5" customHeight="1" x14ac:dyDescent="0.2">
      <c r="A128" s="6" t="s">
        <v>39</v>
      </c>
      <c r="B128" s="2" t="s">
        <v>217</v>
      </c>
      <c r="C128" s="2">
        <v>6</v>
      </c>
      <c r="D128" s="2" t="s">
        <v>501</v>
      </c>
      <c r="E128" s="2"/>
      <c r="F128" s="97" t="s">
        <v>75</v>
      </c>
      <c r="G128" s="2" t="s">
        <v>305</v>
      </c>
      <c r="H128" s="2"/>
    </row>
    <row r="129" spans="1:8" ht="31.5" customHeight="1" x14ac:dyDescent="0.2">
      <c r="A129" s="128" t="s">
        <v>423</v>
      </c>
      <c r="B129" s="2" t="s">
        <v>217</v>
      </c>
      <c r="C129" s="2">
        <v>6</v>
      </c>
      <c r="D129" s="2" t="s">
        <v>501</v>
      </c>
      <c r="E129" s="2"/>
      <c r="F129" s="97" t="s">
        <v>75</v>
      </c>
      <c r="G129" s="2" t="s">
        <v>305</v>
      </c>
      <c r="H129" s="2"/>
    </row>
    <row r="130" spans="1:8" ht="31.5" customHeight="1" x14ac:dyDescent="0.2">
      <c r="A130" s="128" t="s">
        <v>42</v>
      </c>
      <c r="B130" s="2" t="s">
        <v>217</v>
      </c>
      <c r="C130" s="2">
        <v>2</v>
      </c>
      <c r="D130" s="2" t="s">
        <v>501</v>
      </c>
      <c r="E130" s="2"/>
      <c r="F130" s="97"/>
      <c r="G130" s="2" t="s">
        <v>296</v>
      </c>
      <c r="H130" s="2"/>
    </row>
    <row r="131" spans="1:8" ht="31.5" customHeight="1" x14ac:dyDescent="0.2">
      <c r="A131" s="128" t="s">
        <v>424</v>
      </c>
      <c r="B131" s="2" t="s">
        <v>217</v>
      </c>
      <c r="C131" s="2">
        <v>2</v>
      </c>
      <c r="D131" s="2" t="s">
        <v>501</v>
      </c>
      <c r="E131" s="2"/>
      <c r="F131" s="97"/>
      <c r="G131" s="2" t="s">
        <v>296</v>
      </c>
      <c r="H131" s="2"/>
    </row>
    <row r="132" spans="1:8" ht="31.5" customHeight="1" x14ac:dyDescent="0.2">
      <c r="A132" s="128" t="s">
        <v>256</v>
      </c>
      <c r="B132" s="2" t="s">
        <v>217</v>
      </c>
      <c r="C132" s="2">
        <v>3</v>
      </c>
      <c r="D132" s="179" t="s">
        <v>317</v>
      </c>
      <c r="E132" s="2"/>
      <c r="F132" s="97" t="s">
        <v>338</v>
      </c>
      <c r="G132" s="2" t="s">
        <v>305</v>
      </c>
      <c r="H132" s="2"/>
    </row>
    <row r="133" spans="1:8" ht="31.5" customHeight="1" thickBot="1" x14ac:dyDescent="0.25">
      <c r="A133" s="182" t="s">
        <v>425</v>
      </c>
      <c r="B133" s="2" t="s">
        <v>217</v>
      </c>
      <c r="C133" s="2">
        <v>3</v>
      </c>
      <c r="D133" s="179" t="s">
        <v>317</v>
      </c>
      <c r="E133" s="2"/>
      <c r="F133" s="97" t="s">
        <v>338</v>
      </c>
      <c r="G133" s="2" t="s">
        <v>305</v>
      </c>
      <c r="H133" s="2"/>
    </row>
    <row r="134" spans="1:8" ht="31.5" customHeight="1" thickTop="1" x14ac:dyDescent="0.2">
      <c r="A134" s="129" t="s">
        <v>71</v>
      </c>
      <c r="B134" s="2" t="s">
        <v>217</v>
      </c>
      <c r="C134" s="2" t="s">
        <v>510</v>
      </c>
      <c r="D134" s="2" t="s">
        <v>316</v>
      </c>
      <c r="E134" s="2"/>
      <c r="F134" s="97" t="s">
        <v>339</v>
      </c>
      <c r="G134" s="2" t="s">
        <v>296</v>
      </c>
      <c r="H134" s="2"/>
    </row>
    <row r="135" spans="1:8" ht="31.5" customHeight="1" x14ac:dyDescent="0.2">
      <c r="A135" s="183" t="s">
        <v>426</v>
      </c>
      <c r="B135" s="2" t="s">
        <v>217</v>
      </c>
      <c r="C135" s="2" t="s">
        <v>510</v>
      </c>
      <c r="D135" s="2" t="s">
        <v>316</v>
      </c>
      <c r="E135" s="2"/>
      <c r="F135" s="97" t="s">
        <v>339</v>
      </c>
      <c r="G135" s="2" t="s">
        <v>296</v>
      </c>
      <c r="H135" s="2"/>
    </row>
    <row r="136" spans="1:8" ht="31.5" customHeight="1" x14ac:dyDescent="0.2">
      <c r="A136" s="6" t="s">
        <v>73</v>
      </c>
      <c r="B136" s="2" t="s">
        <v>217</v>
      </c>
      <c r="C136" s="2" t="s">
        <v>510</v>
      </c>
      <c r="D136" s="2" t="s">
        <v>316</v>
      </c>
      <c r="E136" s="2"/>
      <c r="F136" s="97" t="s">
        <v>297</v>
      </c>
      <c r="G136" s="2" t="s">
        <v>296</v>
      </c>
      <c r="H136" s="2"/>
    </row>
    <row r="137" spans="1:8" ht="31.5" customHeight="1" x14ac:dyDescent="0.2">
      <c r="A137" s="6" t="s">
        <v>427</v>
      </c>
      <c r="B137" s="2" t="s">
        <v>217</v>
      </c>
      <c r="C137" s="2" t="s">
        <v>510</v>
      </c>
      <c r="D137" s="2" t="s">
        <v>316</v>
      </c>
      <c r="E137" s="2"/>
      <c r="F137" s="97" t="s">
        <v>297</v>
      </c>
      <c r="G137" s="2" t="s">
        <v>296</v>
      </c>
      <c r="H137" s="2"/>
    </row>
    <row r="138" spans="1:8" ht="31.5" customHeight="1" x14ac:dyDescent="0.2">
      <c r="A138" s="6" t="s">
        <v>72</v>
      </c>
      <c r="B138" s="2" t="s">
        <v>217</v>
      </c>
      <c r="C138" s="2" t="s">
        <v>510</v>
      </c>
      <c r="D138" s="2" t="s">
        <v>316</v>
      </c>
      <c r="E138" s="2"/>
      <c r="F138" s="97" t="s">
        <v>340</v>
      </c>
      <c r="G138" s="2" t="s">
        <v>302</v>
      </c>
      <c r="H138" s="2"/>
    </row>
    <row r="139" spans="1:8" ht="31.5" customHeight="1" x14ac:dyDescent="0.2">
      <c r="A139" s="6" t="s">
        <v>70</v>
      </c>
      <c r="B139" s="2" t="s">
        <v>217</v>
      </c>
      <c r="C139" s="2" t="s">
        <v>510</v>
      </c>
      <c r="D139" s="2" t="s">
        <v>316</v>
      </c>
      <c r="E139" s="2"/>
      <c r="F139" s="97" t="s">
        <v>341</v>
      </c>
      <c r="G139" s="2" t="s">
        <v>307</v>
      </c>
      <c r="H139" s="2"/>
    </row>
    <row r="140" spans="1:8" ht="31.5" customHeight="1" x14ac:dyDescent="0.2">
      <c r="A140" s="6" t="s">
        <v>428</v>
      </c>
      <c r="B140" s="2" t="s">
        <v>217</v>
      </c>
      <c r="C140" s="2" t="s">
        <v>510</v>
      </c>
      <c r="D140" s="2" t="s">
        <v>316</v>
      </c>
      <c r="E140" s="2"/>
      <c r="F140" s="97" t="s">
        <v>341</v>
      </c>
      <c r="G140" s="2" t="s">
        <v>307</v>
      </c>
      <c r="H140" s="2"/>
    </row>
    <row r="141" spans="1:8" ht="31.5" customHeight="1" x14ac:dyDescent="0.2">
      <c r="A141" s="6" t="s">
        <v>429</v>
      </c>
      <c r="B141" s="2" t="s">
        <v>217</v>
      </c>
      <c r="C141" s="2" t="s">
        <v>510</v>
      </c>
      <c r="D141" s="2" t="s">
        <v>316</v>
      </c>
      <c r="E141" s="2"/>
      <c r="F141" s="97" t="s">
        <v>341</v>
      </c>
      <c r="G141" s="2" t="s">
        <v>307</v>
      </c>
      <c r="H141" s="2"/>
    </row>
    <row r="142" spans="1:8" ht="31.5" customHeight="1" x14ac:dyDescent="0.2">
      <c r="A142" s="6" t="s">
        <v>43</v>
      </c>
      <c r="B142" s="2" t="s">
        <v>217</v>
      </c>
      <c r="C142" s="2" t="s">
        <v>510</v>
      </c>
      <c r="D142" s="2" t="s">
        <v>316</v>
      </c>
      <c r="E142" s="2"/>
      <c r="F142" s="97" t="s">
        <v>342</v>
      </c>
      <c r="G142" s="2" t="s">
        <v>302</v>
      </c>
      <c r="H142" s="2"/>
    </row>
    <row r="143" spans="1:8" ht="31.5" customHeight="1" x14ac:dyDescent="0.2">
      <c r="A143" s="6" t="s">
        <v>430</v>
      </c>
      <c r="B143" s="2" t="s">
        <v>217</v>
      </c>
      <c r="C143" s="2" t="s">
        <v>510</v>
      </c>
      <c r="D143" s="2" t="s">
        <v>316</v>
      </c>
      <c r="E143" s="2"/>
      <c r="F143" s="97" t="s">
        <v>342</v>
      </c>
      <c r="G143" s="2" t="s">
        <v>302</v>
      </c>
      <c r="H143" s="2"/>
    </row>
    <row r="144" spans="1:8" ht="31.5" customHeight="1" x14ac:dyDescent="0.2">
      <c r="A144" s="6" t="s">
        <v>408</v>
      </c>
      <c r="B144" s="2" t="s">
        <v>217</v>
      </c>
      <c r="C144" s="2" t="s">
        <v>510</v>
      </c>
      <c r="D144" s="2" t="s">
        <v>316</v>
      </c>
      <c r="E144" s="2"/>
      <c r="F144" s="97" t="s">
        <v>342</v>
      </c>
      <c r="G144" s="2" t="s">
        <v>302</v>
      </c>
      <c r="H144" s="2"/>
    </row>
    <row r="145" spans="1:8" ht="31.5" customHeight="1" x14ac:dyDescent="0.2">
      <c r="A145" s="6" t="s">
        <v>311</v>
      </c>
      <c r="B145" s="2" t="s">
        <v>217</v>
      </c>
      <c r="C145" s="2" t="s">
        <v>510</v>
      </c>
      <c r="D145" s="2" t="s">
        <v>316</v>
      </c>
      <c r="E145" s="2"/>
      <c r="F145" s="97" t="s">
        <v>343</v>
      </c>
      <c r="G145" s="2" t="s">
        <v>302</v>
      </c>
      <c r="H145" s="2"/>
    </row>
    <row r="146" spans="1:8" ht="31.5" customHeight="1" x14ac:dyDescent="0.2">
      <c r="A146" s="6" t="s">
        <v>44</v>
      </c>
      <c r="B146" s="2" t="s">
        <v>217</v>
      </c>
      <c r="C146" s="2" t="s">
        <v>510</v>
      </c>
      <c r="D146" s="2" t="s">
        <v>316</v>
      </c>
      <c r="E146" s="2"/>
      <c r="F146" s="97" t="s">
        <v>343</v>
      </c>
      <c r="G146" s="2" t="s">
        <v>302</v>
      </c>
      <c r="H146" s="2"/>
    </row>
    <row r="147" spans="1:8" ht="31.5" customHeight="1" x14ac:dyDescent="0.2">
      <c r="A147" s="4" t="s">
        <v>45</v>
      </c>
      <c r="B147" s="2" t="s">
        <v>218</v>
      </c>
      <c r="C147" s="2">
        <v>5</v>
      </c>
      <c r="D147" s="179" t="s">
        <v>317</v>
      </c>
      <c r="E147" s="2"/>
      <c r="F147" s="97" t="s">
        <v>344</v>
      </c>
      <c r="G147" s="2" t="s">
        <v>307</v>
      </c>
      <c r="H147" s="2"/>
    </row>
    <row r="148" spans="1:8" ht="31.5" customHeight="1" x14ac:dyDescent="0.2">
      <c r="A148" s="4" t="s">
        <v>431</v>
      </c>
      <c r="B148" s="2" t="s">
        <v>218</v>
      </c>
      <c r="C148" s="2">
        <v>5</v>
      </c>
      <c r="D148" s="179" t="s">
        <v>317</v>
      </c>
      <c r="E148" s="2"/>
      <c r="F148" s="97" t="s">
        <v>344</v>
      </c>
      <c r="G148" s="2" t="s">
        <v>307</v>
      </c>
      <c r="H148" s="2"/>
    </row>
    <row r="149" spans="1:8" ht="31.5" customHeight="1" x14ac:dyDescent="0.2">
      <c r="A149" s="4" t="s">
        <v>46</v>
      </c>
      <c r="B149" s="2" t="s">
        <v>218</v>
      </c>
      <c r="C149" s="2">
        <v>5</v>
      </c>
      <c r="D149" s="179" t="s">
        <v>317</v>
      </c>
      <c r="E149" s="2"/>
      <c r="F149" s="97" t="s">
        <v>70</v>
      </c>
      <c r="G149" s="2" t="s">
        <v>305</v>
      </c>
      <c r="H149" s="2"/>
    </row>
    <row r="150" spans="1:8" ht="31.5" customHeight="1" x14ac:dyDescent="0.2">
      <c r="A150" s="4" t="s">
        <v>432</v>
      </c>
      <c r="B150" s="2" t="s">
        <v>218</v>
      </c>
      <c r="C150" s="2">
        <v>5</v>
      </c>
      <c r="D150" s="179" t="s">
        <v>317</v>
      </c>
      <c r="E150" s="2"/>
      <c r="F150" s="97" t="s">
        <v>70</v>
      </c>
      <c r="G150" s="2" t="s">
        <v>305</v>
      </c>
      <c r="H150" s="2"/>
    </row>
    <row r="151" spans="1:8" ht="31.5" customHeight="1" x14ac:dyDescent="0.2">
      <c r="A151" s="4" t="s">
        <v>47</v>
      </c>
      <c r="B151" s="2" t="s">
        <v>218</v>
      </c>
      <c r="C151" s="2">
        <v>3</v>
      </c>
      <c r="D151" s="179" t="s">
        <v>317</v>
      </c>
      <c r="E151" s="2"/>
      <c r="F151" s="97" t="s">
        <v>345</v>
      </c>
      <c r="G151" s="2" t="s">
        <v>305</v>
      </c>
      <c r="H151" s="2"/>
    </row>
    <row r="152" spans="1:8" ht="31.5" customHeight="1" x14ac:dyDescent="0.2">
      <c r="A152" s="4" t="s">
        <v>433</v>
      </c>
      <c r="B152" s="2" t="s">
        <v>218</v>
      </c>
      <c r="C152" s="2">
        <v>3</v>
      </c>
      <c r="D152" s="179" t="s">
        <v>317</v>
      </c>
      <c r="E152" s="2"/>
      <c r="F152" s="97" t="s">
        <v>345</v>
      </c>
      <c r="G152" s="2" t="s">
        <v>305</v>
      </c>
      <c r="H152" s="2"/>
    </row>
    <row r="153" spans="1:8" ht="31.5" customHeight="1" x14ac:dyDescent="0.2">
      <c r="A153" s="4" t="s">
        <v>434</v>
      </c>
      <c r="B153" s="2" t="s">
        <v>218</v>
      </c>
      <c r="C153" s="2">
        <v>3</v>
      </c>
      <c r="D153" s="179" t="s">
        <v>317</v>
      </c>
      <c r="E153" s="2"/>
      <c r="F153" s="97" t="s">
        <v>345</v>
      </c>
      <c r="G153" s="2" t="s">
        <v>305</v>
      </c>
      <c r="H153" s="2"/>
    </row>
    <row r="154" spans="1:8" ht="31.5" customHeight="1" x14ac:dyDescent="0.2">
      <c r="A154" s="4" t="s">
        <v>50</v>
      </c>
      <c r="B154" s="2" t="s">
        <v>218</v>
      </c>
      <c r="C154" s="2">
        <v>2</v>
      </c>
      <c r="D154" s="2" t="s">
        <v>501</v>
      </c>
      <c r="E154" s="2"/>
      <c r="F154" s="97" t="s">
        <v>314</v>
      </c>
      <c r="G154" s="2" t="s">
        <v>307</v>
      </c>
      <c r="H154" s="2"/>
    </row>
    <row r="155" spans="1:8" ht="31.5" customHeight="1" x14ac:dyDescent="0.2">
      <c r="A155" s="4" t="s">
        <v>435</v>
      </c>
      <c r="B155" s="2" t="s">
        <v>218</v>
      </c>
      <c r="C155" s="2">
        <v>2</v>
      </c>
      <c r="D155" s="2" t="s">
        <v>501</v>
      </c>
      <c r="E155" s="2"/>
      <c r="F155" s="97" t="s">
        <v>314</v>
      </c>
      <c r="G155" s="2" t="s">
        <v>307</v>
      </c>
      <c r="H155" s="2"/>
    </row>
    <row r="156" spans="1:8" ht="31.5" customHeight="1" x14ac:dyDescent="0.2">
      <c r="A156" s="4" t="s">
        <v>436</v>
      </c>
      <c r="B156" s="2" t="s">
        <v>218</v>
      </c>
      <c r="C156" s="2">
        <v>2</v>
      </c>
      <c r="D156" s="2" t="s">
        <v>501</v>
      </c>
      <c r="E156" s="2"/>
      <c r="F156" s="97" t="s">
        <v>314</v>
      </c>
      <c r="G156" s="2" t="s">
        <v>307</v>
      </c>
      <c r="H156" s="2"/>
    </row>
    <row r="157" spans="1:8" ht="31.5" customHeight="1" x14ac:dyDescent="0.2">
      <c r="A157" s="4" t="s">
        <v>51</v>
      </c>
      <c r="B157" s="2" t="s">
        <v>218</v>
      </c>
      <c r="C157" s="2">
        <v>5</v>
      </c>
      <c r="D157" s="2" t="s">
        <v>501</v>
      </c>
      <c r="E157" s="2"/>
      <c r="F157" s="97" t="s">
        <v>76</v>
      </c>
      <c r="G157" s="2" t="s">
        <v>305</v>
      </c>
      <c r="H157" s="2"/>
    </row>
    <row r="158" spans="1:8" ht="31.5" customHeight="1" x14ac:dyDescent="0.2">
      <c r="A158" s="4" t="s">
        <v>56</v>
      </c>
      <c r="B158" s="2" t="s">
        <v>218</v>
      </c>
      <c r="C158" s="2">
        <v>2</v>
      </c>
      <c r="D158" s="2" t="s">
        <v>501</v>
      </c>
      <c r="E158" s="2"/>
      <c r="F158" s="97" t="s">
        <v>346</v>
      </c>
      <c r="G158" s="2" t="s">
        <v>307</v>
      </c>
      <c r="H158" s="2"/>
    </row>
    <row r="159" spans="1:8" ht="31.5" customHeight="1" x14ac:dyDescent="0.2">
      <c r="A159" s="4" t="s">
        <v>437</v>
      </c>
      <c r="B159" s="2" t="s">
        <v>218</v>
      </c>
      <c r="C159" s="2">
        <v>2</v>
      </c>
      <c r="D159" s="2" t="s">
        <v>501</v>
      </c>
      <c r="E159" s="2"/>
      <c r="F159" s="97" t="s">
        <v>346</v>
      </c>
      <c r="G159" s="2" t="s">
        <v>307</v>
      </c>
      <c r="H159" s="2"/>
    </row>
    <row r="160" spans="1:8" ht="31.5" customHeight="1" x14ac:dyDescent="0.2">
      <c r="A160" s="4" t="s">
        <v>48</v>
      </c>
      <c r="B160" s="2" t="s">
        <v>218</v>
      </c>
      <c r="C160" s="2">
        <v>5</v>
      </c>
      <c r="D160" s="179" t="s">
        <v>317</v>
      </c>
      <c r="E160" s="2"/>
      <c r="F160" s="97" t="s">
        <v>347</v>
      </c>
      <c r="G160" s="2" t="s">
        <v>305</v>
      </c>
      <c r="H160" s="2"/>
    </row>
    <row r="161" spans="1:8" ht="31.5" customHeight="1" x14ac:dyDescent="0.2">
      <c r="A161" s="4" t="s">
        <v>438</v>
      </c>
      <c r="B161" s="2" t="s">
        <v>218</v>
      </c>
      <c r="C161" s="2">
        <v>5</v>
      </c>
      <c r="D161" s="179" t="s">
        <v>317</v>
      </c>
      <c r="E161" s="2"/>
      <c r="F161" s="97" t="s">
        <v>347</v>
      </c>
      <c r="G161" s="2" t="s">
        <v>305</v>
      </c>
      <c r="H161" s="2"/>
    </row>
    <row r="162" spans="1:8" ht="31.5" customHeight="1" x14ac:dyDescent="0.2">
      <c r="A162" s="4" t="s">
        <v>440</v>
      </c>
      <c r="B162" s="2" t="s">
        <v>218</v>
      </c>
      <c r="C162" s="2">
        <v>5</v>
      </c>
      <c r="D162" s="179" t="s">
        <v>317</v>
      </c>
      <c r="E162" s="2"/>
      <c r="F162" s="97" t="s">
        <v>347</v>
      </c>
      <c r="G162" s="2" t="s">
        <v>305</v>
      </c>
      <c r="H162" s="2"/>
    </row>
    <row r="163" spans="1:8" ht="31.5" customHeight="1" x14ac:dyDescent="0.2">
      <c r="A163" s="4" t="s">
        <v>439</v>
      </c>
      <c r="B163" s="2" t="s">
        <v>218</v>
      </c>
      <c r="C163" s="2">
        <v>5</v>
      </c>
      <c r="D163" s="179" t="s">
        <v>317</v>
      </c>
      <c r="E163" s="2"/>
      <c r="F163" s="97" t="s">
        <v>347</v>
      </c>
      <c r="G163" s="2" t="s">
        <v>305</v>
      </c>
      <c r="H163" s="2"/>
    </row>
    <row r="164" spans="1:8" ht="31.5" customHeight="1" x14ac:dyDescent="0.2">
      <c r="A164" s="4" t="s">
        <v>49</v>
      </c>
      <c r="B164" s="2" t="s">
        <v>218</v>
      </c>
      <c r="C164" s="2">
        <v>3</v>
      </c>
      <c r="D164" s="2" t="s">
        <v>501</v>
      </c>
      <c r="E164" s="2"/>
      <c r="F164" s="97" t="s">
        <v>348</v>
      </c>
      <c r="G164" s="2" t="s">
        <v>302</v>
      </c>
      <c r="H164" s="2"/>
    </row>
    <row r="165" spans="1:8" ht="31.5" customHeight="1" x14ac:dyDescent="0.2">
      <c r="A165" s="4" t="s">
        <v>441</v>
      </c>
      <c r="B165" s="2" t="s">
        <v>218</v>
      </c>
      <c r="C165" s="2">
        <v>3</v>
      </c>
      <c r="D165" s="2" t="s">
        <v>501</v>
      </c>
      <c r="E165" s="2"/>
      <c r="F165" s="97" t="s">
        <v>348</v>
      </c>
      <c r="G165" s="2" t="s">
        <v>302</v>
      </c>
      <c r="H165" s="2"/>
    </row>
    <row r="166" spans="1:8" ht="31.5" customHeight="1" x14ac:dyDescent="0.2">
      <c r="A166" s="4" t="s">
        <v>52</v>
      </c>
      <c r="B166" s="2" t="s">
        <v>218</v>
      </c>
      <c r="C166" s="2">
        <v>5</v>
      </c>
      <c r="D166" s="179" t="s">
        <v>317</v>
      </c>
      <c r="E166" s="2"/>
      <c r="F166" s="97" t="s">
        <v>349</v>
      </c>
      <c r="G166" s="2" t="s">
        <v>302</v>
      </c>
      <c r="H166" s="2"/>
    </row>
    <row r="167" spans="1:8" ht="31.5" customHeight="1" x14ac:dyDescent="0.2">
      <c r="A167" s="4" t="s">
        <v>442</v>
      </c>
      <c r="B167" s="2" t="s">
        <v>218</v>
      </c>
      <c r="C167" s="2">
        <v>5</v>
      </c>
      <c r="D167" s="179" t="s">
        <v>317</v>
      </c>
      <c r="E167" s="2"/>
      <c r="F167" s="97" t="s">
        <v>349</v>
      </c>
      <c r="G167" s="2" t="s">
        <v>302</v>
      </c>
      <c r="H167" s="2"/>
    </row>
    <row r="168" spans="1:8" ht="31.5" customHeight="1" x14ac:dyDescent="0.2">
      <c r="A168" s="4" t="s">
        <v>53</v>
      </c>
      <c r="B168" s="2" t="s">
        <v>218</v>
      </c>
      <c r="C168" s="2">
        <v>4</v>
      </c>
      <c r="D168" s="2" t="s">
        <v>501</v>
      </c>
      <c r="E168" s="2"/>
      <c r="F168" s="97" t="s">
        <v>319</v>
      </c>
      <c r="G168" s="2" t="s">
        <v>305</v>
      </c>
      <c r="H168" s="2"/>
    </row>
    <row r="169" spans="1:8" ht="31.5" customHeight="1" x14ac:dyDescent="0.2">
      <c r="A169" s="4" t="s">
        <v>443</v>
      </c>
      <c r="B169" s="2" t="s">
        <v>218</v>
      </c>
      <c r="C169" s="2">
        <v>4</v>
      </c>
      <c r="D169" s="2" t="s">
        <v>501</v>
      </c>
      <c r="E169" s="2"/>
      <c r="F169" s="97" t="s">
        <v>319</v>
      </c>
      <c r="G169" s="2" t="s">
        <v>305</v>
      </c>
      <c r="H169" s="2"/>
    </row>
    <row r="170" spans="1:8" ht="31.5" customHeight="1" x14ac:dyDescent="0.2">
      <c r="A170" s="4" t="s">
        <v>57</v>
      </c>
      <c r="B170" s="2" t="s">
        <v>218</v>
      </c>
      <c r="C170" s="2">
        <v>16</v>
      </c>
      <c r="D170" s="179" t="s">
        <v>317</v>
      </c>
      <c r="E170" s="2"/>
      <c r="F170" s="97" t="s">
        <v>350</v>
      </c>
      <c r="G170" s="2" t="s">
        <v>305</v>
      </c>
      <c r="H170" s="2"/>
    </row>
    <row r="171" spans="1:8" ht="31.5" customHeight="1" x14ac:dyDescent="0.2">
      <c r="A171" s="4" t="s">
        <v>61</v>
      </c>
      <c r="B171" s="2" t="s">
        <v>218</v>
      </c>
      <c r="C171" s="2">
        <v>4</v>
      </c>
      <c r="D171" s="179" t="s">
        <v>317</v>
      </c>
      <c r="E171" s="2"/>
      <c r="F171" s="97" t="s">
        <v>351</v>
      </c>
      <c r="G171" s="2" t="s">
        <v>305</v>
      </c>
      <c r="H171" s="2"/>
    </row>
    <row r="172" spans="1:8" ht="31.5" customHeight="1" x14ac:dyDescent="0.2">
      <c r="A172" s="4" t="s">
        <v>58</v>
      </c>
      <c r="B172" s="2" t="s">
        <v>218</v>
      </c>
      <c r="C172" s="2">
        <v>5</v>
      </c>
      <c r="D172" s="179" t="s">
        <v>317</v>
      </c>
      <c r="E172" s="2"/>
      <c r="F172" s="97" t="s">
        <v>337</v>
      </c>
      <c r="G172" s="2" t="s">
        <v>305</v>
      </c>
      <c r="H172" s="2"/>
    </row>
    <row r="173" spans="1:8" ht="31.5" customHeight="1" x14ac:dyDescent="0.2">
      <c r="A173" s="4" t="s">
        <v>444</v>
      </c>
      <c r="B173" s="2" t="s">
        <v>218</v>
      </c>
      <c r="C173" s="2">
        <v>5</v>
      </c>
      <c r="D173" s="179" t="s">
        <v>317</v>
      </c>
      <c r="E173" s="2"/>
      <c r="F173" s="97" t="s">
        <v>337</v>
      </c>
      <c r="G173" s="2" t="s">
        <v>305</v>
      </c>
      <c r="H173" s="2"/>
    </row>
    <row r="174" spans="1:8" ht="31.5" customHeight="1" x14ac:dyDescent="0.2">
      <c r="A174" s="4" t="s">
        <v>62</v>
      </c>
      <c r="B174" s="2" t="s">
        <v>218</v>
      </c>
      <c r="C174" s="2">
        <v>4</v>
      </c>
      <c r="D174" s="2" t="s">
        <v>501</v>
      </c>
      <c r="E174" s="2"/>
      <c r="F174" s="97" t="s">
        <v>352</v>
      </c>
      <c r="G174" s="2" t="s">
        <v>305</v>
      </c>
      <c r="H174" s="2"/>
    </row>
    <row r="175" spans="1:8" ht="31.5" customHeight="1" x14ac:dyDescent="0.2">
      <c r="A175" s="4" t="s">
        <v>445</v>
      </c>
      <c r="B175" s="2" t="s">
        <v>218</v>
      </c>
      <c r="C175" s="2">
        <v>4</v>
      </c>
      <c r="D175" s="2" t="s">
        <v>501</v>
      </c>
      <c r="E175" s="2"/>
      <c r="F175" s="97" t="s">
        <v>352</v>
      </c>
      <c r="G175" s="2" t="s">
        <v>305</v>
      </c>
      <c r="H175" s="2"/>
    </row>
    <row r="176" spans="1:8" ht="31.5" customHeight="1" x14ac:dyDescent="0.2">
      <c r="A176" s="4" t="s">
        <v>59</v>
      </c>
      <c r="B176" s="2" t="s">
        <v>218</v>
      </c>
      <c r="C176" s="2">
        <v>5</v>
      </c>
      <c r="D176" s="179" t="s">
        <v>317</v>
      </c>
      <c r="E176" s="2"/>
      <c r="F176" s="97" t="s">
        <v>353</v>
      </c>
      <c r="G176" s="2" t="s">
        <v>305</v>
      </c>
      <c r="H176" s="2"/>
    </row>
    <row r="177" spans="1:8" ht="31.5" customHeight="1" x14ac:dyDescent="0.2">
      <c r="A177" s="4" t="s">
        <v>60</v>
      </c>
      <c r="B177" s="2" t="s">
        <v>218</v>
      </c>
      <c r="C177" s="2">
        <v>5</v>
      </c>
      <c r="D177" s="179" t="s">
        <v>317</v>
      </c>
      <c r="E177" s="2"/>
      <c r="F177" s="97" t="s">
        <v>506</v>
      </c>
      <c r="G177" s="2" t="s">
        <v>307</v>
      </c>
      <c r="H177" s="2"/>
    </row>
    <row r="178" spans="1:8" ht="31.5" customHeight="1" x14ac:dyDescent="0.2">
      <c r="A178" s="4" t="s">
        <v>446</v>
      </c>
      <c r="B178" s="2" t="s">
        <v>218</v>
      </c>
      <c r="C178" s="2">
        <v>5</v>
      </c>
      <c r="D178" s="179" t="s">
        <v>317</v>
      </c>
      <c r="E178" s="2"/>
      <c r="F178" s="97" t="s">
        <v>506</v>
      </c>
      <c r="G178" s="2" t="s">
        <v>307</v>
      </c>
      <c r="H178" s="2"/>
    </row>
    <row r="179" spans="1:8" ht="31.5" customHeight="1" x14ac:dyDescent="0.2">
      <c r="A179" s="4" t="s">
        <v>63</v>
      </c>
      <c r="B179" s="2" t="s">
        <v>218</v>
      </c>
      <c r="C179" s="2">
        <v>3</v>
      </c>
      <c r="D179" s="2" t="s">
        <v>501</v>
      </c>
      <c r="E179" s="2"/>
      <c r="F179" s="97" t="s">
        <v>354</v>
      </c>
      <c r="G179" s="2" t="s">
        <v>307</v>
      </c>
      <c r="H179" s="2"/>
    </row>
    <row r="180" spans="1:8" ht="31.5" customHeight="1" x14ac:dyDescent="0.2">
      <c r="A180" s="4" t="s">
        <v>447</v>
      </c>
      <c r="B180" s="2" t="s">
        <v>218</v>
      </c>
      <c r="C180" s="2">
        <v>3</v>
      </c>
      <c r="D180" s="2" t="s">
        <v>501</v>
      </c>
      <c r="E180" s="2"/>
      <c r="F180" s="97" t="s">
        <v>354</v>
      </c>
      <c r="G180" s="2" t="s">
        <v>307</v>
      </c>
      <c r="H180" s="2"/>
    </row>
    <row r="181" spans="1:8" ht="31.5" customHeight="1" x14ac:dyDescent="0.2">
      <c r="A181" s="4" t="s">
        <v>64</v>
      </c>
      <c r="B181" s="2" t="s">
        <v>218</v>
      </c>
      <c r="C181" s="2">
        <v>2</v>
      </c>
      <c r="D181" s="2" t="s">
        <v>501</v>
      </c>
      <c r="E181" s="2"/>
      <c r="F181" s="97" t="s">
        <v>355</v>
      </c>
      <c r="G181" s="2" t="s">
        <v>307</v>
      </c>
      <c r="H181" s="2"/>
    </row>
    <row r="182" spans="1:8" ht="31.5" customHeight="1" x14ac:dyDescent="0.2">
      <c r="A182" s="4" t="s">
        <v>449</v>
      </c>
      <c r="B182" s="2" t="s">
        <v>218</v>
      </c>
      <c r="C182" s="2">
        <v>2</v>
      </c>
      <c r="D182" s="2" t="s">
        <v>501</v>
      </c>
      <c r="E182" s="2"/>
      <c r="F182" s="97" t="s">
        <v>355</v>
      </c>
      <c r="G182" s="2" t="s">
        <v>307</v>
      </c>
      <c r="H182" s="2"/>
    </row>
    <row r="183" spans="1:8" ht="31.5" customHeight="1" x14ac:dyDescent="0.2">
      <c r="A183" s="4" t="s">
        <v>448</v>
      </c>
      <c r="B183" s="2" t="s">
        <v>218</v>
      </c>
      <c r="C183" s="2">
        <v>2</v>
      </c>
      <c r="D183" s="2" t="s">
        <v>501</v>
      </c>
      <c r="E183" s="2"/>
      <c r="F183" s="97" t="s">
        <v>355</v>
      </c>
      <c r="G183" s="2" t="s">
        <v>307</v>
      </c>
      <c r="H183" s="2"/>
    </row>
    <row r="184" spans="1:8" ht="31.5" customHeight="1" x14ac:dyDescent="0.2">
      <c r="A184" s="4" t="s">
        <v>55</v>
      </c>
      <c r="B184" s="2" t="s">
        <v>218</v>
      </c>
      <c r="C184" s="2">
        <v>3</v>
      </c>
      <c r="D184" s="2" t="s">
        <v>501</v>
      </c>
      <c r="E184" s="2"/>
      <c r="F184" s="97" t="s">
        <v>356</v>
      </c>
      <c r="G184" s="2" t="s">
        <v>302</v>
      </c>
      <c r="H184" s="2"/>
    </row>
    <row r="185" spans="1:8" ht="31.5" customHeight="1" x14ac:dyDescent="0.2">
      <c r="A185" s="4" t="s">
        <v>450</v>
      </c>
      <c r="B185" s="2" t="s">
        <v>218</v>
      </c>
      <c r="C185" s="2">
        <v>3</v>
      </c>
      <c r="D185" s="2" t="s">
        <v>501</v>
      </c>
      <c r="E185" s="2"/>
      <c r="F185" s="97" t="s">
        <v>356</v>
      </c>
      <c r="G185" s="2" t="s">
        <v>302</v>
      </c>
      <c r="H185" s="2"/>
    </row>
    <row r="186" spans="1:8" ht="31.5" customHeight="1" x14ac:dyDescent="0.2">
      <c r="A186" s="4" t="s">
        <v>65</v>
      </c>
      <c r="B186" s="2" t="s">
        <v>218</v>
      </c>
      <c r="C186" s="2">
        <v>5</v>
      </c>
      <c r="D186" s="2" t="s">
        <v>501</v>
      </c>
      <c r="E186" s="2"/>
      <c r="F186" s="97" t="s">
        <v>76</v>
      </c>
      <c r="G186" s="2" t="s">
        <v>305</v>
      </c>
      <c r="H186" s="2"/>
    </row>
    <row r="187" spans="1:8" ht="31.5" customHeight="1" x14ac:dyDescent="0.2">
      <c r="A187" s="130" t="s">
        <v>451</v>
      </c>
      <c r="B187" s="2" t="s">
        <v>218</v>
      </c>
      <c r="C187" s="2">
        <v>5</v>
      </c>
      <c r="D187" s="2" t="s">
        <v>501</v>
      </c>
      <c r="E187" s="2"/>
      <c r="F187" s="97" t="s">
        <v>76</v>
      </c>
      <c r="G187" s="2" t="s">
        <v>305</v>
      </c>
      <c r="H187" s="2"/>
    </row>
    <row r="188" spans="1:8" ht="31.5" customHeight="1" x14ac:dyDescent="0.2">
      <c r="A188" s="130" t="s">
        <v>66</v>
      </c>
      <c r="B188" s="2" t="s">
        <v>218</v>
      </c>
      <c r="C188" s="2">
        <v>3</v>
      </c>
      <c r="D188" s="2" t="s">
        <v>501</v>
      </c>
      <c r="E188" s="2"/>
      <c r="F188" s="97" t="s">
        <v>357</v>
      </c>
      <c r="G188" s="2" t="s">
        <v>302</v>
      </c>
      <c r="H188" s="2"/>
    </row>
    <row r="189" spans="1:8" ht="31.5" customHeight="1" x14ac:dyDescent="0.2">
      <c r="A189" s="184" t="s">
        <v>452</v>
      </c>
      <c r="B189" s="2" t="s">
        <v>218</v>
      </c>
      <c r="C189" s="2">
        <v>3</v>
      </c>
      <c r="D189" s="2" t="s">
        <v>501</v>
      </c>
      <c r="E189" s="2"/>
      <c r="F189" s="97" t="s">
        <v>357</v>
      </c>
      <c r="G189" s="2" t="s">
        <v>302</v>
      </c>
      <c r="H189" s="2"/>
    </row>
    <row r="190" spans="1:8" ht="31.5" customHeight="1" thickBot="1" x14ac:dyDescent="0.25">
      <c r="A190" s="184" t="s">
        <v>453</v>
      </c>
      <c r="B190" s="2" t="s">
        <v>218</v>
      </c>
      <c r="C190" s="2">
        <v>3</v>
      </c>
      <c r="D190" s="2" t="s">
        <v>501</v>
      </c>
      <c r="E190" s="2"/>
      <c r="F190" s="97" t="s">
        <v>357</v>
      </c>
      <c r="G190" s="2" t="s">
        <v>302</v>
      </c>
      <c r="H190" s="2"/>
    </row>
    <row r="191" spans="1:8" ht="31.5" customHeight="1" thickTop="1" x14ac:dyDescent="0.2">
      <c r="A191" s="131" t="s">
        <v>68</v>
      </c>
      <c r="B191" s="2" t="s">
        <v>218</v>
      </c>
      <c r="C191" s="2" t="s">
        <v>510</v>
      </c>
      <c r="D191" s="2" t="s">
        <v>316</v>
      </c>
      <c r="E191" s="2"/>
      <c r="F191" s="97" t="s">
        <v>357</v>
      </c>
      <c r="G191" s="2" t="s">
        <v>305</v>
      </c>
      <c r="H191" s="2"/>
    </row>
    <row r="192" spans="1:8" ht="31.5" customHeight="1" x14ac:dyDescent="0.2">
      <c r="A192" s="4" t="s">
        <v>69</v>
      </c>
      <c r="B192" s="2" t="s">
        <v>218</v>
      </c>
      <c r="C192" s="2" t="s">
        <v>510</v>
      </c>
      <c r="D192" s="2" t="s">
        <v>316</v>
      </c>
      <c r="E192" s="2"/>
      <c r="F192" s="97" t="s">
        <v>358</v>
      </c>
      <c r="G192" s="2" t="s">
        <v>302</v>
      </c>
      <c r="H192" s="2"/>
    </row>
    <row r="193" spans="1:8" ht="31.5" customHeight="1" x14ac:dyDescent="0.2">
      <c r="A193" s="4" t="s">
        <v>455</v>
      </c>
      <c r="B193" s="2" t="s">
        <v>218</v>
      </c>
      <c r="C193" s="2" t="s">
        <v>510</v>
      </c>
      <c r="D193" s="2" t="s">
        <v>316</v>
      </c>
      <c r="E193" s="2"/>
      <c r="F193" s="97" t="s">
        <v>358</v>
      </c>
      <c r="G193" s="2" t="s">
        <v>302</v>
      </c>
      <c r="H193" s="2"/>
    </row>
    <row r="194" spans="1:8" ht="31.5" customHeight="1" x14ac:dyDescent="0.2">
      <c r="A194" s="4" t="s">
        <v>454</v>
      </c>
      <c r="B194" s="2" t="s">
        <v>218</v>
      </c>
      <c r="C194" s="2" t="s">
        <v>510</v>
      </c>
      <c r="D194" s="2" t="s">
        <v>316</v>
      </c>
      <c r="E194" s="2"/>
      <c r="F194" s="97" t="s">
        <v>358</v>
      </c>
      <c r="G194" s="2" t="s">
        <v>302</v>
      </c>
      <c r="H194" s="2"/>
    </row>
    <row r="195" spans="1:8" ht="31.5" customHeight="1" x14ac:dyDescent="0.2">
      <c r="A195" s="4" t="s">
        <v>67</v>
      </c>
      <c r="B195" s="2" t="s">
        <v>218</v>
      </c>
      <c r="C195" s="2" t="s">
        <v>510</v>
      </c>
      <c r="D195" s="2" t="s">
        <v>316</v>
      </c>
      <c r="E195" s="2"/>
      <c r="F195" s="97"/>
      <c r="G195" s="2" t="s">
        <v>305</v>
      </c>
      <c r="H195" s="2"/>
    </row>
    <row r="196" spans="1:8" ht="31.5" customHeight="1" x14ac:dyDescent="0.2">
      <c r="A196" s="9" t="s">
        <v>81</v>
      </c>
      <c r="B196" s="2" t="s">
        <v>219</v>
      </c>
      <c r="C196" s="2">
        <v>3</v>
      </c>
      <c r="D196" s="179" t="s">
        <v>317</v>
      </c>
      <c r="E196" s="2"/>
      <c r="F196" s="97" t="s">
        <v>457</v>
      </c>
      <c r="G196" s="2" t="s">
        <v>296</v>
      </c>
      <c r="H196" s="2"/>
    </row>
    <row r="197" spans="1:8" ht="31.5" customHeight="1" x14ac:dyDescent="0.2">
      <c r="A197" s="9" t="s">
        <v>456</v>
      </c>
      <c r="B197" s="2" t="s">
        <v>219</v>
      </c>
      <c r="C197" s="2">
        <v>3</v>
      </c>
      <c r="D197" s="179" t="s">
        <v>317</v>
      </c>
      <c r="E197" s="2"/>
      <c r="F197" s="97" t="s">
        <v>457</v>
      </c>
      <c r="G197" s="2" t="s">
        <v>296</v>
      </c>
      <c r="H197" s="2"/>
    </row>
    <row r="198" spans="1:8" ht="31.5" customHeight="1" x14ac:dyDescent="0.2">
      <c r="A198" s="9" t="s">
        <v>486</v>
      </c>
      <c r="B198" s="2" t="s">
        <v>219</v>
      </c>
      <c r="C198" s="2">
        <v>3</v>
      </c>
      <c r="D198" s="179" t="s">
        <v>317</v>
      </c>
      <c r="E198" s="2"/>
      <c r="F198" s="97" t="s">
        <v>457</v>
      </c>
      <c r="G198" s="2" t="s">
        <v>296</v>
      </c>
      <c r="H198" s="2"/>
    </row>
    <row r="199" spans="1:8" ht="31.5" customHeight="1" x14ac:dyDescent="0.2">
      <c r="A199" s="9" t="s">
        <v>82</v>
      </c>
      <c r="B199" s="2" t="s">
        <v>219</v>
      </c>
      <c r="C199" s="2">
        <v>4</v>
      </c>
      <c r="D199" s="2" t="s">
        <v>501</v>
      </c>
      <c r="E199" s="2"/>
      <c r="F199" s="97" t="s">
        <v>76</v>
      </c>
      <c r="G199" s="2" t="s">
        <v>305</v>
      </c>
      <c r="H199" s="2"/>
    </row>
    <row r="200" spans="1:8" ht="31.5" customHeight="1" x14ac:dyDescent="0.2">
      <c r="A200" s="9" t="s">
        <v>459</v>
      </c>
      <c r="B200" s="2" t="s">
        <v>219</v>
      </c>
      <c r="C200" s="2">
        <v>4</v>
      </c>
      <c r="D200" s="2" t="s">
        <v>501</v>
      </c>
      <c r="E200" s="2"/>
      <c r="F200" s="97" t="s">
        <v>76</v>
      </c>
      <c r="G200" s="2" t="s">
        <v>305</v>
      </c>
      <c r="H200" s="2"/>
    </row>
    <row r="201" spans="1:8" ht="31.5" customHeight="1" x14ac:dyDescent="0.2">
      <c r="A201" s="9" t="s">
        <v>458</v>
      </c>
      <c r="B201" s="2" t="s">
        <v>219</v>
      </c>
      <c r="C201" s="2">
        <v>4</v>
      </c>
      <c r="D201" s="2" t="s">
        <v>501</v>
      </c>
      <c r="E201" s="2"/>
      <c r="F201" s="97" t="s">
        <v>76</v>
      </c>
      <c r="G201" s="2" t="s">
        <v>305</v>
      </c>
      <c r="H201" s="2"/>
    </row>
    <row r="202" spans="1:8" ht="31.5" customHeight="1" x14ac:dyDescent="0.2">
      <c r="A202" s="9" t="s">
        <v>79</v>
      </c>
      <c r="B202" s="2" t="s">
        <v>219</v>
      </c>
      <c r="C202" s="2">
        <v>3</v>
      </c>
      <c r="D202" s="2" t="s">
        <v>501</v>
      </c>
      <c r="E202" s="2"/>
      <c r="F202" s="97" t="s">
        <v>359</v>
      </c>
      <c r="G202" s="2" t="s">
        <v>302</v>
      </c>
      <c r="H202" s="2"/>
    </row>
    <row r="203" spans="1:8" ht="31.5" customHeight="1" x14ac:dyDescent="0.2">
      <c r="A203" s="9" t="s">
        <v>460</v>
      </c>
      <c r="B203" s="2" t="s">
        <v>219</v>
      </c>
      <c r="C203" s="2">
        <v>3</v>
      </c>
      <c r="D203" s="2" t="s">
        <v>501</v>
      </c>
      <c r="E203" s="2"/>
      <c r="F203" s="97" t="s">
        <v>359</v>
      </c>
      <c r="G203" s="2" t="s">
        <v>302</v>
      </c>
      <c r="H203" s="2"/>
    </row>
    <row r="204" spans="1:8" ht="31.5" customHeight="1" x14ac:dyDescent="0.2">
      <c r="A204" s="9" t="s">
        <v>461</v>
      </c>
      <c r="B204" s="2" t="s">
        <v>219</v>
      </c>
      <c r="C204" s="2">
        <v>3</v>
      </c>
      <c r="D204" s="2" t="s">
        <v>501</v>
      </c>
      <c r="E204" s="2"/>
      <c r="F204" s="97" t="s">
        <v>359</v>
      </c>
      <c r="G204" s="2" t="s">
        <v>302</v>
      </c>
      <c r="H204" s="2"/>
    </row>
    <row r="205" spans="1:8" ht="31.5" customHeight="1" x14ac:dyDescent="0.2">
      <c r="A205" s="9" t="s">
        <v>462</v>
      </c>
      <c r="B205" s="2" t="s">
        <v>219</v>
      </c>
      <c r="C205" s="2">
        <v>3</v>
      </c>
      <c r="D205" s="2" t="s">
        <v>501</v>
      </c>
      <c r="E205" s="2"/>
      <c r="F205" s="97" t="s">
        <v>359</v>
      </c>
      <c r="G205" s="2" t="s">
        <v>302</v>
      </c>
      <c r="H205" s="2"/>
    </row>
    <row r="206" spans="1:8" ht="31.5" customHeight="1" x14ac:dyDescent="0.2">
      <c r="A206" s="9" t="s">
        <v>80</v>
      </c>
      <c r="B206" s="2" t="s">
        <v>219</v>
      </c>
      <c r="C206" s="2">
        <v>2</v>
      </c>
      <c r="D206" s="2" t="s">
        <v>501</v>
      </c>
      <c r="E206" s="2"/>
      <c r="F206" s="97" t="s">
        <v>70</v>
      </c>
      <c r="G206" s="2" t="s">
        <v>296</v>
      </c>
      <c r="H206" s="2"/>
    </row>
    <row r="207" spans="1:8" ht="31.5" customHeight="1" x14ac:dyDescent="0.2">
      <c r="A207" s="9" t="s">
        <v>464</v>
      </c>
      <c r="B207" s="2" t="s">
        <v>219</v>
      </c>
      <c r="C207" s="2">
        <v>2</v>
      </c>
      <c r="D207" s="2" t="s">
        <v>501</v>
      </c>
      <c r="E207" s="2"/>
      <c r="F207" s="97" t="s">
        <v>70</v>
      </c>
      <c r="G207" s="2" t="s">
        <v>296</v>
      </c>
      <c r="H207" s="2"/>
    </row>
    <row r="208" spans="1:8" ht="31.5" customHeight="1" x14ac:dyDescent="0.2">
      <c r="A208" s="9" t="s">
        <v>463</v>
      </c>
      <c r="B208" s="2" t="s">
        <v>219</v>
      </c>
      <c r="C208" s="2">
        <v>2</v>
      </c>
      <c r="D208" s="2" t="s">
        <v>501</v>
      </c>
      <c r="E208" s="2"/>
      <c r="F208" s="97" t="s">
        <v>70</v>
      </c>
      <c r="G208" s="2" t="s">
        <v>296</v>
      </c>
      <c r="H208" s="2"/>
    </row>
    <row r="209" spans="1:8" ht="31.5" customHeight="1" x14ac:dyDescent="0.2">
      <c r="A209" s="9" t="s">
        <v>83</v>
      </c>
      <c r="B209" s="2" t="s">
        <v>219</v>
      </c>
      <c r="C209" s="2">
        <v>3</v>
      </c>
      <c r="D209" s="179" t="s">
        <v>317</v>
      </c>
      <c r="E209" s="2"/>
      <c r="F209" s="97" t="s">
        <v>360</v>
      </c>
      <c r="G209" s="2" t="s">
        <v>305</v>
      </c>
      <c r="H209" s="2"/>
    </row>
    <row r="210" spans="1:8" ht="31.5" customHeight="1" x14ac:dyDescent="0.2">
      <c r="A210" s="9" t="s">
        <v>84</v>
      </c>
      <c r="B210" s="2" t="s">
        <v>219</v>
      </c>
      <c r="C210" s="2">
        <v>3</v>
      </c>
      <c r="D210" s="179" t="s">
        <v>317</v>
      </c>
      <c r="E210" s="2"/>
      <c r="F210" s="97" t="s">
        <v>361</v>
      </c>
      <c r="G210" s="2" t="s">
        <v>302</v>
      </c>
      <c r="H210" s="2"/>
    </row>
    <row r="211" spans="1:8" ht="31.5" customHeight="1" x14ac:dyDescent="0.2">
      <c r="A211" s="9" t="s">
        <v>465</v>
      </c>
      <c r="B211" s="2" t="s">
        <v>219</v>
      </c>
      <c r="C211" s="2">
        <v>3</v>
      </c>
      <c r="D211" s="179" t="s">
        <v>317</v>
      </c>
      <c r="E211" s="2"/>
      <c r="F211" s="97" t="s">
        <v>361</v>
      </c>
      <c r="G211" s="2" t="s">
        <v>302</v>
      </c>
      <c r="H211" s="2"/>
    </row>
    <row r="212" spans="1:8" ht="31.5" customHeight="1" x14ac:dyDescent="0.2">
      <c r="A212" s="9" t="s">
        <v>466</v>
      </c>
      <c r="B212" s="2" t="s">
        <v>219</v>
      </c>
      <c r="C212" s="2">
        <v>3</v>
      </c>
      <c r="D212" s="179" t="s">
        <v>317</v>
      </c>
      <c r="E212" s="2"/>
      <c r="F212" s="97" t="s">
        <v>361</v>
      </c>
      <c r="G212" s="2" t="s">
        <v>302</v>
      </c>
      <c r="H212" s="2"/>
    </row>
    <row r="213" spans="1:8" ht="31.5" customHeight="1" x14ac:dyDescent="0.2">
      <c r="A213" s="9" t="s">
        <v>85</v>
      </c>
      <c r="B213" s="2" t="s">
        <v>219</v>
      </c>
      <c r="C213" s="2">
        <v>3</v>
      </c>
      <c r="D213" s="2" t="s">
        <v>501</v>
      </c>
      <c r="E213" s="2"/>
      <c r="F213" s="97" t="s">
        <v>362</v>
      </c>
      <c r="G213" s="2" t="s">
        <v>305</v>
      </c>
      <c r="H213" s="2"/>
    </row>
    <row r="214" spans="1:8" ht="31.5" customHeight="1" x14ac:dyDescent="0.2">
      <c r="A214" s="9" t="s">
        <v>469</v>
      </c>
      <c r="B214" s="2" t="s">
        <v>219</v>
      </c>
      <c r="C214" s="2">
        <v>3</v>
      </c>
      <c r="D214" s="2" t="s">
        <v>501</v>
      </c>
      <c r="E214" s="2"/>
      <c r="F214" s="97" t="s">
        <v>362</v>
      </c>
      <c r="G214" s="2" t="s">
        <v>305</v>
      </c>
      <c r="H214" s="2"/>
    </row>
    <row r="215" spans="1:8" ht="31.5" customHeight="1" x14ac:dyDescent="0.2">
      <c r="A215" s="9" t="s">
        <v>468</v>
      </c>
      <c r="B215" s="2" t="s">
        <v>219</v>
      </c>
      <c r="C215" s="2">
        <v>3</v>
      </c>
      <c r="D215" s="2" t="s">
        <v>501</v>
      </c>
      <c r="E215" s="2"/>
      <c r="F215" s="97" t="s">
        <v>362</v>
      </c>
      <c r="G215" s="2" t="s">
        <v>305</v>
      </c>
      <c r="H215" s="2"/>
    </row>
    <row r="216" spans="1:8" ht="31.5" customHeight="1" x14ac:dyDescent="0.2">
      <c r="A216" s="9" t="s">
        <v>467</v>
      </c>
      <c r="B216" s="2" t="s">
        <v>219</v>
      </c>
      <c r="C216" s="2">
        <v>3</v>
      </c>
      <c r="D216" s="2" t="s">
        <v>501</v>
      </c>
      <c r="E216" s="2"/>
      <c r="F216" s="97" t="s">
        <v>362</v>
      </c>
      <c r="G216" s="2" t="s">
        <v>305</v>
      </c>
      <c r="H216" s="2"/>
    </row>
    <row r="217" spans="1:8" ht="31.5" customHeight="1" x14ac:dyDescent="0.2">
      <c r="A217" s="9" t="s">
        <v>86</v>
      </c>
      <c r="B217" s="2" t="s">
        <v>219</v>
      </c>
      <c r="C217" s="2">
        <v>5</v>
      </c>
      <c r="D217" s="2" t="s">
        <v>501</v>
      </c>
      <c r="E217" s="2"/>
      <c r="F217" s="97" t="s">
        <v>472</v>
      </c>
      <c r="G217" s="2" t="s">
        <v>302</v>
      </c>
      <c r="H217" s="2"/>
    </row>
    <row r="218" spans="1:8" ht="31.5" customHeight="1" x14ac:dyDescent="0.2">
      <c r="A218" s="9" t="s">
        <v>470</v>
      </c>
      <c r="B218" s="2" t="s">
        <v>219</v>
      </c>
      <c r="C218" s="2">
        <v>5</v>
      </c>
      <c r="D218" s="2" t="s">
        <v>501</v>
      </c>
      <c r="E218" s="2"/>
      <c r="F218" s="97" t="s">
        <v>472</v>
      </c>
      <c r="G218" s="2" t="s">
        <v>302</v>
      </c>
      <c r="H218" s="2"/>
    </row>
    <row r="219" spans="1:8" ht="31.5" customHeight="1" x14ac:dyDescent="0.2">
      <c r="A219" s="9" t="s">
        <v>471</v>
      </c>
      <c r="B219" s="2" t="s">
        <v>219</v>
      </c>
      <c r="C219" s="2">
        <v>5</v>
      </c>
      <c r="D219" s="2" t="s">
        <v>501</v>
      </c>
      <c r="E219" s="2"/>
      <c r="F219" s="97" t="s">
        <v>472</v>
      </c>
      <c r="G219" s="2" t="s">
        <v>302</v>
      </c>
      <c r="H219" s="2"/>
    </row>
    <row r="220" spans="1:8" ht="31.5" customHeight="1" x14ac:dyDescent="0.2">
      <c r="A220" s="9" t="s">
        <v>78</v>
      </c>
      <c r="B220" s="2" t="s">
        <v>219</v>
      </c>
      <c r="C220" s="2">
        <v>2</v>
      </c>
      <c r="D220" s="2" t="s">
        <v>501</v>
      </c>
      <c r="E220" s="2"/>
      <c r="F220" s="97" t="s">
        <v>507</v>
      </c>
      <c r="G220" s="2" t="s">
        <v>307</v>
      </c>
      <c r="H220" s="2"/>
    </row>
    <row r="221" spans="1:8" ht="31.5" customHeight="1" x14ac:dyDescent="0.2">
      <c r="A221" s="9" t="s">
        <v>474</v>
      </c>
      <c r="B221" s="2" t="s">
        <v>219</v>
      </c>
      <c r="C221" s="2">
        <v>2</v>
      </c>
      <c r="D221" s="2" t="s">
        <v>501</v>
      </c>
      <c r="E221" s="2"/>
      <c r="F221" s="97" t="s">
        <v>507</v>
      </c>
      <c r="G221" s="2" t="s">
        <v>307</v>
      </c>
      <c r="H221" s="2"/>
    </row>
    <row r="222" spans="1:8" ht="31.5" customHeight="1" x14ac:dyDescent="0.2">
      <c r="A222" s="9" t="s">
        <v>473</v>
      </c>
      <c r="B222" s="2" t="s">
        <v>219</v>
      </c>
      <c r="C222" s="2">
        <v>2</v>
      </c>
      <c r="D222" s="2" t="s">
        <v>501</v>
      </c>
      <c r="E222" s="2"/>
      <c r="F222" s="97" t="s">
        <v>507</v>
      </c>
      <c r="G222" s="2" t="s">
        <v>307</v>
      </c>
      <c r="H222" s="2"/>
    </row>
    <row r="223" spans="1:8" ht="31.5" customHeight="1" x14ac:dyDescent="0.2">
      <c r="A223" s="10" t="s">
        <v>54</v>
      </c>
      <c r="B223" s="2" t="s">
        <v>219</v>
      </c>
      <c r="C223" s="2">
        <v>3</v>
      </c>
      <c r="D223" s="2" t="s">
        <v>501</v>
      </c>
      <c r="E223" s="2"/>
      <c r="F223" s="97" t="s">
        <v>508</v>
      </c>
      <c r="G223" s="2" t="s">
        <v>307</v>
      </c>
      <c r="H223" s="2"/>
    </row>
    <row r="224" spans="1:8" ht="31.5" customHeight="1" x14ac:dyDescent="0.2">
      <c r="A224" s="10" t="s">
        <v>477</v>
      </c>
      <c r="B224" s="2" t="s">
        <v>219</v>
      </c>
      <c r="C224" s="2">
        <v>3</v>
      </c>
      <c r="D224" s="2" t="s">
        <v>501</v>
      </c>
      <c r="E224" s="2"/>
      <c r="F224" s="97" t="s">
        <v>508</v>
      </c>
      <c r="G224" s="2" t="s">
        <v>307</v>
      </c>
      <c r="H224" s="2"/>
    </row>
    <row r="225" spans="1:8" ht="31.5" customHeight="1" x14ac:dyDescent="0.2">
      <c r="A225" s="10" t="s">
        <v>476</v>
      </c>
      <c r="B225" s="2" t="s">
        <v>219</v>
      </c>
      <c r="C225" s="2">
        <v>3</v>
      </c>
      <c r="D225" s="2" t="s">
        <v>501</v>
      </c>
      <c r="E225" s="2"/>
      <c r="F225" s="97" t="s">
        <v>508</v>
      </c>
      <c r="G225" s="2" t="s">
        <v>307</v>
      </c>
      <c r="H225" s="2"/>
    </row>
    <row r="226" spans="1:8" ht="31.5" customHeight="1" x14ac:dyDescent="0.2">
      <c r="A226" s="10" t="s">
        <v>475</v>
      </c>
      <c r="B226" s="2" t="s">
        <v>219</v>
      </c>
      <c r="C226" s="2">
        <v>3</v>
      </c>
      <c r="D226" s="2" t="s">
        <v>501</v>
      </c>
      <c r="E226" s="2"/>
      <c r="F226" s="97" t="s">
        <v>508</v>
      </c>
      <c r="G226" s="2" t="s">
        <v>307</v>
      </c>
      <c r="H226" s="2"/>
    </row>
    <row r="227" spans="1:8" ht="31.5" customHeight="1" x14ac:dyDescent="0.2">
      <c r="A227" s="10" t="s">
        <v>542</v>
      </c>
      <c r="B227" s="2" t="s">
        <v>219</v>
      </c>
      <c r="C227" s="2">
        <v>3</v>
      </c>
      <c r="D227" s="2" t="s">
        <v>501</v>
      </c>
      <c r="E227" s="2"/>
      <c r="F227" s="97" t="s">
        <v>508</v>
      </c>
      <c r="G227" s="2" t="s">
        <v>307</v>
      </c>
      <c r="H227" s="2"/>
    </row>
    <row r="228" spans="1:8" ht="31.5" customHeight="1" x14ac:dyDescent="0.2">
      <c r="A228" s="9" t="s">
        <v>87</v>
      </c>
      <c r="B228" s="2" t="s">
        <v>219</v>
      </c>
      <c r="C228" s="2">
        <v>4</v>
      </c>
      <c r="D228" s="2" t="s">
        <v>501</v>
      </c>
      <c r="E228" s="2"/>
      <c r="F228" s="97" t="s">
        <v>363</v>
      </c>
      <c r="G228" s="2" t="s">
        <v>305</v>
      </c>
      <c r="H228" s="2"/>
    </row>
    <row r="229" spans="1:8" ht="31.5" customHeight="1" x14ac:dyDescent="0.2">
      <c r="A229" s="9" t="s">
        <v>88</v>
      </c>
      <c r="B229" s="2" t="s">
        <v>219</v>
      </c>
      <c r="C229" s="2">
        <v>2</v>
      </c>
      <c r="D229" s="2" t="s">
        <v>501</v>
      </c>
      <c r="E229" s="2"/>
      <c r="F229" s="97" t="s">
        <v>364</v>
      </c>
      <c r="G229" s="2" t="s">
        <v>302</v>
      </c>
      <c r="H229" s="2"/>
    </row>
    <row r="230" spans="1:8" ht="31.5" customHeight="1" x14ac:dyDescent="0.2">
      <c r="A230" s="9" t="s">
        <v>478</v>
      </c>
      <c r="B230" s="2" t="s">
        <v>219</v>
      </c>
      <c r="C230" s="2">
        <v>2</v>
      </c>
      <c r="D230" s="2" t="s">
        <v>501</v>
      </c>
      <c r="E230" s="2"/>
      <c r="F230" s="97" t="s">
        <v>364</v>
      </c>
      <c r="G230" s="2" t="s">
        <v>302</v>
      </c>
      <c r="H230" s="2"/>
    </row>
    <row r="231" spans="1:8" ht="31.5" customHeight="1" x14ac:dyDescent="0.2">
      <c r="A231" s="9" t="s">
        <v>480</v>
      </c>
      <c r="B231" s="2" t="s">
        <v>219</v>
      </c>
      <c r="C231" s="2">
        <v>2</v>
      </c>
      <c r="D231" s="2" t="s">
        <v>501</v>
      </c>
      <c r="E231" s="2"/>
      <c r="F231" s="97" t="s">
        <v>364</v>
      </c>
      <c r="G231" s="2" t="s">
        <v>302</v>
      </c>
      <c r="H231" s="2"/>
    </row>
    <row r="232" spans="1:8" ht="31.5" customHeight="1" x14ac:dyDescent="0.2">
      <c r="A232" s="9" t="s">
        <v>479</v>
      </c>
      <c r="B232" s="2" t="s">
        <v>219</v>
      </c>
      <c r="C232" s="2">
        <v>2</v>
      </c>
      <c r="D232" s="2" t="s">
        <v>501</v>
      </c>
      <c r="E232" s="2"/>
      <c r="F232" s="97" t="s">
        <v>364</v>
      </c>
      <c r="G232" s="2" t="s">
        <v>302</v>
      </c>
      <c r="H232" s="2"/>
    </row>
    <row r="233" spans="1:8" ht="31.5" customHeight="1" x14ac:dyDescent="0.2">
      <c r="A233" s="9" t="s">
        <v>138</v>
      </c>
      <c r="B233" s="2" t="s">
        <v>219</v>
      </c>
      <c r="C233" s="2">
        <v>5</v>
      </c>
      <c r="D233" s="179" t="s">
        <v>317</v>
      </c>
      <c r="E233" s="2"/>
      <c r="F233" s="97" t="s">
        <v>365</v>
      </c>
      <c r="G233" s="2" t="s">
        <v>307</v>
      </c>
      <c r="H233" s="2"/>
    </row>
    <row r="234" spans="1:8" ht="31.5" customHeight="1" x14ac:dyDescent="0.2">
      <c r="A234" s="185" t="s">
        <v>481</v>
      </c>
      <c r="B234" s="2" t="s">
        <v>219</v>
      </c>
      <c r="C234" s="2">
        <v>5</v>
      </c>
      <c r="D234" s="179" t="s">
        <v>317</v>
      </c>
      <c r="E234" s="2"/>
      <c r="F234" s="97" t="s">
        <v>365</v>
      </c>
      <c r="G234" s="2" t="s">
        <v>307</v>
      </c>
      <c r="H234" s="2"/>
    </row>
  </sheetData>
  <autoFilter ref="A9:G234" xr:uid="{DBFE5319-94BF-44CB-B8A5-A767469283DB}"/>
  <mergeCells count="2">
    <mergeCell ref="A1:G1"/>
    <mergeCell ref="G3:G5"/>
  </mergeCells>
  <phoneticPr fontId="1" type="noConversion"/>
  <conditionalFormatting sqref="B3">
    <cfRule type="cellIs" dxfId="90" priority="2" operator="equal">
      <formula>"普通"</formula>
    </cfRule>
    <cfRule type="cellIs" dxfId="89" priority="3" operator="equal">
      <formula>"史诗"</formula>
    </cfRule>
    <cfRule type="cellIs" dxfId="88" priority="4" operator="equal">
      <formula>"禁忌"</formula>
    </cfRule>
    <cfRule type="cellIs" dxfId="87" priority="5" operator="equal">
      <formula>"光辉"</formula>
    </cfRule>
    <cfRule type="cellIs" dxfId="86" priority="6" operator="equal">
      <formula>"传说"</formula>
    </cfRule>
    <cfRule type="cellIs" dxfId="85" priority="7" operator="equal">
      <formula>"稀有"</formula>
    </cfRule>
  </conditionalFormatting>
  <conditionalFormatting sqref="G3:G5">
    <cfRule type="cellIs" dxfId="84" priority="1" operator="equal">
      <formula>"                                         查询无果"</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21249-0EB1-45A1-B465-DC4EA89C0C3E}">
  <sheetPr>
    <tabColor theme="5" tint="-0.249977111117893"/>
  </sheetPr>
  <dimension ref="A1:D16"/>
  <sheetViews>
    <sheetView workbookViewId="0">
      <selection activeCell="D16" sqref="D16"/>
    </sheetView>
  </sheetViews>
  <sheetFormatPr defaultRowHeight="14.25" x14ac:dyDescent="0.2"/>
  <cols>
    <col min="1" max="1" width="18" customWidth="1"/>
    <col min="2" max="2" width="34.125" customWidth="1"/>
    <col min="3" max="3" width="26.375" customWidth="1"/>
    <col min="4" max="4" width="29" customWidth="1"/>
    <col min="5" max="5" width="37.75" customWidth="1"/>
  </cols>
  <sheetData>
    <row r="1" spans="1:4" ht="48" customHeight="1" x14ac:dyDescent="0.2">
      <c r="A1" s="202" t="s">
        <v>566</v>
      </c>
      <c r="B1" s="203" t="s">
        <v>567</v>
      </c>
      <c r="C1" s="204" t="s">
        <v>587</v>
      </c>
      <c r="D1" s="187" t="s">
        <v>581</v>
      </c>
    </row>
    <row r="3" spans="1:4" ht="27.75" customHeight="1" x14ac:dyDescent="0.2">
      <c r="A3" s="205" t="s">
        <v>568</v>
      </c>
      <c r="B3" s="207" t="s">
        <v>569</v>
      </c>
      <c r="C3" s="207" t="s">
        <v>570</v>
      </c>
      <c r="D3" s="207" t="s">
        <v>584</v>
      </c>
    </row>
    <row r="4" spans="1:4" ht="31.5" customHeight="1" x14ac:dyDescent="0.2">
      <c r="A4" s="205">
        <v>60</v>
      </c>
      <c r="B4" s="205" t="s">
        <v>572</v>
      </c>
      <c r="C4" s="206">
        <v>3.08</v>
      </c>
      <c r="D4" s="208">
        <v>2.8</v>
      </c>
    </row>
    <row r="5" spans="1:4" ht="31.5" customHeight="1" x14ac:dyDescent="0.2">
      <c r="A5" s="205">
        <v>90</v>
      </c>
      <c r="B5" s="205" t="s">
        <v>573</v>
      </c>
      <c r="C5" s="206">
        <v>2.48</v>
      </c>
    </row>
    <row r="6" spans="1:4" ht="31.5" customHeight="1" x14ac:dyDescent="0.2">
      <c r="A6" s="205">
        <v>120</v>
      </c>
      <c r="B6" s="205" t="s">
        <v>572</v>
      </c>
      <c r="C6" s="206">
        <v>3.08</v>
      </c>
    </row>
    <row r="7" spans="1:4" ht="31.5" customHeight="1" x14ac:dyDescent="0.2">
      <c r="A7" s="205">
        <v>150</v>
      </c>
      <c r="B7" s="205" t="s">
        <v>573</v>
      </c>
      <c r="C7" s="206">
        <v>2.72</v>
      </c>
    </row>
    <row r="8" spans="1:4" ht="31.5" customHeight="1" x14ac:dyDescent="0.2">
      <c r="A8" s="205">
        <v>180</v>
      </c>
      <c r="B8" s="205" t="s">
        <v>574</v>
      </c>
      <c r="C8" s="208">
        <v>2.5</v>
      </c>
    </row>
    <row r="9" spans="1:4" ht="31.5" customHeight="1" x14ac:dyDescent="0.2">
      <c r="A9" s="205">
        <v>210</v>
      </c>
      <c r="B9" s="205" t="s">
        <v>575</v>
      </c>
      <c r="C9" s="208">
        <v>2.9</v>
      </c>
    </row>
    <row r="10" spans="1:4" ht="31.5" customHeight="1" x14ac:dyDescent="0.2">
      <c r="A10" s="205">
        <v>240</v>
      </c>
      <c r="B10" s="205" t="s">
        <v>576</v>
      </c>
      <c r="C10" s="209">
        <v>2.58</v>
      </c>
    </row>
    <row r="11" spans="1:4" ht="31.5" customHeight="1" x14ac:dyDescent="0.2">
      <c r="A11" s="205">
        <v>270</v>
      </c>
      <c r="B11" s="205" t="s">
        <v>577</v>
      </c>
      <c r="C11" s="206">
        <v>2.46</v>
      </c>
    </row>
    <row r="12" spans="1:4" ht="31.5" customHeight="1" x14ac:dyDescent="0.2">
      <c r="A12" s="205">
        <v>300</v>
      </c>
      <c r="B12" s="205" t="s">
        <v>571</v>
      </c>
      <c r="C12" s="206">
        <v>2.67</v>
      </c>
    </row>
    <row r="13" spans="1:4" ht="31.5" customHeight="1" x14ac:dyDescent="0.2">
      <c r="A13" s="205">
        <v>330</v>
      </c>
      <c r="B13" s="205" t="s">
        <v>578</v>
      </c>
      <c r="C13" s="206">
        <v>2.5299999999999998</v>
      </c>
    </row>
    <row r="14" spans="1:4" ht="31.5" customHeight="1" x14ac:dyDescent="0.2">
      <c r="A14" s="205">
        <v>360</v>
      </c>
      <c r="B14" s="205" t="s">
        <v>579</v>
      </c>
      <c r="C14" s="206">
        <v>2.4700000000000002</v>
      </c>
    </row>
    <row r="15" spans="1:4" ht="31.5" customHeight="1" x14ac:dyDescent="0.2">
      <c r="A15" s="205">
        <v>390</v>
      </c>
      <c r="B15" s="205" t="s">
        <v>580</v>
      </c>
      <c r="C15" s="206">
        <v>2.4300000000000002</v>
      </c>
    </row>
    <row r="16" spans="1:4" ht="31.5" customHeight="1" x14ac:dyDescent="0.2">
      <c r="A16" s="205">
        <v>420</v>
      </c>
      <c r="B16" s="205" t="s">
        <v>582</v>
      </c>
      <c r="C16" s="206">
        <v>2.84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4BDFA-0F66-4C6C-B0C8-01613F47086C}">
  <sheetPr>
    <tabColor rgb="FF7030A0"/>
  </sheetPr>
  <dimension ref="A1:M195"/>
  <sheetViews>
    <sheetView topLeftCell="J1" workbookViewId="0">
      <selection activeCell="J14" sqref="J9:J14"/>
    </sheetView>
  </sheetViews>
  <sheetFormatPr defaultRowHeight="14.25" x14ac:dyDescent="0.2"/>
  <cols>
    <col min="1" max="2" width="20.5" customWidth="1"/>
    <col min="3" max="9" width="20.625" customWidth="1"/>
    <col min="10" max="10" width="11.75" customWidth="1"/>
    <col min="11" max="11" width="140" customWidth="1"/>
    <col min="12" max="12" width="176.875" customWidth="1"/>
    <col min="13" max="13" width="52.375" customWidth="1"/>
    <col min="14" max="14" width="10.5" customWidth="1"/>
  </cols>
  <sheetData>
    <row r="1" spans="1:13" ht="28.5" customHeight="1" x14ac:dyDescent="0.2">
      <c r="A1" s="307" t="s">
        <v>664</v>
      </c>
      <c r="B1" s="305" t="s">
        <v>660</v>
      </c>
      <c r="C1" s="21" t="s">
        <v>107</v>
      </c>
      <c r="D1" s="21" t="s">
        <v>557</v>
      </c>
      <c r="E1" s="19" t="s">
        <v>6</v>
      </c>
      <c r="F1" s="126" t="s">
        <v>135</v>
      </c>
      <c r="G1" s="19" t="s">
        <v>77</v>
      </c>
      <c r="H1" s="6" t="s">
        <v>16</v>
      </c>
      <c r="J1" s="234" t="s">
        <v>627</v>
      </c>
      <c r="K1" t="s">
        <v>318</v>
      </c>
      <c r="L1" t="s">
        <v>684</v>
      </c>
      <c r="M1" t="s">
        <v>316</v>
      </c>
    </row>
    <row r="2" spans="1:13" ht="28.5" customHeight="1" x14ac:dyDescent="0.2">
      <c r="A2" s="308"/>
      <c r="B2" s="311"/>
      <c r="C2" s="6" t="s">
        <v>187</v>
      </c>
      <c r="D2" s="6" t="s">
        <v>41</v>
      </c>
      <c r="E2" s="6" t="s">
        <v>70</v>
      </c>
      <c r="F2" s="4" t="s">
        <v>50</v>
      </c>
      <c r="G2" s="4" t="s">
        <v>63</v>
      </c>
      <c r="H2" s="4" t="s">
        <v>66</v>
      </c>
      <c r="J2" s="234" t="s">
        <v>297</v>
      </c>
      <c r="K2" t="s">
        <v>717</v>
      </c>
      <c r="L2" t="s">
        <v>713</v>
      </c>
      <c r="M2" t="s">
        <v>704</v>
      </c>
    </row>
    <row r="3" spans="1:13" ht="28.5" customHeight="1" x14ac:dyDescent="0.2">
      <c r="A3" s="308"/>
      <c r="B3" s="311"/>
      <c r="C3" s="126" t="s">
        <v>653</v>
      </c>
      <c r="D3" s="4" t="s">
        <v>64</v>
      </c>
      <c r="E3" s="9" t="s">
        <v>78</v>
      </c>
      <c r="F3" s="10" t="s">
        <v>54</v>
      </c>
      <c r="G3" s="4" t="s">
        <v>56</v>
      </c>
      <c r="H3" s="6" t="s">
        <v>23</v>
      </c>
      <c r="J3" s="234" t="s">
        <v>75</v>
      </c>
      <c r="K3" t="s">
        <v>26</v>
      </c>
      <c r="L3" t="s">
        <v>715</v>
      </c>
      <c r="M3" t="s">
        <v>694</v>
      </c>
    </row>
    <row r="4" spans="1:13" ht="28.5" customHeight="1" x14ac:dyDescent="0.2">
      <c r="A4" s="308"/>
      <c r="B4" s="306"/>
      <c r="J4" s="234" t="s">
        <v>74</v>
      </c>
      <c r="K4" t="s">
        <v>699</v>
      </c>
      <c r="L4" t="s">
        <v>712</v>
      </c>
      <c r="M4" t="s">
        <v>692</v>
      </c>
    </row>
    <row r="5" spans="1:13" ht="28.5" customHeight="1" x14ac:dyDescent="0.2">
      <c r="A5" s="308"/>
      <c r="B5" s="305" t="s">
        <v>661</v>
      </c>
      <c r="C5" s="22" t="s">
        <v>106</v>
      </c>
      <c r="D5" s="19" t="s">
        <v>183</v>
      </c>
      <c r="E5" s="19" t="s">
        <v>9</v>
      </c>
      <c r="F5" s="19" t="s">
        <v>8</v>
      </c>
      <c r="G5" s="19" t="s">
        <v>14</v>
      </c>
      <c r="H5" s="19" t="s">
        <v>75</v>
      </c>
      <c r="J5" s="234" t="s">
        <v>299</v>
      </c>
      <c r="K5" t="s">
        <v>718</v>
      </c>
      <c r="L5" t="s">
        <v>698</v>
      </c>
      <c r="M5" t="s">
        <v>693</v>
      </c>
    </row>
    <row r="6" spans="1:13" ht="28.5" customHeight="1" x14ac:dyDescent="0.2">
      <c r="A6" s="308"/>
      <c r="B6" s="311"/>
      <c r="C6" s="6" t="s">
        <v>24</v>
      </c>
      <c r="D6" s="6" t="s">
        <v>417</v>
      </c>
      <c r="E6" s="6" t="s">
        <v>18</v>
      </c>
      <c r="F6" s="4" t="s">
        <v>49</v>
      </c>
      <c r="G6" s="4" t="s">
        <v>60</v>
      </c>
      <c r="H6" s="9" t="s">
        <v>88</v>
      </c>
      <c r="J6" s="234" t="s">
        <v>298</v>
      </c>
      <c r="K6" t="s">
        <v>719</v>
      </c>
      <c r="L6" t="s">
        <v>722</v>
      </c>
      <c r="M6" t="s">
        <v>705</v>
      </c>
    </row>
    <row r="7" spans="1:13" ht="28.5" customHeight="1" x14ac:dyDescent="0.2">
      <c r="A7" s="308"/>
      <c r="B7" s="306"/>
      <c r="C7" s="4" t="s">
        <v>69</v>
      </c>
      <c r="D7" s="9" t="s">
        <v>86</v>
      </c>
      <c r="E7" s="6" t="s">
        <v>43</v>
      </c>
      <c r="F7" s="9" t="s">
        <v>85</v>
      </c>
      <c r="J7" s="234" t="s">
        <v>70</v>
      </c>
      <c r="K7" t="s">
        <v>708</v>
      </c>
      <c r="L7" t="s">
        <v>716</v>
      </c>
      <c r="M7" t="s">
        <v>691</v>
      </c>
    </row>
    <row r="8" spans="1:13" ht="28.5" customHeight="1" x14ac:dyDescent="0.2">
      <c r="A8" s="308"/>
      <c r="B8" s="310" t="s">
        <v>662</v>
      </c>
      <c r="C8" s="21" t="s">
        <v>255</v>
      </c>
      <c r="D8" s="19" t="s">
        <v>12</v>
      </c>
      <c r="E8" s="19" t="s">
        <v>10</v>
      </c>
      <c r="F8" s="21" t="s">
        <v>105</v>
      </c>
      <c r="G8" s="19" t="s">
        <v>76</v>
      </c>
      <c r="H8" s="6" t="s">
        <v>17</v>
      </c>
      <c r="J8" s="234" t="s">
        <v>311</v>
      </c>
      <c r="K8" t="s">
        <v>700</v>
      </c>
      <c r="L8" t="s">
        <v>686</v>
      </c>
      <c r="M8" t="s">
        <v>695</v>
      </c>
    </row>
    <row r="9" spans="1:13" ht="28.5" customHeight="1" x14ac:dyDescent="0.2">
      <c r="A9" s="308"/>
      <c r="B9" s="310"/>
      <c r="C9" s="6" t="s">
        <v>32</v>
      </c>
      <c r="D9" s="6" t="s">
        <v>27</v>
      </c>
      <c r="E9" s="6" t="s">
        <v>31</v>
      </c>
      <c r="F9" s="6" t="s">
        <v>35</v>
      </c>
      <c r="G9" s="6" t="s">
        <v>34</v>
      </c>
      <c r="H9" s="6" t="s">
        <v>40</v>
      </c>
      <c r="J9" s="234" t="s">
        <v>300</v>
      </c>
      <c r="K9" t="s">
        <v>710</v>
      </c>
      <c r="L9" t="s">
        <v>687</v>
      </c>
      <c r="M9" t="s">
        <v>689</v>
      </c>
    </row>
    <row r="10" spans="1:13" ht="28.5" customHeight="1" x14ac:dyDescent="0.2">
      <c r="A10" s="308"/>
      <c r="B10" s="310"/>
      <c r="C10" s="6" t="s">
        <v>38</v>
      </c>
      <c r="D10" s="6" t="s">
        <v>25</v>
      </c>
      <c r="E10" s="6" t="s">
        <v>72</v>
      </c>
      <c r="F10" s="6" t="s">
        <v>256</v>
      </c>
      <c r="G10" s="6" t="s">
        <v>44</v>
      </c>
      <c r="H10" s="4" t="s">
        <v>68</v>
      </c>
      <c r="J10" s="234" t="s">
        <v>619</v>
      </c>
      <c r="K10" t="s">
        <v>701</v>
      </c>
      <c r="L10" t="s">
        <v>714</v>
      </c>
      <c r="M10" t="s">
        <v>706</v>
      </c>
    </row>
    <row r="11" spans="1:13" ht="28.5" customHeight="1" x14ac:dyDescent="0.2">
      <c r="A11" s="308"/>
      <c r="B11" s="310"/>
      <c r="C11" s="6" t="s">
        <v>19</v>
      </c>
      <c r="D11" s="6" t="s">
        <v>39</v>
      </c>
      <c r="E11" s="4" t="s">
        <v>45</v>
      </c>
      <c r="F11" s="4" t="s">
        <v>51</v>
      </c>
      <c r="G11" s="4" t="s">
        <v>55</v>
      </c>
      <c r="H11" s="4" t="s">
        <v>65</v>
      </c>
      <c r="J11" s="234" t="s">
        <v>335</v>
      </c>
      <c r="K11" t="s">
        <v>709</v>
      </c>
      <c r="L11" t="s">
        <v>711</v>
      </c>
      <c r="M11" t="s">
        <v>690</v>
      </c>
    </row>
    <row r="12" spans="1:13" ht="28.5" customHeight="1" x14ac:dyDescent="0.2">
      <c r="A12" s="308"/>
      <c r="B12" s="310"/>
      <c r="C12" s="4" t="s">
        <v>52</v>
      </c>
      <c r="D12" s="4" t="s">
        <v>53</v>
      </c>
      <c r="E12" s="4" t="s">
        <v>61</v>
      </c>
      <c r="F12" s="4" t="s">
        <v>58</v>
      </c>
      <c r="G12" s="4" t="s">
        <v>59</v>
      </c>
      <c r="H12" s="9" t="s">
        <v>82</v>
      </c>
      <c r="J12" s="234" t="s">
        <v>76</v>
      </c>
      <c r="K12" t="s">
        <v>6</v>
      </c>
      <c r="L12" t="s">
        <v>805</v>
      </c>
      <c r="M12" t="s">
        <v>703</v>
      </c>
    </row>
    <row r="13" spans="1:13" ht="28.5" customHeight="1" x14ac:dyDescent="0.2">
      <c r="A13" s="308"/>
      <c r="B13" s="310"/>
      <c r="C13" s="9" t="s">
        <v>83</v>
      </c>
      <c r="D13" s="9" t="s">
        <v>84</v>
      </c>
      <c r="E13" s="9" t="s">
        <v>138</v>
      </c>
      <c r="J13" s="7" t="s">
        <v>618</v>
      </c>
      <c r="M13" t="s">
        <v>696</v>
      </c>
    </row>
    <row r="14" spans="1:13" ht="28.5" customHeight="1" x14ac:dyDescent="0.2">
      <c r="A14" s="308"/>
      <c r="B14" s="310" t="s">
        <v>663</v>
      </c>
      <c r="C14" s="19" t="s">
        <v>15</v>
      </c>
      <c r="D14" s="19" t="s">
        <v>104</v>
      </c>
      <c r="E14" s="6" t="s">
        <v>26</v>
      </c>
      <c r="F14" s="6" t="s">
        <v>108</v>
      </c>
      <c r="G14" s="6" t="s">
        <v>36</v>
      </c>
      <c r="H14" s="6" t="s">
        <v>37</v>
      </c>
      <c r="J14" s="234" t="s">
        <v>301</v>
      </c>
      <c r="K14" t="s">
        <v>702</v>
      </c>
      <c r="L14" t="s">
        <v>721</v>
      </c>
      <c r="M14" t="s">
        <v>697</v>
      </c>
    </row>
    <row r="15" spans="1:13" ht="28.5" customHeight="1" x14ac:dyDescent="0.2">
      <c r="A15" s="308"/>
      <c r="B15" s="310"/>
      <c r="C15" s="6" t="s">
        <v>20</v>
      </c>
      <c r="D15" s="4" t="s">
        <v>47</v>
      </c>
      <c r="E15" s="4" t="s">
        <v>48</v>
      </c>
      <c r="F15" s="4" t="s">
        <v>57</v>
      </c>
      <c r="G15" s="4" t="s">
        <v>62</v>
      </c>
      <c r="H15" s="9" t="s">
        <v>81</v>
      </c>
      <c r="J15" s="234" t="s">
        <v>649</v>
      </c>
      <c r="K15" t="s">
        <v>688</v>
      </c>
      <c r="L15" t="s">
        <v>720</v>
      </c>
      <c r="M15" t="s">
        <v>707</v>
      </c>
    </row>
    <row r="16" spans="1:13" ht="28.5" customHeight="1" x14ac:dyDescent="0.2">
      <c r="A16" s="308"/>
      <c r="B16" s="310"/>
      <c r="C16" s="128" t="s">
        <v>42</v>
      </c>
      <c r="D16" s="6" t="s">
        <v>28</v>
      </c>
      <c r="E16" s="9" t="s">
        <v>79</v>
      </c>
      <c r="F16" s="9" t="s">
        <v>87</v>
      </c>
      <c r="G16" s="6" t="s">
        <v>71</v>
      </c>
      <c r="H16" s="9" t="s">
        <v>80</v>
      </c>
    </row>
    <row r="17" spans="1:8" ht="28.5" customHeight="1" x14ac:dyDescent="0.2">
      <c r="A17" s="308"/>
      <c r="B17" s="305" t="s">
        <v>665</v>
      </c>
      <c r="C17" s="21" t="s">
        <v>137</v>
      </c>
      <c r="D17" s="22" t="s">
        <v>152</v>
      </c>
      <c r="E17" s="22" t="s">
        <v>151</v>
      </c>
      <c r="F17" s="19" t="s">
        <v>600</v>
      </c>
      <c r="G17" s="19" t="s">
        <v>11</v>
      </c>
      <c r="H17" s="19" t="s">
        <v>74</v>
      </c>
    </row>
    <row r="18" spans="1:8" ht="28.5" customHeight="1" x14ac:dyDescent="0.2">
      <c r="A18" s="309"/>
      <c r="B18" s="306"/>
      <c r="C18" s="6" t="s">
        <v>30</v>
      </c>
      <c r="D18" s="6" t="s">
        <v>73</v>
      </c>
      <c r="E18" s="4" t="s">
        <v>46</v>
      </c>
      <c r="F18" s="4" t="s">
        <v>67</v>
      </c>
      <c r="G18" s="6" t="s">
        <v>33</v>
      </c>
      <c r="H18" s="128" t="s">
        <v>651</v>
      </c>
    </row>
    <row r="19" spans="1:8" ht="28.5" customHeight="1" x14ac:dyDescent="0.2"/>
    <row r="21" spans="1:8" ht="20.25" customHeight="1" x14ac:dyDescent="0.2"/>
    <row r="22" spans="1:8" ht="20.25" customHeight="1" x14ac:dyDescent="0.2">
      <c r="A22" s="234" t="s">
        <v>604</v>
      </c>
      <c r="B22" s="235" t="s">
        <v>609</v>
      </c>
      <c r="C22" t="s">
        <v>678</v>
      </c>
    </row>
    <row r="23" spans="1:8" ht="20.25" customHeight="1" x14ac:dyDescent="0.2">
      <c r="A23" s="234" t="s">
        <v>605</v>
      </c>
      <c r="B23" s="235" t="s">
        <v>612</v>
      </c>
    </row>
    <row r="24" spans="1:8" ht="20.25" customHeight="1" x14ac:dyDescent="0.2">
      <c r="A24" s="234" t="s">
        <v>606</v>
      </c>
      <c r="B24" s="235" t="s">
        <v>613</v>
      </c>
    </row>
    <row r="25" spans="1:8" ht="20.25" customHeight="1" x14ac:dyDescent="0.2">
      <c r="A25" s="234" t="s">
        <v>675</v>
      </c>
      <c r="B25" s="235" t="s">
        <v>614</v>
      </c>
    </row>
    <row r="26" spans="1:8" ht="20.25" customHeight="1" x14ac:dyDescent="0.2">
      <c r="A26" s="234" t="s">
        <v>608</v>
      </c>
      <c r="B26" s="235" t="s">
        <v>617</v>
      </c>
    </row>
    <row r="27" spans="1:8" ht="20.25" customHeight="1" x14ac:dyDescent="0.2">
      <c r="A27" s="234" t="s">
        <v>645</v>
      </c>
      <c r="B27" s="235" t="s">
        <v>618</v>
      </c>
    </row>
    <row r="28" spans="1:8" ht="20.25" customHeight="1" x14ac:dyDescent="0.2">
      <c r="A28" s="234" t="s">
        <v>301</v>
      </c>
      <c r="B28" s="235" t="s">
        <v>620</v>
      </c>
    </row>
    <row r="29" spans="1:8" ht="20.25" customHeight="1" x14ac:dyDescent="0.2">
      <c r="A29" s="234" t="s">
        <v>681</v>
      </c>
      <c r="B29" s="235" t="s">
        <v>621</v>
      </c>
    </row>
    <row r="30" spans="1:8" ht="20.25" customHeight="1" x14ac:dyDescent="0.2">
      <c r="A30" s="234" t="s">
        <v>624</v>
      </c>
      <c r="B30" s="235" t="s">
        <v>631</v>
      </c>
    </row>
    <row r="31" spans="1:8" ht="20.25" customHeight="1" x14ac:dyDescent="0.2">
      <c r="A31" s="234" t="s">
        <v>619</v>
      </c>
      <c r="B31" s="235" t="s">
        <v>632</v>
      </c>
    </row>
    <row r="32" spans="1:8" ht="20.25" customHeight="1" x14ac:dyDescent="0.2">
      <c r="A32" s="234" t="s">
        <v>625</v>
      </c>
      <c r="B32" s="235" t="s">
        <v>626</v>
      </c>
    </row>
    <row r="33" spans="1:2" ht="20.25" customHeight="1" x14ac:dyDescent="0.2">
      <c r="A33" s="234" t="s">
        <v>299</v>
      </c>
      <c r="B33" s="235" t="s">
        <v>611</v>
      </c>
    </row>
    <row r="34" spans="1:2" ht="20.25" customHeight="1" x14ac:dyDescent="0.2">
      <c r="A34" s="234" t="s">
        <v>18</v>
      </c>
      <c r="B34" s="235" t="s">
        <v>633</v>
      </c>
    </row>
    <row r="35" spans="1:2" ht="20.25" customHeight="1" x14ac:dyDescent="0.2">
      <c r="A35" s="234" t="s">
        <v>677</v>
      </c>
      <c r="B35" s="235" t="s">
        <v>622</v>
      </c>
    </row>
    <row r="36" spans="1:2" ht="20.25" customHeight="1" x14ac:dyDescent="0.2">
      <c r="A36" s="234" t="s">
        <v>623</v>
      </c>
      <c r="B36" s="235" t="s">
        <v>610</v>
      </c>
    </row>
    <row r="37" spans="1:2" ht="20.25" customHeight="1" x14ac:dyDescent="0.2">
      <c r="A37" s="234" t="s">
        <v>649</v>
      </c>
      <c r="B37" s="235" t="s">
        <v>676</v>
      </c>
    </row>
    <row r="38" spans="1:2" ht="20.25" customHeight="1" x14ac:dyDescent="0.2">
      <c r="A38" s="234" t="s">
        <v>297</v>
      </c>
      <c r="B38" s="235" t="s">
        <v>300</v>
      </c>
    </row>
    <row r="39" spans="1:2" ht="20.25" customHeight="1" x14ac:dyDescent="0.2">
      <c r="A39" s="234" t="s">
        <v>615</v>
      </c>
      <c r="B39" s="235" t="s">
        <v>679</v>
      </c>
    </row>
    <row r="40" spans="1:2" ht="20.25" customHeight="1" x14ac:dyDescent="0.2">
      <c r="A40" s="234" t="s">
        <v>616</v>
      </c>
    </row>
    <row r="41" spans="1:2" ht="20.25" customHeight="1" x14ac:dyDescent="0.2">
      <c r="A41" s="234" t="s">
        <v>737</v>
      </c>
    </row>
    <row r="42" spans="1:2" ht="20.25" customHeight="1" x14ac:dyDescent="0.2"/>
    <row r="43" spans="1:2" ht="20.25" customHeight="1" x14ac:dyDescent="0.2"/>
    <row r="44" spans="1:2" ht="20.25" customHeight="1" x14ac:dyDescent="0.2"/>
    <row r="45" spans="1:2" ht="20.25" customHeight="1" x14ac:dyDescent="0.2"/>
    <row r="46" spans="1:2" ht="20.25" customHeight="1" x14ac:dyDescent="0.2"/>
    <row r="47" spans="1:2" ht="20.25" customHeight="1" x14ac:dyDescent="0.2"/>
    <row r="48" spans="1:2" ht="20.25" customHeight="1" x14ac:dyDescent="0.2"/>
    <row r="49" ht="20.25" customHeight="1" x14ac:dyDescent="0.2"/>
    <row r="50" ht="20.25" customHeight="1" x14ac:dyDescent="0.2"/>
    <row r="51" ht="20.25" customHeight="1" x14ac:dyDescent="0.2"/>
    <row r="52" ht="20.25" customHeight="1" x14ac:dyDescent="0.2"/>
    <row r="53" ht="20.25" customHeight="1" x14ac:dyDescent="0.2"/>
    <row r="54" ht="20.25" customHeight="1" x14ac:dyDescent="0.2"/>
    <row r="55" ht="20.25" customHeight="1" x14ac:dyDescent="0.2"/>
    <row r="56" ht="20.25" customHeight="1" x14ac:dyDescent="0.2"/>
    <row r="57" ht="20.25" customHeight="1" x14ac:dyDescent="0.2"/>
    <row r="58" ht="20.25" customHeight="1" x14ac:dyDescent="0.2"/>
    <row r="59" ht="20.25" customHeight="1" x14ac:dyDescent="0.2"/>
    <row r="60" ht="20.25" customHeight="1" x14ac:dyDescent="0.2"/>
    <row r="61" ht="20.25" customHeight="1" x14ac:dyDescent="0.2"/>
    <row r="62" ht="20.25" customHeight="1" x14ac:dyDescent="0.2"/>
    <row r="63" ht="20.25" customHeight="1" x14ac:dyDescent="0.2"/>
    <row r="64" ht="20.25" customHeight="1" x14ac:dyDescent="0.2"/>
    <row r="65" ht="20.25" customHeight="1" x14ac:dyDescent="0.2"/>
    <row r="66" ht="20.25" customHeight="1" x14ac:dyDescent="0.2"/>
    <row r="67" ht="20.25" customHeight="1" x14ac:dyDescent="0.2"/>
    <row r="68" ht="20.25" customHeight="1" x14ac:dyDescent="0.2"/>
    <row r="69" ht="20.25" customHeight="1" x14ac:dyDescent="0.2"/>
    <row r="70" ht="20.25" customHeight="1" x14ac:dyDescent="0.2"/>
    <row r="71" ht="20.25" customHeight="1" x14ac:dyDescent="0.2"/>
    <row r="72" ht="20.25" customHeight="1" x14ac:dyDescent="0.2"/>
    <row r="73" ht="20.25" customHeight="1" x14ac:dyDescent="0.2"/>
    <row r="74" ht="20.25" customHeight="1" x14ac:dyDescent="0.2"/>
    <row r="75" ht="20.25" customHeight="1" x14ac:dyDescent="0.2"/>
    <row r="76" ht="20.25" customHeight="1" x14ac:dyDescent="0.2"/>
    <row r="77" ht="20.25" customHeight="1" x14ac:dyDescent="0.2"/>
    <row r="78" ht="20.25" customHeight="1" x14ac:dyDescent="0.2"/>
    <row r="79" ht="20.25" customHeight="1" x14ac:dyDescent="0.2"/>
    <row r="80" ht="20.25" customHeight="1" x14ac:dyDescent="0.2"/>
    <row r="81" ht="20.25" customHeight="1" x14ac:dyDescent="0.2"/>
    <row r="82" ht="20.25" customHeight="1" x14ac:dyDescent="0.2"/>
    <row r="83" ht="20.25" customHeight="1" x14ac:dyDescent="0.2"/>
    <row r="84" ht="20.25" customHeight="1" x14ac:dyDescent="0.2"/>
    <row r="85" ht="20.25" customHeight="1" x14ac:dyDescent="0.2"/>
    <row r="86" ht="20.25" customHeight="1" x14ac:dyDescent="0.2"/>
    <row r="87" ht="20.25" customHeight="1" x14ac:dyDescent="0.2"/>
    <row r="88" ht="20.25" customHeight="1" x14ac:dyDescent="0.2"/>
    <row r="89" ht="20.25" customHeight="1" x14ac:dyDescent="0.2"/>
    <row r="90" ht="20.25" customHeight="1" x14ac:dyDescent="0.2"/>
    <row r="91" ht="20.25" customHeight="1" x14ac:dyDescent="0.2"/>
    <row r="92" ht="20.25" customHeight="1" x14ac:dyDescent="0.2"/>
    <row r="93" ht="20.25" customHeight="1" x14ac:dyDescent="0.2"/>
    <row r="94" ht="20.25" customHeight="1" x14ac:dyDescent="0.2"/>
    <row r="95" ht="20.25" customHeight="1" x14ac:dyDescent="0.2"/>
    <row r="96" ht="20.25" customHeight="1" x14ac:dyDescent="0.2"/>
    <row r="97" ht="20.25" customHeight="1" x14ac:dyDescent="0.2"/>
    <row r="98" ht="20.25" customHeight="1" x14ac:dyDescent="0.2"/>
    <row r="99" ht="20.25" customHeight="1" x14ac:dyDescent="0.2"/>
    <row r="100" ht="20.25" customHeight="1" x14ac:dyDescent="0.2"/>
    <row r="101" ht="20.25" customHeight="1" x14ac:dyDescent="0.2"/>
    <row r="102" ht="20.25" customHeight="1" x14ac:dyDescent="0.2"/>
    <row r="103" ht="20.25" customHeight="1" x14ac:dyDescent="0.2"/>
    <row r="104" ht="20.25" customHeight="1" x14ac:dyDescent="0.2"/>
    <row r="105" ht="20.25" customHeight="1" x14ac:dyDescent="0.2"/>
    <row r="106" ht="20.25" customHeight="1" x14ac:dyDescent="0.2"/>
    <row r="107" ht="20.25" customHeight="1" x14ac:dyDescent="0.2"/>
    <row r="108" ht="20.25" customHeight="1" x14ac:dyDescent="0.2"/>
    <row r="109" ht="20.25" customHeight="1" x14ac:dyDescent="0.2"/>
    <row r="110" ht="20.25" customHeight="1" x14ac:dyDescent="0.2"/>
    <row r="111" ht="20.25" customHeight="1" x14ac:dyDescent="0.2"/>
    <row r="112" ht="20.25" customHeight="1" x14ac:dyDescent="0.2"/>
    <row r="113" ht="20.25" customHeight="1" x14ac:dyDescent="0.2"/>
    <row r="114" ht="20.25" customHeight="1" x14ac:dyDescent="0.2"/>
    <row r="115" ht="20.25" customHeight="1" x14ac:dyDescent="0.2"/>
    <row r="116" ht="20.25" customHeight="1" x14ac:dyDescent="0.2"/>
    <row r="117" ht="20.25" customHeight="1" x14ac:dyDescent="0.2"/>
    <row r="118" ht="20.25" customHeight="1" x14ac:dyDescent="0.2"/>
    <row r="119" ht="20.25" customHeight="1" x14ac:dyDescent="0.2"/>
    <row r="120" ht="20.25" customHeight="1" x14ac:dyDescent="0.2"/>
    <row r="121" ht="20.25" customHeight="1" x14ac:dyDescent="0.2"/>
    <row r="122" ht="20.25" customHeight="1" x14ac:dyDescent="0.2"/>
    <row r="123" ht="20.25" customHeight="1" x14ac:dyDescent="0.2"/>
    <row r="124" ht="20.25" customHeight="1" x14ac:dyDescent="0.2"/>
    <row r="125" ht="20.25" customHeight="1" x14ac:dyDescent="0.2"/>
    <row r="126" ht="20.25" customHeight="1" x14ac:dyDescent="0.2"/>
    <row r="127" ht="20.25" customHeight="1" x14ac:dyDescent="0.2"/>
    <row r="128" ht="20.25" customHeight="1" x14ac:dyDescent="0.2"/>
    <row r="129" ht="20.25" customHeight="1" x14ac:dyDescent="0.2"/>
    <row r="130" ht="20.25" customHeight="1" x14ac:dyDescent="0.2"/>
    <row r="131" ht="20.25" customHeight="1" x14ac:dyDescent="0.2"/>
    <row r="132" ht="20.25" customHeight="1" x14ac:dyDescent="0.2"/>
    <row r="133" ht="20.25" customHeight="1" x14ac:dyDescent="0.2"/>
    <row r="134" ht="20.25" customHeight="1" x14ac:dyDescent="0.2"/>
    <row r="135" ht="20.25" customHeight="1" x14ac:dyDescent="0.2"/>
    <row r="136" ht="20.25" customHeight="1" x14ac:dyDescent="0.2"/>
    <row r="137" ht="20.25" customHeight="1" x14ac:dyDescent="0.2"/>
    <row r="138" ht="20.25" customHeight="1" x14ac:dyDescent="0.2"/>
    <row r="139" ht="20.25" customHeight="1" x14ac:dyDescent="0.2"/>
    <row r="140" ht="20.25" customHeight="1" x14ac:dyDescent="0.2"/>
    <row r="141" ht="20.25" customHeight="1" x14ac:dyDescent="0.2"/>
    <row r="142" ht="20.25" customHeight="1" x14ac:dyDescent="0.2"/>
    <row r="143" ht="20.25" customHeight="1" x14ac:dyDescent="0.2"/>
    <row r="144" ht="20.25" customHeight="1" x14ac:dyDescent="0.2"/>
    <row r="145" ht="20.25" customHeight="1" x14ac:dyDescent="0.2"/>
    <row r="146" ht="20.25" customHeight="1" x14ac:dyDescent="0.2"/>
    <row r="147" ht="20.25" customHeight="1" x14ac:dyDescent="0.2"/>
    <row r="148" ht="20.25" customHeight="1" x14ac:dyDescent="0.2"/>
    <row r="149" ht="20.25" customHeight="1" x14ac:dyDescent="0.2"/>
    <row r="150" ht="20.25" customHeight="1" x14ac:dyDescent="0.2"/>
    <row r="151" ht="20.25" customHeight="1" x14ac:dyDescent="0.2"/>
    <row r="152" ht="20.25" customHeight="1" x14ac:dyDescent="0.2"/>
    <row r="153" ht="20.25" customHeight="1" x14ac:dyDescent="0.2"/>
    <row r="154" ht="20.25" customHeight="1" x14ac:dyDescent="0.2"/>
    <row r="155" ht="20.25" customHeight="1" x14ac:dyDescent="0.2"/>
    <row r="156" ht="20.25" customHeight="1" x14ac:dyDescent="0.2"/>
    <row r="157" ht="20.25" customHeight="1" x14ac:dyDescent="0.2"/>
    <row r="158" ht="20.25" customHeight="1" x14ac:dyDescent="0.2"/>
    <row r="159" ht="20.25" customHeight="1" x14ac:dyDescent="0.2"/>
    <row r="160" ht="20.25" customHeight="1" x14ac:dyDescent="0.2"/>
    <row r="161" ht="20.25" customHeight="1" x14ac:dyDescent="0.2"/>
    <row r="162" ht="20.25" customHeight="1" x14ac:dyDescent="0.2"/>
    <row r="163" ht="20.25" customHeight="1" x14ac:dyDescent="0.2"/>
    <row r="164" ht="20.25" customHeight="1" x14ac:dyDescent="0.2"/>
    <row r="165" ht="20.25" customHeight="1" x14ac:dyDescent="0.2"/>
    <row r="166" ht="20.25" customHeight="1" x14ac:dyDescent="0.2"/>
    <row r="167" ht="20.25" customHeight="1" x14ac:dyDescent="0.2"/>
    <row r="168" ht="20.25" customHeight="1" x14ac:dyDescent="0.2"/>
    <row r="169" ht="20.25" customHeight="1" x14ac:dyDescent="0.2"/>
    <row r="170" ht="20.25" customHeight="1" x14ac:dyDescent="0.2"/>
    <row r="171" ht="20.25" customHeight="1" x14ac:dyDescent="0.2"/>
    <row r="172" ht="20.25" customHeight="1" x14ac:dyDescent="0.2"/>
    <row r="173" ht="20.25" customHeight="1" x14ac:dyDescent="0.2"/>
    <row r="174" ht="20.25" customHeight="1" x14ac:dyDescent="0.2"/>
    <row r="175" ht="20.25" customHeight="1" x14ac:dyDescent="0.2"/>
    <row r="176" ht="20.25" customHeight="1" x14ac:dyDescent="0.2"/>
    <row r="177" ht="20.25" customHeight="1" x14ac:dyDescent="0.2"/>
    <row r="178" ht="20.25" customHeight="1" x14ac:dyDescent="0.2"/>
    <row r="179" ht="20.25" customHeight="1" x14ac:dyDescent="0.2"/>
    <row r="180" ht="20.25" customHeight="1" x14ac:dyDescent="0.2"/>
    <row r="181" ht="20.25" customHeight="1" x14ac:dyDescent="0.2"/>
    <row r="182" ht="20.25" customHeight="1" x14ac:dyDescent="0.2"/>
    <row r="183" ht="20.25" customHeight="1" x14ac:dyDescent="0.2"/>
    <row r="184" ht="20.25" customHeight="1" x14ac:dyDescent="0.2"/>
    <row r="185" ht="20.25" customHeight="1" x14ac:dyDescent="0.2"/>
    <row r="186" ht="20.25" customHeight="1" x14ac:dyDescent="0.2"/>
    <row r="187" ht="20.25" customHeight="1" x14ac:dyDescent="0.2"/>
    <row r="188" ht="20.25" customHeight="1" x14ac:dyDescent="0.2"/>
    <row r="189" ht="20.25" customHeight="1" x14ac:dyDescent="0.2"/>
    <row r="190" ht="20.25" customHeight="1" x14ac:dyDescent="0.2"/>
    <row r="191" ht="20.25" customHeight="1" x14ac:dyDescent="0.2"/>
    <row r="192" ht="20.25" customHeight="1" x14ac:dyDescent="0.2"/>
    <row r="193" ht="20.25" customHeight="1" x14ac:dyDescent="0.2"/>
    <row r="194" ht="20.25" customHeight="1" x14ac:dyDescent="0.2"/>
    <row r="195" ht="20.25" customHeight="1" x14ac:dyDescent="0.2"/>
  </sheetData>
  <mergeCells count="6">
    <mergeCell ref="B17:B18"/>
    <mergeCell ref="A1:A18"/>
    <mergeCell ref="B8:B13"/>
    <mergeCell ref="B14:B16"/>
    <mergeCell ref="B1:B4"/>
    <mergeCell ref="B5:B7"/>
  </mergeCells>
  <phoneticPr fontId="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D778-880D-4416-A10E-5769399CACB4}">
  <sheetPr>
    <tabColor rgb="FF00B050"/>
  </sheetPr>
  <dimension ref="A1:F33"/>
  <sheetViews>
    <sheetView workbookViewId="0">
      <selection activeCell="A4" sqref="A4"/>
    </sheetView>
  </sheetViews>
  <sheetFormatPr defaultRowHeight="14.25" x14ac:dyDescent="0.2"/>
  <cols>
    <col min="1" max="1" width="9.75" customWidth="1"/>
    <col min="2" max="2" width="8" customWidth="1"/>
    <col min="3" max="3" width="9.75" customWidth="1"/>
    <col min="4" max="4" width="8.25" customWidth="1"/>
    <col min="5" max="5" width="9.75" customWidth="1"/>
    <col min="6" max="6" width="8" customWidth="1"/>
  </cols>
  <sheetData>
    <row r="1" spans="1:6" ht="33.75" customHeight="1" x14ac:dyDescent="0.2">
      <c r="A1" s="312" t="s">
        <v>727</v>
      </c>
      <c r="B1" s="312"/>
      <c r="C1" s="312"/>
      <c r="D1" s="312"/>
      <c r="E1" s="312"/>
      <c r="F1" s="312"/>
    </row>
    <row r="2" spans="1:6" ht="22.5" customHeight="1" x14ac:dyDescent="0.2">
      <c r="A2" s="2" t="s">
        <v>728</v>
      </c>
      <c r="B2" s="2" t="s">
        <v>284</v>
      </c>
      <c r="C2" s="2" t="s">
        <v>729</v>
      </c>
      <c r="D2" s="2" t="s">
        <v>284</v>
      </c>
      <c r="E2" s="2" t="s">
        <v>730</v>
      </c>
      <c r="F2" s="2" t="s">
        <v>284</v>
      </c>
    </row>
    <row r="3" spans="1:6" ht="22.5" customHeight="1" x14ac:dyDescent="0.2">
      <c r="A3" s="2" t="s">
        <v>731</v>
      </c>
      <c r="B3" s="2" t="s">
        <v>734</v>
      </c>
      <c r="C3" s="2" t="s">
        <v>723</v>
      </c>
      <c r="D3" s="2"/>
      <c r="E3" s="2" t="s">
        <v>725</v>
      </c>
      <c r="F3" s="2"/>
    </row>
    <row r="4" spans="1:6" ht="22.5" customHeight="1" x14ac:dyDescent="0.2">
      <c r="A4" s="2"/>
      <c r="B4" s="2"/>
      <c r="C4" s="2" t="s">
        <v>733</v>
      </c>
      <c r="D4" s="2"/>
      <c r="E4" s="2" t="s">
        <v>726</v>
      </c>
      <c r="F4" s="2"/>
    </row>
    <row r="5" spans="1:6" ht="22.5" customHeight="1" x14ac:dyDescent="0.2">
      <c r="A5" s="2"/>
      <c r="B5" s="2"/>
      <c r="C5" s="2"/>
      <c r="D5" s="2"/>
      <c r="E5" s="2" t="s">
        <v>724</v>
      </c>
      <c r="F5" s="2"/>
    </row>
    <row r="6" spans="1:6" ht="22.5" customHeight="1" x14ac:dyDescent="0.2">
      <c r="A6" s="2"/>
      <c r="B6" s="2"/>
      <c r="C6" s="2"/>
      <c r="D6" s="2"/>
      <c r="E6" s="2" t="s">
        <v>732</v>
      </c>
      <c r="F6" s="2"/>
    </row>
    <row r="7" spans="1:6" ht="22.5" customHeight="1" x14ac:dyDescent="0.2">
      <c r="A7" s="2"/>
      <c r="B7" s="2"/>
      <c r="C7" s="2"/>
      <c r="D7" s="2"/>
      <c r="E7" s="2"/>
      <c r="F7" s="2"/>
    </row>
    <row r="8" spans="1:6" ht="22.5" customHeight="1" x14ac:dyDescent="0.2">
      <c r="A8" s="2"/>
      <c r="B8" s="2"/>
      <c r="C8" s="2"/>
      <c r="D8" s="2"/>
      <c r="E8" s="2"/>
      <c r="F8" s="2"/>
    </row>
    <row r="9" spans="1:6" ht="22.5" customHeight="1" x14ac:dyDescent="0.2">
      <c r="A9" s="2"/>
      <c r="B9" s="2"/>
      <c r="C9" s="2"/>
      <c r="D9" s="2"/>
      <c r="E9" s="2"/>
      <c r="F9" s="2"/>
    </row>
    <row r="10" spans="1:6" ht="22.5" customHeight="1" x14ac:dyDescent="0.2">
      <c r="A10" s="2"/>
      <c r="B10" s="2"/>
      <c r="C10" s="2"/>
      <c r="D10" s="2"/>
      <c r="E10" s="2"/>
      <c r="F10" s="2"/>
    </row>
    <row r="11" spans="1:6" ht="22.5" customHeight="1" x14ac:dyDescent="0.2">
      <c r="A11" s="2"/>
      <c r="B11" s="2"/>
      <c r="C11" s="2"/>
      <c r="D11" s="2"/>
      <c r="E11" s="2"/>
      <c r="F11" s="2"/>
    </row>
    <row r="12" spans="1:6" ht="22.5" customHeight="1" x14ac:dyDescent="0.2">
      <c r="A12" s="2"/>
      <c r="B12" s="2"/>
      <c r="C12" s="2"/>
      <c r="D12" s="2"/>
      <c r="E12" s="2"/>
      <c r="F12" s="2"/>
    </row>
    <row r="13" spans="1:6" ht="22.5" customHeight="1" x14ac:dyDescent="0.2">
      <c r="A13" s="2"/>
      <c r="B13" s="2"/>
      <c r="C13" s="2"/>
      <c r="D13" s="2"/>
      <c r="E13" s="2"/>
      <c r="F13" s="2"/>
    </row>
    <row r="14" spans="1:6" ht="22.5" customHeight="1" x14ac:dyDescent="0.2">
      <c r="A14" s="2"/>
      <c r="B14" s="2"/>
      <c r="C14" s="2"/>
      <c r="D14" s="2"/>
      <c r="E14" s="2"/>
      <c r="F14" s="2"/>
    </row>
    <row r="15" spans="1:6" ht="22.5" customHeight="1" x14ac:dyDescent="0.2">
      <c r="A15" s="2"/>
      <c r="B15" s="2"/>
      <c r="C15" s="2"/>
      <c r="D15" s="2"/>
      <c r="E15" s="2"/>
      <c r="F15" s="2"/>
    </row>
    <row r="16" spans="1:6" ht="22.5" customHeight="1" x14ac:dyDescent="0.2">
      <c r="A16" s="2"/>
      <c r="B16" s="2"/>
      <c r="C16" s="2"/>
      <c r="D16" s="2"/>
      <c r="E16" s="2"/>
      <c r="F16" s="2"/>
    </row>
    <row r="17" spans="1:6" ht="22.5" customHeight="1" x14ac:dyDescent="0.2">
      <c r="A17" s="2"/>
      <c r="B17" s="2"/>
      <c r="C17" s="2"/>
      <c r="D17" s="2"/>
      <c r="E17" s="2"/>
      <c r="F17" s="2"/>
    </row>
    <row r="18" spans="1:6" ht="22.5" customHeight="1" x14ac:dyDescent="0.2">
      <c r="A18" s="2"/>
      <c r="B18" s="2"/>
      <c r="C18" s="2"/>
      <c r="D18" s="2"/>
      <c r="E18" s="2"/>
      <c r="F18" s="2"/>
    </row>
    <row r="19" spans="1:6" ht="22.5" customHeight="1" x14ac:dyDescent="0.2">
      <c r="A19" s="2"/>
      <c r="B19" s="2"/>
      <c r="C19" s="2"/>
      <c r="D19" s="2"/>
      <c r="E19" s="2"/>
      <c r="F19" s="2"/>
    </row>
    <row r="20" spans="1:6" ht="22.5" customHeight="1" x14ac:dyDescent="0.2">
      <c r="A20" s="2"/>
      <c r="B20" s="2"/>
      <c r="C20" s="2"/>
      <c r="D20" s="2"/>
      <c r="E20" s="2"/>
      <c r="F20" s="2"/>
    </row>
    <row r="21" spans="1:6" ht="22.5" customHeight="1" x14ac:dyDescent="0.2">
      <c r="A21" s="2"/>
      <c r="B21" s="2"/>
      <c r="C21" s="2"/>
      <c r="D21" s="2"/>
      <c r="E21" s="2"/>
      <c r="F21" s="2"/>
    </row>
    <row r="22" spans="1:6" ht="22.5" customHeight="1" x14ac:dyDescent="0.2">
      <c r="A22" s="2"/>
      <c r="B22" s="2"/>
      <c r="C22" s="2"/>
      <c r="D22" s="2"/>
      <c r="E22" s="2"/>
      <c r="F22" s="2"/>
    </row>
    <row r="23" spans="1:6" ht="22.5" customHeight="1" x14ac:dyDescent="0.2"/>
    <row r="24" spans="1:6" ht="22.5" customHeight="1" x14ac:dyDescent="0.2"/>
    <row r="25" spans="1:6" ht="22.5" customHeight="1" x14ac:dyDescent="0.2"/>
    <row r="26" spans="1:6" ht="22.5" customHeight="1" x14ac:dyDescent="0.2"/>
    <row r="27" spans="1:6" ht="22.5" customHeight="1" x14ac:dyDescent="0.2"/>
    <row r="28" spans="1:6" ht="22.5" customHeight="1" x14ac:dyDescent="0.2"/>
    <row r="29" spans="1:6" ht="22.5" customHeight="1" x14ac:dyDescent="0.2"/>
    <row r="30" spans="1:6" ht="22.5" customHeight="1" x14ac:dyDescent="0.2"/>
    <row r="31" spans="1:6" ht="22.5" customHeight="1" x14ac:dyDescent="0.2"/>
    <row r="32" spans="1:6" ht="22.5" customHeight="1" x14ac:dyDescent="0.2"/>
    <row r="33" ht="22.5" customHeight="1" x14ac:dyDescent="0.2"/>
  </sheetData>
  <mergeCells count="1">
    <mergeCell ref="A1:F1"/>
  </mergeCells>
  <phoneticPr fontId="1" type="noConversion"/>
  <dataValidations count="1">
    <dataValidation type="list" allowBlank="1" showInputMessage="1" showErrorMessage="1" sqref="B3" xr:uid="{9E211157-1777-4F72-BAC4-6E13F6C7007D}">
      <formula1>"传说,史诗,未获得"</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C14DD-1008-4548-ABD0-664E55BDC1FA}">
  <sheetPr codeName="Sheet3">
    <tabColor rgb="FFFF0000"/>
  </sheetPr>
  <dimension ref="A1:K19"/>
  <sheetViews>
    <sheetView workbookViewId="0">
      <selection activeCell="E12" sqref="E12"/>
    </sheetView>
  </sheetViews>
  <sheetFormatPr defaultRowHeight="14.25" x14ac:dyDescent="0.2"/>
  <cols>
    <col min="1" max="5" width="19.75" customWidth="1"/>
    <col min="6" max="6" width="15.625" customWidth="1"/>
    <col min="7" max="7" width="10" customWidth="1"/>
    <col min="8" max="8" width="19" customWidth="1"/>
    <col min="9" max="9" width="10.75" customWidth="1"/>
    <col min="10" max="10" width="9" customWidth="1"/>
    <col min="11" max="11" width="19.75" customWidth="1"/>
    <col min="12" max="12" width="9" customWidth="1"/>
    <col min="13" max="13" width="12.75" customWidth="1"/>
    <col min="14" max="14" width="19.875" customWidth="1"/>
  </cols>
  <sheetData>
    <row r="1" spans="1:11" ht="23.25" customHeight="1" x14ac:dyDescent="0.25">
      <c r="A1" s="210" t="s">
        <v>194</v>
      </c>
      <c r="B1" s="210"/>
      <c r="C1" s="210"/>
      <c r="D1" s="210"/>
      <c r="E1" s="210"/>
      <c r="F1" s="132"/>
      <c r="G1" s="313" t="s">
        <v>252</v>
      </c>
      <c r="H1" s="313"/>
      <c r="J1" s="313" t="s">
        <v>656</v>
      </c>
      <c r="K1" s="313"/>
    </row>
    <row r="2" spans="1:11" ht="23.25" customHeight="1" x14ac:dyDescent="0.2">
      <c r="A2" s="207" t="s">
        <v>113</v>
      </c>
      <c r="B2" s="207"/>
      <c r="C2" s="207"/>
      <c r="D2" s="207" t="s">
        <v>119</v>
      </c>
      <c r="E2" s="207" t="s">
        <v>158</v>
      </c>
      <c r="G2" s="211" t="s">
        <v>1</v>
      </c>
      <c r="H2" s="211" t="s">
        <v>253</v>
      </c>
      <c r="J2" s="211" t="s">
        <v>657</v>
      </c>
      <c r="K2" s="212">
        <v>0.03</v>
      </c>
    </row>
    <row r="3" spans="1:11" ht="23.25" customHeight="1" x14ac:dyDescent="0.2">
      <c r="A3" s="212">
        <v>60</v>
      </c>
      <c r="B3" s="212"/>
      <c r="C3" s="212"/>
      <c r="D3" s="212"/>
      <c r="E3" s="213" t="s">
        <v>814</v>
      </c>
      <c r="G3" s="214">
        <v>15</v>
      </c>
      <c r="H3" s="212">
        <v>11</v>
      </c>
      <c r="J3" s="211" t="s">
        <v>658</v>
      </c>
      <c r="K3" s="211" t="s">
        <v>659</v>
      </c>
    </row>
    <row r="4" spans="1:11" ht="23.25" customHeight="1" x14ac:dyDescent="0.25">
      <c r="A4" s="132"/>
      <c r="B4" s="132"/>
      <c r="C4" s="132"/>
      <c r="D4" s="132"/>
      <c r="E4" s="132"/>
      <c r="F4" s="132"/>
      <c r="G4" s="214">
        <v>14</v>
      </c>
      <c r="H4" s="215"/>
      <c r="J4" s="214">
        <v>1</v>
      </c>
      <c r="K4" s="249">
        <f>K2</f>
        <v>0.03</v>
      </c>
    </row>
    <row r="5" spans="1:11" ht="23.25" customHeight="1" x14ac:dyDescent="0.25">
      <c r="A5" s="216" t="s">
        <v>124</v>
      </c>
      <c r="B5" s="216" t="s">
        <v>125</v>
      </c>
      <c r="C5" s="216" t="s">
        <v>126</v>
      </c>
      <c r="D5" s="216" t="s">
        <v>277</v>
      </c>
      <c r="E5" s="216" t="s">
        <v>195</v>
      </c>
      <c r="F5" s="132"/>
      <c r="G5" s="214">
        <v>13</v>
      </c>
      <c r="H5" s="212"/>
      <c r="J5" s="214">
        <v>2</v>
      </c>
      <c r="K5" s="249">
        <f t="shared" ref="K5:K19" si="0">1-(1-$K$2)^J5</f>
        <v>5.9100000000000041E-2</v>
      </c>
    </row>
    <row r="6" spans="1:11" ht="23.25" customHeight="1" x14ac:dyDescent="0.25">
      <c r="A6" s="217" t="s">
        <v>591</v>
      </c>
      <c r="B6" s="218" t="e">
        <f>'计算器（废除）'!$A$3/40*概率!#REF!+'计算器（废除）'!$B$3*概率!B21+'计算器（废除）'!$D$3/30*概率!B28+概率!#REF!*'计算器（废除）'!#REF!</f>
        <v>#REF!</v>
      </c>
      <c r="C6" s="219">
        <f>IFERROR(B6/$B$11,0)</f>
        <v>0</v>
      </c>
      <c r="D6" s="219" t="e">
        <f>B6/(卡牌!V2)</f>
        <v>#REF!</v>
      </c>
      <c r="E6" s="220"/>
      <c r="F6" s="132"/>
      <c r="G6" s="214">
        <v>12</v>
      </c>
      <c r="H6" s="212"/>
      <c r="J6" s="214">
        <v>3</v>
      </c>
      <c r="K6" s="249">
        <f t="shared" si="0"/>
        <v>8.7327000000000043E-2</v>
      </c>
    </row>
    <row r="7" spans="1:11" ht="23.25" customHeight="1" x14ac:dyDescent="0.25">
      <c r="A7" s="221" t="s">
        <v>592</v>
      </c>
      <c r="B7" s="218" t="e">
        <f>'计算器（废除）'!$A$3/40*概率!#REF!+'计算器（废除）'!$B$3*概率!C21+'计算器（废除）'!$D$3/30*概率!C28+'计算器（废除）'!#REF!*概率!#REF!</f>
        <v>#REF!</v>
      </c>
      <c r="C7" s="219">
        <f>IFERROR(B7/$B$11,0)</f>
        <v>0</v>
      </c>
      <c r="D7" s="219" t="e">
        <f>B7/(卡牌!V3)</f>
        <v>#REF!</v>
      </c>
      <c r="E7" s="220" t="e">
        <f>B7*750</f>
        <v>#REF!</v>
      </c>
      <c r="F7" s="132"/>
      <c r="G7" s="214">
        <v>11</v>
      </c>
      <c r="H7" s="212"/>
      <c r="J7" s="214">
        <v>4</v>
      </c>
      <c r="K7" s="249">
        <f t="shared" si="0"/>
        <v>0.11470719000000007</v>
      </c>
    </row>
    <row r="8" spans="1:11" ht="23.25" customHeight="1" x14ac:dyDescent="0.25">
      <c r="A8" s="222" t="s">
        <v>2</v>
      </c>
      <c r="B8" s="218" t="e">
        <f>IF('计算器（废除）'!E3="只计算传说卡及以上",0,'计算器（废除）'!$A$3/40*概率!#REF!+'计算器（废除）'!$B$3*概率!D21+'计算器（废除）'!$D$3/30*概率!D28+'计算器（废除）'!#REF!*概率!#REF!)</f>
        <v>#REF!</v>
      </c>
      <c r="C8" s="219">
        <f>IFERROR(IF('计算器（废除）'!E3="只计算传说卡及以上",0,B8/$B$11),0)</f>
        <v>0</v>
      </c>
      <c r="D8" s="219" t="e">
        <f>IF('计算器（废除）'!E3="只计算传说卡及以上",0,B8/卡牌!V4)</f>
        <v>#REF!</v>
      </c>
      <c r="E8" s="220" t="e">
        <f>B8*75</f>
        <v>#REF!</v>
      </c>
      <c r="F8" s="132"/>
      <c r="G8" s="214">
        <v>10</v>
      </c>
      <c r="H8" s="212"/>
      <c r="J8" s="214">
        <v>5</v>
      </c>
      <c r="K8" s="249">
        <f t="shared" si="0"/>
        <v>0.1412659743000001</v>
      </c>
    </row>
    <row r="9" spans="1:11" ht="23.25" customHeight="1" x14ac:dyDescent="0.25">
      <c r="A9" s="223" t="s">
        <v>4</v>
      </c>
      <c r="B9" s="218" t="e">
        <f>IF('计算器（废除）'!E3="正常计算",'计算器（废除）'!$A$3/40*概率!#REF!+'计算器（废除）'!$B$3*概率!E21+'计算器（废除）'!$D$3/30*概率!E28+'计算器（废除）'!#REF!*概率!#REF!,0)</f>
        <v>#REF!</v>
      </c>
      <c r="C9" s="219">
        <f>IFERROR(IF('计算器（废除）'!E3="正常计算",B9/$B$11,0),0)</f>
        <v>0</v>
      </c>
      <c r="D9" s="219" t="e">
        <f>IF('计算器（废除）'!E3="正常计算",B9/卡牌!V5,0)</f>
        <v>#REF!</v>
      </c>
      <c r="E9" s="220" t="e">
        <f>B9*5</f>
        <v>#REF!</v>
      </c>
      <c r="F9" s="132"/>
      <c r="G9" s="214">
        <v>9</v>
      </c>
      <c r="H9" s="212"/>
      <c r="J9" s="214">
        <v>6</v>
      </c>
      <c r="K9" s="249">
        <f t="shared" si="0"/>
        <v>0.16702799507100008</v>
      </c>
    </row>
    <row r="10" spans="1:11" ht="23.25" customHeight="1" x14ac:dyDescent="0.25">
      <c r="A10" s="224" t="s">
        <v>3</v>
      </c>
      <c r="B10" s="218" t="e">
        <f>IF('计算器（废除）'!E3="正常计算",'计算器（废除）'!$A$3/40*概率!#REF!+'计算器（废除）'!$B$3*概率!F21+'计算器（废除）'!$D$3/30*概率!F28+'计算器（废除）'!#REF!*概率!#REF!,0)</f>
        <v>#REF!</v>
      </c>
      <c r="C10" s="219">
        <f>IFERROR(IF('计算器（废除）'!E3="正常计算",B10/$B$11,0),0)</f>
        <v>0</v>
      </c>
      <c r="D10" s="219" t="e">
        <f>IF('计算器（废除）'!E3="正常计算",B10/卡牌!V6,0)</f>
        <v>#REF!</v>
      </c>
      <c r="E10" s="220" t="e">
        <f>B10</f>
        <v>#REF!</v>
      </c>
      <c r="F10" s="132"/>
      <c r="G10" s="214">
        <v>8</v>
      </c>
      <c r="H10" s="212"/>
      <c r="J10" s="214">
        <v>7</v>
      </c>
      <c r="K10" s="249">
        <f t="shared" si="0"/>
        <v>0.19201715521887008</v>
      </c>
    </row>
    <row r="11" spans="1:11" ht="23.25" customHeight="1" x14ac:dyDescent="0.25">
      <c r="A11" s="207" t="s">
        <v>5</v>
      </c>
      <c r="B11" s="218" t="e">
        <f>SUM(B6:B10)</f>
        <v>#REF!</v>
      </c>
      <c r="C11" s="219">
        <f>SUM(C6:C10)</f>
        <v>0</v>
      </c>
      <c r="D11" s="225" t="e">
        <f>(B6*结果!B11+B7*结果!B12+B8*结果!B13+B9*结果!B14+B10*结果!B15)/10000</f>
        <v>#REF!</v>
      </c>
      <c r="E11" s="220" t="e">
        <f>B8*75+B7*750+B9*5+B10</f>
        <v>#REF!</v>
      </c>
      <c r="F11" s="132"/>
      <c r="G11" s="214">
        <v>7</v>
      </c>
      <c r="H11" s="212"/>
      <c r="J11" s="214">
        <v>8</v>
      </c>
      <c r="K11" s="249">
        <f t="shared" si="0"/>
        <v>0.21625664056230398</v>
      </c>
    </row>
    <row r="12" spans="1:11" ht="23.25" customHeight="1" x14ac:dyDescent="0.25">
      <c r="A12" s="132"/>
      <c r="B12" s="132"/>
      <c r="C12" s="132"/>
      <c r="D12" s="132"/>
      <c r="E12" s="132"/>
      <c r="F12" s="132"/>
      <c r="G12" s="214">
        <v>6</v>
      </c>
      <c r="H12" s="212"/>
      <c r="J12" s="214">
        <v>9</v>
      </c>
      <c r="K12" s="249">
        <f t="shared" si="0"/>
        <v>0.23976894134543492</v>
      </c>
    </row>
    <row r="13" spans="1:11" ht="23.25" customHeight="1" x14ac:dyDescent="0.25">
      <c r="A13" s="132"/>
      <c r="B13" s="132"/>
      <c r="C13" s="132"/>
      <c r="D13" s="132"/>
      <c r="E13" s="132"/>
      <c r="F13" s="132"/>
      <c r="G13" s="214">
        <v>5</v>
      </c>
      <c r="H13" s="212"/>
      <c r="J13" s="214">
        <v>10</v>
      </c>
      <c r="K13" s="249">
        <f t="shared" si="0"/>
        <v>0.2625758731050718</v>
      </c>
    </row>
    <row r="14" spans="1:11" ht="23.25" customHeight="1" x14ac:dyDescent="0.25">
      <c r="A14" s="132"/>
      <c r="B14" s="132"/>
      <c r="C14" s="132"/>
      <c r="D14" s="132"/>
      <c r="E14" s="132"/>
      <c r="F14" s="132"/>
      <c r="G14" s="214">
        <v>4</v>
      </c>
      <c r="H14" s="212"/>
      <c r="J14" s="214">
        <v>11</v>
      </c>
      <c r="K14" s="249">
        <f t="shared" si="0"/>
        <v>0.28469859691191968</v>
      </c>
    </row>
    <row r="15" spans="1:11" ht="23.25" customHeight="1" x14ac:dyDescent="0.25">
      <c r="A15" s="132"/>
      <c r="B15" s="132"/>
      <c r="C15" s="132"/>
      <c r="D15" s="132"/>
      <c r="E15" s="132"/>
      <c r="F15" s="132"/>
      <c r="G15" s="214">
        <v>3</v>
      </c>
      <c r="H15" s="212"/>
      <c r="J15" s="214">
        <v>12</v>
      </c>
      <c r="K15" s="249">
        <f t="shared" si="0"/>
        <v>0.30615763900456217</v>
      </c>
    </row>
    <row r="16" spans="1:11" ht="23.25" customHeight="1" x14ac:dyDescent="0.25">
      <c r="A16" s="132"/>
      <c r="B16" s="132"/>
      <c r="C16" s="132"/>
      <c r="D16" s="132"/>
      <c r="E16" s="132"/>
      <c r="F16" s="132"/>
      <c r="G16" s="214">
        <v>2</v>
      </c>
      <c r="H16" s="212"/>
      <c r="J16" s="214">
        <v>13</v>
      </c>
      <c r="K16" s="249">
        <f t="shared" si="0"/>
        <v>0.32697290983442528</v>
      </c>
    </row>
    <row r="17" spans="1:11" ht="23.25" customHeight="1" x14ac:dyDescent="0.25">
      <c r="A17" s="132"/>
      <c r="B17" s="132"/>
      <c r="C17" s="132"/>
      <c r="D17" s="132"/>
      <c r="E17" s="132"/>
      <c r="F17" s="132"/>
      <c r="G17" s="214">
        <v>1</v>
      </c>
      <c r="H17" s="212"/>
      <c r="J17" s="214">
        <v>14</v>
      </c>
      <c r="K17" s="249">
        <f t="shared" si="0"/>
        <v>0.34716372253939254</v>
      </c>
    </row>
    <row r="18" spans="1:11" ht="23.25" customHeight="1" x14ac:dyDescent="0.25">
      <c r="A18" s="132"/>
      <c r="B18" s="132"/>
      <c r="C18" s="132"/>
      <c r="D18" s="132"/>
      <c r="E18" s="132"/>
      <c r="F18" s="132"/>
      <c r="G18" s="132"/>
      <c r="H18" s="132"/>
      <c r="J18" s="214">
        <v>15</v>
      </c>
      <c r="K18" s="249">
        <f t="shared" si="0"/>
        <v>0.36674881086321076</v>
      </c>
    </row>
    <row r="19" spans="1:11" ht="23.25" customHeight="1" x14ac:dyDescent="0.25">
      <c r="A19" s="132"/>
      <c r="B19" s="132"/>
      <c r="C19" s="132"/>
      <c r="D19" s="132"/>
      <c r="E19" s="132"/>
      <c r="F19" s="132"/>
      <c r="G19" s="211" t="s">
        <v>124</v>
      </c>
      <c r="H19" s="226">
        <f>IFERROR(IF(SUM(H3:H17)=11,(G3*H3+G4*H4+G5*H5+G6*H6+G7*H7+G8*H8+G9*H9+G10*H10+G11*H11+G12*H12+G13*H13+G14*H14+G15*H15+G16*H16+G17*H17)/11,"请使数量总和为11"),"")</f>
        <v>15</v>
      </c>
      <c r="J19" s="212">
        <v>23</v>
      </c>
      <c r="K19" s="249">
        <f t="shared" si="0"/>
        <v>0.50369358565801692</v>
      </c>
    </row>
  </sheetData>
  <mergeCells count="2">
    <mergeCell ref="G1:H1"/>
    <mergeCell ref="J1:K1"/>
  </mergeCells>
  <phoneticPr fontId="1" type="noConversion"/>
  <conditionalFormatting sqref="D6:D10">
    <cfRule type="cellIs" dxfId="83" priority="1" operator="greaterThan">
      <formula>1</formula>
    </cfRule>
  </conditionalFormatting>
  <dataValidations count="2">
    <dataValidation type="list" errorStyle="warning" allowBlank="1" showInputMessage="1" showErrorMessage="1" error="使用右边箭头进行选择" sqref="E3" xr:uid="{2F946CB5-A68C-4A77-9C45-8BF9C7F036AA}">
      <formula1>"只计算史诗卡及以上,只计算传说卡及以上,正常计算"</formula1>
    </dataValidation>
    <dataValidation type="whole" allowBlank="1" showInputMessage="1" showErrorMessage="1" sqref="H4:H17 H3" xr:uid="{F2D809DC-6579-47FA-8B27-71421DDB93A0}">
      <formula1>1</formula1>
      <formula2>11</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X O Q V f 7 U Q 7 O k A A A A 9 g A A A B I A H A B D b 2 5 m a W c v U G F j a 2 F n Z S 5 4 b W w g o h g A K K A U A A A A A A A A A A A A A A A A A A A A A A A A A A A A h Y 9 L C s I w G I S v U r J v X o J I + Z s u u r U i C O I 2 p L E N t q k 0 q S l e z Y V H 8 g p W f O 5 c z j f f Y u Z 2 u U I 2 t k 1 0 0 r 0 z n U 0 R w x R F 2 q q u N L Z K 0 e D 3 8 Q J l A t Z S H W S l o 0 m 2 L h l d m a L a + 2 N C S A g B h x n u + o p w S h n Z F c u N q n U r 0 U c 2 / + X Y W O e l V R o J 2 D 7 H C I 4 Z Y 3 h O O a Z A 3 h A K Y 7 8 C n / Y + 2 h 8 I + d D 4 o d f i X M f 5 C s g 7 A n l 9 E H d Q S w M E F A A C A A g A T X O Q 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1 z k F U o i k e 4 D g A A A B E A A A A T A B w A R m 9 y b X V s Y X M v U 2 V j d G l v b j E u b S C i G A A o o B Q A A A A A A A A A A A A A A A A A A A A A A A A A A A A r T k 0 u y c z P U w i G 0 I b W A F B L A Q I t A B Q A A g A I A E 1 z k F X + 1 E O z p A A A A P Y A A A A S A A A A A A A A A A A A A A A A A A A A A A B D b 2 5 m a W c v U G F j a 2 F n Z S 5 4 b W x Q S w E C L Q A U A A I A C A B N c 5 B V D 8 r p q 6 Q A A A D p A A A A E w A A A A A A A A A A A A A A A A D w A A A A W 0 N v b n R l b n R f V H l w Z X N d L n h t b F B L A Q I t A B Q A A g A I A E 1 z k F 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Z s m + a X a q E T q o 2 z G I r j 6 M c A A A A A A I A A A A A A B B m A A A A A Q A A I A A A A E w 6 q V K d j W E 3 d C B P r y J x 6 P p i i z E f I i Q d q 9 s 0 W m l 1 x 5 0 1 A A A A A A 6 A A A A A A g A A I A A A A O I C f I a 9 2 C x C h L k 8 h Z B 4 d H s n u x i p Q + P Z G c 0 7 r Y V c 2 6 Z w U A A A A F S G X 3 h m l f 1 H H B Q p W z E 2 u H 4 h O p 4 A n j U B I e O C f w E 9 B u 5 T f l M z A L j t 3 a T y M B Z 2 6 G K b Q v Z a U K Y t 2 B 4 A e w x a Y / H v p / P 9 h 9 k x 5 x C v i j 0 6 j U k E B S r E Q A A A A C O h X G z K 2 C p c 3 E O v S Q w 8 4 l U C B v K w f z y 6 U G W Q j W 9 S T D 9 s l 1 l A s y Y X i g O j Z J Y Y H H P k L u q p 9 b / 2 Q P + 2 p y C d 5 i e u o 0 Q = < / D a t a M a s h u p > 
</file>

<file path=customXml/itemProps1.xml><?xml version="1.0" encoding="utf-8"?>
<ds:datastoreItem xmlns:ds="http://schemas.openxmlformats.org/officeDocument/2006/customXml" ds:itemID="{3F4FE97F-5B7F-4A5B-9F2D-0A665B9B52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37</vt:i4>
      </vt:variant>
    </vt:vector>
  </HeadingPairs>
  <TitlesOfParts>
    <vt:vector size="37" baseType="lpstr">
      <vt:lpstr>统计</vt:lpstr>
      <vt:lpstr>结果</vt:lpstr>
      <vt:lpstr>概率</vt:lpstr>
      <vt:lpstr>卡牌</vt:lpstr>
      <vt:lpstr>卡牌详情</vt:lpstr>
      <vt:lpstr>新卡抽卡分析</vt:lpstr>
      <vt:lpstr>决斗环境</vt:lpstr>
      <vt:lpstr>神奇动物调查</vt:lpstr>
      <vt:lpstr>计算器（废除）</vt:lpstr>
      <vt:lpstr>卢娜回响生物</vt:lpstr>
      <vt:lpstr>卡牌分析</vt:lpstr>
      <vt:lpstr>回响分析</vt:lpstr>
      <vt:lpstr>隐藏数据</vt:lpstr>
      <vt:lpstr>升级速度</vt:lpstr>
      <vt:lpstr>更新日志</vt:lpstr>
      <vt:lpstr>230818</vt:lpstr>
      <vt:lpstr>230531</vt:lpstr>
      <vt:lpstr>230505</vt:lpstr>
      <vt:lpstr>230307</vt:lpstr>
      <vt:lpstr>230210</vt:lpstr>
      <vt:lpstr>230118</vt:lpstr>
      <vt:lpstr>221221(perfect)</vt:lpstr>
      <vt:lpstr>221215</vt:lpstr>
      <vt:lpstr>221129</vt:lpstr>
      <vt:lpstr>221117</vt:lpstr>
      <vt:lpstr>221026(new++)</vt:lpstr>
      <vt:lpstr>220909(new+)</vt:lpstr>
      <vt:lpstr>220925</vt:lpstr>
      <vt:lpstr>220814（new）</vt:lpstr>
      <vt:lpstr>220810</vt:lpstr>
      <vt:lpstr>220721</vt:lpstr>
      <vt:lpstr>220513</vt:lpstr>
      <vt:lpstr>220413</vt:lpstr>
      <vt:lpstr>220208</vt:lpstr>
      <vt:lpstr>220130</vt:lpstr>
      <vt:lpstr>220126</vt:lpstr>
      <vt:lpstr>211230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nine0426</dc:creator>
  <cp:lastModifiedBy>张安玉</cp:lastModifiedBy>
  <cp:lastPrinted>2022-08-01T12:59:14Z</cp:lastPrinted>
  <dcterms:created xsi:type="dcterms:W3CDTF">2015-06-05T18:19:34Z</dcterms:created>
  <dcterms:modified xsi:type="dcterms:W3CDTF">2023-08-26T07:20:47Z</dcterms:modified>
</cp:coreProperties>
</file>