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410" windowWidth="15360" windowHeight="9525" activeTab="1"/>
  </bookViews>
  <sheets>
    <sheet name="WBSARA" sheetId="1" r:id="rId1"/>
    <sheet name="Envelope" sheetId="2" r:id="rId2"/>
    <sheet name="Weighing Data" sheetId="3" r:id="rId3"/>
    <sheet name="Prince Prop" sheetId="4" r:id="rId4"/>
  </sheets>
  <externalReferences>
    <externalReference r:id="rId5"/>
  </externalReferences>
  <definedNames>
    <definedName name="OLE_LINK1" localSheetId="0">WBSARA!$A$29</definedName>
    <definedName name="_xlnm.Print_Area" localSheetId="0">WBSARA!$A$1:$J$40</definedName>
  </definedNames>
  <calcPr calcId="144525"/>
</workbook>
</file>

<file path=xl/calcChain.xml><?xml version="1.0" encoding="utf-8"?>
<calcChain xmlns="http://schemas.openxmlformats.org/spreadsheetml/2006/main">
  <c r="B4" i="2" l="1"/>
  <c r="J10" i="1"/>
  <c r="J8" i="1"/>
  <c r="G14" i="2" l="1"/>
  <c r="G13" i="2"/>
  <c r="G12" i="2"/>
  <c r="G11" i="2"/>
  <c r="G10" i="2"/>
  <c r="G9" i="2"/>
  <c r="G8" i="2"/>
  <c r="G7" i="2"/>
  <c r="G6" i="2"/>
  <c r="G5" i="2"/>
  <c r="G4" i="2"/>
  <c r="L17" i="2"/>
  <c r="L12" i="2"/>
  <c r="L11" i="2"/>
  <c r="L10" i="2"/>
  <c r="L9" i="2"/>
  <c r="L8" i="2"/>
  <c r="L4" i="2"/>
  <c r="F12" i="4"/>
  <c r="J12" i="4"/>
  <c r="F11" i="4"/>
  <c r="J11" i="4"/>
  <c r="F10" i="4"/>
  <c r="J10" i="4"/>
  <c r="F9" i="4"/>
  <c r="J9" i="4"/>
  <c r="F8" i="4"/>
  <c r="F7" i="4"/>
  <c r="F6" i="4"/>
  <c r="J6" i="4"/>
  <c r="J5" i="4"/>
  <c r="B12" i="3"/>
  <c r="E16" i="3"/>
  <c r="D4" i="4"/>
  <c r="F4" i="4"/>
  <c r="H12" i="3"/>
  <c r="J30" i="3"/>
  <c r="L30" i="3"/>
  <c r="D30" i="3"/>
  <c r="F30" i="3"/>
  <c r="G26" i="3"/>
  <c r="I26" i="3"/>
  <c r="E19" i="3"/>
  <c r="R16" i="3"/>
  <c r="P16" i="3"/>
  <c r="R13" i="3"/>
  <c r="P13" i="3"/>
  <c r="Q13" i="3"/>
  <c r="S10" i="3"/>
  <c r="R10" i="3"/>
  <c r="P10" i="3"/>
  <c r="F11" i="1"/>
  <c r="J11" i="1" s="1"/>
  <c r="F9" i="1"/>
  <c r="J9" i="1" s="1"/>
  <c r="F7" i="1"/>
  <c r="J6" i="1"/>
  <c r="F5" i="1"/>
  <c r="J5" i="1" s="1"/>
  <c r="F4" i="1"/>
  <c r="J4" i="1" s="1"/>
  <c r="C4" i="2" s="1"/>
  <c r="Q16" i="3"/>
  <c r="E20" i="3"/>
  <c r="E24" i="3"/>
  <c r="J7" i="4"/>
  <c r="F13" i="4"/>
  <c r="H4" i="4"/>
  <c r="J4" i="4"/>
  <c r="J13" i="4"/>
  <c r="H13" i="4"/>
  <c r="B5" i="2" l="1"/>
  <c r="B6" i="2" s="1"/>
  <c r="B7" i="2" s="1"/>
  <c r="B8" i="2" s="1"/>
  <c r="B9" i="2" s="1"/>
  <c r="B10" i="2" s="1"/>
  <c r="B11" i="2" s="1"/>
  <c r="A4" i="2"/>
  <c r="A3" i="2" s="1"/>
  <c r="F12" i="1"/>
  <c r="J12" i="1"/>
  <c r="C5" i="2"/>
  <c r="H12" i="1" l="1"/>
  <c r="A5" i="2"/>
  <c r="C6" i="2"/>
  <c r="C7" i="2" l="1"/>
  <c r="A6" i="2"/>
  <c r="C8" i="2" l="1"/>
  <c r="A7" i="2"/>
  <c r="A8" i="2" l="1"/>
  <c r="C9" i="2"/>
  <c r="A9" i="2" l="1"/>
  <c r="C10" i="2"/>
  <c r="A10" i="2" l="1"/>
  <c r="C11" i="2"/>
  <c r="A11" i="2" s="1"/>
  <c r="A12" i="2" s="1"/>
  <c r="A13" i="2" s="1"/>
</calcChain>
</file>

<file path=xl/sharedStrings.xml><?xml version="1.0" encoding="utf-8"?>
<sst xmlns="http://schemas.openxmlformats.org/spreadsheetml/2006/main" count="85" uniqueCount="55">
  <si>
    <t>Qty</t>
  </si>
  <si>
    <t>Weight</t>
  </si>
  <si>
    <t>Arm</t>
  </si>
  <si>
    <t>Moment</t>
  </si>
  <si>
    <t>Basic Empty Weight</t>
  </si>
  <si>
    <t>Pilot</t>
  </si>
  <si>
    <t>Note: Max Landing Wt</t>
  </si>
  <si>
    <t>Enter loading weights under the Qty column.</t>
  </si>
  <si>
    <t>Each entry will plot a new data point in the graph.</t>
  </si>
  <si>
    <t>Airplane Loading Procedures</t>
  </si>
  <si>
    <t>envelope</t>
  </si>
  <si>
    <t>x</t>
  </si>
  <si>
    <t>y</t>
  </si>
  <si>
    <t>cm</t>
  </si>
  <si>
    <t>kg</t>
  </si>
  <si>
    <t>Fuel  Lit. (160 Lit Max)</t>
  </si>
  <si>
    <t>Pax</t>
  </si>
  <si>
    <t>Pilot Only - Load rear baggage, rear seats then nose baggage staying within loading limits</t>
  </si>
  <si>
    <t>Aft Baggage (25 kg Max)</t>
  </si>
  <si>
    <t>Nose Baggage (25 kg Max)</t>
  </si>
  <si>
    <t>Aft Hat Shelf (10 kg Max)</t>
  </si>
  <si>
    <t>Total (M.G.W.=818 kg)</t>
  </si>
  <si>
    <t>Pilot + Pax - Load nose baggage to capacity first, then limit aft baggage to envelope</t>
  </si>
  <si>
    <t>aft cg utility category - may be wrong</t>
  </si>
  <si>
    <t xml:space="preserve">Weight &amp; Balance </t>
  </si>
  <si>
    <t>Vans RV8A - VH-ZSW</t>
  </si>
  <si>
    <t>Empty</t>
  </si>
  <si>
    <t>Reference: Wing leading edge</t>
  </si>
  <si>
    <t>Empty C.G. 11% chord +- 5% (ie 6% to 16%)</t>
  </si>
  <si>
    <t>Nose wheel</t>
  </si>
  <si>
    <t>Kg</t>
  </si>
  <si>
    <t>mm</t>
  </si>
  <si>
    <t>Wing Chord=</t>
  </si>
  <si>
    <t>ideal=</t>
  </si>
  <si>
    <t>allowable=</t>
  </si>
  <si>
    <t>Left wheel</t>
  </si>
  <si>
    <t>right wheel</t>
  </si>
  <si>
    <t>a</t>
  </si>
  <si>
    <t>w</t>
  </si>
  <si>
    <t>m</t>
  </si>
  <si>
    <t>empty</t>
  </si>
  <si>
    <t>Total weight</t>
  </si>
  <si>
    <t>total</t>
  </si>
  <si>
    <t>C.G.</t>
  </si>
  <si>
    <t xml:space="preserve">Datum: </t>
  </si>
  <si>
    <t>C.G Aft of Datum</t>
  </si>
  <si>
    <t xml:space="preserve"> (flight range 2000-2200)</t>
  </si>
  <si>
    <t>mm in front of leading edge (~70")</t>
  </si>
  <si>
    <t>minus Prince</t>
  </si>
  <si>
    <t>a = utility</t>
  </si>
  <si>
    <t>original rv</t>
  </si>
  <si>
    <t>lbs</t>
  </si>
  <si>
    <t>Fuel  Lit. (40 Lit Max)</t>
  </si>
  <si>
    <t>TEAM HiMax - Bird Dog</t>
  </si>
  <si>
    <t>290 kg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</si>
</sst>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\ &quot;kg&quot;"/>
    <numFmt numFmtId="166" formatCode="#,##0\ &quot;lit&quot;"/>
    <numFmt numFmtId="167" formatCode="[$-409]d\-mmm\-yy;@"/>
  </numFmts>
  <fonts count="26" x14ac:knownFonts="1">
    <font>
      <sz val="10"/>
      <name val="MS Sans Serif"/>
    </font>
    <font>
      <sz val="8"/>
      <name val="Arial"/>
      <family val="2"/>
    </font>
    <font>
      <sz val="8"/>
      <color indexed="18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1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32"/>
      <name val="Arial"/>
      <family val="2"/>
    </font>
    <font>
      <sz val="8"/>
      <color indexed="61"/>
      <name val="Arial"/>
      <family val="2"/>
    </font>
    <font>
      <sz val="8"/>
      <color indexed="50"/>
      <name val="Arial"/>
      <family val="2"/>
    </font>
    <font>
      <sz val="8"/>
      <color indexed="20"/>
      <name val="Arial"/>
      <family val="2"/>
    </font>
    <font>
      <sz val="8"/>
      <color indexed="37"/>
      <name val="Arial"/>
      <family val="2"/>
    </font>
    <font>
      <b/>
      <sz val="18"/>
      <color indexed="18"/>
      <name val="Times New Roman"/>
      <family val="1"/>
    </font>
    <font>
      <sz val="8"/>
      <name val="MS Sans Serif"/>
      <family val="2"/>
    </font>
    <font>
      <sz val="8"/>
      <name val="Courier New"/>
      <family val="3"/>
    </font>
    <font>
      <b/>
      <sz val="8"/>
      <color indexed="61"/>
      <name val="Comic Sans MS"/>
      <family val="4"/>
    </font>
    <font>
      <b/>
      <sz val="8"/>
      <color indexed="50"/>
      <name val="Comic Sans MS"/>
      <family val="4"/>
    </font>
    <font>
      <sz val="8"/>
      <color indexed="10"/>
      <name val="Arial"/>
      <family val="2"/>
    </font>
    <font>
      <b/>
      <u/>
      <sz val="22"/>
      <name val="Comic Sans MS"/>
      <family val="4"/>
    </font>
    <font>
      <b/>
      <sz val="18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0" xfId="0" applyFont="1" applyAlignment="1" applyProtection="1">
      <alignment horizontal="right"/>
    </xf>
    <xf numFmtId="2" fontId="1" fillId="0" borderId="0" xfId="0" applyNumberFormat="1" applyFont="1" applyProtection="1"/>
    <xf numFmtId="3" fontId="1" fillId="0" borderId="0" xfId="0" applyNumberFormat="1" applyFont="1" applyProtection="1"/>
    <xf numFmtId="2" fontId="2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Protection="1"/>
    <xf numFmtId="2" fontId="5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3" fontId="1" fillId="0" borderId="2" xfId="0" applyNumberFormat="1" applyFont="1" applyBorder="1" applyProtection="1"/>
    <xf numFmtId="0" fontId="6" fillId="0" borderId="1" xfId="0" applyFont="1" applyBorder="1" applyAlignment="1" applyProtection="1">
      <alignment horizontal="right"/>
    </xf>
    <xf numFmtId="0" fontId="6" fillId="0" borderId="0" xfId="0" applyFont="1" applyAlignment="1" applyProtection="1">
      <alignment horizontal="right"/>
    </xf>
    <xf numFmtId="1" fontId="1" fillId="0" borderId="0" xfId="0" applyNumberFormat="1" applyFon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2" fontId="9" fillId="0" borderId="0" xfId="0" applyNumberFormat="1" applyFont="1" applyProtection="1"/>
    <xf numFmtId="3" fontId="9" fillId="0" borderId="0" xfId="0" applyNumberFormat="1" applyFont="1" applyProtection="1"/>
    <xf numFmtId="0" fontId="10" fillId="0" borderId="0" xfId="0" applyFont="1" applyProtection="1"/>
    <xf numFmtId="2" fontId="10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2" fontId="11" fillId="0" borderId="0" xfId="0" applyNumberFormat="1" applyFont="1" applyProtection="1"/>
    <xf numFmtId="2" fontId="12" fillId="0" borderId="0" xfId="0" applyNumberFormat="1" applyFont="1" applyProtection="1"/>
    <xf numFmtId="164" fontId="1" fillId="0" borderId="0" xfId="0" applyNumberFormat="1" applyFont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4" fontId="11" fillId="0" borderId="0" xfId="0" applyNumberFormat="1" applyFont="1" applyProtection="1"/>
    <xf numFmtId="0" fontId="1" fillId="0" borderId="0" xfId="0" applyFont="1" applyBorder="1" applyProtection="1"/>
    <xf numFmtId="0" fontId="13" fillId="0" borderId="0" xfId="0" applyFont="1" applyProtection="1"/>
    <xf numFmtId="164" fontId="13" fillId="0" borderId="0" xfId="0" applyNumberFormat="1" applyFont="1" applyProtection="1"/>
    <xf numFmtId="2" fontId="13" fillId="0" borderId="0" xfId="0" applyNumberFormat="1" applyFont="1" applyProtection="1"/>
    <xf numFmtId="0" fontId="14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6" fillId="0" borderId="0" xfId="0" applyFont="1" applyProtection="1"/>
    <xf numFmtId="1" fontId="1" fillId="0" borderId="0" xfId="0" quotePrefix="1" applyNumberFormat="1" applyFont="1" applyProtection="1"/>
    <xf numFmtId="1" fontId="1" fillId="2" borderId="0" xfId="0" applyNumberFormat="1" applyFont="1" applyFill="1" applyProtection="1"/>
    <xf numFmtId="1" fontId="1" fillId="3" borderId="0" xfId="0" applyNumberFormat="1" applyFont="1" applyFill="1" applyProtection="1"/>
    <xf numFmtId="164" fontId="19" fillId="4" borderId="2" xfId="0" applyNumberFormat="1" applyFont="1" applyFill="1" applyBorder="1" applyProtection="1"/>
    <xf numFmtId="0" fontId="19" fillId="4" borderId="2" xfId="0" applyFont="1" applyFill="1" applyBorder="1" applyProtection="1"/>
    <xf numFmtId="0" fontId="1" fillId="0" borderId="0" xfId="0" applyFont="1" applyFill="1" applyProtection="1"/>
    <xf numFmtId="1" fontId="1" fillId="0" borderId="0" xfId="0" applyNumberFormat="1" applyFont="1" applyFill="1" applyProtection="1"/>
    <xf numFmtId="165" fontId="16" fillId="0" borderId="0" xfId="0" applyNumberFormat="1" applyFont="1" applyProtection="1"/>
    <xf numFmtId="165" fontId="17" fillId="5" borderId="3" xfId="0" applyNumberFormat="1" applyFont="1" applyFill="1" applyBorder="1" applyProtection="1">
      <protection locked="0"/>
    </xf>
    <xf numFmtId="166" fontId="18" fillId="5" borderId="3" xfId="0" applyNumberFormat="1" applyFont="1" applyFill="1" applyBorder="1" applyProtection="1">
      <protection locked="0"/>
    </xf>
    <xf numFmtId="164" fontId="1" fillId="2" borderId="0" xfId="0" applyNumberFormat="1" applyFont="1" applyFill="1" applyProtection="1"/>
    <xf numFmtId="164" fontId="1" fillId="3" borderId="0" xfId="0" applyNumberFormat="1" applyFont="1" applyFill="1" applyProtection="1"/>
    <xf numFmtId="164" fontId="1" fillId="6" borderId="0" xfId="0" applyNumberFormat="1" applyFont="1" applyFill="1" applyProtection="1"/>
    <xf numFmtId="1" fontId="1" fillId="6" borderId="0" xfId="0" applyNumberFormat="1" applyFont="1" applyFill="1" applyProtection="1"/>
    <xf numFmtId="164" fontId="1" fillId="7" borderId="0" xfId="0" applyNumberFormat="1" applyFont="1" applyFill="1" applyProtection="1"/>
    <xf numFmtId="1" fontId="1" fillId="7" borderId="0" xfId="0" applyNumberFormat="1" applyFont="1" applyFill="1" applyProtection="1"/>
    <xf numFmtId="0" fontId="0" fillId="0" borderId="0" xfId="0" applyProtection="1"/>
    <xf numFmtId="2" fontId="20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21" fillId="0" borderId="0" xfId="0" applyNumberFormat="1" applyFont="1"/>
    <xf numFmtId="2" fontId="22" fillId="0" borderId="0" xfId="0" applyNumberFormat="1" applyFont="1"/>
    <xf numFmtId="2" fontId="23" fillId="0" borderId="0" xfId="0" applyNumberFormat="1" applyFont="1"/>
    <xf numFmtId="2" fontId="0" fillId="2" borderId="0" xfId="0" applyNumberFormat="1" applyFill="1"/>
    <xf numFmtId="2" fontId="0" fillId="8" borderId="0" xfId="0" applyNumberFormat="1" applyFill="1"/>
    <xf numFmtId="2" fontId="24" fillId="0" borderId="4" xfId="0" applyNumberFormat="1" applyFon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1" fontId="0" fillId="2" borderId="0" xfId="0" applyNumberFormat="1" applyFill="1"/>
    <xf numFmtId="1" fontId="0" fillId="8" borderId="0" xfId="0" applyNumberFormat="1" applyFill="1"/>
    <xf numFmtId="2" fontId="24" fillId="0" borderId="4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0" xfId="0" applyNumberFormat="1" applyFill="1" applyAlignment="1">
      <alignment horizontal="right"/>
    </xf>
    <xf numFmtId="2" fontId="0" fillId="0" borderId="9" xfId="0" applyNumberFormat="1" applyBorder="1"/>
    <xf numFmtId="2" fontId="0" fillId="0" borderId="10" xfId="0" applyNumberFormat="1" applyBorder="1"/>
    <xf numFmtId="2" fontId="25" fillId="0" borderId="11" xfId="0" applyNumberFormat="1" applyFont="1" applyBorder="1"/>
    <xf numFmtId="1" fontId="25" fillId="0" borderId="12" xfId="0" applyNumberFormat="1" applyFont="1" applyBorder="1"/>
    <xf numFmtId="2" fontId="25" fillId="0" borderId="12" xfId="0" applyNumberFormat="1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0" xfId="0" applyNumberFormat="1" applyAlignment="1">
      <alignment wrapText="1"/>
    </xf>
    <xf numFmtId="2" fontId="0" fillId="9" borderId="0" xfId="0" applyNumberFormat="1" applyFill="1"/>
    <xf numFmtId="2" fontId="23" fillId="9" borderId="0" xfId="0" applyNumberFormat="1" applyFont="1" applyFill="1"/>
    <xf numFmtId="1" fontId="23" fillId="9" borderId="0" xfId="0" applyNumberFormat="1" applyFont="1" applyFill="1"/>
    <xf numFmtId="2" fontId="25" fillId="9" borderId="14" xfId="0" applyNumberFormat="1" applyFont="1" applyFill="1" applyBorder="1"/>
    <xf numFmtId="1" fontId="25" fillId="9" borderId="15" xfId="0" applyNumberFormat="1" applyFont="1" applyFill="1" applyBorder="1"/>
    <xf numFmtId="2" fontId="25" fillId="9" borderId="15" xfId="0" applyNumberFormat="1" applyFont="1" applyFill="1" applyBorder="1"/>
    <xf numFmtId="2" fontId="25" fillId="9" borderId="16" xfId="0" applyNumberFormat="1" applyFont="1" applyFill="1" applyBorder="1"/>
    <xf numFmtId="2" fontId="24" fillId="9" borderId="4" xfId="0" applyNumberFormat="1" applyFont="1" applyFill="1" applyBorder="1" applyAlignment="1">
      <alignment wrapText="1"/>
    </xf>
    <xf numFmtId="2" fontId="0" fillId="9" borderId="5" xfId="0" applyNumberFormat="1" applyFill="1" applyBorder="1"/>
    <xf numFmtId="2" fontId="0" fillId="9" borderId="6" xfId="0" applyNumberFormat="1" applyFill="1" applyBorder="1"/>
    <xf numFmtId="2" fontId="0" fillId="9" borderId="0" xfId="0" applyNumberFormat="1" applyFill="1" applyBorder="1"/>
    <xf numFmtId="2" fontId="24" fillId="9" borderId="4" xfId="0" applyNumberFormat="1" applyFont="1" applyFill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4574723983168"/>
          <c:y val="4.4243729939890335E-2"/>
          <c:w val="0.84601655074013049"/>
          <c:h val="0.79040903988709688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Envelope!$D$4:$D$17</c:f>
              <c:numCache>
                <c:formatCode>0.0</c:formatCode>
                <c:ptCount val="14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Envelope!$E$4:$E$17</c:f>
              <c:numCache>
                <c:formatCode>0</c:formatCode>
                <c:ptCount val="14"/>
                <c:pt idx="0">
                  <c:v>150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150</c:v>
                </c:pt>
                <c:pt idx="5">
                  <c:v>150</c:v>
                </c:pt>
                <c:pt idx="6">
                  <c:v>255</c:v>
                </c:pt>
                <c:pt idx="7">
                  <c:v>255</c:v>
                </c:pt>
                <c:pt idx="8">
                  <c:v>150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2"/>
          <c:order val="1"/>
          <c:tx>
            <c:v>Basic Empty Weight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Envelope!$A$3:$A$4</c:f>
              <c:numCache>
                <c:formatCode>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Envelope!$B$3:$B$4</c:f>
              <c:numCache>
                <c:formatCode>0</c:formatCode>
                <c:ptCount val="2"/>
                <c:pt idx="0">
                  <c:v>0</c:v>
                </c:pt>
                <c:pt idx="1">
                  <c:v>145</c:v>
                </c:pt>
              </c:numCache>
            </c:numRef>
          </c:yVal>
          <c:smooth val="0"/>
        </c:ser>
        <c:ser>
          <c:idx val="7"/>
          <c:order val="2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3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150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150</c:v>
                </c:pt>
                <c:pt idx="5">
                  <c:v>150</c:v>
                </c:pt>
                <c:pt idx="6">
                  <c:v>255</c:v>
                </c:pt>
                <c:pt idx="7">
                  <c:v>255</c:v>
                </c:pt>
                <c:pt idx="8">
                  <c:v>150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1"/>
          <c:order val="4"/>
          <c:spPr>
            <a:ln w="254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Envelope!$A$4:$A$6</c:f>
              <c:numCache>
                <c:formatCode>0</c:formatCode>
                <c:ptCount val="3"/>
                <c:pt idx="0">
                  <c:v>21</c:v>
                </c:pt>
                <c:pt idx="1">
                  <c:v>24.326086956521738</c:v>
                </c:pt>
                <c:pt idx="2">
                  <c:v>24.326086956521738</c:v>
                </c:pt>
              </c:numCache>
            </c:numRef>
          </c:xVal>
          <c:yVal>
            <c:numRef>
              <c:f>Envelope!$B$4:$B$6</c:f>
              <c:numCache>
                <c:formatCode>0</c:formatCode>
                <c:ptCount val="3"/>
                <c:pt idx="0">
                  <c:v>145</c:v>
                </c:pt>
                <c:pt idx="1">
                  <c:v>230</c:v>
                </c:pt>
                <c:pt idx="2">
                  <c:v>230</c:v>
                </c:pt>
              </c:numCache>
            </c:numRef>
          </c:yVal>
          <c:smooth val="0"/>
        </c:ser>
        <c:ser>
          <c:idx val="3"/>
          <c:order val="5"/>
          <c:tx>
            <c:v>Passengers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Envelope!$A$6:$A$8</c:f>
              <c:numCache>
                <c:formatCode>0</c:formatCode>
                <c:ptCount val="3"/>
                <c:pt idx="0">
                  <c:v>24.326086956521738</c:v>
                </c:pt>
                <c:pt idx="1">
                  <c:v>24.326086956521738</c:v>
                </c:pt>
                <c:pt idx="2">
                  <c:v>24.326086956521738</c:v>
                </c:pt>
              </c:numCache>
            </c:numRef>
          </c:xVal>
          <c:yVal>
            <c:numRef>
              <c:f>Envelope!$B$6:$B$8</c:f>
              <c:numCache>
                <c:formatCode>0</c:formatCode>
                <c:ptCount val="3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</c:numCache>
            </c:numRef>
          </c:yVal>
          <c:smooth val="0"/>
        </c:ser>
        <c:ser>
          <c:idx val="4"/>
          <c:order val="6"/>
          <c:tx>
            <c:v>Baggage</c:v>
          </c:tx>
          <c:spPr>
            <a:ln w="25400">
              <a:solidFill>
                <a:srgbClr val="6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Envelope!$A$8:$A$10</c:f>
              <c:numCache>
                <c:formatCode>0</c:formatCode>
                <c:ptCount val="3"/>
                <c:pt idx="0">
                  <c:v>24.326086956521738</c:v>
                </c:pt>
                <c:pt idx="1">
                  <c:v>24.547413793103448</c:v>
                </c:pt>
                <c:pt idx="2">
                  <c:v>24.547413793103448</c:v>
                </c:pt>
              </c:numCache>
            </c:numRef>
          </c:xVal>
          <c:yVal>
            <c:numRef>
              <c:f>Envelope!$B$8:$B$10</c:f>
              <c:numCache>
                <c:formatCode>0</c:formatCode>
                <c:ptCount val="3"/>
                <c:pt idx="0">
                  <c:v>230</c:v>
                </c:pt>
                <c:pt idx="1">
                  <c:v>232</c:v>
                </c:pt>
                <c:pt idx="2">
                  <c:v>232</c:v>
                </c:pt>
              </c:numCache>
            </c:numRef>
          </c:yVal>
          <c:smooth val="0"/>
        </c:ser>
        <c:ser>
          <c:idx val="5"/>
          <c:order val="7"/>
          <c:tx>
            <c:v>Fuel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Envelope!$A$10:$A$11</c:f>
              <c:numCache>
                <c:formatCode>0</c:formatCode>
                <c:ptCount val="2"/>
                <c:pt idx="0">
                  <c:v>24.547413793103448</c:v>
                </c:pt>
                <c:pt idx="1">
                  <c:v>22.98076923076923</c:v>
                </c:pt>
              </c:numCache>
            </c:numRef>
          </c:xVal>
          <c:yVal>
            <c:numRef>
              <c:f>Envelope!$B$10:$B$11</c:f>
              <c:numCache>
                <c:formatCode>0</c:formatCode>
                <c:ptCount val="2"/>
                <c:pt idx="0">
                  <c:v>232</c:v>
                </c:pt>
                <c:pt idx="1">
                  <c:v>260</c:v>
                </c:pt>
              </c:numCache>
            </c:numRef>
          </c:yVal>
          <c:smooth val="0"/>
        </c:ser>
        <c:ser>
          <c:idx val="6"/>
          <c:order val="8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840"/>
        <c:axId val="59494400"/>
      </c:scatterChart>
      <c:valAx>
        <c:axId val="59475840"/>
        <c:scaling>
          <c:orientation val="minMax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C.G. Location (Centimeter Aft Datum)</a:t>
                </a:r>
              </a:p>
            </c:rich>
          </c:tx>
          <c:layout>
            <c:manualLayout>
              <c:xMode val="edge"/>
              <c:yMode val="edge"/>
              <c:x val="0.28325167010736185"/>
              <c:y val="0.919568116630432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59494400"/>
        <c:crosses val="autoZero"/>
        <c:crossBetween val="midCat"/>
      </c:valAx>
      <c:valAx>
        <c:axId val="59494400"/>
        <c:scaling>
          <c:orientation val="minMax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Aircraft Weight (lbs)</a:t>
                </a:r>
              </a:p>
            </c:rich>
          </c:tx>
          <c:layout>
            <c:manualLayout>
              <c:xMode val="edge"/>
              <c:yMode val="edge"/>
              <c:x val="9.6656131440646491E-3"/>
              <c:y val="0.235294590496373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594758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1396792901864E-2"/>
          <c:y val="2.3170755852719337E-2"/>
          <c:w val="0.88109444735065168"/>
          <c:h val="0.84024477802755904"/>
        </c:manualLayout>
      </c:layout>
      <c:scatterChart>
        <c:scatterStyle val="lineMarker"/>
        <c:varyColors val="0"/>
        <c:ser>
          <c:idx val="0"/>
          <c:order val="0"/>
          <c:tx>
            <c:v>Envelope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Envelope!$D$4:$D$14</c:f>
              <c:numCache>
                <c:formatCode>0.0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Envelope!$E$4:$E$14</c:f>
              <c:numCache>
                <c:formatCode>0</c:formatCode>
                <c:ptCount val="11"/>
                <c:pt idx="0">
                  <c:v>150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150</c:v>
                </c:pt>
                <c:pt idx="5">
                  <c:v>150</c:v>
                </c:pt>
                <c:pt idx="6">
                  <c:v>255</c:v>
                </c:pt>
                <c:pt idx="7">
                  <c:v>255</c:v>
                </c:pt>
                <c:pt idx="8">
                  <c:v>150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7"/>
          <c:order val="1"/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Envelope!$D$19:$D$20</c:f>
              <c:numCache>
                <c:formatCode>0</c:formatCode>
                <c:ptCount val="2"/>
              </c:numCache>
            </c:numRef>
          </c:xVal>
          <c:yVal>
            <c:numRef>
              <c:f>Envelope!$E$19:$E$20</c:f>
              <c:numCache>
                <c:formatCode>0</c:formatCode>
                <c:ptCount val="2"/>
              </c:numCache>
            </c:numRef>
          </c:yVal>
          <c:smooth val="0"/>
        </c:ser>
        <c:ser>
          <c:idx val="8"/>
          <c:order val="2"/>
          <c:tx>
            <c:v>envelope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Envelope!$D$4:$D$15</c:f>
              <c:numCache>
                <c:formatCode>0.0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</c:numCache>
            </c:numRef>
          </c:xVal>
          <c:yVal>
            <c:numRef>
              <c:f>Envelope!$E$4:$E$15</c:f>
              <c:numCache>
                <c:formatCode>0</c:formatCode>
                <c:ptCount val="12"/>
                <c:pt idx="0">
                  <c:v>150</c:v>
                </c:pt>
                <c:pt idx="1">
                  <c:v>290</c:v>
                </c:pt>
                <c:pt idx="2">
                  <c:v>290</c:v>
                </c:pt>
                <c:pt idx="3">
                  <c:v>260</c:v>
                </c:pt>
                <c:pt idx="4">
                  <c:v>150</c:v>
                </c:pt>
                <c:pt idx="5">
                  <c:v>150</c:v>
                </c:pt>
                <c:pt idx="6">
                  <c:v>255</c:v>
                </c:pt>
                <c:pt idx="7">
                  <c:v>255</c:v>
                </c:pt>
                <c:pt idx="8">
                  <c:v>150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0"/>
        </c:ser>
        <c:ser>
          <c:idx val="6"/>
          <c:order val="3"/>
          <c:spPr>
            <a:ln w="254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Envelope!$D$16:$D$17</c:f>
              <c:numCache>
                <c:formatCode>0.0</c:formatCode>
                <c:ptCount val="2"/>
              </c:numCache>
            </c:numRef>
          </c:xVal>
          <c:yVal>
            <c:numRef>
              <c:f>Envelope!$E$16:$E$17</c:f>
              <c:numCache>
                <c:formatCode>0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1904"/>
        <c:axId val="69613824"/>
      </c:scatterChart>
      <c:valAx>
        <c:axId val="69611904"/>
        <c:scaling>
          <c:orientation val="minMax"/>
          <c:max val="32"/>
          <c:min val="1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C.G. Location (% of chord)</a:t>
                </a:r>
              </a:p>
            </c:rich>
          </c:tx>
          <c:layout>
            <c:manualLayout>
              <c:xMode val="edge"/>
              <c:yMode val="edge"/>
              <c:x val="0.28180756597042134"/>
              <c:y val="0.91707414401254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9613824"/>
        <c:crosses val="autoZero"/>
        <c:crossBetween val="midCat"/>
      </c:valAx>
      <c:valAx>
        <c:axId val="6961382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Aircraft Weight (kg)</a:t>
                </a:r>
              </a:p>
            </c:rich>
          </c:tx>
          <c:layout>
            <c:manualLayout>
              <c:xMode val="edge"/>
              <c:yMode val="edge"/>
              <c:x val="8.3233532934131743E-3"/>
              <c:y val="0.26707347101974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96119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0</xdr:col>
      <xdr:colOff>4171950</xdr:colOff>
      <xdr:row>18</xdr:row>
      <xdr:rowOff>1285875</xdr:rowOff>
    </xdr:to>
    <xdr:graphicFrame macro="">
      <xdr:nvGraphicFramePr>
        <xdr:cNvPr id="11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508635</xdr:colOff>
      <xdr:row>26</xdr:row>
      <xdr:rowOff>94957</xdr:rowOff>
    </xdr:from>
    <xdr:ext cx="2059543" cy="1028700"/>
    <xdr:sp macro="" textlink="">
      <xdr:nvSpPr>
        <xdr:cNvPr id="3" name="TextBox 2"/>
        <xdr:cNvSpPr txBox="1"/>
      </xdr:nvSpPr>
      <xdr:spPr>
        <a:xfrm>
          <a:off x="518160" y="5413717"/>
          <a:ext cx="2125980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Category	Load factors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Normal	+3.8g and -1.5g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Utility	+4.4g and -1.8g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/>
            <a:t>Acrobatic	</a:t>
          </a:r>
          <a:r>
            <a:rPr lang="en-AU" sz="1100" i="1"/>
            <a:t>+6.0g and -3.0g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0.30416</cdr:x>
      <cdr:y>0.51993</cdr:y>
    </cdr:from>
    <cdr:to>
      <cdr:x>0.45693</cdr:x>
      <cdr:y>0.54914</cdr:y>
    </cdr:to>
    <cdr:sp macro="" textlink="">
      <cdr:nvSpPr>
        <cdr:cNvPr id="6963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8662" y="1981432"/>
          <a:ext cx="627163" cy="111319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70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0.61706</cdr:x>
      <cdr:y>0.35328</cdr:y>
    </cdr:from>
    <cdr:to>
      <cdr:x>0.78685</cdr:x>
      <cdr:y>0.38249</cdr:y>
    </cdr:to>
    <cdr:sp macro="" textlink="">
      <cdr:nvSpPr>
        <cdr:cNvPr id="69635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3204" y="1346359"/>
          <a:ext cx="697035" cy="111319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>
            <a:alpha val="39999"/>
          </a:srgbClr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70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123825</xdr:rowOff>
    </xdr:from>
    <xdr:to>
      <xdr:col>16</xdr:col>
      <xdr:colOff>323850</xdr:colOff>
      <xdr:row>41</xdr:row>
      <xdr:rowOff>133350</xdr:rowOff>
    </xdr:to>
    <xdr:graphicFrame macro="">
      <xdr:nvGraphicFramePr>
        <xdr:cNvPr id="195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0.31493</cdr:x>
      <cdr:y>0.40244</cdr:y>
    </cdr:from>
    <cdr:to>
      <cdr:x>0.44786</cdr:x>
      <cdr:y>0.42751</cdr:y>
    </cdr:to>
    <cdr:sp macro="" textlink="">
      <cdr:nvSpPr>
        <cdr:cNvPr id="70658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4564" y="2603797"/>
          <a:ext cx="850340" cy="162202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950" b="0" i="0" strike="noStrike">
              <a:solidFill>
                <a:srgbClr val="000000"/>
              </a:solidFill>
              <a:latin typeface="Arial"/>
              <a:cs typeface="Arial"/>
            </a:rPr>
            <a:t>Utility Category</a:t>
          </a:r>
        </a:p>
      </cdr:txBody>
    </cdr:sp>
  </cdr:relSizeAnchor>
  <cdr:relSizeAnchor xmlns:cdr="http://schemas.openxmlformats.org/drawingml/2006/chartDrawing">
    <cdr:from>
      <cdr:x>0.56451</cdr:x>
      <cdr:y>0.32625</cdr:y>
    </cdr:from>
    <cdr:to>
      <cdr:x>0.71105</cdr:x>
      <cdr:y>0.35191</cdr:y>
    </cdr:to>
    <cdr:sp macro="" textlink="">
      <cdr:nvSpPr>
        <cdr:cNvPr id="7065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1113" y="2110847"/>
          <a:ext cx="937402" cy="166019"/>
        </a:xfrm>
        <a:prstGeom xmlns:a="http://schemas.openxmlformats.org/drawingml/2006/main" prst="rect">
          <a:avLst/>
        </a:prstGeom>
        <a:solidFill xmlns:a="http://schemas.openxmlformats.org/drawingml/2006/main">
          <a:srgbClr val="C0C0C0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950" b="0" i="0" strike="noStrike">
              <a:solidFill>
                <a:srgbClr val="000000"/>
              </a:solidFill>
              <a:latin typeface="Arial"/>
              <a:cs typeface="Arial"/>
            </a:rPr>
            <a:t>Normal Category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mp/Aviation/RV-8/Mass&amp;Balance/zsw.weight%20&amp;%20balance-dawi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. W&amp;B"/>
      <sheetName val="Empty"/>
    </sheetNames>
    <sheetDataSet>
      <sheetData sheetId="0"/>
      <sheetData sheetId="1">
        <row r="16">
          <cell r="E16">
            <v>513.29999999999995</v>
          </cell>
        </row>
        <row r="19">
          <cell r="E19">
            <v>93399.900000000009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69696"/>
        </a:solidFill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18288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GridLines="0" showOutlineSymbols="0" zoomScale="145" zoomScaleNormal="145" workbookViewId="0">
      <selection activeCell="C25" sqref="C25"/>
    </sheetView>
  </sheetViews>
  <sheetFormatPr defaultRowHeight="12.75" customHeight="1" x14ac:dyDescent="0.2"/>
  <cols>
    <col min="1" max="1" width="63.42578125" style="2" customWidth="1"/>
    <col min="2" max="2" width="19.28515625" style="2" customWidth="1"/>
    <col min="3" max="3" width="0.28515625" style="2" customWidth="1"/>
    <col min="4" max="4" width="10.7109375" style="2" customWidth="1"/>
    <col min="5" max="5" width="0.28515625" style="2" customWidth="1"/>
    <col min="6" max="6" width="8.140625" style="2" customWidth="1"/>
    <col min="7" max="7" width="0.28515625" style="2" customWidth="1"/>
    <col min="8" max="8" width="7.42578125" style="2" customWidth="1"/>
    <col min="9" max="9" width="0.28515625" style="2" customWidth="1"/>
    <col min="10" max="10" width="9.140625" style="2"/>
    <col min="11" max="11" width="7" style="2" customWidth="1"/>
    <col min="12" max="12" width="9.140625" style="55"/>
    <col min="13" max="13" width="8.85546875" style="55" customWidth="1"/>
    <col min="14" max="16" width="3.5703125" style="55" bestFit="1" customWidth="1"/>
    <col min="17" max="17" width="4.42578125" style="2" customWidth="1"/>
    <col min="18" max="18" width="4.85546875" style="2" bestFit="1" customWidth="1"/>
    <col min="19" max="19" width="9.140625" style="2"/>
    <col min="20" max="20" width="5.7109375" style="2" bestFit="1" customWidth="1"/>
    <col min="21" max="16384" width="9.140625" style="2"/>
  </cols>
  <sheetData>
    <row r="1" spans="1:20" ht="24" customHeight="1" x14ac:dyDescent="0.3">
      <c r="A1" s="1"/>
      <c r="B1" s="1"/>
      <c r="C1" s="1"/>
      <c r="D1" s="1"/>
      <c r="E1" s="36" t="s">
        <v>53</v>
      </c>
      <c r="H1" s="1"/>
      <c r="I1" s="1"/>
      <c r="J1" s="1"/>
    </row>
    <row r="2" spans="1:20" ht="12.75" customHeight="1" x14ac:dyDescent="0.2">
      <c r="A2" s="1"/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1:20" ht="12.75" customHeight="1" x14ac:dyDescent="0.2">
      <c r="B3" s="3"/>
      <c r="C3" s="32"/>
      <c r="D3" s="14" t="s">
        <v>0</v>
      </c>
      <c r="F3" s="14" t="s">
        <v>1</v>
      </c>
      <c r="G3" s="15"/>
      <c r="H3" s="14" t="s">
        <v>2</v>
      </c>
      <c r="I3" s="15"/>
      <c r="J3" s="14" t="s">
        <v>3</v>
      </c>
      <c r="K3" s="4"/>
    </row>
    <row r="4" spans="1:20" ht="12.75" customHeight="1" x14ac:dyDescent="0.2">
      <c r="B4" s="2" t="s">
        <v>4</v>
      </c>
      <c r="C4" s="32"/>
      <c r="D4" s="46">
        <v>145</v>
      </c>
      <c r="F4" s="2">
        <f t="shared" ref="F4:F9" si="0">D4</f>
        <v>145</v>
      </c>
      <c r="H4" s="28">
        <v>21</v>
      </c>
      <c r="I4" s="5"/>
      <c r="J4" s="6">
        <f>+F4*H4</f>
        <v>3045</v>
      </c>
      <c r="K4" s="5"/>
      <c r="L4" s="2"/>
      <c r="M4" s="32"/>
      <c r="N4" s="2"/>
      <c r="O4" s="2"/>
      <c r="P4" s="2"/>
      <c r="R4" s="28"/>
      <c r="S4" s="5"/>
      <c r="T4" s="6"/>
    </row>
    <row r="5" spans="1:20" ht="12.75" customHeight="1" x14ac:dyDescent="0.3">
      <c r="B5" s="19" t="s">
        <v>5</v>
      </c>
      <c r="C5" s="18"/>
      <c r="D5" s="47">
        <v>85</v>
      </c>
      <c r="E5" s="19"/>
      <c r="F5" s="19">
        <f t="shared" si="0"/>
        <v>85</v>
      </c>
      <c r="G5" s="19"/>
      <c r="H5" s="29">
        <v>30</v>
      </c>
      <c r="I5" s="20"/>
      <c r="J5" s="21">
        <f>F5*H5</f>
        <v>2550</v>
      </c>
      <c r="K5" s="7"/>
      <c r="L5" s="19"/>
      <c r="M5" s="18"/>
      <c r="N5" s="19"/>
      <c r="O5" s="19"/>
      <c r="P5" s="19"/>
      <c r="Q5" s="19"/>
      <c r="R5" s="29"/>
      <c r="S5" s="20"/>
      <c r="T5" s="21"/>
    </row>
    <row r="6" spans="1:20" ht="12.75" hidden="1" customHeight="1" x14ac:dyDescent="0.3">
      <c r="B6" s="19" t="s">
        <v>16</v>
      </c>
      <c r="C6" s="19"/>
      <c r="D6" s="47">
        <v>0</v>
      </c>
      <c r="E6" s="19"/>
      <c r="F6" s="19">
        <v>0</v>
      </c>
      <c r="G6" s="19"/>
      <c r="H6" s="29">
        <v>0</v>
      </c>
      <c r="I6" s="20"/>
      <c r="J6" s="21">
        <f>F6*H6</f>
        <v>0</v>
      </c>
      <c r="K6" s="8"/>
      <c r="L6" s="19"/>
      <c r="M6" s="19"/>
      <c r="N6" s="19"/>
      <c r="O6" s="19"/>
      <c r="P6" s="19"/>
      <c r="Q6" s="19"/>
      <c r="R6" s="29"/>
      <c r="S6" s="20"/>
      <c r="T6" s="21"/>
    </row>
    <row r="7" spans="1:20" ht="12.75" hidden="1" customHeight="1" x14ac:dyDescent="0.3">
      <c r="B7" s="22"/>
      <c r="C7" s="19"/>
      <c r="D7" s="47"/>
      <c r="E7" s="33"/>
      <c r="F7" s="19">
        <f t="shared" si="0"/>
        <v>0</v>
      </c>
      <c r="G7" s="33"/>
      <c r="H7" s="34"/>
      <c r="I7" s="35"/>
      <c r="J7" s="21"/>
      <c r="K7" s="8"/>
      <c r="L7" s="22"/>
      <c r="M7" s="19"/>
      <c r="N7" s="33"/>
      <c r="O7" s="33"/>
      <c r="P7" s="33"/>
      <c r="Q7" s="33"/>
      <c r="R7" s="34"/>
      <c r="S7" s="35"/>
      <c r="T7" s="21"/>
    </row>
    <row r="8" spans="1:20" ht="12.75" hidden="1" customHeight="1" x14ac:dyDescent="0.3">
      <c r="B8" s="22" t="s">
        <v>19</v>
      </c>
      <c r="C8" s="22"/>
      <c r="D8" s="47">
        <v>0</v>
      </c>
      <c r="E8" s="22"/>
      <c r="F8" s="19">
        <v>0</v>
      </c>
      <c r="G8" s="22"/>
      <c r="H8" s="30">
        <v>0</v>
      </c>
      <c r="I8" s="23"/>
      <c r="J8" s="21">
        <f>+H8*F8</f>
        <v>0</v>
      </c>
      <c r="K8" s="9"/>
      <c r="L8" s="22"/>
      <c r="M8" s="22"/>
      <c r="N8" s="22"/>
      <c r="O8" s="22"/>
      <c r="P8" s="33"/>
      <c r="Q8" s="22"/>
      <c r="R8" s="30"/>
      <c r="S8" s="23"/>
      <c r="T8" s="21"/>
    </row>
    <row r="9" spans="1:20" ht="12.75" customHeight="1" x14ac:dyDescent="0.3">
      <c r="B9" s="22" t="s">
        <v>18</v>
      </c>
      <c r="C9" s="22"/>
      <c r="D9" s="47">
        <v>2</v>
      </c>
      <c r="E9" s="22"/>
      <c r="F9" s="19">
        <f t="shared" si="0"/>
        <v>2</v>
      </c>
      <c r="G9" s="22"/>
      <c r="H9" s="30">
        <v>50</v>
      </c>
      <c r="I9" s="23"/>
      <c r="J9" s="21">
        <f>+H9*F9</f>
        <v>100</v>
      </c>
      <c r="K9" s="9"/>
      <c r="L9" s="22"/>
      <c r="M9" s="22"/>
      <c r="N9" s="22"/>
      <c r="O9" s="22"/>
      <c r="P9" s="33"/>
      <c r="Q9" s="22"/>
      <c r="R9" s="30"/>
      <c r="S9" s="23"/>
      <c r="T9" s="21"/>
    </row>
    <row r="10" spans="1:20" ht="12.75" hidden="1" customHeight="1" x14ac:dyDescent="0.3">
      <c r="B10" s="22" t="s">
        <v>20</v>
      </c>
      <c r="C10" s="22"/>
      <c r="D10" s="47">
        <v>0</v>
      </c>
      <c r="E10" s="22"/>
      <c r="F10" s="19">
        <v>0</v>
      </c>
      <c r="G10" s="22"/>
      <c r="H10" s="30">
        <v>0</v>
      </c>
      <c r="I10" s="27"/>
      <c r="J10" s="21">
        <f>+H10*F10</f>
        <v>0</v>
      </c>
      <c r="K10" s="9"/>
      <c r="L10" s="22"/>
      <c r="M10" s="22"/>
      <c r="N10" s="22"/>
      <c r="O10" s="22"/>
      <c r="P10" s="33"/>
      <c r="Q10" s="22"/>
      <c r="R10" s="30"/>
      <c r="S10" s="27"/>
      <c r="T10" s="21"/>
    </row>
    <row r="11" spans="1:20" ht="12.75" customHeight="1" x14ac:dyDescent="0.3">
      <c r="B11" s="24" t="s">
        <v>52</v>
      </c>
      <c r="C11" s="25"/>
      <c r="D11" s="48">
        <v>40</v>
      </c>
      <c r="E11" s="25"/>
      <c r="F11" s="24">
        <f>+D11*0.7</f>
        <v>28</v>
      </c>
      <c r="G11" s="24"/>
      <c r="H11" s="31">
        <v>10</v>
      </c>
      <c r="I11" s="26"/>
      <c r="J11" s="21">
        <f>F11*H11</f>
        <v>280</v>
      </c>
      <c r="K11" s="10"/>
      <c r="L11" s="24"/>
      <c r="M11" s="25"/>
      <c r="N11" s="24"/>
      <c r="O11" s="25"/>
      <c r="P11" s="24"/>
      <c r="Q11" s="24"/>
      <c r="R11" s="31"/>
      <c r="S11" s="26"/>
      <c r="T11" s="21"/>
    </row>
    <row r="12" spans="1:20" ht="12.75" customHeight="1" x14ac:dyDescent="0.2">
      <c r="B12" s="11" t="s">
        <v>21</v>
      </c>
      <c r="C12" s="12"/>
      <c r="D12" s="11"/>
      <c r="E12" s="12"/>
      <c r="F12" s="43">
        <f>SUM(F4:F11)</f>
        <v>260</v>
      </c>
      <c r="G12" s="44"/>
      <c r="H12" s="42">
        <f>J12/F12</f>
        <v>22.98076923076923</v>
      </c>
      <c r="I12" s="5"/>
      <c r="J12" s="13">
        <f>SUM(J4:J11)</f>
        <v>5975</v>
      </c>
      <c r="K12" s="5"/>
    </row>
    <row r="13" spans="1:20" ht="12.75" customHeight="1" x14ac:dyDescent="0.2">
      <c r="B13" s="17"/>
      <c r="H13" s="5"/>
      <c r="I13" s="5"/>
      <c r="J13" s="5"/>
      <c r="K13" s="5"/>
    </row>
    <row r="14" spans="1:20" ht="12.75" customHeight="1" x14ac:dyDescent="0.2">
      <c r="B14" s="37" t="s">
        <v>6</v>
      </c>
      <c r="H14" s="5"/>
      <c r="I14" s="5"/>
      <c r="J14" s="5"/>
      <c r="K14" s="5"/>
    </row>
    <row r="15" spans="1:20" ht="12.75" customHeight="1" x14ac:dyDescent="0.2">
      <c r="B15" s="37" t="s">
        <v>54</v>
      </c>
      <c r="H15" s="5"/>
      <c r="I15" s="5"/>
      <c r="J15" s="5"/>
      <c r="K15" s="5"/>
    </row>
    <row r="16" spans="1:20" ht="12.75" customHeight="1" x14ac:dyDescent="0.2">
      <c r="B16" s="17"/>
    </row>
    <row r="17" spans="1:2" ht="12.75" customHeight="1" x14ac:dyDescent="0.2">
      <c r="B17" s="17"/>
    </row>
    <row r="18" spans="1:2" ht="12.75" customHeight="1" x14ac:dyDescent="0.2">
      <c r="B18" s="17"/>
    </row>
    <row r="19" spans="1:2" ht="105" customHeight="1" x14ac:dyDescent="0.2"/>
    <row r="20" spans="1:2" ht="12.75" customHeight="1" x14ac:dyDescent="0.2">
      <c r="A20" s="38" t="s">
        <v>7</v>
      </c>
    </row>
    <row r="21" spans="1:2" ht="12.75" customHeight="1" x14ac:dyDescent="0.2">
      <c r="A21" s="38" t="s">
        <v>8</v>
      </c>
    </row>
    <row r="23" spans="1:2" ht="12.75" customHeight="1" x14ac:dyDescent="0.2">
      <c r="A23" s="38" t="s">
        <v>9</v>
      </c>
    </row>
    <row r="24" spans="1:2" ht="12.75" customHeight="1" x14ac:dyDescent="0.2">
      <c r="A24" s="2" t="s">
        <v>17</v>
      </c>
    </row>
    <row r="25" spans="1:2" ht="12.75" customHeight="1" x14ac:dyDescent="0.2">
      <c r="A25" s="2" t="s">
        <v>22</v>
      </c>
    </row>
  </sheetData>
  <phoneticPr fontId="15" type="noConversion"/>
  <conditionalFormatting sqref="F12">
    <cfRule type="cellIs" dxfId="11" priority="1" stopIfTrue="1" operator="between">
      <formula>495</formula>
      <formula>818</formula>
    </cfRule>
    <cfRule type="cellIs" dxfId="10" priority="4" stopIfTrue="1" operator="greaterThan">
      <formula>818</formula>
    </cfRule>
  </conditionalFormatting>
  <conditionalFormatting sqref="H12">
    <cfRule type="cellIs" dxfId="9" priority="2" stopIfTrue="1" operator="between">
      <formula>199.9</formula>
      <formula>220.5</formula>
    </cfRule>
    <cfRule type="cellIs" dxfId="8" priority="3" stopIfTrue="1" operator="lessThan">
      <formula>199.9</formula>
    </cfRule>
  </conditionalFormatting>
  <printOptions horizontalCentered="1"/>
  <pageMargins left="0" right="0" top="0.55118110236220474" bottom="0.15748031496062992" header="0.51181102362204722" footer="0.51181102362204722"/>
  <pageSetup paperSize="9" scale="84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B1" zoomScale="115" zoomScaleNormal="115" workbookViewId="0">
      <selection activeCell="W20" sqref="W20"/>
    </sheetView>
  </sheetViews>
  <sheetFormatPr defaultRowHeight="12.75" x14ac:dyDescent="0.2"/>
  <cols>
    <col min="1" max="1" width="6.7109375" style="16" customWidth="1"/>
    <col min="2" max="2" width="8.28515625" style="16" customWidth="1"/>
    <col min="3" max="3" width="9.7109375" style="16" customWidth="1"/>
    <col min="4" max="4" width="9.140625" style="16" customWidth="1"/>
    <col min="5" max="5" width="5.28515625" style="16" customWidth="1"/>
  </cols>
  <sheetData>
    <row r="1" spans="1:16" x14ac:dyDescent="0.2">
      <c r="D1" s="16" t="s">
        <v>10</v>
      </c>
    </row>
    <row r="2" spans="1:16" x14ac:dyDescent="0.2">
      <c r="D2" s="16" t="s">
        <v>11</v>
      </c>
      <c r="E2" s="16" t="s">
        <v>12</v>
      </c>
      <c r="L2" t="s">
        <v>50</v>
      </c>
      <c r="O2" t="s">
        <v>23</v>
      </c>
    </row>
    <row r="3" spans="1:16" x14ac:dyDescent="0.2">
      <c r="A3" s="16">
        <f>A4</f>
        <v>21</v>
      </c>
      <c r="B3" s="16">
        <v>0</v>
      </c>
      <c r="H3" t="s">
        <v>51</v>
      </c>
    </row>
    <row r="4" spans="1:16" x14ac:dyDescent="0.2">
      <c r="A4" s="16">
        <f t="shared" ref="A4:A9" si="0">C4/B4</f>
        <v>21</v>
      </c>
      <c r="B4" s="16">
        <f>WBSARA!F4</f>
        <v>145</v>
      </c>
      <c r="C4" s="16">
        <f>WBSARA!J4</f>
        <v>3045</v>
      </c>
      <c r="D4" s="49">
        <v>21</v>
      </c>
      <c r="E4" s="40">
        <v>150</v>
      </c>
      <c r="G4" s="40">
        <f>+H4/2.2</f>
        <v>154.54545454545453</v>
      </c>
      <c r="H4" s="40">
        <v>340</v>
      </c>
      <c r="L4" s="40">
        <f>495+5</f>
        <v>500</v>
      </c>
      <c r="M4" s="40"/>
      <c r="O4" s="49"/>
      <c r="P4" s="40"/>
    </row>
    <row r="5" spans="1:16" x14ac:dyDescent="0.2">
      <c r="A5" s="16">
        <f t="shared" si="0"/>
        <v>24.326086956521738</v>
      </c>
      <c r="B5" s="16">
        <f>WBSARA!F5+B4</f>
        <v>230</v>
      </c>
      <c r="C5" s="16">
        <f>WBSARA!J5+C4</f>
        <v>5595</v>
      </c>
      <c r="D5" s="49">
        <v>21</v>
      </c>
      <c r="E5" s="40">
        <v>290</v>
      </c>
      <c r="G5" s="40">
        <f t="shared" ref="G5:G14" si="1">+H5/2.2</f>
        <v>290.90909090909088</v>
      </c>
      <c r="H5" s="40">
        <v>640</v>
      </c>
      <c r="L5" s="40">
        <v>816</v>
      </c>
      <c r="M5" s="40"/>
      <c r="O5" s="49"/>
      <c r="P5" s="40"/>
    </row>
    <row r="6" spans="1:16" x14ac:dyDescent="0.2">
      <c r="A6" s="16">
        <f t="shared" si="0"/>
        <v>24.326086956521738</v>
      </c>
      <c r="B6" s="16">
        <f>WBSARA!F6+B5</f>
        <v>230</v>
      </c>
      <c r="C6" s="16">
        <f>WBSARA!J6+C5</f>
        <v>5595</v>
      </c>
      <c r="D6" s="49">
        <v>28</v>
      </c>
      <c r="E6" s="40">
        <v>290</v>
      </c>
      <c r="G6" s="40">
        <f t="shared" si="1"/>
        <v>290.90909090909088</v>
      </c>
      <c r="H6" s="40">
        <v>640</v>
      </c>
      <c r="L6" s="40">
        <v>816</v>
      </c>
      <c r="M6" s="40"/>
      <c r="O6" s="49"/>
      <c r="P6" s="40"/>
    </row>
    <row r="7" spans="1:16" x14ac:dyDescent="0.2">
      <c r="A7" s="16">
        <f t="shared" si="0"/>
        <v>24.326086956521738</v>
      </c>
      <c r="B7" s="16">
        <f>WBSARA!F7+B6</f>
        <v>230</v>
      </c>
      <c r="C7" s="16">
        <f>WBSARA!J7+C6</f>
        <v>5595</v>
      </c>
      <c r="D7" s="49">
        <v>30</v>
      </c>
      <c r="E7" s="40">
        <v>260</v>
      </c>
      <c r="G7" s="40">
        <f t="shared" si="1"/>
        <v>259.09090909090907</v>
      </c>
      <c r="H7" s="40">
        <v>570</v>
      </c>
      <c r="L7" s="40">
        <v>500</v>
      </c>
      <c r="M7" s="40"/>
      <c r="O7" s="49"/>
      <c r="P7" s="40"/>
    </row>
    <row r="8" spans="1:16" x14ac:dyDescent="0.2">
      <c r="A8" s="16">
        <f t="shared" si="0"/>
        <v>24.326086956521738</v>
      </c>
      <c r="B8" s="16">
        <f>WBSARA!F8+B7</f>
        <v>230</v>
      </c>
      <c r="C8" s="16">
        <f>WBSARA!J8+C7</f>
        <v>5595</v>
      </c>
      <c r="D8" s="49">
        <v>30</v>
      </c>
      <c r="E8" s="40">
        <v>150</v>
      </c>
      <c r="G8" s="40">
        <f t="shared" si="1"/>
        <v>154.54545454545453</v>
      </c>
      <c r="H8" s="40">
        <v>340</v>
      </c>
      <c r="L8" s="40">
        <f>495+5</f>
        <v>500</v>
      </c>
      <c r="M8" s="40"/>
      <c r="O8" s="49"/>
      <c r="P8" s="40"/>
    </row>
    <row r="9" spans="1:16" x14ac:dyDescent="0.2">
      <c r="A9" s="16">
        <f t="shared" si="0"/>
        <v>24.547413793103448</v>
      </c>
      <c r="B9" s="16">
        <f>WBSARA!F9+B8</f>
        <v>232</v>
      </c>
      <c r="C9" s="16">
        <f>WBSARA!J9+C8</f>
        <v>5695</v>
      </c>
      <c r="D9" s="49">
        <v>21</v>
      </c>
      <c r="E9" s="40">
        <v>150</v>
      </c>
      <c r="G9" s="40">
        <f t="shared" si="1"/>
        <v>154.54545454545453</v>
      </c>
      <c r="H9" s="40">
        <v>340</v>
      </c>
      <c r="L9" s="40">
        <f>495+5</f>
        <v>500</v>
      </c>
      <c r="M9" s="40"/>
      <c r="O9" s="49"/>
      <c r="P9" s="40"/>
    </row>
    <row r="10" spans="1:16" x14ac:dyDescent="0.2">
      <c r="A10" s="16">
        <f>C10/B10</f>
        <v>24.547413793103448</v>
      </c>
      <c r="B10" s="16">
        <f>WBSARA!F10+B9</f>
        <v>232</v>
      </c>
      <c r="C10" s="16">
        <f>WBSARA!J10+C9</f>
        <v>5695</v>
      </c>
      <c r="D10" s="51">
        <v>21</v>
      </c>
      <c r="E10" s="40">
        <v>255</v>
      </c>
      <c r="G10" s="40">
        <f t="shared" si="1"/>
        <v>254.54545454545453</v>
      </c>
      <c r="H10" s="52">
        <v>560</v>
      </c>
      <c r="L10" s="52">
        <f>727-27</f>
        <v>700</v>
      </c>
      <c r="M10" s="40"/>
      <c r="O10" s="49"/>
      <c r="P10" s="40"/>
    </row>
    <row r="11" spans="1:16" x14ac:dyDescent="0.2">
      <c r="A11" s="16">
        <f>C11/B11</f>
        <v>22.98076923076923</v>
      </c>
      <c r="B11" s="16">
        <f>WBSARA!F11+B10</f>
        <v>260</v>
      </c>
      <c r="C11" s="16">
        <f>WBSARA!J11+C10</f>
        <v>5975</v>
      </c>
      <c r="D11" s="51">
        <v>24</v>
      </c>
      <c r="E11" s="40">
        <v>255</v>
      </c>
      <c r="G11" s="40">
        <f t="shared" si="1"/>
        <v>254.54545454545453</v>
      </c>
      <c r="H11" s="52">
        <v>560</v>
      </c>
      <c r="L11" s="52">
        <f>727-27</f>
        <v>700</v>
      </c>
      <c r="M11" s="40"/>
      <c r="O11" s="49"/>
      <c r="P11" s="40"/>
    </row>
    <row r="12" spans="1:16" x14ac:dyDescent="0.2">
      <c r="A12" s="16">
        <f>A11</f>
        <v>22.98076923076923</v>
      </c>
      <c r="D12" s="51">
        <v>24</v>
      </c>
      <c r="E12" s="40">
        <v>150</v>
      </c>
      <c r="G12" s="40">
        <f t="shared" si="1"/>
        <v>154.54545454545453</v>
      </c>
      <c r="H12" s="52">
        <v>340</v>
      </c>
      <c r="L12" s="52">
        <f>495+5</f>
        <v>500</v>
      </c>
      <c r="M12" s="40"/>
      <c r="O12" s="49"/>
      <c r="P12" s="40"/>
    </row>
    <row r="13" spans="1:16" x14ac:dyDescent="0.2">
      <c r="A13" s="16">
        <f>A12</f>
        <v>22.98076923076923</v>
      </c>
      <c r="D13" s="53">
        <v>24</v>
      </c>
      <c r="E13" s="40">
        <v>255</v>
      </c>
      <c r="G13" s="40">
        <f t="shared" si="1"/>
        <v>254.54545454545453</v>
      </c>
      <c r="H13" s="54">
        <v>560</v>
      </c>
      <c r="L13" s="54">
        <v>770</v>
      </c>
      <c r="M13" s="40"/>
      <c r="O13" s="49"/>
      <c r="P13" s="40"/>
    </row>
    <row r="14" spans="1:16" x14ac:dyDescent="0.2">
      <c r="D14" s="53">
        <v>21</v>
      </c>
      <c r="E14" s="40">
        <v>255</v>
      </c>
      <c r="G14" s="40">
        <f t="shared" si="1"/>
        <v>254.54545454545453</v>
      </c>
      <c r="H14" s="54">
        <v>560</v>
      </c>
      <c r="L14" s="54">
        <v>770</v>
      </c>
      <c r="M14" s="40"/>
      <c r="O14" s="49"/>
      <c r="P14" s="40"/>
    </row>
    <row r="15" spans="1:16" x14ac:dyDescent="0.2">
      <c r="D15" s="28"/>
      <c r="H15" s="16"/>
      <c r="I15" s="45"/>
      <c r="L15" s="16"/>
      <c r="O15" s="28"/>
      <c r="P15" s="16"/>
    </row>
    <row r="16" spans="1:16" x14ac:dyDescent="0.2">
      <c r="D16" s="50"/>
      <c r="E16" s="41"/>
      <c r="H16" s="41"/>
      <c r="L16" s="41">
        <v>816</v>
      </c>
      <c r="O16" s="50"/>
      <c r="P16" s="41"/>
    </row>
    <row r="17" spans="3:16" x14ac:dyDescent="0.2">
      <c r="D17" s="50"/>
      <c r="E17" s="41"/>
      <c r="H17" s="41"/>
      <c r="L17" s="41">
        <f>495+5</f>
        <v>500</v>
      </c>
      <c r="O17" s="50"/>
      <c r="P17" s="41"/>
    </row>
    <row r="20" spans="3:16" x14ac:dyDescent="0.2">
      <c r="C20" s="39"/>
    </row>
    <row r="21" spans="3:16" x14ac:dyDescent="0.2">
      <c r="C21" s="39"/>
    </row>
    <row r="22" spans="3:16" x14ac:dyDescent="0.2">
      <c r="C22" s="39"/>
    </row>
    <row r="23" spans="3:16" x14ac:dyDescent="0.2">
      <c r="C23" s="39"/>
    </row>
    <row r="24" spans="3:16" x14ac:dyDescent="0.2">
      <c r="C24" s="39"/>
    </row>
    <row r="25" spans="3:16" x14ac:dyDescent="0.2">
      <c r="C25" s="39"/>
    </row>
    <row r="26" spans="3:16" x14ac:dyDescent="0.2">
      <c r="C26" s="39"/>
    </row>
    <row r="27" spans="3:16" x14ac:dyDescent="0.2">
      <c r="C27" s="39"/>
    </row>
    <row r="28" spans="3:16" x14ac:dyDescent="0.2">
      <c r="C28" s="39"/>
    </row>
    <row r="29" spans="3:16" x14ac:dyDescent="0.2">
      <c r="C29" s="39"/>
    </row>
    <row r="30" spans="3:16" x14ac:dyDescent="0.2">
      <c r="C30" s="39"/>
    </row>
    <row r="32" spans="3:16" x14ac:dyDescent="0.2">
      <c r="P32" t="s">
        <v>49</v>
      </c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B3" sqref="B3"/>
    </sheetView>
  </sheetViews>
  <sheetFormatPr defaultColWidth="8.85546875" defaultRowHeight="12.75" x14ac:dyDescent="0.2"/>
  <cols>
    <col min="1" max="1" width="12.7109375" style="57" customWidth="1"/>
    <col min="2" max="2" width="6.5703125" style="57" customWidth="1"/>
    <col min="3" max="3" width="4.7109375" style="57" customWidth="1"/>
    <col min="4" max="4" width="32.28515625" style="57" bestFit="1" customWidth="1"/>
    <col min="5" max="5" width="12.140625" style="57" customWidth="1"/>
    <col min="6" max="6" width="17.42578125" style="57" customWidth="1"/>
    <col min="7" max="7" width="14.28515625" style="57" customWidth="1"/>
    <col min="8" max="8" width="6.7109375" style="57" customWidth="1"/>
    <col min="9" max="9" width="9.7109375" style="57" bestFit="1" customWidth="1"/>
    <col min="10" max="10" width="8.140625" style="57" bestFit="1" customWidth="1"/>
    <col min="11" max="11" width="5.7109375" style="57" customWidth="1"/>
    <col min="12" max="12" width="9.85546875" style="57" bestFit="1" customWidth="1"/>
    <col min="13" max="13" width="5.28515625" style="57" customWidth="1"/>
    <col min="14" max="14" width="6.140625" style="57" customWidth="1"/>
    <col min="15" max="15" width="13.140625" style="57" customWidth="1"/>
    <col min="16" max="16" width="12.85546875" style="57" customWidth="1"/>
    <col min="17" max="17" width="8.85546875" style="57"/>
    <col min="18" max="18" width="9.28515625" style="57" bestFit="1" customWidth="1"/>
    <col min="19" max="19" width="5.7109375" style="57" customWidth="1"/>
    <col min="20" max="16384" width="8.85546875" style="57"/>
  </cols>
  <sheetData>
    <row r="1" spans="1:19" ht="33" x14ac:dyDescent="0.6">
      <c r="A1" s="56" t="s">
        <v>24</v>
      </c>
      <c r="G1" s="58">
        <v>41777</v>
      </c>
    </row>
    <row r="2" spans="1:19" ht="21" customHeight="1" x14ac:dyDescent="0.6">
      <c r="A2" s="56"/>
    </row>
    <row r="3" spans="1:19" ht="29.25" x14ac:dyDescent="0.6">
      <c r="A3" s="59" t="s">
        <v>25</v>
      </c>
    </row>
    <row r="4" spans="1:19" ht="18" customHeight="1" x14ac:dyDescent="0.6">
      <c r="A4" s="59"/>
    </row>
    <row r="5" spans="1:19" ht="18" customHeight="1" x14ac:dyDescent="0.4">
      <c r="A5" s="60" t="s">
        <v>26</v>
      </c>
    </row>
    <row r="6" spans="1:19" ht="19.5" x14ac:dyDescent="0.4">
      <c r="D6" s="61" t="s">
        <v>27</v>
      </c>
    </row>
    <row r="7" spans="1:19" x14ac:dyDescent="0.2">
      <c r="O7" s="62" t="s">
        <v>28</v>
      </c>
      <c r="P7" s="62"/>
      <c r="Q7" s="62"/>
      <c r="R7" s="62"/>
      <c r="S7" s="63"/>
    </row>
    <row r="8" spans="1:19" ht="16.5" x14ac:dyDescent="0.35">
      <c r="D8" s="64" t="s">
        <v>29</v>
      </c>
      <c r="E8" s="65">
        <v>134.9</v>
      </c>
      <c r="F8" s="65" t="s">
        <v>30</v>
      </c>
      <c r="G8" s="65">
        <v>-957</v>
      </c>
      <c r="H8" s="66" t="s">
        <v>31</v>
      </c>
      <c r="I8" s="67"/>
      <c r="J8" s="67"/>
      <c r="O8" s="62" t="s">
        <v>32</v>
      </c>
      <c r="P8" s="68">
        <v>1476</v>
      </c>
      <c r="Q8" s="62"/>
      <c r="R8" s="62"/>
      <c r="S8" s="63"/>
    </row>
    <row r="9" spans="1:19" x14ac:dyDescent="0.2">
      <c r="O9" s="62"/>
      <c r="P9" s="68"/>
      <c r="Q9" s="62"/>
      <c r="R9" s="62"/>
      <c r="S9" s="63"/>
    </row>
    <row r="10" spans="1:19" x14ac:dyDescent="0.2">
      <c r="O10" s="62" t="s">
        <v>33</v>
      </c>
      <c r="P10" s="68">
        <f>+P8*0.11</f>
        <v>162.36000000000001</v>
      </c>
      <c r="Q10" s="62" t="s">
        <v>34</v>
      </c>
      <c r="R10" s="68">
        <f>+P8*0.06</f>
        <v>88.56</v>
      </c>
      <c r="S10" s="69">
        <f>+P8*0.16</f>
        <v>236.16</v>
      </c>
    </row>
    <row r="12" spans="1:19" ht="16.5" x14ac:dyDescent="0.35">
      <c r="A12" s="70" t="s">
        <v>35</v>
      </c>
      <c r="B12" s="65">
        <f>187.6-1</f>
        <v>186.6</v>
      </c>
      <c r="C12" s="65" t="s">
        <v>30</v>
      </c>
      <c r="D12" s="65">
        <v>588</v>
      </c>
      <c r="E12" s="65" t="s">
        <v>31</v>
      </c>
      <c r="F12" s="71"/>
      <c r="G12" s="70" t="s">
        <v>36</v>
      </c>
      <c r="H12" s="65">
        <f>190.8-1</f>
        <v>189.8</v>
      </c>
      <c r="I12" s="65" t="s">
        <v>30</v>
      </c>
      <c r="J12" s="65">
        <v>588</v>
      </c>
      <c r="K12" s="65" t="s">
        <v>31</v>
      </c>
      <c r="L12" s="72"/>
      <c r="O12" s="73"/>
      <c r="P12" s="73" t="s">
        <v>37</v>
      </c>
      <c r="Q12" s="73" t="s">
        <v>38</v>
      </c>
      <c r="R12" s="73" t="s">
        <v>39</v>
      </c>
      <c r="S12" s="63"/>
    </row>
    <row r="13" spans="1:19" x14ac:dyDescent="0.2">
      <c r="O13" s="62" t="s">
        <v>40</v>
      </c>
      <c r="P13" s="62">
        <f>+R13/Q13</f>
        <v>181.95967270601992</v>
      </c>
      <c r="Q13" s="62">
        <f>[1]Empty!E16</f>
        <v>513.29999999999995</v>
      </c>
      <c r="R13" s="62">
        <f>[1]Empty!E19</f>
        <v>93399.900000000009</v>
      </c>
      <c r="S13" s="63"/>
    </row>
    <row r="14" spans="1:19" x14ac:dyDescent="0.2">
      <c r="O14" s="62"/>
      <c r="P14" s="62"/>
      <c r="Q14" s="62"/>
      <c r="R14" s="62"/>
      <c r="S14" s="63"/>
    </row>
    <row r="15" spans="1:19" x14ac:dyDescent="0.2">
      <c r="O15" s="62"/>
      <c r="P15" s="62"/>
      <c r="Q15" s="62"/>
      <c r="R15" s="62"/>
      <c r="S15" s="63"/>
    </row>
    <row r="16" spans="1:19" ht="16.5" x14ac:dyDescent="0.35">
      <c r="D16" s="64" t="s">
        <v>41</v>
      </c>
      <c r="E16" s="65">
        <f>E8+B12+H12</f>
        <v>511.3</v>
      </c>
      <c r="F16" s="66" t="s">
        <v>30</v>
      </c>
      <c r="O16" s="62" t="s">
        <v>42</v>
      </c>
      <c r="P16" s="62">
        <f>+R16/Q16</f>
        <v>180.37140621944064</v>
      </c>
      <c r="Q16" s="62">
        <f>E16</f>
        <v>511.3</v>
      </c>
      <c r="R16" s="62">
        <f>E19</f>
        <v>92223.900000000009</v>
      </c>
      <c r="S16" s="63"/>
    </row>
    <row r="19" spans="1:15" ht="13.5" thickBot="1" x14ac:dyDescent="0.25">
      <c r="D19" s="74" t="s">
        <v>3</v>
      </c>
      <c r="E19" s="75">
        <f>(E8*G8)+(B12*D12)+(H12*J12)</f>
        <v>92223.900000000009</v>
      </c>
    </row>
    <row r="20" spans="1:15" ht="24" thickTop="1" thickBot="1" x14ac:dyDescent="0.5">
      <c r="D20" s="76" t="s">
        <v>43</v>
      </c>
      <c r="E20" s="77">
        <f>E19/E16</f>
        <v>180.37140621944064</v>
      </c>
      <c r="F20" s="78" t="s">
        <v>31</v>
      </c>
      <c r="G20" s="79"/>
      <c r="H20" s="80"/>
    </row>
    <row r="21" spans="1:15" ht="13.5" thickTop="1" x14ac:dyDescent="0.2">
      <c r="O21" s="81"/>
    </row>
    <row r="22" spans="1:15" ht="19.5" x14ac:dyDescent="0.4">
      <c r="A22" s="82"/>
      <c r="B22" s="82"/>
      <c r="C22" s="82"/>
      <c r="D22" s="83" t="s">
        <v>44</v>
      </c>
      <c r="E22" s="84">
        <v>1780</v>
      </c>
      <c r="F22" s="83" t="s">
        <v>47</v>
      </c>
      <c r="G22" s="82"/>
      <c r="H22" s="82"/>
      <c r="I22" s="82"/>
      <c r="J22" s="82"/>
      <c r="K22" s="82"/>
      <c r="L22" s="82"/>
      <c r="O22" s="81"/>
    </row>
    <row r="23" spans="1:15" ht="13.5" thickBo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5" ht="23.25" thickBot="1" x14ac:dyDescent="0.5">
      <c r="A24" s="82"/>
      <c r="B24" s="82"/>
      <c r="C24" s="82"/>
      <c r="D24" s="85" t="s">
        <v>45</v>
      </c>
      <c r="E24" s="86">
        <f>(+E20+E22)</f>
        <v>1960.3714062194406</v>
      </c>
      <c r="F24" s="87" t="s">
        <v>31</v>
      </c>
      <c r="G24" s="87" t="s">
        <v>46</v>
      </c>
      <c r="H24" s="87"/>
      <c r="I24" s="88"/>
      <c r="J24" s="87"/>
      <c r="K24" s="88"/>
      <c r="L24" s="82"/>
    </row>
    <row r="25" spans="1:15" x14ac:dyDescent="0.2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15" ht="16.5" x14ac:dyDescent="0.35">
      <c r="A26" s="82"/>
      <c r="B26" s="82"/>
      <c r="C26" s="82"/>
      <c r="D26" s="89" t="s">
        <v>29</v>
      </c>
      <c r="E26" s="90">
        <v>134.9</v>
      </c>
      <c r="F26" s="90" t="s">
        <v>30</v>
      </c>
      <c r="G26" s="90">
        <f>+G8+E22</f>
        <v>823</v>
      </c>
      <c r="H26" s="90" t="s">
        <v>31</v>
      </c>
      <c r="I26" s="91">
        <f>+E26*G26</f>
        <v>111022.70000000001</v>
      </c>
      <c r="J26" s="92"/>
      <c r="K26" s="82"/>
      <c r="L26" s="82"/>
    </row>
    <row r="27" spans="1:15" x14ac:dyDescent="0.2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1:15" x14ac:dyDescent="0.2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1:15" x14ac:dyDescent="0.2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1:15" ht="16.5" x14ac:dyDescent="0.35">
      <c r="A30" s="93" t="s">
        <v>35</v>
      </c>
      <c r="B30" s="90">
        <v>187.6</v>
      </c>
      <c r="C30" s="90" t="s">
        <v>30</v>
      </c>
      <c r="D30" s="90">
        <f>+D12+E22</f>
        <v>2368</v>
      </c>
      <c r="E30" s="90" t="s">
        <v>31</v>
      </c>
      <c r="F30" s="91">
        <f>+B30*D30</f>
        <v>444236.79999999999</v>
      </c>
      <c r="G30" s="93" t="s">
        <v>36</v>
      </c>
      <c r="H30" s="90">
        <v>190.8</v>
      </c>
      <c r="I30" s="90" t="s">
        <v>30</v>
      </c>
      <c r="J30" s="90">
        <f>+J12+E22</f>
        <v>2368</v>
      </c>
      <c r="K30" s="90" t="s">
        <v>31</v>
      </c>
      <c r="L30" s="91">
        <f>+H30*J30</f>
        <v>451814.40000000002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E30" sqref="E30"/>
    </sheetView>
  </sheetViews>
  <sheetFormatPr defaultRowHeight="12.75" x14ac:dyDescent="0.2"/>
  <cols>
    <col min="2" max="2" width="14.7109375" bestFit="1" customWidth="1"/>
  </cols>
  <sheetData>
    <row r="2" spans="2:10" x14ac:dyDescent="0.2">
      <c r="B2" s="1"/>
      <c r="C2" s="1"/>
      <c r="D2" s="1"/>
      <c r="E2" s="1"/>
      <c r="F2" s="1" t="s">
        <v>14</v>
      </c>
      <c r="G2" s="1"/>
      <c r="H2" s="1" t="s">
        <v>13</v>
      </c>
      <c r="I2" s="1"/>
      <c r="J2" s="1"/>
    </row>
    <row r="3" spans="2:10" x14ac:dyDescent="0.2">
      <c r="B3" s="3"/>
      <c r="C3" s="32"/>
      <c r="D3" s="14" t="s">
        <v>0</v>
      </c>
      <c r="E3" s="2"/>
      <c r="F3" s="14" t="s">
        <v>1</v>
      </c>
      <c r="G3" s="15"/>
      <c r="H3" s="14" t="s">
        <v>2</v>
      </c>
      <c r="I3" s="15"/>
      <c r="J3" s="14" t="s">
        <v>3</v>
      </c>
    </row>
    <row r="4" spans="2:10" x14ac:dyDescent="0.2">
      <c r="B4" s="2" t="s">
        <v>4</v>
      </c>
      <c r="C4" s="32"/>
      <c r="D4" s="46">
        <f>'Weighing Data'!E16</f>
        <v>511.3</v>
      </c>
      <c r="E4" s="2"/>
      <c r="F4" s="2">
        <f>D4</f>
        <v>511.3</v>
      </c>
      <c r="G4" s="2"/>
      <c r="H4" s="28">
        <f>'Weighing Data'!E24/10</f>
        <v>196.03714062194405</v>
      </c>
      <c r="I4" s="5"/>
      <c r="J4" s="6">
        <f>+F4*H4</f>
        <v>100233.79</v>
      </c>
    </row>
    <row r="5" spans="2:10" x14ac:dyDescent="0.2">
      <c r="B5" s="2" t="s">
        <v>48</v>
      </c>
      <c r="C5" s="32"/>
      <c r="D5" s="46"/>
      <c r="E5" s="2"/>
      <c r="F5" s="2">
        <v>-12.7</v>
      </c>
      <c r="G5" s="2"/>
      <c r="H5" s="28">
        <v>38.299999999999997</v>
      </c>
      <c r="I5" s="5"/>
      <c r="J5" s="21">
        <f>F5*H5</f>
        <v>-486.40999999999991</v>
      </c>
    </row>
    <row r="6" spans="2:10" ht="14.25" x14ac:dyDescent="0.3">
      <c r="B6" s="19" t="s">
        <v>5</v>
      </c>
      <c r="C6" s="18"/>
      <c r="D6" s="47">
        <v>0</v>
      </c>
      <c r="E6" s="19"/>
      <c r="F6" s="19">
        <f t="shared" ref="F6:F11" si="0">D6</f>
        <v>0</v>
      </c>
      <c r="G6" s="19"/>
      <c r="H6" s="29">
        <v>233.1</v>
      </c>
      <c r="I6" s="20"/>
      <c r="J6" s="21">
        <f>F6*H6</f>
        <v>0</v>
      </c>
    </row>
    <row r="7" spans="2:10" ht="14.25" x14ac:dyDescent="0.3">
      <c r="B7" s="19" t="s">
        <v>16</v>
      </c>
      <c r="C7" s="19"/>
      <c r="D7" s="47">
        <v>0</v>
      </c>
      <c r="E7" s="19"/>
      <c r="F7" s="19">
        <f t="shared" si="0"/>
        <v>0</v>
      </c>
      <c r="G7" s="19"/>
      <c r="H7" s="29">
        <v>302.60000000000002</v>
      </c>
      <c r="I7" s="20"/>
      <c r="J7" s="21">
        <f>F7*H7</f>
        <v>0</v>
      </c>
    </row>
    <row r="8" spans="2:10" ht="14.25" x14ac:dyDescent="0.3">
      <c r="B8" s="22"/>
      <c r="C8" s="19"/>
      <c r="D8" s="47">
        <v>0</v>
      </c>
      <c r="E8" s="33"/>
      <c r="F8" s="19">
        <f t="shared" si="0"/>
        <v>0</v>
      </c>
      <c r="G8" s="33"/>
      <c r="H8" s="34"/>
      <c r="I8" s="35"/>
      <c r="J8" s="21"/>
    </row>
    <row r="9" spans="2:10" ht="14.25" x14ac:dyDescent="0.3">
      <c r="B9" s="22" t="s">
        <v>19</v>
      </c>
      <c r="C9" s="22"/>
      <c r="D9" s="47">
        <v>0</v>
      </c>
      <c r="E9" s="22"/>
      <c r="F9" s="19">
        <f t="shared" si="0"/>
        <v>0</v>
      </c>
      <c r="G9" s="22"/>
      <c r="H9" s="30">
        <v>148.6</v>
      </c>
      <c r="I9" s="23"/>
      <c r="J9" s="21">
        <f>+H9*F9</f>
        <v>0</v>
      </c>
    </row>
    <row r="10" spans="2:10" ht="14.25" x14ac:dyDescent="0.3">
      <c r="B10" s="22" t="s">
        <v>18</v>
      </c>
      <c r="C10" s="22"/>
      <c r="D10" s="47">
        <v>0</v>
      </c>
      <c r="E10" s="22"/>
      <c r="F10" s="19">
        <f t="shared" si="0"/>
        <v>0</v>
      </c>
      <c r="G10" s="22"/>
      <c r="H10" s="30">
        <v>350.5</v>
      </c>
      <c r="I10" s="23"/>
      <c r="J10" s="21">
        <f>+H10*F10</f>
        <v>0</v>
      </c>
    </row>
    <row r="11" spans="2:10" ht="14.25" x14ac:dyDescent="0.3">
      <c r="B11" s="22" t="s">
        <v>20</v>
      </c>
      <c r="C11" s="22"/>
      <c r="D11" s="47">
        <v>0</v>
      </c>
      <c r="E11" s="22"/>
      <c r="F11" s="19">
        <f t="shared" si="0"/>
        <v>0</v>
      </c>
      <c r="G11" s="22"/>
      <c r="H11" s="30">
        <v>388.4</v>
      </c>
      <c r="I11" s="27"/>
      <c r="J11" s="21">
        <f>+H11*F11</f>
        <v>0</v>
      </c>
    </row>
    <row r="12" spans="2:10" ht="14.25" x14ac:dyDescent="0.3">
      <c r="B12" s="24" t="s">
        <v>15</v>
      </c>
      <c r="C12" s="25"/>
      <c r="D12" s="48">
        <v>0</v>
      </c>
      <c r="E12" s="25"/>
      <c r="F12" s="24">
        <f>+D12*0.7</f>
        <v>0</v>
      </c>
      <c r="G12" s="24"/>
      <c r="H12" s="31">
        <v>203.2</v>
      </c>
      <c r="I12" s="26"/>
      <c r="J12" s="21">
        <f>F12*H12</f>
        <v>0</v>
      </c>
    </row>
    <row r="13" spans="2:10" x14ac:dyDescent="0.2">
      <c r="B13" s="11" t="s">
        <v>21</v>
      </c>
      <c r="C13" s="12"/>
      <c r="D13" s="11"/>
      <c r="E13" s="12"/>
      <c r="F13" s="43">
        <f>SUM(F4:F12)</f>
        <v>498.6</v>
      </c>
      <c r="G13" s="44"/>
      <c r="H13" s="42">
        <f>J13/F13</f>
        <v>200.05491375852384</v>
      </c>
      <c r="I13" s="5"/>
      <c r="J13" s="13">
        <f>SUM(J4:J12)</f>
        <v>99747.37999999999</v>
      </c>
    </row>
    <row r="14" spans="2:10" x14ac:dyDescent="0.2">
      <c r="B14" s="2"/>
      <c r="C14" s="32"/>
      <c r="D14" s="46"/>
      <c r="E14" s="2"/>
      <c r="F14" s="2"/>
      <c r="G14" s="2"/>
      <c r="H14" s="28"/>
      <c r="I14" s="5"/>
      <c r="J14" s="6"/>
    </row>
  </sheetData>
  <conditionalFormatting sqref="F13">
    <cfRule type="cellIs" dxfId="7" priority="7" stopIfTrue="1" operator="between">
      <formula>495</formula>
      <formula>818</formula>
    </cfRule>
    <cfRule type="cellIs" dxfId="6" priority="8" stopIfTrue="1" operator="greaterThan">
      <formula>818</formula>
    </cfRule>
  </conditionalFormatting>
  <conditionalFormatting sqref="H13">
    <cfRule type="cellIs" dxfId="5" priority="5" stopIfTrue="1" operator="between">
      <formula>199.9</formula>
      <formula>220.5</formula>
    </cfRule>
    <cfRule type="cellIs" dxfId="4" priority="6" stopIfTrue="1" operator="lessThan">
      <formula>199.9</formula>
    </cfRule>
  </conditionalFormatting>
  <conditionalFormatting sqref="F13">
    <cfRule type="cellIs" dxfId="3" priority="3" stopIfTrue="1" operator="between">
      <formula>495</formula>
      <formula>818</formula>
    </cfRule>
    <cfRule type="cellIs" dxfId="2" priority="4" stopIfTrue="1" operator="greaterThan">
      <formula>818</formula>
    </cfRule>
  </conditionalFormatting>
  <conditionalFormatting sqref="H13">
    <cfRule type="cellIs" dxfId="1" priority="1" stopIfTrue="1" operator="between">
      <formula>199.9</formula>
      <formula>220.5</formula>
    </cfRule>
    <cfRule type="cellIs" dxfId="0" priority="2" stopIfTrue="1" operator="lessThan">
      <formula>199.9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WBSARA</vt:lpstr>
      <vt:lpstr>Envelope</vt:lpstr>
      <vt:lpstr>Weighing Data</vt:lpstr>
      <vt:lpstr>Prince Prop</vt:lpstr>
      <vt:lpstr>WBSARA!OLE_LINK1</vt:lpstr>
      <vt:lpstr>WBSARA!Print_Area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Piper Archer N8276V</dc:title>
  <dc:subject>Weight &amp; Balance</dc:subject>
  <dc:creator>DJ</dc:creator>
  <cp:lastModifiedBy>player</cp:lastModifiedBy>
  <cp:lastPrinted>2006-03-09T23:19:28Z</cp:lastPrinted>
  <dcterms:created xsi:type="dcterms:W3CDTF">1997-06-23T20:51:56Z</dcterms:created>
  <dcterms:modified xsi:type="dcterms:W3CDTF">2018-09-28T07:50:49Z</dcterms:modified>
</cp:coreProperties>
</file>