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410" windowWidth="15360" windowHeight="9525" firstSheet="4" activeTab="7"/>
  </bookViews>
  <sheets>
    <sheet name="WBSARA" sheetId="1" r:id="rId1"/>
    <sheet name="Envelope" sheetId="2" r:id="rId2"/>
    <sheet name="CruseRange-Altitude" sheetId="3" r:id="rId3"/>
    <sheet name="FuelFlow-Power" sheetId="5" r:id="rId4"/>
    <sheet name="TAS-Altitude" sheetId="6" r:id="rId5"/>
    <sheet name="Vne-Altitude" sheetId="10" r:id="rId6"/>
    <sheet name="LoadFactor-Weight" sheetId="7" r:id="rId7"/>
    <sheet name="LoadFactor-IAS" sheetId="9" r:id="rId8"/>
    <sheet name="TakeoffDistance (2)" sheetId="8" r:id="rId9"/>
    <sheet name="LandingDistance" sheetId="4" r:id="rId10"/>
    <sheet name="M1B-Perf" sheetId="12" r:id="rId11"/>
  </sheets>
  <definedNames>
    <definedName name="_xlnm.Print_Area" localSheetId="0">WBSARA!$A$1:$J$40</definedName>
  </definedNames>
  <calcPr calcId="144525"/>
</workbook>
</file>

<file path=xl/calcChain.xml><?xml version="1.0" encoding="utf-8"?>
<calcChain xmlns="http://schemas.openxmlformats.org/spreadsheetml/2006/main">
  <c r="N24" i="9" l="1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6" i="9"/>
  <c r="M5" i="9"/>
  <c r="N10" i="8" l="1"/>
  <c r="M10" i="8"/>
  <c r="L10" i="8"/>
  <c r="K10" i="8"/>
  <c r="J10" i="8"/>
  <c r="D20" i="8"/>
  <c r="N9" i="8"/>
  <c r="M9" i="8"/>
  <c r="L9" i="8"/>
  <c r="F19" i="8"/>
  <c r="K9" i="8"/>
  <c r="E19" i="8"/>
  <c r="J9" i="8"/>
  <c r="D19" i="8"/>
  <c r="N8" i="8"/>
  <c r="H18" i="8"/>
  <c r="M8" i="8"/>
  <c r="G18" i="8"/>
  <c r="L8" i="8"/>
  <c r="F18" i="8"/>
  <c r="K8" i="8"/>
  <c r="J8" i="8"/>
  <c r="N7" i="8"/>
  <c r="M7" i="8"/>
  <c r="L7" i="8"/>
  <c r="K7" i="8"/>
  <c r="E17" i="8"/>
  <c r="J7" i="8"/>
  <c r="D17" i="8"/>
  <c r="N6" i="8"/>
  <c r="H16" i="8"/>
  <c r="M6" i="8"/>
  <c r="L6" i="8"/>
  <c r="K6" i="8"/>
  <c r="J6" i="8"/>
  <c r="N5" i="8"/>
  <c r="M5" i="8"/>
  <c r="L5" i="8"/>
  <c r="K5" i="8"/>
  <c r="J5" i="8"/>
  <c r="N4" i="8"/>
  <c r="M4" i="8"/>
  <c r="G14" i="8"/>
  <c r="L4" i="8"/>
  <c r="F14" i="8"/>
  <c r="K4" i="8"/>
  <c r="E14" i="8"/>
  <c r="J4" i="8"/>
  <c r="H19" i="8"/>
  <c r="G19" i="8"/>
  <c r="E18" i="8"/>
  <c r="D18" i="8"/>
  <c r="H17" i="8"/>
  <c r="G16" i="8"/>
  <c r="F16" i="8"/>
  <c r="E16" i="8"/>
  <c r="D15" i="8"/>
  <c r="D14" i="8"/>
  <c r="A6" i="12"/>
  <c r="A7" i="12"/>
  <c r="A8" i="12"/>
  <c r="A9" i="12"/>
  <c r="A12" i="12"/>
  <c r="B25" i="12"/>
  <c r="B26" i="12"/>
  <c r="B20" i="12"/>
  <c r="B15" i="12"/>
  <c r="H14" i="12"/>
  <c r="B14" i="12"/>
  <c r="H12" i="12"/>
  <c r="H10" i="12"/>
  <c r="B9" i="12"/>
  <c r="H7" i="12"/>
  <c r="B7" i="12"/>
  <c r="B4" i="12"/>
  <c r="O9" i="9"/>
  <c r="O4" i="9"/>
  <c r="Q10" i="9"/>
  <c r="Q9" i="9"/>
  <c r="R9" i="9" s="1"/>
  <c r="Q4" i="9"/>
  <c r="R4" i="9"/>
  <c r="R10" i="9"/>
  <c r="Q11" i="9"/>
  <c r="R11" i="9" s="1"/>
  <c r="Q5" i="9"/>
  <c r="R5" i="9" s="1"/>
  <c r="B25" i="10"/>
  <c r="B26" i="10"/>
  <c r="B20" i="10"/>
  <c r="B21" i="10"/>
  <c r="B6" i="10"/>
  <c r="B15" i="10"/>
  <c r="H14" i="10"/>
  <c r="B14" i="10"/>
  <c r="H12" i="10"/>
  <c r="H10" i="10"/>
  <c r="B9" i="10"/>
  <c r="F7" i="10"/>
  <c r="H7" i="10"/>
  <c r="B7" i="10"/>
  <c r="A5" i="10"/>
  <c r="A6" i="10"/>
  <c r="A7" i="10"/>
  <c r="A8" i="10"/>
  <c r="A9" i="10"/>
  <c r="A10" i="10"/>
  <c r="A11" i="10"/>
  <c r="A13" i="10"/>
  <c r="A14" i="10"/>
  <c r="F4" i="10"/>
  <c r="E4" i="10"/>
  <c r="D4" i="10"/>
  <c r="B4" i="10"/>
  <c r="J5" i="9"/>
  <c r="J6" i="9"/>
  <c r="J7" i="9"/>
  <c r="J8" i="9"/>
  <c r="J9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E17" i="9"/>
  <c r="N20" i="8"/>
  <c r="M20" i="8"/>
  <c r="L20" i="8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N14" i="8"/>
  <c r="M14" i="8"/>
  <c r="L14" i="8"/>
  <c r="K14" i="8"/>
  <c r="J14" i="8"/>
  <c r="C14" i="8"/>
  <c r="H20" i="8"/>
  <c r="G20" i="8"/>
  <c r="F20" i="8"/>
  <c r="E20" i="8"/>
  <c r="G17" i="8"/>
  <c r="F17" i="8"/>
  <c r="D16" i="8"/>
  <c r="H15" i="8"/>
  <c r="G15" i="8"/>
  <c r="F15" i="8"/>
  <c r="E15" i="8"/>
  <c r="C5" i="8"/>
  <c r="C15" i="8"/>
  <c r="H14" i="8"/>
  <c r="E6" i="5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C14" i="4"/>
  <c r="N10" i="4"/>
  <c r="H20" i="4"/>
  <c r="M10" i="4"/>
  <c r="G20" i="4"/>
  <c r="L10" i="4"/>
  <c r="F20" i="4"/>
  <c r="K10" i="4"/>
  <c r="E20" i="4"/>
  <c r="N9" i="4"/>
  <c r="M9" i="4"/>
  <c r="G19" i="4"/>
  <c r="L9" i="4"/>
  <c r="K9" i="4"/>
  <c r="E19" i="4"/>
  <c r="N8" i="4"/>
  <c r="M8" i="4"/>
  <c r="G18" i="4"/>
  <c r="L8" i="4"/>
  <c r="K8" i="4"/>
  <c r="E18" i="4"/>
  <c r="N7" i="4"/>
  <c r="H17" i="4"/>
  <c r="M7" i="4"/>
  <c r="G17" i="4"/>
  <c r="L7" i="4"/>
  <c r="F17" i="4"/>
  <c r="K7" i="4"/>
  <c r="E17" i="4"/>
  <c r="N6" i="4"/>
  <c r="M6" i="4"/>
  <c r="G16" i="4"/>
  <c r="L6" i="4"/>
  <c r="K6" i="4"/>
  <c r="E16" i="4"/>
  <c r="N5" i="4"/>
  <c r="M5" i="4"/>
  <c r="G15" i="4"/>
  <c r="L5" i="4"/>
  <c r="K5" i="4"/>
  <c r="E15" i="4"/>
  <c r="N4" i="4"/>
  <c r="H14" i="4"/>
  <c r="M4" i="4"/>
  <c r="G14" i="4"/>
  <c r="L4" i="4"/>
  <c r="F14" i="4"/>
  <c r="K4" i="4"/>
  <c r="E14" i="4"/>
  <c r="J10" i="4"/>
  <c r="D20" i="4"/>
  <c r="J9" i="4"/>
  <c r="J8" i="4"/>
  <c r="J7" i="4"/>
  <c r="D17" i="4"/>
  <c r="J6" i="4"/>
  <c r="J5" i="4"/>
  <c r="J4" i="4"/>
  <c r="D14" i="4"/>
  <c r="C5" i="4"/>
  <c r="C15" i="4"/>
  <c r="P17" i="7"/>
  <c r="E17" i="7"/>
  <c r="P14" i="7"/>
  <c r="M14" i="7"/>
  <c r="P13" i="7"/>
  <c r="M13" i="7"/>
  <c r="P12" i="7"/>
  <c r="M12" i="7"/>
  <c r="P11" i="7"/>
  <c r="M11" i="7"/>
  <c r="P10" i="7"/>
  <c r="M10" i="7"/>
  <c r="P9" i="7"/>
  <c r="P8" i="7"/>
  <c r="P7" i="7"/>
  <c r="P4" i="7"/>
  <c r="M4" i="7"/>
  <c r="H12" i="6"/>
  <c r="H10" i="6"/>
  <c r="B14" i="6"/>
  <c r="F4" i="6"/>
  <c r="F7" i="6"/>
  <c r="H7" i="6"/>
  <c r="D4" i="6"/>
  <c r="E4" i="6"/>
  <c r="B15" i="6"/>
  <c r="C14" i="6"/>
  <c r="H14" i="6"/>
  <c r="C4" i="6"/>
  <c r="B7" i="6"/>
  <c r="B4" i="6"/>
  <c r="B20" i="6"/>
  <c r="B5" i="6"/>
  <c r="A5" i="6"/>
  <c r="A6" i="6"/>
  <c r="A7" i="6"/>
  <c r="A8" i="6"/>
  <c r="A9" i="6"/>
  <c r="A10" i="6"/>
  <c r="A11" i="6"/>
  <c r="A13" i="6"/>
  <c r="A14" i="6"/>
  <c r="C6" i="3"/>
  <c r="G12" i="3"/>
  <c r="E14" i="5"/>
  <c r="E29" i="5"/>
  <c r="E28" i="5"/>
  <c r="E27" i="5"/>
  <c r="D27" i="5"/>
  <c r="C27" i="5"/>
  <c r="E25" i="5"/>
  <c r="D25" i="5"/>
  <c r="C25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E24" i="5"/>
  <c r="D24" i="5"/>
  <c r="C2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G10" i="3"/>
  <c r="G4" i="3"/>
  <c r="F10" i="3"/>
  <c r="F9" i="3"/>
  <c r="F8" i="3"/>
  <c r="F6" i="3"/>
  <c r="F5" i="3"/>
  <c r="F4" i="3"/>
  <c r="D7" i="3"/>
  <c r="C7" i="3"/>
  <c r="D6" i="3"/>
  <c r="D4" i="3"/>
  <c r="C4" i="3"/>
  <c r="E9" i="3"/>
  <c r="E8" i="3"/>
  <c r="E7" i="3"/>
  <c r="E6" i="3"/>
  <c r="E5" i="3"/>
  <c r="E4" i="3"/>
  <c r="B19" i="3"/>
  <c r="B20" i="3"/>
  <c r="B21" i="3"/>
  <c r="B22" i="3"/>
  <c r="B23" i="3"/>
  <c r="B24" i="3"/>
  <c r="B25" i="3"/>
  <c r="B26" i="3"/>
  <c r="B27" i="3"/>
  <c r="B28" i="3"/>
  <c r="B5" i="3"/>
  <c r="B6" i="3"/>
  <c r="B7" i="3"/>
  <c r="B8" i="3"/>
  <c r="B9" i="3"/>
  <c r="B10" i="3"/>
  <c r="B11" i="3"/>
  <c r="B12" i="3"/>
  <c r="B13" i="3"/>
  <c r="B14" i="3"/>
  <c r="A5" i="3"/>
  <c r="A6" i="3"/>
  <c r="A7" i="3"/>
  <c r="A8" i="3"/>
  <c r="A9" i="3"/>
  <c r="A10" i="3"/>
  <c r="A11" i="3"/>
  <c r="A12" i="3"/>
  <c r="A13" i="3"/>
  <c r="P17" i="2"/>
  <c r="P14" i="2"/>
  <c r="P13" i="2"/>
  <c r="P12" i="2"/>
  <c r="P11" i="2"/>
  <c r="P10" i="2"/>
  <c r="P9" i="2"/>
  <c r="P8" i="2"/>
  <c r="P7" i="2"/>
  <c r="P4" i="2"/>
  <c r="E11" i="2"/>
  <c r="E10" i="2"/>
  <c r="M14" i="2"/>
  <c r="M13" i="2"/>
  <c r="M12" i="2"/>
  <c r="M11" i="2"/>
  <c r="M10" i="2"/>
  <c r="M4" i="2"/>
  <c r="E17" i="2"/>
  <c r="E12" i="2"/>
  <c r="E9" i="2"/>
  <c r="E8" i="2"/>
  <c r="E4" i="2"/>
  <c r="F8" i="1"/>
  <c r="J8" i="1"/>
  <c r="F11" i="1"/>
  <c r="F10" i="1"/>
  <c r="F9" i="1"/>
  <c r="F7" i="1"/>
  <c r="F6" i="1"/>
  <c r="J6" i="1"/>
  <c r="F5" i="1"/>
  <c r="F4" i="1"/>
  <c r="J4" i="1"/>
  <c r="B4" i="9"/>
  <c r="B5" i="9"/>
  <c r="B6" i="9"/>
  <c r="B7" i="9"/>
  <c r="B8" i="9"/>
  <c r="B9" i="9"/>
  <c r="B10" i="9"/>
  <c r="B11" i="9"/>
  <c r="J5" i="1"/>
  <c r="J11" i="1"/>
  <c r="B4" i="2"/>
  <c r="B21" i="6"/>
  <c r="B6" i="6"/>
  <c r="B25" i="6"/>
  <c r="B26" i="6"/>
  <c r="B9" i="6"/>
  <c r="C6" i="8"/>
  <c r="C16" i="8"/>
  <c r="C6" i="4"/>
  <c r="C7" i="4"/>
  <c r="O10" i="9"/>
  <c r="B4" i="7"/>
  <c r="Q12" i="9"/>
  <c r="R12" i="9" s="1"/>
  <c r="O12" i="9"/>
  <c r="O5" i="9"/>
  <c r="O11" i="9"/>
  <c r="Q6" i="9"/>
  <c r="R6" i="9" s="1"/>
  <c r="Q13" i="9"/>
  <c r="R13" i="9" s="1"/>
  <c r="B27" i="6"/>
  <c r="B13" i="6"/>
  <c r="B11" i="6"/>
  <c r="B5" i="7"/>
  <c r="B6" i="7"/>
  <c r="B7" i="7"/>
  <c r="B8" i="7"/>
  <c r="B9" i="7"/>
  <c r="B10" i="7"/>
  <c r="B11" i="7"/>
  <c r="B5" i="10"/>
  <c r="Q14" i="9"/>
  <c r="R14" i="9" s="1"/>
  <c r="J9" i="1"/>
  <c r="F12" i="1"/>
  <c r="B21" i="12"/>
  <c r="B6" i="12"/>
  <c r="B5" i="12"/>
  <c r="B5" i="2"/>
  <c r="B6" i="2"/>
  <c r="B7" i="2"/>
  <c r="B8" i="2"/>
  <c r="B9" i="2"/>
  <c r="B10" i="2"/>
  <c r="B11" i="2"/>
  <c r="J10" i="1"/>
  <c r="Q16" i="9"/>
  <c r="R16" i="9" s="1"/>
  <c r="O16" i="9"/>
  <c r="C8" i="4"/>
  <c r="C17" i="4"/>
  <c r="B27" i="10"/>
  <c r="B13" i="10"/>
  <c r="B11" i="10"/>
  <c r="C4" i="9"/>
  <c r="A4" i="9"/>
  <c r="A3" i="9"/>
  <c r="C4" i="7"/>
  <c r="C4" i="2"/>
  <c r="A4" i="2"/>
  <c r="A3" i="2"/>
  <c r="J12" i="1"/>
  <c r="H12" i="1"/>
  <c r="B11" i="12"/>
  <c r="B27" i="12"/>
  <c r="B13" i="12"/>
  <c r="C16" i="4"/>
  <c r="O15" i="9"/>
  <c r="O14" i="9"/>
  <c r="O13" i="9"/>
  <c r="C7" i="8"/>
  <c r="Q15" i="9"/>
  <c r="R15" i="9" s="1"/>
  <c r="C5" i="9"/>
  <c r="A5" i="9"/>
  <c r="C18" i="4"/>
  <c r="C9" i="4"/>
  <c r="C6" i="9"/>
  <c r="C5" i="7"/>
  <c r="A4" i="7"/>
  <c r="A3" i="7"/>
  <c r="C5" i="2"/>
  <c r="Q17" i="9"/>
  <c r="R17" i="9" s="1"/>
  <c r="O17" i="9"/>
  <c r="C8" i="8"/>
  <c r="C17" i="8"/>
  <c r="Q18" i="9"/>
  <c r="A5" i="2"/>
  <c r="C6" i="2"/>
  <c r="A5" i="7"/>
  <c r="C6" i="7"/>
  <c r="A6" i="9"/>
  <c r="C7" i="9"/>
  <c r="C10" i="4"/>
  <c r="C20" i="4"/>
  <c r="C19" i="4"/>
  <c r="C18" i="8"/>
  <c r="C9" i="8"/>
  <c r="C19" i="8"/>
  <c r="C10" i="8"/>
  <c r="C20" i="8"/>
  <c r="A6" i="2"/>
  <c r="C7" i="2"/>
  <c r="C7" i="7"/>
  <c r="A6" i="7"/>
  <c r="A7" i="9"/>
  <c r="C8" i="9"/>
  <c r="Q19" i="9"/>
  <c r="A7" i="7"/>
  <c r="C8" i="7"/>
  <c r="A7" i="2"/>
  <c r="C8" i="2"/>
  <c r="Q20" i="9"/>
  <c r="A8" i="9"/>
  <c r="C9" i="9"/>
  <c r="Q21" i="9"/>
  <c r="A8" i="2"/>
  <c r="C9" i="2"/>
  <c r="A8" i="7"/>
  <c r="C9" i="7"/>
  <c r="A9" i="9"/>
  <c r="C10" i="9"/>
  <c r="A9" i="2"/>
  <c r="C10" i="2"/>
  <c r="A9" i="7"/>
  <c r="C10" i="7"/>
  <c r="A10" i="9"/>
  <c r="C11" i="9"/>
  <c r="A11" i="9"/>
  <c r="A12" i="9"/>
  <c r="A13" i="9"/>
  <c r="A10" i="7"/>
  <c r="C11" i="7"/>
  <c r="A11" i="7"/>
  <c r="A12" i="7"/>
  <c r="A13" i="7"/>
  <c r="A10" i="2"/>
  <c r="C11" i="2"/>
  <c r="A11" i="2"/>
  <c r="A12" i="2"/>
  <c r="A13" i="2"/>
  <c r="Q7" i="9" l="1"/>
  <c r="R7" i="9" s="1"/>
  <c r="O7" i="9"/>
  <c r="O6" i="9"/>
  <c r="Q8" i="9" l="1"/>
  <c r="R8" i="9" s="1"/>
  <c r="O8" i="9"/>
</calcChain>
</file>

<file path=xl/sharedStrings.xml><?xml version="1.0" encoding="utf-8"?>
<sst xmlns="http://schemas.openxmlformats.org/spreadsheetml/2006/main" count="52" uniqueCount="37">
  <si>
    <t>Qty</t>
  </si>
  <si>
    <t>Weight</t>
  </si>
  <si>
    <t>Arm</t>
  </si>
  <si>
    <t>Moment</t>
  </si>
  <si>
    <t>Basic Empty Weight</t>
  </si>
  <si>
    <t>Pilot</t>
  </si>
  <si>
    <t>Note: Max Landing Wt</t>
  </si>
  <si>
    <t>Enter loading weights under the Qty column.</t>
  </si>
  <si>
    <t>Each entry will plot a new data point in the graph.</t>
  </si>
  <si>
    <t>Airplane Loading Procedures</t>
  </si>
  <si>
    <t>envelope</t>
  </si>
  <si>
    <t>x</t>
  </si>
  <si>
    <t>y</t>
  </si>
  <si>
    <t>cm</t>
  </si>
  <si>
    <t>kg</t>
  </si>
  <si>
    <t>Fuel  Lit. (160 Lit Max)</t>
  </si>
  <si>
    <t>Pax</t>
  </si>
  <si>
    <t>Pilot Only - Load rear baggage, rear seats then nose baggage staying within loading limits</t>
  </si>
  <si>
    <t>Aft Baggage (25 kg Max)</t>
  </si>
  <si>
    <t>Nose Baggage (25 kg Max)</t>
  </si>
  <si>
    <t>Aft Hat Shelf (10 kg Max)</t>
  </si>
  <si>
    <t>Total (M.G.W.=818 kg)</t>
  </si>
  <si>
    <t>Pilot + Pax - Load nose baggage to capacity first, then limit aft baggage to envelope</t>
  </si>
  <si>
    <t>BVH RV-8A - VH-ZSW</t>
  </si>
  <si>
    <t>Max for DASH-ONE wing</t>
  </si>
  <si>
    <t>816 kg</t>
  </si>
  <si>
    <t>original</t>
  </si>
  <si>
    <t>aft cg utility category - may be wrong</t>
  </si>
  <si>
    <t>Altitude</t>
  </si>
  <si>
    <t>%power</t>
  </si>
  <si>
    <t>fuel flow</t>
  </si>
  <si>
    <t>Best Economy</t>
  </si>
  <si>
    <t>Best Power</t>
  </si>
  <si>
    <t>Full Rich</t>
  </si>
  <si>
    <t>g</t>
  </si>
  <si>
    <t>-g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</si>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</sst>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\ &quot;kg&quot;"/>
    <numFmt numFmtId="166" formatCode="#,##0\ &quot;lit&quot;"/>
  </numFmts>
  <fonts count="20" x14ac:knownFonts="1">
    <font>
      <sz val="10"/>
      <name val="MS Sans Serif"/>
    </font>
    <font>
      <sz val="8"/>
      <name val="Arial"/>
      <family val="2"/>
    </font>
    <font>
      <sz val="8"/>
      <color indexed="18"/>
      <name val="Arial"/>
      <family val="2"/>
    </font>
    <font>
      <sz val="8"/>
      <color indexed="17"/>
      <name val="Arial"/>
      <family val="2"/>
    </font>
    <font>
      <sz val="8"/>
      <color indexed="14"/>
      <name val="Arial"/>
      <family val="2"/>
    </font>
    <font>
      <sz val="8"/>
      <color indexed="1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32"/>
      <name val="Arial"/>
      <family val="2"/>
    </font>
    <font>
      <sz val="8"/>
      <color indexed="61"/>
      <name val="Arial"/>
      <family val="2"/>
    </font>
    <font>
      <sz val="8"/>
      <color indexed="50"/>
      <name val="Arial"/>
      <family val="2"/>
    </font>
    <font>
      <sz val="8"/>
      <color indexed="20"/>
      <name val="Arial"/>
      <family val="2"/>
    </font>
    <font>
      <sz val="8"/>
      <color indexed="37"/>
      <name val="Arial"/>
      <family val="2"/>
    </font>
    <font>
      <b/>
      <sz val="18"/>
      <color indexed="18"/>
      <name val="Times New Roman"/>
      <family val="1"/>
    </font>
    <font>
      <sz val="8"/>
      <name val="MS Sans Serif"/>
    </font>
    <font>
      <sz val="8"/>
      <name val="Courier New"/>
      <family val="3"/>
    </font>
    <font>
      <b/>
      <sz val="8"/>
      <color indexed="61"/>
      <name val="Comic Sans MS"/>
      <family val="4"/>
    </font>
    <font>
      <b/>
      <sz val="8"/>
      <color indexed="50"/>
      <name val="Comic Sans MS"/>
      <family val="4"/>
    </font>
    <font>
      <sz val="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0" xfId="0" applyFont="1" applyAlignment="1" applyProtection="1">
      <alignment horizontal="right"/>
    </xf>
    <xf numFmtId="2" fontId="1" fillId="0" borderId="0" xfId="0" applyNumberFormat="1" applyFont="1" applyProtection="1"/>
    <xf numFmtId="3" fontId="1" fillId="0" borderId="0" xfId="0" applyNumberFormat="1" applyFont="1" applyProtection="1"/>
    <xf numFmtId="2" fontId="2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Protection="1"/>
    <xf numFmtId="2" fontId="5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3" fontId="1" fillId="0" borderId="2" xfId="0" applyNumberFormat="1" applyFont="1" applyBorder="1" applyProtection="1"/>
    <xf numFmtId="0" fontId="6" fillId="0" borderId="1" xfId="0" applyFont="1" applyBorder="1" applyAlignment="1" applyProtection="1">
      <alignment horizontal="right"/>
    </xf>
    <xf numFmtId="0" fontId="6" fillId="0" borderId="0" xfId="0" applyFont="1" applyAlignment="1" applyProtection="1">
      <alignment horizontal="right"/>
    </xf>
    <xf numFmtId="1" fontId="1" fillId="0" borderId="0" xfId="0" applyNumberFormat="1" applyFont="1" applyProtection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2" fontId="9" fillId="0" borderId="0" xfId="0" applyNumberFormat="1" applyFont="1" applyProtection="1"/>
    <xf numFmtId="3" fontId="9" fillId="0" borderId="0" xfId="0" applyNumberFormat="1" applyFont="1" applyProtection="1"/>
    <xf numFmtId="0" fontId="10" fillId="0" borderId="0" xfId="0" applyFont="1" applyProtection="1"/>
    <xf numFmtId="2" fontId="10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2" fontId="11" fillId="0" borderId="0" xfId="0" applyNumberFormat="1" applyFont="1" applyProtection="1"/>
    <xf numFmtId="2" fontId="12" fillId="0" borderId="0" xfId="0" applyNumberFormat="1" applyFont="1" applyProtection="1"/>
    <xf numFmtId="164" fontId="1" fillId="0" borderId="0" xfId="0" applyNumberFormat="1" applyFont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4" fontId="11" fillId="0" borderId="0" xfId="0" applyNumberFormat="1" applyFont="1" applyProtection="1"/>
    <xf numFmtId="0" fontId="1" fillId="0" borderId="0" xfId="0" applyFont="1" applyBorder="1" applyProtection="1"/>
    <xf numFmtId="0" fontId="13" fillId="0" borderId="0" xfId="0" applyFont="1" applyProtection="1"/>
    <xf numFmtId="164" fontId="13" fillId="0" borderId="0" xfId="0" applyNumberFormat="1" applyFont="1" applyProtection="1"/>
    <xf numFmtId="2" fontId="13" fillId="0" borderId="0" xfId="0" applyNumberFormat="1" applyFont="1" applyProtection="1"/>
    <xf numFmtId="0" fontId="14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6" fillId="0" borderId="0" xfId="0" applyFont="1" applyProtection="1"/>
    <xf numFmtId="1" fontId="1" fillId="0" borderId="0" xfId="0" quotePrefix="1" applyNumberFormat="1" applyFont="1" applyProtection="1"/>
    <xf numFmtId="1" fontId="1" fillId="2" borderId="0" xfId="0" applyNumberFormat="1" applyFont="1" applyFill="1" applyProtection="1"/>
    <xf numFmtId="1" fontId="1" fillId="3" borderId="0" xfId="0" applyNumberFormat="1" applyFont="1" applyFill="1" applyProtection="1"/>
    <xf numFmtId="164" fontId="19" fillId="4" borderId="2" xfId="0" applyNumberFormat="1" applyFont="1" applyFill="1" applyBorder="1" applyProtection="1"/>
    <xf numFmtId="0" fontId="19" fillId="4" borderId="2" xfId="0" applyFont="1" applyFill="1" applyBorder="1" applyProtection="1"/>
    <xf numFmtId="0" fontId="1" fillId="0" borderId="0" xfId="0" applyFont="1" applyFill="1" applyProtection="1"/>
    <xf numFmtId="1" fontId="1" fillId="0" borderId="0" xfId="0" applyNumberFormat="1" applyFont="1" applyFill="1" applyProtection="1"/>
    <xf numFmtId="165" fontId="16" fillId="0" borderId="0" xfId="0" applyNumberFormat="1" applyFont="1" applyProtection="1"/>
    <xf numFmtId="165" fontId="17" fillId="5" borderId="3" xfId="0" applyNumberFormat="1" applyFont="1" applyFill="1" applyBorder="1" applyProtection="1">
      <protection locked="0"/>
    </xf>
    <xf numFmtId="166" fontId="18" fillId="5" borderId="3" xfId="0" applyNumberFormat="1" applyFont="1" applyFill="1" applyBorder="1" applyProtection="1">
      <protection locked="0"/>
    </xf>
    <xf numFmtId="164" fontId="1" fillId="2" borderId="0" xfId="0" applyNumberFormat="1" applyFont="1" applyFill="1" applyProtection="1"/>
    <xf numFmtId="164" fontId="1" fillId="3" borderId="0" xfId="0" applyNumberFormat="1" applyFont="1" applyFill="1" applyProtection="1"/>
    <xf numFmtId="164" fontId="1" fillId="6" borderId="0" xfId="0" applyNumberFormat="1" applyFont="1" applyFill="1" applyProtection="1"/>
    <xf numFmtId="1" fontId="1" fillId="6" borderId="0" xfId="0" applyNumberFormat="1" applyFont="1" applyFill="1" applyProtection="1"/>
    <xf numFmtId="164" fontId="1" fillId="7" borderId="0" xfId="0" applyNumberFormat="1" applyFont="1" applyFill="1" applyProtection="1"/>
    <xf numFmtId="1" fontId="1" fillId="7" borderId="0" xfId="0" applyNumberFormat="1" applyFont="1" applyFill="1" applyProtection="1"/>
    <xf numFmtId="0" fontId="0" fillId="0" borderId="0" xfId="0" applyProtection="1"/>
    <xf numFmtId="9" fontId="0" fillId="0" borderId="0" xfId="0" applyNumberFormat="1"/>
    <xf numFmtId="1" fontId="0" fillId="0" borderId="0" xfId="0" applyNumberFormat="1"/>
    <xf numFmtId="0" fontId="0" fillId="8" borderId="0" xfId="0" applyFill="1"/>
    <xf numFmtId="164" fontId="0" fillId="0" borderId="0" xfId="0" applyNumberFormat="1"/>
    <xf numFmtId="0" fontId="0" fillId="0" borderId="0" xfId="0" quotePrefix="1"/>
    <xf numFmtId="0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8138949908376"/>
          <c:y val="3.0837037570808922E-2"/>
          <c:w val="0.83683174176806019"/>
          <c:h val="0.79515504021871586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Envelope!$D$4:$D$17</c:f>
              <c:numCache>
                <c:formatCode>0.0</c:formatCode>
                <c:ptCount val="14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  <c:pt idx="12">
                  <c:v>220</c:v>
                </c:pt>
                <c:pt idx="13">
                  <c:v>220</c:v>
                </c:pt>
              </c:numCache>
            </c:numRef>
          </c:xVal>
          <c:yVal>
            <c:numRef>
              <c:f>Envelope!$E$4:$E$17</c:f>
              <c:numCache>
                <c:formatCode>0</c:formatCode>
                <c:ptCount val="14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  <c:pt idx="12">
                  <c:v>816</c:v>
                </c:pt>
                <c:pt idx="13">
                  <c:v>500</c:v>
                </c:pt>
              </c:numCache>
            </c:numRef>
          </c:yVal>
          <c:smooth val="0"/>
        </c:ser>
        <c:ser>
          <c:idx val="2"/>
          <c:order val="1"/>
          <c:tx>
            <c:v>Basic Empty Weight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Envelope!$A$3:$A$4</c:f>
              <c:numCache>
                <c:formatCode>0</c:formatCode>
                <c:ptCount val="2"/>
                <c:pt idx="0">
                  <c:v>192.8</c:v>
                </c:pt>
                <c:pt idx="1">
                  <c:v>192.8</c:v>
                </c:pt>
              </c:numCache>
            </c:numRef>
          </c:xVal>
          <c:yVal>
            <c:numRef>
              <c:f>Envelope!$B$3:$B$4</c:f>
              <c:numCache>
                <c:formatCode>0</c:formatCode>
                <c:ptCount val="2"/>
                <c:pt idx="0">
                  <c:v>0</c:v>
                </c:pt>
                <c:pt idx="1">
                  <c:v>495</c:v>
                </c:pt>
              </c:numCache>
            </c:numRef>
          </c:yVal>
          <c:smooth val="0"/>
        </c:ser>
        <c:ser>
          <c:idx val="7"/>
          <c:order val="2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3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</c:numCache>
            </c:numRef>
          </c:yVal>
          <c:smooth val="0"/>
        </c:ser>
        <c:ser>
          <c:idx val="1"/>
          <c:order val="4"/>
          <c:spPr>
            <a:ln w="254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Envelope!$A$4:$A$6</c:f>
              <c:numCache>
                <c:formatCode>0</c:formatCode>
                <c:ptCount val="3"/>
                <c:pt idx="0">
                  <c:v>192.8</c:v>
                </c:pt>
                <c:pt idx="1">
                  <c:v>199</c:v>
                </c:pt>
                <c:pt idx="2">
                  <c:v>212.81333333333333</c:v>
                </c:pt>
              </c:numCache>
            </c:numRef>
          </c:xVal>
          <c:yVal>
            <c:numRef>
              <c:f>Envelope!$B$4:$B$6</c:f>
              <c:numCache>
                <c:formatCode>0</c:formatCode>
                <c:ptCount val="3"/>
                <c:pt idx="0">
                  <c:v>495</c:v>
                </c:pt>
                <c:pt idx="1">
                  <c:v>585</c:v>
                </c:pt>
                <c:pt idx="2">
                  <c:v>675</c:v>
                </c:pt>
              </c:numCache>
            </c:numRef>
          </c:yVal>
          <c:smooth val="0"/>
        </c:ser>
        <c:ser>
          <c:idx val="3"/>
          <c:order val="5"/>
          <c:tx>
            <c:v>Passengers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Envelope!$A$6:$A$8</c:f>
              <c:numCache>
                <c:formatCode>0</c:formatCode>
                <c:ptCount val="3"/>
                <c:pt idx="0">
                  <c:v>212.81333333333333</c:v>
                </c:pt>
                <c:pt idx="1">
                  <c:v>212.81333333333333</c:v>
                </c:pt>
                <c:pt idx="2">
                  <c:v>210.52</c:v>
                </c:pt>
              </c:numCache>
            </c:numRef>
          </c:xVal>
          <c:yVal>
            <c:numRef>
              <c:f>Envelope!$B$6:$B$8</c:f>
              <c:numCache>
                <c:formatCode>0</c:formatCode>
                <c:ptCount val="3"/>
                <c:pt idx="0">
                  <c:v>675</c:v>
                </c:pt>
                <c:pt idx="1">
                  <c:v>675</c:v>
                </c:pt>
                <c:pt idx="2">
                  <c:v>700</c:v>
                </c:pt>
              </c:numCache>
            </c:numRef>
          </c:yVal>
          <c:smooth val="0"/>
        </c:ser>
        <c:ser>
          <c:idx val="4"/>
          <c:order val="6"/>
          <c:tx>
            <c:v>Baggage</c:v>
          </c:tx>
          <c:spPr>
            <a:ln w="25400">
              <a:solidFill>
                <a:srgbClr val="6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Envelope!$A$8:$A$10</c:f>
              <c:numCache>
                <c:formatCode>0</c:formatCode>
                <c:ptCount val="3"/>
                <c:pt idx="0">
                  <c:v>210.52</c:v>
                </c:pt>
                <c:pt idx="1">
                  <c:v>210.52</c:v>
                </c:pt>
                <c:pt idx="2">
                  <c:v>210.52</c:v>
                </c:pt>
              </c:numCache>
            </c:numRef>
          </c:xVal>
          <c:yVal>
            <c:numRef>
              <c:f>Envelope!$B$8:$B$10</c:f>
              <c:numCache>
                <c:formatCode>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yVal>
          <c:smooth val="0"/>
        </c:ser>
        <c:ser>
          <c:idx val="5"/>
          <c:order val="7"/>
          <c:tx>
            <c:v>Fuel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Envelope!$A$10:$A$11</c:f>
              <c:numCache>
                <c:formatCode>0</c:formatCode>
                <c:ptCount val="2"/>
                <c:pt idx="0">
                  <c:v>210.52</c:v>
                </c:pt>
                <c:pt idx="1">
                  <c:v>209.50816959669081</c:v>
                </c:pt>
              </c:numCache>
            </c:numRef>
          </c:xVal>
          <c:yVal>
            <c:numRef>
              <c:f>Envelope!$B$10:$B$11</c:f>
              <c:numCache>
                <c:formatCode>0</c:formatCode>
                <c:ptCount val="2"/>
                <c:pt idx="0">
                  <c:v>700</c:v>
                </c:pt>
                <c:pt idx="1">
                  <c:v>812.28</c:v>
                </c:pt>
              </c:numCache>
            </c:numRef>
          </c:yVal>
          <c:smooth val="0"/>
        </c:ser>
        <c:ser>
          <c:idx val="6"/>
          <c:order val="8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  <c:pt idx="0">
                  <c:v>816</c:v>
                </c:pt>
                <c:pt idx="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1776"/>
        <c:axId val="75053696"/>
      </c:scatterChart>
      <c:valAx>
        <c:axId val="75051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C.G. Location (Centimeter Aft Datum)</a:t>
                </a:r>
              </a:p>
            </c:rich>
          </c:tx>
          <c:layout>
            <c:manualLayout>
              <c:xMode val="edge"/>
              <c:yMode val="edge"/>
              <c:x val="0.27392740243133945"/>
              <c:y val="0.909882641321817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5053696"/>
        <c:crosses val="autoZero"/>
        <c:crossBetween val="midCat"/>
      </c:valAx>
      <c:valAx>
        <c:axId val="75053696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Aircraft Weight (lbs)</a:t>
                </a:r>
              </a:p>
            </c:rich>
          </c:tx>
          <c:layout>
            <c:manualLayout>
              <c:xMode val="edge"/>
              <c:yMode val="edge"/>
              <c:x val="1.7241341335829524E-2"/>
              <c:y val="0.235294784187218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50517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-4" verticalDpi="-4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TAKEOFF DISTANCE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63003537601"/>
          <c:y val="3.8749813207655616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'TakeoffDistance (2)'!$C$14:$C$18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'TakeoffDistance (2)'!$D$14:$D$18</c:f>
              <c:numCache>
                <c:formatCode>0</c:formatCode>
                <c:ptCount val="5"/>
                <c:pt idx="0">
                  <c:v>30.479999024640033</c:v>
                </c:pt>
                <c:pt idx="1">
                  <c:v>36.4434770946783</c:v>
                </c:pt>
                <c:pt idx="2">
                  <c:v>44.394781188062659</c:v>
                </c:pt>
                <c:pt idx="3">
                  <c:v>53.671302630344407</c:v>
                </c:pt>
                <c:pt idx="4">
                  <c:v>65.598258770420941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(2)'!$F$14:$F$18</c:f>
              <c:numCache>
                <c:formatCode>0</c:formatCode>
                <c:ptCount val="5"/>
                <c:pt idx="0">
                  <c:v>33.793042396883514</c:v>
                </c:pt>
                <c:pt idx="1">
                  <c:v>41.081737815819174</c:v>
                </c:pt>
                <c:pt idx="2">
                  <c:v>49.695650583652231</c:v>
                </c:pt>
                <c:pt idx="3">
                  <c:v>60.959998049280067</c:v>
                </c:pt>
                <c:pt idx="4">
                  <c:v>74.212171538253997</c:v>
                </c:pt>
              </c:numCache>
            </c:numRef>
          </c:yVal>
          <c:smooth val="1"/>
        </c:ser>
        <c:ser>
          <c:idx val="4"/>
          <c:order val="2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(2)'!$H$14:$H$18</c:f>
              <c:numCache>
                <c:formatCode>0</c:formatCode>
                <c:ptCount val="5"/>
                <c:pt idx="0">
                  <c:v>38.431303118024395</c:v>
                </c:pt>
                <c:pt idx="1">
                  <c:v>46.382607211408747</c:v>
                </c:pt>
                <c:pt idx="2">
                  <c:v>55.659128653690487</c:v>
                </c:pt>
                <c:pt idx="3">
                  <c:v>67.586084793767029</c:v>
                </c:pt>
                <c:pt idx="4">
                  <c:v>82.826084306087054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2496"/>
        <c:axId val="86048768"/>
      </c:scatterChart>
      <c:valAx>
        <c:axId val="86042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2782722811826"/>
              <c:y val="0.92876111653926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6048768"/>
        <c:crosses val="autoZero"/>
        <c:crossBetween val="midCat"/>
      </c:valAx>
      <c:valAx>
        <c:axId val="8604876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2.1308627182471757E-2"/>
              <c:y val="0.34161442228480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6042496"/>
        <c:crosses val="autoZero"/>
        <c:crossBetween val="midCat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LANDING DISTANCE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63003537601"/>
          <c:y val="3.8749813207655616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LandingDistance!$C$14:$C$20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LandingDistance!$D$14:$D$20</c:f>
              <c:numCache>
                <c:formatCode>0</c:formatCode>
                <c:ptCount val="7"/>
                <c:pt idx="0">
                  <c:v>143.25599541580814</c:v>
                </c:pt>
                <c:pt idx="3">
                  <c:v>179.83199424537619</c:v>
                </c:pt>
                <c:pt idx="6">
                  <c:v>228.59999268480024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LandingDistance!$C$14:$C$20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LandingDistance!$F$14:$F$20</c:f>
              <c:numCache>
                <c:formatCode>0</c:formatCode>
                <c:ptCount val="7"/>
                <c:pt idx="0">
                  <c:v>155.44799502566417</c:v>
                </c:pt>
                <c:pt idx="3">
                  <c:v>193.54799380646421</c:v>
                </c:pt>
                <c:pt idx="6">
                  <c:v>243.83999219712024</c:v>
                </c:pt>
              </c:numCache>
            </c:numRef>
          </c:yVal>
          <c:smooth val="1"/>
        </c:ser>
        <c:ser>
          <c:idx val="4"/>
          <c:order val="2"/>
          <c:marker>
            <c:symbol val="none"/>
          </c:marker>
          <c:xVal>
            <c:numRef>
              <c:f>LandingDistance!$C$14:$C$20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LandingDistance!$H$14:$H$20</c:f>
              <c:numCache>
                <c:formatCode>0</c:formatCode>
                <c:ptCount val="7"/>
                <c:pt idx="0">
                  <c:v>164.59199473305617</c:v>
                </c:pt>
                <c:pt idx="3">
                  <c:v>207.26399336755222</c:v>
                </c:pt>
                <c:pt idx="6">
                  <c:v>261.21359164116507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3216"/>
        <c:axId val="85755392"/>
      </c:scatterChart>
      <c:valAx>
        <c:axId val="85753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2782722811826"/>
              <c:y val="0.92876111653926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5755392"/>
        <c:crosses val="autoZero"/>
        <c:crossBetween val="midCat"/>
      </c:valAx>
      <c:valAx>
        <c:axId val="85755392"/>
        <c:scaling>
          <c:orientation val="minMax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2.1308627182471757E-2"/>
              <c:y val="0.34161442228480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5753216"/>
        <c:crosses val="autoZero"/>
        <c:crossBetween val="midCat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M1B</a:t>
            </a:r>
            <a:r>
              <a:rPr lang="en-US" sz="1400" b="1" baseline="0"/>
              <a:t> PERFORMANCE</a:t>
            </a:r>
            <a:endParaRPr lang="en-US" sz="1400" b="1"/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59186308678628285"/>
          <c:y val="4.887656207153210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'M1B-Perf'!$C$4:$C$15</c:f>
              <c:numCache>
                <c:formatCode>General</c:formatCode>
                <c:ptCount val="12"/>
                <c:pt idx="0">
                  <c:v>180</c:v>
                </c:pt>
                <c:pt idx="11">
                  <c:v>85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'M1B-Perf'!$D$4:$D$15</c:f>
              <c:numCache>
                <c:formatCode>General</c:formatCode>
                <c:ptCount val="12"/>
                <c:pt idx="0">
                  <c:v>162</c:v>
                </c:pt>
                <c:pt idx="11">
                  <c:v>76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'M1B-Perf'!$E$4:$E$15</c:f>
              <c:numCache>
                <c:formatCode>General</c:formatCode>
                <c:ptCount val="12"/>
                <c:pt idx="0">
                  <c:v>150</c:v>
                </c:pt>
                <c:pt idx="11">
                  <c:v>68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'M1B-Perf'!$F$4:$F$15</c:f>
              <c:numCache>
                <c:formatCode>General</c:formatCode>
                <c:ptCount val="12"/>
                <c:pt idx="0">
                  <c:v>140</c:v>
                </c:pt>
                <c:pt idx="11">
                  <c:v>58</c:v>
                </c:pt>
              </c:numCache>
            </c:numRef>
          </c:xVal>
          <c:yVal>
            <c:numRef>
              <c:f>'M1B-Perf'!$B$4:$B$15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1312"/>
        <c:axId val="85827584"/>
      </c:scatterChart>
      <c:valAx>
        <c:axId val="85821312"/>
        <c:scaling>
          <c:orientation val="minMax"/>
          <c:max val="180"/>
          <c:min val="4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Brake Horsepower</a:t>
                </a:r>
                <a:r>
                  <a:rPr lang="en-US" baseline="0"/>
                  <a:t> 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 baseline="0"/>
                  <a:t>(std T&amp;P)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033174131922037"/>
              <c:y val="0.919032397069769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5827584"/>
        <c:crosses val="autoZero"/>
        <c:crossBetween val="midCat"/>
      </c:valAx>
      <c:valAx>
        <c:axId val="85827584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1.7684695150811065E-2"/>
              <c:y val="0.341614604144631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5821312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50597174994423E-2"/>
          <c:y val="2.259037805791873E-2"/>
          <c:w val="0.87706211132381418"/>
          <c:h val="0.84337411416229924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Envelope!$D$4:$D$17</c:f>
              <c:numCache>
                <c:formatCode>0.0</c:formatCode>
                <c:ptCount val="14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  <c:pt idx="12">
                  <c:v>220</c:v>
                </c:pt>
                <c:pt idx="13">
                  <c:v>220</c:v>
                </c:pt>
              </c:numCache>
            </c:numRef>
          </c:xVal>
          <c:yVal>
            <c:numRef>
              <c:f>Envelope!$E$4:$E$17</c:f>
              <c:numCache>
                <c:formatCode>0</c:formatCode>
                <c:ptCount val="14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  <c:pt idx="12">
                  <c:v>816</c:v>
                </c:pt>
                <c:pt idx="13">
                  <c:v>500</c:v>
                </c:pt>
              </c:numCache>
            </c:numRef>
          </c:yVal>
          <c:smooth val="0"/>
        </c:ser>
        <c:ser>
          <c:idx val="7"/>
          <c:order val="1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2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200</c:v>
                </c:pt>
                <c:pt idx="6">
                  <c:v>200</c:v>
                </c:pt>
                <c:pt idx="7">
                  <c:v>216.7</c:v>
                </c:pt>
                <c:pt idx="8">
                  <c:v>216.7</c:v>
                </c:pt>
                <c:pt idx="9">
                  <c:v>216.7</c:v>
                </c:pt>
                <c:pt idx="10">
                  <c:v>200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500</c:v>
                </c:pt>
                <c:pt idx="1">
                  <c:v>816</c:v>
                </c:pt>
                <c:pt idx="2">
                  <c:v>816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500</c:v>
                </c:pt>
                <c:pt idx="9">
                  <c:v>770</c:v>
                </c:pt>
                <c:pt idx="10">
                  <c:v>770</c:v>
                </c:pt>
              </c:numCache>
            </c:numRef>
          </c:yVal>
          <c:smooth val="0"/>
        </c:ser>
        <c:ser>
          <c:idx val="6"/>
          <c:order val="3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  <c:pt idx="0">
                  <c:v>816</c:v>
                </c:pt>
                <c:pt idx="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5232"/>
        <c:axId val="76665600"/>
      </c:scatterChart>
      <c:valAx>
        <c:axId val="76655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C.G. Location (cm Aft of Datum)</a:t>
                </a:r>
              </a:p>
            </c:rich>
          </c:tx>
          <c:layout>
            <c:manualLayout>
              <c:xMode val="edge"/>
              <c:yMode val="edge"/>
              <c:x val="0.26236897299381806"/>
              <c:y val="0.918675331246244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6665600"/>
        <c:crosses val="autoZero"/>
        <c:crossBetween val="midCat"/>
      </c:valAx>
      <c:valAx>
        <c:axId val="76665600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t>Aircraft Weight (kg)</a:t>
                </a:r>
              </a:p>
            </c:rich>
          </c:tx>
          <c:layout>
            <c:manualLayout>
              <c:xMode val="edge"/>
              <c:yMode val="edge"/>
              <c:x val="8.9955022488755615E-3"/>
              <c:y val="0.257530278594693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66552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RANGE vs ALTITUDE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38938528175781306"/>
          <c:y val="4.9004594180704443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6"/>
          <c:y val="2.2590346191412137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'CruseRange-Altitude'!$C$4:$C$13</c:f>
              <c:numCache>
                <c:formatCode>General</c:formatCode>
                <c:ptCount val="10"/>
                <c:pt idx="0">
                  <c:v>475</c:v>
                </c:pt>
                <c:pt idx="2">
                  <c:v>485</c:v>
                </c:pt>
                <c:pt idx="3">
                  <c:v>487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'CruseRange-Altitude'!$D$4:$D$13</c:f>
              <c:numCache>
                <c:formatCode>General</c:formatCode>
                <c:ptCount val="10"/>
                <c:pt idx="0">
                  <c:v>620</c:v>
                </c:pt>
                <c:pt idx="2">
                  <c:v>625</c:v>
                </c:pt>
                <c:pt idx="3">
                  <c:v>626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'CruseRange-Altitude'!$E$4:$E$13</c:f>
              <c:numCache>
                <c:formatCode>General</c:formatCode>
                <c:ptCount val="10"/>
                <c:pt idx="0">
                  <c:v>675</c:v>
                </c:pt>
                <c:pt idx="1">
                  <c:v>690</c:v>
                </c:pt>
                <c:pt idx="2">
                  <c:v>702</c:v>
                </c:pt>
                <c:pt idx="3">
                  <c:v>705</c:v>
                </c:pt>
                <c:pt idx="4">
                  <c:v>702</c:v>
                </c:pt>
                <c:pt idx="5">
                  <c:v>698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'CruseRange-Altitude'!$F$4:$F$13</c:f>
              <c:numCache>
                <c:formatCode>General</c:formatCode>
                <c:ptCount val="10"/>
                <c:pt idx="0">
                  <c:v>740</c:v>
                </c:pt>
                <c:pt idx="1">
                  <c:v>755</c:v>
                </c:pt>
                <c:pt idx="2">
                  <c:v>770</c:v>
                </c:pt>
                <c:pt idx="4">
                  <c:v>798</c:v>
                </c:pt>
                <c:pt idx="5">
                  <c:v>795</c:v>
                </c:pt>
                <c:pt idx="6">
                  <c:v>770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'CruseRange-Altitude'!$G$4:$G$13</c:f>
              <c:numCache>
                <c:formatCode>General</c:formatCode>
                <c:ptCount val="10"/>
                <c:pt idx="0">
                  <c:v>794</c:v>
                </c:pt>
                <c:pt idx="6">
                  <c:v>890</c:v>
                </c:pt>
                <c:pt idx="8">
                  <c:v>855</c:v>
                </c:pt>
              </c:numCache>
            </c:numRef>
          </c:xVal>
          <c:yVal>
            <c:numRef>
              <c:f>'CruseRange-Altitude'!$B$4:$B$13</c:f>
              <c:numCache>
                <c:formatCode>General</c:formatCode>
                <c:ptCount val="10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8192"/>
        <c:axId val="78810112"/>
      </c:scatterChart>
      <c:valAx>
        <c:axId val="78808192"/>
        <c:scaling>
          <c:orientation val="minMax"/>
          <c:max val="900"/>
          <c:min val="4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Range (nm)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18195849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8810112"/>
        <c:crosses val="autoZero"/>
        <c:crossBetween val="midCat"/>
        <c:majorUnit val="50"/>
        <c:minorUnit val="25"/>
      </c:valAx>
      <c:valAx>
        <c:axId val="78810112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434489716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78808192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FUEL</a:t>
            </a:r>
            <a:r>
              <a:rPr lang="en-US" sz="1400" b="1" baseline="0"/>
              <a:t> FLOW vs % POWER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18755948539219483"/>
          <c:y val="4.895909450828600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81185216637"/>
          <c:y val="2.059402105617926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'FuelFlow-Power'!$B$8:$B$19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'FuelFlow-Power'!$C$8:$C$19</c:f>
              <c:numCache>
                <c:formatCode>General</c:formatCode>
                <c:ptCount val="12"/>
                <c:pt idx="0">
                  <c:v>26</c:v>
                </c:pt>
                <c:pt idx="2">
                  <c:v>29.52</c:v>
                </c:pt>
                <c:pt idx="4">
                  <c:v>33.6</c:v>
                </c:pt>
                <c:pt idx="6">
                  <c:v>38.6</c:v>
                </c:pt>
                <c:pt idx="8">
                  <c:v>45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'FuelFlow-Power'!$B$8:$B$19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'FuelFlow-Power'!$D$8:$D$19</c:f>
              <c:numCache>
                <c:formatCode>General</c:formatCode>
                <c:ptCount val="12"/>
                <c:pt idx="0">
                  <c:v>32</c:v>
                </c:pt>
                <c:pt idx="2">
                  <c:v>35.58</c:v>
                </c:pt>
                <c:pt idx="4">
                  <c:v>40.119999999999997</c:v>
                </c:pt>
                <c:pt idx="6">
                  <c:v>45.8</c:v>
                </c:pt>
                <c:pt idx="8">
                  <c:v>53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'FuelFlow-Power'!$B$9:$B$19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'FuelFlow-Power'!$E$9:$E$19</c:f>
              <c:numCache>
                <c:formatCode>General</c:formatCode>
                <c:ptCount val="11"/>
                <c:pt idx="5">
                  <c:v>51.975000000000001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7536"/>
        <c:axId val="84427904"/>
      </c:scatterChart>
      <c:valAx>
        <c:axId val="84417536"/>
        <c:scaling>
          <c:orientation val="minMax"/>
          <c:max val="85"/>
          <c:min val="4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% Power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18195849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427904"/>
        <c:crosses val="autoZero"/>
        <c:crossBetween val="midCat"/>
        <c:majorUnit val="10"/>
        <c:minorUnit val="5"/>
      </c:valAx>
      <c:valAx>
        <c:axId val="84427904"/>
        <c:scaling>
          <c:orientation val="minMax"/>
          <c:max val="5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Fuel FLow (lit/hr)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434489716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417536"/>
        <c:crosses val="autoZero"/>
        <c:crossBetween val="midCat"/>
        <c:majorUnit val="10"/>
        <c:minorUnit val="5"/>
      </c:valAx>
      <c:spPr>
        <a:noFill/>
        <a:ln w="25400">
          <a:noFill/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TRUE AIRSPEED vs ALTITUDE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57858956154"/>
          <c:y val="3.8749872683824974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65"/>
          <c:y val="2.2590346191412147E-2"/>
          <c:w val="0.79277179292752464"/>
          <c:h val="0.843374114162299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'TAS-Altitude'!$C$4:$C$15</c:f>
              <c:numCache>
                <c:formatCode>General</c:formatCode>
                <c:ptCount val="12"/>
                <c:pt idx="0">
                  <c:v>119</c:v>
                </c:pt>
                <c:pt idx="10">
                  <c:v>151</c:v>
                </c:pt>
              </c:numCache>
            </c:numRef>
          </c:xVal>
          <c:yVal>
            <c:numRef>
              <c:f>'TAS-Altitude'!$B$4:$B$15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'TAS-Altitude'!$D$4:$D$14</c:f>
              <c:numCache>
                <c:formatCode>General</c:formatCode>
                <c:ptCount val="11"/>
                <c:pt idx="0">
                  <c:v>134</c:v>
                </c:pt>
                <c:pt idx="8">
                  <c:v>160</c:v>
                </c:pt>
              </c:numCache>
            </c:numRef>
          </c:xVal>
          <c:yVal>
            <c:numRef>
              <c:f>'TAS-Altitude'!$B$4:$B$14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'TAS-Altitude'!$E$4:$E$14</c:f>
              <c:numCache>
                <c:formatCode>General</c:formatCode>
                <c:ptCount val="11"/>
                <c:pt idx="0">
                  <c:v>145.5</c:v>
                </c:pt>
                <c:pt idx="6">
                  <c:v>166</c:v>
                </c:pt>
              </c:numCache>
            </c:numRef>
          </c:xVal>
          <c:yVal>
            <c:numRef>
              <c:f>'TAS-Altitude'!$B$4:$B$14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'TAS-Altitude'!$F$4:$F$14</c:f>
              <c:numCache>
                <c:formatCode>General</c:formatCode>
                <c:ptCount val="11"/>
                <c:pt idx="0">
                  <c:v>157.5</c:v>
                </c:pt>
                <c:pt idx="3">
                  <c:v>171</c:v>
                </c:pt>
              </c:numCache>
            </c:numRef>
          </c:xVal>
          <c:yVal>
            <c:numRef>
              <c:f>'TAS-Altitude'!$B$4:$B$14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0864"/>
        <c:axId val="84502784"/>
      </c:scatterChart>
      <c:valAx>
        <c:axId val="84500864"/>
        <c:scaling>
          <c:orientation val="minMax"/>
          <c:max val="180"/>
          <c:min val="1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True Airspeed (knots)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76507227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502784"/>
        <c:crosses val="autoZero"/>
        <c:crossBetween val="midCat"/>
      </c:valAx>
      <c:valAx>
        <c:axId val="84502784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447447800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500864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Vne vs ALTITUDE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65850350673378943"/>
          <c:y val="5.820723155874172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'Vne-Altitude'!$C$4:$C$15</c:f>
              <c:numCache>
                <c:formatCode>General</c:formatCode>
                <c:ptCount val="12"/>
                <c:pt idx="0">
                  <c:v>199.9</c:v>
                </c:pt>
                <c:pt idx="5">
                  <c:v>199.9</c:v>
                </c:pt>
                <c:pt idx="11">
                  <c:v>170</c:v>
                </c:pt>
              </c:numCache>
            </c:numRef>
          </c:xVal>
          <c:yVal>
            <c:numRef>
              <c:f>'Vne-Altitude'!$B$4:$B$15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9000</c:v>
                </c:pt>
                <c:pt idx="5">
                  <c:v>10000</c:v>
                </c:pt>
                <c:pt idx="6">
                  <c:v>11500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9568"/>
        <c:axId val="84599936"/>
      </c:scatterChart>
      <c:valAx>
        <c:axId val="84589568"/>
        <c:scaling>
          <c:orientation val="minMax"/>
          <c:max val="210"/>
          <c:min val="1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Airspeed (knots)</a:t>
                </a:r>
              </a:p>
            </c:rich>
          </c:tx>
          <c:layout>
            <c:manualLayout>
              <c:xMode val="edge"/>
              <c:yMode val="edge"/>
              <c:x val="0.45482781865381583"/>
              <c:y val="0.928761076507227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599936"/>
        <c:crosses val="autoZero"/>
        <c:crossBetween val="midCat"/>
        <c:majorUnit val="10"/>
        <c:minorUnit val="5"/>
      </c:valAx>
      <c:valAx>
        <c:axId val="8459993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 (ft)</a:t>
                </a:r>
              </a:p>
            </c:rich>
          </c:tx>
          <c:layout>
            <c:manualLayout>
              <c:xMode val="edge"/>
              <c:yMode val="edge"/>
              <c:x val="2.1308606915938787E-2"/>
              <c:y val="0.341614604144631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589568"/>
        <c:crosses val="autoZero"/>
        <c:crossBetween val="midCat"/>
        <c:majorUnit val="2000"/>
        <c:minorUnit val="1000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Load Factor vs Weight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18210390867558349"/>
          <c:y val="0.14329301457799704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8950597174994492E-2"/>
          <c:y val="2.2590378057918744E-2"/>
          <c:w val="0.8770621113238144"/>
          <c:h val="0.84337411416229924"/>
        </c:manualLayout>
      </c:layout>
      <c:scatterChart>
        <c:scatterStyle val="lineMarker"/>
        <c:varyColors val="0"/>
        <c:ser>
          <c:idx val="0"/>
          <c:order val="0"/>
          <c:tx>
            <c:v>LoadFactor</c:v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'LoadFactor-Weight'!$D$4:$D$14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700</c:v>
                </c:pt>
                <c:pt idx="3">
                  <c:v>816</c:v>
                </c:pt>
                <c:pt idx="4">
                  <c:v>816</c:v>
                </c:pt>
                <c:pt idx="5">
                  <c:v>816</c:v>
                </c:pt>
                <c:pt idx="6">
                  <c:v>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'LoadFactor-Weight'!$E$4:$E$14</c:f>
              <c:numCache>
                <c:formatCode>0.0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-2.5</c:v>
                </c:pt>
                <c:pt idx="6">
                  <c:v>-3</c:v>
                </c:pt>
                <c:pt idx="7">
                  <c:v>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0304"/>
        <c:axId val="84154240"/>
      </c:scatterChart>
      <c:valAx>
        <c:axId val="84530304"/>
        <c:scaling>
          <c:orientation val="minMax"/>
          <c:min val="5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Weight (kg)</a:t>
                </a:r>
              </a:p>
            </c:rich>
          </c:tx>
          <c:layout>
            <c:manualLayout>
              <c:xMode val="edge"/>
              <c:yMode val="edge"/>
              <c:x val="0.40559672919445788"/>
              <c:y val="0.918675331246244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154240"/>
        <c:crosses val="autoZero"/>
        <c:crossBetween val="midCat"/>
      </c:valAx>
      <c:valAx>
        <c:axId val="8415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 Limit</a:t>
                </a:r>
                <a:r>
                  <a:rPr lang="en-US"/>
                  <a:t> (g)</a:t>
                </a:r>
              </a:p>
            </c:rich>
          </c:tx>
          <c:layout>
            <c:manualLayout>
              <c:xMode val="edge"/>
              <c:yMode val="edge"/>
              <c:x val="8.9955022488755615E-3"/>
              <c:y val="0.257530278594693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5303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1"/>
          </a:p>
          <a:p>
            <a:pPr>
              <a:defRPr/>
            </a:pPr>
            <a:r>
              <a:rPr lang="en-US" sz="1400" b="1"/>
              <a:t>Load Factor vs IAS</a:t>
            </a:r>
          </a:p>
          <a:p>
            <a:pPr>
              <a:defRPr/>
            </a:pPr>
            <a:endParaRPr lang="en-US" sz="1400" b="1"/>
          </a:p>
        </c:rich>
      </c:tx>
      <c:layout>
        <c:manualLayout>
          <c:xMode val="edge"/>
          <c:yMode val="edge"/>
          <c:x val="0.14018376638452429"/>
          <c:y val="3.776570850330456E-2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6770978110206893E-2"/>
          <c:y val="3.2179333411643966E-2"/>
          <c:w val="0.87706211132381462"/>
          <c:h val="0.84337411416229924"/>
        </c:manualLayout>
      </c:layout>
      <c:scatterChart>
        <c:scatterStyle val="lineMarker"/>
        <c:varyColors val="0"/>
        <c:ser>
          <c:idx val="4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'LoadFactor-IAS'!$M$4:$M$24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'LoadFactor-IAS'!$N$4:$N$24</c:f>
              <c:numCache>
                <c:formatCode>0.0</c:formatCode>
                <c:ptCount val="21"/>
                <c:pt idx="0">
                  <c:v>0</c:v>
                </c:pt>
                <c:pt idx="1">
                  <c:v>2.7777777777777776E-2</c:v>
                </c:pt>
                <c:pt idx="2">
                  <c:v>0.1111111111111111</c:v>
                </c:pt>
                <c:pt idx="3">
                  <c:v>0.25</c:v>
                </c:pt>
                <c:pt idx="4">
                  <c:v>0.44444444444444442</c:v>
                </c:pt>
                <c:pt idx="5">
                  <c:v>0.69444444444444453</c:v>
                </c:pt>
                <c:pt idx="6">
                  <c:v>1</c:v>
                </c:pt>
                <c:pt idx="7">
                  <c:v>1.3611111111111114</c:v>
                </c:pt>
                <c:pt idx="8">
                  <c:v>1.7777777777777777</c:v>
                </c:pt>
                <c:pt idx="9">
                  <c:v>2.25</c:v>
                </c:pt>
                <c:pt idx="10">
                  <c:v>2.7777777777777781</c:v>
                </c:pt>
                <c:pt idx="11">
                  <c:v>3.3611111111111107</c:v>
                </c:pt>
                <c:pt idx="12">
                  <c:v>4</c:v>
                </c:pt>
                <c:pt idx="13">
                  <c:v>4.6944444444444438</c:v>
                </c:pt>
                <c:pt idx="14">
                  <c:v>5.4444444444444455</c:v>
                </c:pt>
                <c:pt idx="15">
                  <c:v>6.25</c:v>
                </c:pt>
                <c:pt idx="16">
                  <c:v>7.1111111111111107</c:v>
                </c:pt>
                <c:pt idx="17">
                  <c:v>8.0277777777777786</c:v>
                </c:pt>
                <c:pt idx="18">
                  <c:v>9</c:v>
                </c:pt>
                <c:pt idx="19">
                  <c:v>10.027777777777777</c:v>
                </c:pt>
                <c:pt idx="20">
                  <c:v>11.111111111111112</c:v>
                </c:pt>
              </c:numCache>
            </c:numRef>
          </c:yVal>
          <c:smooth val="0"/>
        </c:ser>
        <c:ser>
          <c:idx val="0"/>
          <c:order val="1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'LoadFactor-IAS'!$M$4:$M$19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'LoadFactor-IAS'!$O$4:$O$17</c:f>
              <c:numCache>
                <c:formatCode>0.0</c:formatCode>
                <c:ptCount val="14"/>
                <c:pt idx="0">
                  <c:v>0</c:v>
                </c:pt>
                <c:pt idx="1">
                  <c:v>-2.7777777777777776E-2</c:v>
                </c:pt>
                <c:pt idx="2">
                  <c:v>-0.1111111111111111</c:v>
                </c:pt>
                <c:pt idx="3">
                  <c:v>-0.25</c:v>
                </c:pt>
                <c:pt idx="4">
                  <c:v>-0.44444444444444442</c:v>
                </c:pt>
                <c:pt idx="5">
                  <c:v>-0.69444444444444453</c:v>
                </c:pt>
                <c:pt idx="6">
                  <c:v>-1</c:v>
                </c:pt>
                <c:pt idx="7">
                  <c:v>-1.3611111111111114</c:v>
                </c:pt>
                <c:pt idx="8">
                  <c:v>-1.7777777777777777</c:v>
                </c:pt>
                <c:pt idx="9">
                  <c:v>-2.25</c:v>
                </c:pt>
                <c:pt idx="10">
                  <c:v>-2.7777777777777781</c:v>
                </c:pt>
                <c:pt idx="11">
                  <c:v>-3.3611111111111107</c:v>
                </c:pt>
                <c:pt idx="12">
                  <c:v>-4</c:v>
                </c:pt>
                <c:pt idx="13">
                  <c:v>-4.6944444444444438</c:v>
                </c:pt>
              </c:numCache>
            </c:numRef>
          </c:yVal>
          <c:smooth val="0"/>
        </c:ser>
        <c:ser>
          <c:idx val="2"/>
          <c:order val="2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'LoadFactor-IAS'!$G$11:$G$15</c:f>
              <c:numCache>
                <c:formatCode>General</c:formatCode>
                <c:ptCount val="5"/>
                <c:pt idx="0">
                  <c:v>73.5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45</c:v>
                </c:pt>
              </c:numCache>
            </c:numRef>
          </c:xVal>
          <c:yVal>
            <c:numRef>
              <c:f>'LoadFactor-IAS'!$H$11:$H$15</c:f>
              <c:numCache>
                <c:formatCode>General</c:formatCode>
                <c:ptCount val="5"/>
                <c:pt idx="0">
                  <c:v>5.95</c:v>
                </c:pt>
                <c:pt idx="1">
                  <c:v>5.95</c:v>
                </c:pt>
                <c:pt idx="2">
                  <c:v>5.95</c:v>
                </c:pt>
                <c:pt idx="3">
                  <c:v>-2.25</c:v>
                </c:pt>
                <c:pt idx="4">
                  <c:v>-2.25</c:v>
                </c:pt>
              </c:numCache>
            </c:numRef>
          </c:yVal>
          <c:smooth val="0"/>
        </c:ser>
        <c:ser>
          <c:idx val="3"/>
          <c:order val="3"/>
          <c:spPr>
            <a:ln w="381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'LoadFactor-IAS'!$J$13:$J$16</c:f>
              <c:numCache>
                <c:formatCode>General</c:formatCode>
                <c:ptCount val="4"/>
                <c:pt idx="0">
                  <c:v>63</c:v>
                </c:pt>
                <c:pt idx="1">
                  <c:v>87</c:v>
                </c:pt>
                <c:pt idx="2">
                  <c:v>87</c:v>
                </c:pt>
                <c:pt idx="3">
                  <c:v>40.5</c:v>
                </c:pt>
              </c:numCache>
            </c:numRef>
          </c:xVal>
          <c:yVal>
            <c:numRef>
              <c:f>'LoadFactor-IAS'!$K$13:$K$16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4.4000000000000004</c:v>
                </c:pt>
                <c:pt idx="2">
                  <c:v>-1.8</c:v>
                </c:pt>
                <c:pt idx="3">
                  <c:v>-1.8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8544"/>
        <c:axId val="84270464"/>
      </c:scatterChart>
      <c:valAx>
        <c:axId val="84268544"/>
        <c:scaling>
          <c:orientation val="minMax"/>
          <c:max val="12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Indicated Airspeed (kts)</a:t>
                </a:r>
              </a:p>
            </c:rich>
          </c:tx>
          <c:layout>
            <c:manualLayout>
              <c:xMode val="edge"/>
              <c:yMode val="edge"/>
              <c:x val="0.40559672919445788"/>
              <c:y val="0.928888941593144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270464"/>
        <c:crosses val="autoZero"/>
        <c:crossBetween val="midCat"/>
      </c:valAx>
      <c:valAx>
        <c:axId val="84270464"/>
        <c:scaling>
          <c:orientation val="minMax"/>
          <c:max val="8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 Limit</a:t>
                </a:r>
                <a:r>
                  <a:rPr lang="en-US"/>
                  <a:t> (g)</a:t>
                </a:r>
              </a:p>
            </c:rich>
          </c:tx>
          <c:layout>
            <c:manualLayout>
              <c:xMode val="edge"/>
              <c:yMode val="edge"/>
              <c:x val="8.9955022488755615E-3"/>
              <c:y val="0.257530278594693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268544"/>
        <c:crosses val="autoZero"/>
        <c:crossBetween val="midCat"/>
        <c:majorUnit val="2"/>
        <c:minorUnit val="0.5"/>
      </c:valAx>
      <c:spPr>
        <a:noFill/>
        <a:ln w="25400">
          <a:noFill/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endParaRPr lang="en-US" sz="1400" b="1"/>
          </a:p>
          <a:p>
            <a:pPr>
              <a:defRPr sz="1400" b="1"/>
            </a:pPr>
            <a:r>
              <a:rPr lang="en-US" sz="1400" b="1"/>
              <a:t>TAKEOFF DISTANCE</a:t>
            </a:r>
          </a:p>
          <a:p>
            <a:pPr>
              <a:defRPr sz="1400" b="1"/>
            </a:pPr>
            <a:endParaRPr lang="en-US" sz="1400" b="1"/>
          </a:p>
        </c:rich>
      </c:tx>
      <c:layout>
        <c:manualLayout>
          <c:xMode val="edge"/>
          <c:yMode val="edge"/>
          <c:x val="0.16563363003537601"/>
          <c:y val="3.8749813207655616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709478938083571"/>
          <c:y val="2.2590346191412151E-2"/>
          <c:w val="0.79277179292752464"/>
          <c:h val="0.843374114162299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(2)'!$D$14:$D$20</c:f>
              <c:numCache>
                <c:formatCode>0</c:formatCode>
                <c:ptCount val="7"/>
                <c:pt idx="0">
                  <c:v>30.479999024640033</c:v>
                </c:pt>
                <c:pt idx="1">
                  <c:v>36.4434770946783</c:v>
                </c:pt>
                <c:pt idx="2">
                  <c:v>44.394781188062659</c:v>
                </c:pt>
                <c:pt idx="3">
                  <c:v>53.671302630344407</c:v>
                </c:pt>
                <c:pt idx="4">
                  <c:v>65.598258770420941</c:v>
                </c:pt>
                <c:pt idx="5">
                  <c:v>80.175649608292261</c:v>
                </c:pt>
                <c:pt idx="6">
                  <c:v>98.066083818407066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(2)'!$E$14:$E$20</c:f>
              <c:numCache>
                <c:formatCode>0</c:formatCode>
                <c:ptCount val="7"/>
                <c:pt idx="0">
                  <c:v>32.467825047986118</c:v>
                </c:pt>
                <c:pt idx="1">
                  <c:v>39.093911792473087</c:v>
                </c:pt>
                <c:pt idx="2">
                  <c:v>47.045215885857445</c:v>
                </c:pt>
                <c:pt idx="3">
                  <c:v>56.984346002587891</c:v>
                </c:pt>
                <c:pt idx="4">
                  <c:v>69.573910817113116</c:v>
                </c:pt>
                <c:pt idx="5">
                  <c:v>84.813910329433128</c:v>
                </c:pt>
                <c:pt idx="6">
                  <c:v>104.02956188844533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(2)'!$F$14:$F$20</c:f>
              <c:numCache>
                <c:formatCode>0</c:formatCode>
                <c:ptCount val="7"/>
                <c:pt idx="0">
                  <c:v>33.793042396883514</c:v>
                </c:pt>
                <c:pt idx="1">
                  <c:v>41.081737815819174</c:v>
                </c:pt>
                <c:pt idx="2">
                  <c:v>49.695650583652231</c:v>
                </c:pt>
                <c:pt idx="3">
                  <c:v>60.959998049280067</c:v>
                </c:pt>
                <c:pt idx="4">
                  <c:v>74.212171538253997</c:v>
                </c:pt>
                <c:pt idx="5">
                  <c:v>90.114779725022714</c:v>
                </c:pt>
                <c:pt idx="6">
                  <c:v>110.6556486329323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(2)'!$G$14:$G$20</c:f>
              <c:numCache>
                <c:formatCode>0</c:formatCode>
                <c:ptCount val="7"/>
                <c:pt idx="0">
                  <c:v>36.4434770946783</c:v>
                </c:pt>
                <c:pt idx="1">
                  <c:v>43.732172513613961</c:v>
                </c:pt>
                <c:pt idx="2">
                  <c:v>53.008693955895708</c:v>
                </c:pt>
                <c:pt idx="3">
                  <c:v>64.273041421523558</c:v>
                </c:pt>
                <c:pt idx="4">
                  <c:v>78.187823584946173</c:v>
                </c:pt>
                <c:pt idx="5">
                  <c:v>95.415649120612272</c:v>
                </c:pt>
                <c:pt idx="6">
                  <c:v>117.28173537741927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'TakeoffDistance (2)'!$C$14:$C$20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xVal>
          <c:yVal>
            <c:numRef>
              <c:f>'TakeoffDistance (2)'!$H$14:$H$20</c:f>
              <c:numCache>
                <c:formatCode>0</c:formatCode>
                <c:ptCount val="7"/>
                <c:pt idx="0">
                  <c:v>38.431303118024395</c:v>
                </c:pt>
                <c:pt idx="1">
                  <c:v>46.382607211408747</c:v>
                </c:pt>
                <c:pt idx="2">
                  <c:v>55.659128653690487</c:v>
                </c:pt>
                <c:pt idx="3">
                  <c:v>67.586084793767029</c:v>
                </c:pt>
                <c:pt idx="4">
                  <c:v>82.826084306087054</c:v>
                </c:pt>
                <c:pt idx="5">
                  <c:v>100.71651851620186</c:v>
                </c:pt>
                <c:pt idx="6">
                  <c:v>123.90782212190622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0736"/>
        <c:axId val="84342656"/>
      </c:scatterChart>
      <c:valAx>
        <c:axId val="84340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2782722811826"/>
              <c:y val="0.92876111653926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342656"/>
        <c:crosses val="autoZero"/>
        <c:crossBetween val="midCat"/>
      </c:valAx>
      <c:valAx>
        <c:axId val="8434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2.1308627182471757E-2"/>
              <c:y val="0.34161442228480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84340736"/>
        <c:crosses val="autoZero"/>
        <c:crossBetween val="midCat"/>
      </c:valAx>
      <c:spPr>
        <a:noFill/>
        <a:ln w="3175">
          <a:solidFill>
            <a:schemeClr val="tx1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0</xdr:col>
      <xdr:colOff>4152900</xdr:colOff>
      <xdr:row>19</xdr:row>
      <xdr:rowOff>0</xdr:rowOff>
    </xdr:to>
    <xdr:graphicFrame macro="">
      <xdr:nvGraphicFramePr>
        <xdr:cNvPr id="1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0.58708</cdr:x>
      <cdr:y>0.55332</cdr:y>
    </cdr:from>
    <cdr:to>
      <cdr:x>0.62681</cdr:x>
      <cdr:y>0.76362</cdr:y>
    </cdr:to>
    <cdr:sp macro="" textlink="">
      <cdr:nvSpPr>
        <cdr:cNvPr id="6" name="TextBox 1"/>
        <cdr:cNvSpPr txBox="1"/>
      </cdr:nvSpPr>
      <cdr:spPr>
        <a:xfrm xmlns:a="http://schemas.openxmlformats.org/drawingml/2006/main" rot="17823465">
          <a:off x="3579694" y="4068875"/>
          <a:ext cx="1334635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65% Power, 38 lit/hr</a:t>
          </a:r>
        </a:p>
      </cdr:txBody>
    </cdr:sp>
  </cdr:relSizeAnchor>
  <cdr:relSizeAnchor xmlns:cdr="http://schemas.openxmlformats.org/drawingml/2006/chartDrawing">
    <cdr:from>
      <cdr:x>0.48717</cdr:x>
      <cdr:y>0.4818</cdr:y>
    </cdr:from>
    <cdr:to>
      <cdr:x>0.52591</cdr:x>
      <cdr:y>0.6921</cdr:y>
    </cdr:to>
    <cdr:sp macro="" textlink="">
      <cdr:nvSpPr>
        <cdr:cNvPr id="7" name="TextBox 1"/>
        <cdr:cNvSpPr txBox="1"/>
      </cdr:nvSpPr>
      <cdr:spPr>
        <a:xfrm xmlns:a="http://schemas.openxmlformats.org/drawingml/2006/main" rot="17827689">
          <a:off x="2889829" y="3613868"/>
          <a:ext cx="1334633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55% Power, 33 lit/hr</a:t>
          </a:r>
        </a:p>
      </cdr:txBody>
    </cdr:sp>
  </cdr:relSizeAnchor>
  <cdr:relSizeAnchor xmlns:cdr="http://schemas.openxmlformats.org/drawingml/2006/chartDrawing">
    <cdr:from>
      <cdr:x>0.35115</cdr:x>
      <cdr:y>0.40124</cdr:y>
    </cdr:from>
    <cdr:to>
      <cdr:x>0.3889</cdr:x>
      <cdr:y>0.61103</cdr:y>
    </cdr:to>
    <cdr:sp macro="" textlink="">
      <cdr:nvSpPr>
        <cdr:cNvPr id="9" name="TextBox 1"/>
        <cdr:cNvSpPr txBox="1"/>
      </cdr:nvSpPr>
      <cdr:spPr>
        <a:xfrm xmlns:a="http://schemas.openxmlformats.org/drawingml/2006/main" rot="17865552">
          <a:off x="1922630" y="3093512"/>
          <a:ext cx="1334634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45% Power, 29 lit/hr</a:t>
          </a:r>
        </a:p>
      </cdr:txBody>
    </cdr:sp>
  </cdr:relSizeAnchor>
  <cdr:relSizeAnchor xmlns:cdr="http://schemas.openxmlformats.org/drawingml/2006/chartDrawing">
    <cdr:from>
      <cdr:x>0.71643</cdr:x>
      <cdr:y>0.56544</cdr:y>
    </cdr:from>
    <cdr:to>
      <cdr:x>0.75516</cdr:x>
      <cdr:y>0.77671</cdr:y>
    </cdr:to>
    <cdr:sp macro="" textlink="">
      <cdr:nvSpPr>
        <cdr:cNvPr id="10" name="TextBox 1"/>
        <cdr:cNvSpPr txBox="1"/>
      </cdr:nvSpPr>
      <cdr:spPr>
        <a:xfrm xmlns:a="http://schemas.openxmlformats.org/drawingml/2006/main" rot="17911322">
          <a:off x="4491385" y="4138116"/>
          <a:ext cx="1334634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75% Power, 46 lit/hr</a:t>
          </a:r>
        </a:p>
      </cdr:txBody>
    </cdr:sp>
  </cdr:relSizeAnchor>
  <cdr:relSizeAnchor xmlns:cdr="http://schemas.openxmlformats.org/drawingml/2006/chartDrawing">
    <cdr:from>
      <cdr:x>0.76464</cdr:x>
      <cdr:y>0.19615</cdr:y>
    </cdr:from>
    <cdr:to>
      <cdr:x>0.8074</cdr:x>
      <cdr:y>0.40318</cdr:y>
    </cdr:to>
    <cdr:sp macro="" textlink="">
      <cdr:nvSpPr>
        <cdr:cNvPr id="13" name="TextBox 12"/>
        <cdr:cNvSpPr txBox="1"/>
      </cdr:nvSpPr>
      <cdr:spPr>
        <a:xfrm xmlns:a="http://schemas.openxmlformats.org/drawingml/2006/main" rot="3505543">
          <a:off x="4834278" y="1774686"/>
          <a:ext cx="1356232" cy="306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0" spc="200" baseline="0"/>
            <a:t>Full Throttle</a:t>
          </a:r>
        </a:p>
      </cdr:txBody>
    </cdr:sp>
  </cdr:relSizeAnchor>
  <cdr:relSizeAnchor xmlns:cdr="http://schemas.openxmlformats.org/drawingml/2006/chartDrawing">
    <cdr:from>
      <cdr:x>0.03343</cdr:x>
      <cdr:y>0.83614</cdr:y>
    </cdr:from>
    <cdr:to>
      <cdr:x>0.05979</cdr:x>
      <cdr:y>0.87667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4302" y="5457578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142875</xdr:rowOff>
    </xdr:from>
    <xdr:to>
      <xdr:col>21</xdr:col>
      <xdr:colOff>352425</xdr:colOff>
      <xdr:row>41</xdr:row>
      <xdr:rowOff>47625</xdr:rowOff>
    </xdr:to>
    <xdr:graphicFrame macro="">
      <xdr:nvGraphicFramePr>
        <xdr:cNvPr id="7219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0.03318</cdr:x>
      <cdr:y>0.83464</cdr:y>
    </cdr:from>
    <cdr:to>
      <cdr:x>0.05954</cdr:x>
      <cdr:y>0.87515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2550" y="5450898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28575</xdr:rowOff>
    </xdr:from>
    <xdr:to>
      <xdr:col>12</xdr:col>
      <xdr:colOff>161925</xdr:colOff>
      <xdr:row>57</xdr:row>
      <xdr:rowOff>38100</xdr:rowOff>
    </xdr:to>
    <xdr:graphicFrame macro="">
      <xdr:nvGraphicFramePr>
        <xdr:cNvPr id="3031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19</xdr:row>
      <xdr:rowOff>57150</xdr:rowOff>
    </xdr:from>
    <xdr:to>
      <xdr:col>11</xdr:col>
      <xdr:colOff>447675</xdr:colOff>
      <xdr:row>58</xdr:row>
      <xdr:rowOff>66675</xdr:rowOff>
    </xdr:to>
    <xdr:graphicFrame macro="">
      <xdr:nvGraphicFramePr>
        <xdr:cNvPr id="4813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0.8502</cdr:x>
      <cdr:y>0.48742</cdr:y>
    </cdr:from>
    <cdr:to>
      <cdr:x>0.88982</cdr:x>
      <cdr:y>0.69556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4877766" y="3700517"/>
          <a:ext cx="1346658" cy="25279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STRUCTURAL FAILURE</a:t>
          </a:r>
        </a:p>
      </cdr:txBody>
    </cdr:sp>
  </cdr:relSizeAnchor>
  <cdr:relSizeAnchor xmlns:cdr="http://schemas.openxmlformats.org/drawingml/2006/chartDrawing">
    <cdr:from>
      <cdr:x>0.40838</cdr:x>
      <cdr:y>0.27649</cdr:y>
    </cdr:from>
    <cdr:to>
      <cdr:x>0.44823</cdr:x>
      <cdr:y>0.48683</cdr:y>
    </cdr:to>
    <cdr:sp macro="" textlink="">
      <cdr:nvSpPr>
        <cdr:cNvPr id="3" name="TextBox 1"/>
        <cdr:cNvSpPr txBox="1"/>
      </cdr:nvSpPr>
      <cdr:spPr>
        <a:xfrm xmlns:a="http://schemas.openxmlformats.org/drawingml/2006/main" rot="18837363">
          <a:off x="2052361" y="2342207"/>
          <a:ext cx="1360891" cy="2542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ACCELERATED STALL</a:t>
          </a:r>
        </a:p>
      </cdr:txBody>
    </cdr:sp>
  </cdr:relSizeAnchor>
  <cdr:relSizeAnchor xmlns:cdr="http://schemas.openxmlformats.org/drawingml/2006/chartDrawing">
    <cdr:from>
      <cdr:x>0.73252</cdr:x>
      <cdr:y>0.46857</cdr:y>
    </cdr:from>
    <cdr:to>
      <cdr:x>0.78575</cdr:x>
      <cdr:y>0.55845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4552912" y="3152562"/>
          <a:ext cx="581520" cy="339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Vne</a:t>
          </a:r>
        </a:p>
      </cdr:txBody>
    </cdr:sp>
  </cdr:relSizeAnchor>
  <cdr:relSizeAnchor xmlns:cdr="http://schemas.openxmlformats.org/drawingml/2006/chartDrawing">
    <cdr:from>
      <cdr:x>0.30058</cdr:x>
      <cdr:y>0.5366</cdr:y>
    </cdr:from>
    <cdr:to>
      <cdr:x>0.37412</cdr:x>
      <cdr:y>0.58934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4325" y="3378478"/>
          <a:ext cx="465920" cy="332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Vs=30kts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43</xdr:row>
      <xdr:rowOff>9525</xdr:rowOff>
    </xdr:from>
    <xdr:to>
      <xdr:col>21</xdr:col>
      <xdr:colOff>9525</xdr:colOff>
      <xdr:row>83</xdr:row>
      <xdr:rowOff>57150</xdr:rowOff>
    </xdr:to>
    <xdr:graphicFrame macro="">
      <xdr:nvGraphicFramePr>
        <xdr:cNvPr id="4322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19050</xdr:rowOff>
    </xdr:from>
    <xdr:to>
      <xdr:col>20</xdr:col>
      <xdr:colOff>9525</xdr:colOff>
      <xdr:row>52</xdr:row>
      <xdr:rowOff>66675</xdr:rowOff>
    </xdr:to>
    <xdr:graphicFrame macro="">
      <xdr:nvGraphicFramePr>
        <xdr:cNvPr id="432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0.81106</cdr:x>
      <cdr:y>0.21875</cdr:y>
    </cdr:from>
    <cdr:to>
      <cdr:x>0.81253</cdr:x>
      <cdr:y>0.21949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639357" y="1396378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  0 deg C   </a:t>
          </a:r>
        </a:p>
      </cdr:txBody>
    </cdr:sp>
  </cdr:relSizeAnchor>
  <cdr:relSizeAnchor xmlns:cdr="http://schemas.openxmlformats.org/drawingml/2006/chartDrawing">
    <cdr:from>
      <cdr:x>0.0335</cdr:x>
      <cdr:y>0.84007</cdr:y>
    </cdr:from>
    <cdr:to>
      <cdr:x>0.06005</cdr:x>
      <cdr:y>0.88191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3047" y="5311695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0.81106</cdr:x>
      <cdr:y>0.17625</cdr:y>
    </cdr:from>
    <cdr:to>
      <cdr:x>0.81253</cdr:x>
      <cdr:y>0.17846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39357" y="1123950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10 deg C   </a:t>
          </a:r>
        </a:p>
      </cdr:txBody>
    </cdr:sp>
  </cdr:relSizeAnchor>
  <cdr:relSizeAnchor xmlns:cdr="http://schemas.openxmlformats.org/drawingml/2006/chartDrawing">
    <cdr:from>
      <cdr:x>0.81106</cdr:x>
      <cdr:y>0.12975</cdr:y>
    </cdr:from>
    <cdr:to>
      <cdr:x>0.81253</cdr:x>
      <cdr:y>0.13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39357" y="838200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20 deg C   </a:t>
          </a:r>
        </a:p>
      </cdr:txBody>
    </cdr:sp>
  </cdr:relSizeAnchor>
  <cdr:relSizeAnchor xmlns:cdr="http://schemas.openxmlformats.org/drawingml/2006/chartDrawing">
    <cdr:from>
      <cdr:x>0.81106</cdr:x>
      <cdr:y>0.08575</cdr:y>
    </cdr:from>
    <cdr:to>
      <cdr:x>0.81253</cdr:x>
      <cdr:y>0.086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639357" y="561975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30 deg C   </a:t>
          </a:r>
        </a:p>
      </cdr:txBody>
    </cdr:sp>
  </cdr:relSizeAnchor>
  <cdr:relSizeAnchor xmlns:cdr="http://schemas.openxmlformats.org/drawingml/2006/chartDrawing">
    <cdr:from>
      <cdr:x>0.83154</cdr:x>
      <cdr:y>0.046</cdr:y>
    </cdr:from>
    <cdr:to>
      <cdr:x>0.83304</cdr:x>
      <cdr:y>0.04525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772150" y="304800"/>
          <a:ext cx="1369387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 deg C   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0.82093</cdr:x>
      <cdr:y>0.2818</cdr:y>
    </cdr:from>
    <cdr:to>
      <cdr:x>0.91108</cdr:x>
      <cdr:y>0.32099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763556" y="1819086"/>
          <a:ext cx="632915" cy="253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  0 deg C   </a:t>
          </a:r>
        </a:p>
      </cdr:txBody>
    </cdr:sp>
  </cdr:relSizeAnchor>
  <cdr:relSizeAnchor xmlns:cdr="http://schemas.openxmlformats.org/drawingml/2006/chartDrawing">
    <cdr:from>
      <cdr:x>0.0335</cdr:x>
      <cdr:y>0.84007</cdr:y>
    </cdr:from>
    <cdr:to>
      <cdr:x>0.06005</cdr:x>
      <cdr:y>0.88191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3047" y="5311695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0.82709</cdr:x>
      <cdr:y>0.17402</cdr:y>
    </cdr:from>
    <cdr:to>
      <cdr:x>0.92464</cdr:x>
      <cdr:y>0.21435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06852" y="1123331"/>
          <a:ext cx="684870" cy="26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20 deg C   </a:t>
          </a:r>
        </a:p>
      </cdr:txBody>
    </cdr:sp>
  </cdr:relSizeAnchor>
  <cdr:relSizeAnchor xmlns:cdr="http://schemas.openxmlformats.org/drawingml/2006/chartDrawing">
    <cdr:from>
      <cdr:x>0.83016</cdr:x>
      <cdr:y>0.06715</cdr:y>
    </cdr:from>
    <cdr:to>
      <cdr:x>0.97011</cdr:x>
      <cdr:y>0.10824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819775" y="438150"/>
          <a:ext cx="981075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 deg C  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0</xdr:rowOff>
    </xdr:from>
    <xdr:to>
      <xdr:col>20</xdr:col>
      <xdr:colOff>571500</xdr:colOff>
      <xdr:row>41</xdr:row>
      <xdr:rowOff>47625</xdr:rowOff>
    </xdr:to>
    <xdr:graphicFrame macro="">
      <xdr:nvGraphicFramePr>
        <xdr:cNvPr id="3298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0.45094</cdr:x>
      <cdr:y>0.52713</cdr:y>
    </cdr:from>
    <cdr:to>
      <cdr:x>0.64355</cdr:x>
      <cdr:y>0.55535</cdr:y>
    </cdr:to>
    <cdr:sp macro="" textlink="">
      <cdr:nvSpPr>
        <cdr:cNvPr id="6963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629" y="2273328"/>
          <a:ext cx="787075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Aerobatic Category</a:t>
          </a:r>
        </a:p>
      </cdr:txBody>
    </cdr:sp>
  </cdr:relSizeAnchor>
  <cdr:relSizeAnchor xmlns:cdr="http://schemas.openxmlformats.org/drawingml/2006/chartDrawing">
    <cdr:from>
      <cdr:x>0.55322</cdr:x>
      <cdr:y>0.23277</cdr:y>
    </cdr:from>
    <cdr:to>
      <cdr:x>0.70671</cdr:x>
      <cdr:y>0.26099</cdr:y>
    </cdr:to>
    <cdr:sp macro="" textlink="">
      <cdr:nvSpPr>
        <cdr:cNvPr id="6963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0598" y="1003835"/>
          <a:ext cx="627159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0.61059</cdr:x>
      <cdr:y>0.12666</cdr:y>
    </cdr:from>
    <cdr:to>
      <cdr:x>0.78117</cdr:x>
      <cdr:y>0.15488</cdr:y>
    </cdr:to>
    <cdr:sp macro="" textlink="">
      <cdr:nvSpPr>
        <cdr:cNvPr id="6963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5004" y="546230"/>
          <a:ext cx="697050" cy="12170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0.81606</cdr:x>
      <cdr:y>0.31519</cdr:y>
    </cdr:from>
    <cdr:to>
      <cdr:x>0.8175</cdr:x>
      <cdr:y>0.31423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669283" y="1986381"/>
          <a:ext cx="1369692" cy="267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  0 deg C   </a:t>
          </a:r>
        </a:p>
      </cdr:txBody>
    </cdr:sp>
  </cdr:relSizeAnchor>
  <cdr:relSizeAnchor xmlns:cdr="http://schemas.openxmlformats.org/drawingml/2006/chartDrawing">
    <cdr:from>
      <cdr:x>0.0335</cdr:x>
      <cdr:y>0.84007</cdr:y>
    </cdr:from>
    <cdr:to>
      <cdr:x>0.05985</cdr:x>
      <cdr:y>0.88062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4848" y="5481142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0.80142</cdr:x>
      <cdr:y>0.21892</cdr:y>
    </cdr:from>
    <cdr:to>
      <cdr:x>1</cdr:x>
      <cdr:y>0.26219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40708" y="1428340"/>
          <a:ext cx="1369692" cy="267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20 deg C   </a:t>
          </a:r>
        </a:p>
      </cdr:txBody>
    </cdr:sp>
  </cdr:relSizeAnchor>
  <cdr:relSizeAnchor xmlns:cdr="http://schemas.openxmlformats.org/drawingml/2006/chartDrawing">
    <cdr:from>
      <cdr:x>0.80142</cdr:x>
      <cdr:y>0.11894</cdr:y>
    </cdr:from>
    <cdr:to>
      <cdr:x>1</cdr:x>
      <cdr:y>0.15929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640708" y="771328"/>
          <a:ext cx="1369692" cy="267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 deg C   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41</xdr:row>
      <xdr:rowOff>152400</xdr:rowOff>
    </xdr:to>
    <xdr:graphicFrame macro="">
      <xdr:nvGraphicFramePr>
        <xdr:cNvPr id="9482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0.39585</cdr:x>
      <cdr:y>0.46053</cdr:y>
    </cdr:from>
    <cdr:to>
      <cdr:x>0.43535</cdr:x>
      <cdr:y>0.53743</cdr:y>
    </cdr:to>
    <cdr:sp macro="" textlink="">
      <cdr:nvSpPr>
        <cdr:cNvPr id="6" name="TextBox 1"/>
        <cdr:cNvSpPr txBox="1"/>
      </cdr:nvSpPr>
      <cdr:spPr>
        <a:xfrm xmlns:a="http://schemas.openxmlformats.org/drawingml/2006/main" rot="2991727">
          <a:off x="2647938" y="2978820"/>
          <a:ext cx="480619" cy="277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2200</a:t>
          </a:r>
        </a:p>
      </cdr:txBody>
    </cdr:sp>
  </cdr:relSizeAnchor>
  <cdr:relSizeAnchor xmlns:cdr="http://schemas.openxmlformats.org/drawingml/2006/chartDrawing">
    <cdr:from>
      <cdr:x>0.39466</cdr:x>
      <cdr:y>0.35557</cdr:y>
    </cdr:from>
    <cdr:to>
      <cdr:x>0.43291</cdr:x>
      <cdr:y>0.43571</cdr:y>
    </cdr:to>
    <cdr:sp macro="" textlink="">
      <cdr:nvSpPr>
        <cdr:cNvPr id="7" name="TextBox 1"/>
        <cdr:cNvSpPr txBox="1"/>
      </cdr:nvSpPr>
      <cdr:spPr>
        <a:xfrm xmlns:a="http://schemas.openxmlformats.org/drawingml/2006/main" rot="2889656">
          <a:off x="2626906" y="2336600"/>
          <a:ext cx="502580" cy="270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2400</a:t>
          </a:r>
        </a:p>
      </cdr:txBody>
    </cdr:sp>
  </cdr:relSizeAnchor>
  <cdr:relSizeAnchor xmlns:cdr="http://schemas.openxmlformats.org/drawingml/2006/chartDrawing">
    <cdr:from>
      <cdr:x>0.3941</cdr:x>
      <cdr:y>0.24688</cdr:y>
    </cdr:from>
    <cdr:to>
      <cdr:x>0.43259</cdr:x>
      <cdr:y>0.31854</cdr:y>
    </cdr:to>
    <cdr:sp macro="" textlink="">
      <cdr:nvSpPr>
        <cdr:cNvPr id="9" name="TextBox 1"/>
        <cdr:cNvSpPr txBox="1"/>
      </cdr:nvSpPr>
      <cdr:spPr>
        <a:xfrm xmlns:a="http://schemas.openxmlformats.org/drawingml/2006/main" rot="2746554">
          <a:off x="2646140" y="1630131"/>
          <a:ext cx="449369" cy="2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2700</a:t>
          </a:r>
          <a:r>
            <a:rPr lang="en-US" sz="1100" baseline="0"/>
            <a:t> </a:t>
          </a:r>
          <a:endParaRPr lang="en-US" sz="1100"/>
        </a:p>
      </cdr:txBody>
    </cdr:sp>
  </cdr:relSizeAnchor>
  <cdr:relSizeAnchor xmlns:cdr="http://schemas.openxmlformats.org/drawingml/2006/chartDrawing">
    <cdr:from>
      <cdr:x>0.3942</cdr:x>
      <cdr:y>0.56345</cdr:y>
    </cdr:from>
    <cdr:to>
      <cdr:x>0.43269</cdr:x>
      <cdr:y>0.63304</cdr:y>
    </cdr:to>
    <cdr:sp macro="" textlink="">
      <cdr:nvSpPr>
        <cdr:cNvPr id="10" name="TextBox 1"/>
        <cdr:cNvSpPr txBox="1"/>
      </cdr:nvSpPr>
      <cdr:spPr>
        <a:xfrm xmlns:a="http://schemas.openxmlformats.org/drawingml/2006/main" rot="2971161">
          <a:off x="2653165" y="3602385"/>
          <a:ext cx="434872" cy="27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1800</a:t>
          </a:r>
        </a:p>
      </cdr:txBody>
    </cdr:sp>
  </cdr:relSizeAnchor>
  <cdr:relSizeAnchor xmlns:cdr="http://schemas.openxmlformats.org/drawingml/2006/chartDrawing">
    <cdr:from>
      <cdr:x>0.76562</cdr:x>
      <cdr:y>0.19615</cdr:y>
    </cdr:from>
    <cdr:to>
      <cdr:x>0.80813</cdr:x>
      <cdr:y>0.40368</cdr:y>
    </cdr:to>
    <cdr:sp macro="" textlink="">
      <cdr:nvSpPr>
        <cdr:cNvPr id="13" name="TextBox 12"/>
        <cdr:cNvSpPr txBox="1"/>
      </cdr:nvSpPr>
      <cdr:spPr>
        <a:xfrm xmlns:a="http://schemas.openxmlformats.org/drawingml/2006/main" rot="3505543">
          <a:off x="4834278" y="1774686"/>
          <a:ext cx="1356232" cy="306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0" spc="200" baseline="0"/>
            <a:t>Full Throttle</a:t>
          </a:r>
        </a:p>
      </cdr:txBody>
    </cdr:sp>
  </cdr:relSizeAnchor>
  <cdr:relSizeAnchor xmlns:cdr="http://schemas.openxmlformats.org/drawingml/2006/chartDrawing">
    <cdr:from>
      <cdr:x>0.03337</cdr:x>
      <cdr:y>0.83835</cdr:y>
    </cdr:from>
    <cdr:to>
      <cdr:x>0.05973</cdr:x>
      <cdr:y>0.87888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33882" y="5472003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28575</xdr:rowOff>
    </xdr:from>
    <xdr:to>
      <xdr:col>12</xdr:col>
      <xdr:colOff>161925</xdr:colOff>
      <xdr:row>57</xdr:row>
      <xdr:rowOff>38100</xdr:rowOff>
    </xdr:to>
    <xdr:graphicFrame macro="">
      <xdr:nvGraphicFramePr>
        <xdr:cNvPr id="19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0.39953</cdr:x>
      <cdr:y>0.61427</cdr:y>
    </cdr:from>
    <cdr:to>
      <cdr:x>0.5658</cdr:x>
      <cdr:y>0.63878</cdr:y>
    </cdr:to>
    <cdr:sp macro="" textlink="">
      <cdr:nvSpPr>
        <cdr:cNvPr id="70657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0693" y="3974302"/>
          <a:ext cx="1061509" cy="15857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strike="noStrike">
              <a:solidFill>
                <a:srgbClr val="000000"/>
              </a:solidFill>
              <a:latin typeface="Arial"/>
              <a:cs typeface="Arial"/>
            </a:rPr>
            <a:t>Aerobatic Category</a:t>
          </a:r>
        </a:p>
      </cdr:txBody>
    </cdr:sp>
  </cdr:relSizeAnchor>
  <cdr:relSizeAnchor xmlns:cdr="http://schemas.openxmlformats.org/drawingml/2006/chartDrawing">
    <cdr:from>
      <cdr:x>0.51207</cdr:x>
      <cdr:y>0.28601</cdr:y>
    </cdr:from>
    <cdr:to>
      <cdr:x>0.64435</cdr:x>
      <cdr:y>0.31052</cdr:y>
    </cdr:to>
    <cdr:sp macro="" textlink="">
      <cdr:nvSpPr>
        <cdr:cNvPr id="7065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9175" y="1850473"/>
          <a:ext cx="844527" cy="15857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0.59138</cdr:x>
      <cdr:y>0.13656</cdr:y>
    </cdr:from>
    <cdr:to>
      <cdr:x>0.73853</cdr:x>
      <cdr:y>0.16107</cdr:y>
    </cdr:to>
    <cdr:sp macro="" textlink="">
      <cdr:nvSpPr>
        <cdr:cNvPr id="7065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509" y="883538"/>
          <a:ext cx="939424" cy="158570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40</xdr:row>
      <xdr:rowOff>152400</xdr:rowOff>
    </xdr:to>
    <xdr:graphicFrame macro="">
      <xdr:nvGraphicFramePr>
        <xdr:cNvPr id="738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0.43321</cdr:x>
      <cdr:y>0.64395</cdr:y>
    </cdr:from>
    <cdr:to>
      <cdr:x>0.47073</cdr:x>
      <cdr:y>0.85348</cdr:y>
    </cdr:to>
    <cdr:sp macro="" textlink="">
      <cdr:nvSpPr>
        <cdr:cNvPr id="5" name="TextBox 4"/>
        <cdr:cNvSpPr txBox="1"/>
      </cdr:nvSpPr>
      <cdr:spPr>
        <a:xfrm xmlns:a="http://schemas.openxmlformats.org/drawingml/2006/main" rot="16390172">
          <a:off x="2492574" y="4623404"/>
          <a:ext cx="1334634" cy="268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75% Power, 43 lit/hr</a:t>
          </a:r>
        </a:p>
      </cdr:txBody>
    </cdr:sp>
  </cdr:relSizeAnchor>
  <cdr:relSizeAnchor xmlns:cdr="http://schemas.openxmlformats.org/drawingml/2006/chartDrawing">
    <cdr:from>
      <cdr:x>0.55203</cdr:x>
      <cdr:y>0.64576</cdr:y>
    </cdr:from>
    <cdr:to>
      <cdr:x>0.59127</cdr:x>
      <cdr:y>0.85506</cdr:y>
    </cdr:to>
    <cdr:sp macro="" textlink="">
      <cdr:nvSpPr>
        <cdr:cNvPr id="6" name="TextBox 1"/>
        <cdr:cNvSpPr txBox="1"/>
      </cdr:nvSpPr>
      <cdr:spPr>
        <a:xfrm xmlns:a="http://schemas.openxmlformats.org/drawingml/2006/main" rot="17141077">
          <a:off x="3341045" y="4642855"/>
          <a:ext cx="1334633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65% Power, 38 lit/hr</a:t>
          </a:r>
        </a:p>
      </cdr:txBody>
    </cdr:sp>
  </cdr:relSizeAnchor>
  <cdr:relSizeAnchor xmlns:cdr="http://schemas.openxmlformats.org/drawingml/2006/chartDrawing">
    <cdr:from>
      <cdr:x>0.66857</cdr:x>
      <cdr:y>0.65067</cdr:y>
    </cdr:from>
    <cdr:to>
      <cdr:x>0.70609</cdr:x>
      <cdr:y>0.85998</cdr:y>
    </cdr:to>
    <cdr:sp macro="" textlink="">
      <cdr:nvSpPr>
        <cdr:cNvPr id="7" name="TextBox 1"/>
        <cdr:cNvSpPr txBox="1"/>
      </cdr:nvSpPr>
      <cdr:spPr>
        <a:xfrm xmlns:a="http://schemas.openxmlformats.org/drawingml/2006/main" rot="17115155">
          <a:off x="4149186" y="4667765"/>
          <a:ext cx="1334634" cy="268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55% Power, 33 lit/hr</a:t>
          </a:r>
        </a:p>
      </cdr:txBody>
    </cdr:sp>
  </cdr:relSizeAnchor>
  <cdr:relSizeAnchor xmlns:cdr="http://schemas.openxmlformats.org/drawingml/2006/chartDrawing">
    <cdr:from>
      <cdr:x>0.76785</cdr:x>
      <cdr:y>0.64959</cdr:y>
    </cdr:from>
    <cdr:to>
      <cdr:x>0.80562</cdr:x>
      <cdr:y>0.8579</cdr:y>
    </cdr:to>
    <cdr:sp macro="" textlink="">
      <cdr:nvSpPr>
        <cdr:cNvPr id="9" name="TextBox 1"/>
        <cdr:cNvSpPr txBox="1"/>
      </cdr:nvSpPr>
      <cdr:spPr>
        <a:xfrm xmlns:a="http://schemas.openxmlformats.org/drawingml/2006/main" rot="17257196">
          <a:off x="4848403" y="4660932"/>
          <a:ext cx="1334634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45% Power, 29 lit/hr</a:t>
          </a:r>
        </a:p>
      </cdr:txBody>
    </cdr:sp>
  </cdr:relSizeAnchor>
  <cdr:relSizeAnchor xmlns:cdr="http://schemas.openxmlformats.org/drawingml/2006/chartDrawing">
    <cdr:from>
      <cdr:x>0.17866</cdr:x>
      <cdr:y>0.64546</cdr:y>
    </cdr:from>
    <cdr:to>
      <cdr:x>0.21693</cdr:x>
      <cdr:y>0.85452</cdr:y>
    </cdr:to>
    <cdr:sp macro="" textlink="">
      <cdr:nvSpPr>
        <cdr:cNvPr id="10" name="TextBox 1"/>
        <cdr:cNvSpPr txBox="1"/>
      </cdr:nvSpPr>
      <cdr:spPr>
        <a:xfrm xmlns:a="http://schemas.openxmlformats.org/drawingml/2006/main" rot="16496216">
          <a:off x="710343" y="4634633"/>
          <a:ext cx="1334634" cy="268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Full Rich, 59 lit/hr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40</xdr:row>
      <xdr:rowOff>152400</xdr:rowOff>
    </xdr:to>
    <xdr:graphicFrame macro="">
      <xdr:nvGraphicFramePr>
        <xdr:cNvPr id="1209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0.47272</cdr:x>
      <cdr:y>0.42767</cdr:y>
    </cdr:from>
    <cdr:to>
      <cdr:x>0.55445</cdr:x>
      <cdr:y>0.46975</cdr:y>
    </cdr:to>
    <cdr:sp macro="" textlink="">
      <cdr:nvSpPr>
        <cdr:cNvPr id="8" name="TextBox 7"/>
        <cdr:cNvSpPr txBox="1"/>
      </cdr:nvSpPr>
      <cdr:spPr>
        <a:xfrm xmlns:a="http://schemas.openxmlformats.org/drawingml/2006/main" rot="19800273">
          <a:off x="3314882" y="2711204"/>
          <a:ext cx="571097" cy="266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Best Economy</a:t>
          </a:r>
        </a:p>
      </cdr:txBody>
    </cdr:sp>
  </cdr:relSizeAnchor>
  <cdr:relSizeAnchor xmlns:cdr="http://schemas.openxmlformats.org/drawingml/2006/chartDrawing">
    <cdr:from>
      <cdr:x>0.47186</cdr:x>
      <cdr:y>0.2445</cdr:y>
    </cdr:from>
    <cdr:to>
      <cdr:x>0.5526</cdr:x>
      <cdr:y>0.28609</cdr:y>
    </cdr:to>
    <cdr:sp macro="" textlink="">
      <cdr:nvSpPr>
        <cdr:cNvPr id="9" name="TextBox 1"/>
        <cdr:cNvSpPr txBox="1"/>
      </cdr:nvSpPr>
      <cdr:spPr>
        <a:xfrm xmlns:a="http://schemas.openxmlformats.org/drawingml/2006/main" rot="19510984">
          <a:off x="3307166" y="1547628"/>
          <a:ext cx="567619" cy="263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Best Power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85725</xdr:rowOff>
    </xdr:from>
    <xdr:to>
      <xdr:col>19</xdr:col>
      <xdr:colOff>381000</xdr:colOff>
      <xdr:row>41</xdr:row>
      <xdr:rowOff>152400</xdr:rowOff>
    </xdr:to>
    <xdr:graphicFrame macro="">
      <xdr:nvGraphicFramePr>
        <xdr:cNvPr id="1731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OutlineSymbols="0" zoomScale="130" zoomScaleNormal="130" workbookViewId="0">
      <selection activeCell="B21" sqref="B21"/>
    </sheetView>
  </sheetViews>
  <sheetFormatPr defaultRowHeight="12.75" customHeight="1" x14ac:dyDescent="0.2"/>
  <cols>
    <col min="1" max="1" width="63.42578125" style="2" customWidth="1"/>
    <col min="2" max="2" width="19.28515625" style="2" customWidth="1"/>
    <col min="3" max="3" width="0.28515625" style="2" customWidth="1"/>
    <col min="4" max="4" width="10.7109375" style="2" customWidth="1"/>
    <col min="5" max="5" width="0.28515625" style="2" customWidth="1"/>
    <col min="6" max="6" width="8.140625" style="2" customWidth="1"/>
    <col min="7" max="7" width="0.28515625" style="2" customWidth="1"/>
    <col min="8" max="8" width="7.42578125" style="2" customWidth="1"/>
    <col min="9" max="9" width="0.28515625" style="2" customWidth="1"/>
    <col min="10" max="10" width="9.140625" style="2"/>
    <col min="11" max="11" width="7" style="2" customWidth="1"/>
    <col min="12" max="12" width="9.140625" style="55"/>
    <col min="13" max="13" width="8.85546875" style="55" customWidth="1"/>
    <col min="14" max="16" width="3.5703125" style="55" bestFit="1" customWidth="1"/>
    <col min="17" max="17" width="4.42578125" style="2" customWidth="1"/>
    <col min="18" max="18" width="4.85546875" style="2" bestFit="1" customWidth="1"/>
    <col min="19" max="19" width="9.140625" style="2"/>
    <col min="20" max="20" width="5.7109375" style="2" bestFit="1" customWidth="1"/>
    <col min="21" max="16384" width="9.140625" style="2"/>
  </cols>
  <sheetData>
    <row r="1" spans="1:20" ht="24" customHeight="1" x14ac:dyDescent="0.3">
      <c r="A1" s="1"/>
      <c r="B1" s="1"/>
      <c r="C1" s="1"/>
      <c r="D1" s="1"/>
      <c r="E1" s="36" t="s">
        <v>23</v>
      </c>
      <c r="H1" s="1"/>
      <c r="I1" s="1"/>
      <c r="J1" s="1"/>
    </row>
    <row r="2" spans="1:20" ht="12.75" customHeight="1" x14ac:dyDescent="0.2">
      <c r="A2" s="1"/>
      <c r="B2" s="1"/>
      <c r="C2" s="1"/>
      <c r="D2" s="1"/>
      <c r="E2" s="1"/>
      <c r="F2" s="1" t="s">
        <v>14</v>
      </c>
      <c r="G2" s="1"/>
      <c r="H2" s="1" t="s">
        <v>13</v>
      </c>
      <c r="I2" s="1"/>
      <c r="J2" s="1"/>
    </row>
    <row r="3" spans="1:20" ht="12.75" customHeight="1" x14ac:dyDescent="0.2">
      <c r="B3" s="3"/>
      <c r="C3" s="32"/>
      <c r="D3" s="14" t="s">
        <v>0</v>
      </c>
      <c r="F3" s="14" t="s">
        <v>1</v>
      </c>
      <c r="G3" s="15"/>
      <c r="H3" s="14" t="s">
        <v>2</v>
      </c>
      <c r="I3" s="15"/>
      <c r="J3" s="14" t="s">
        <v>3</v>
      </c>
      <c r="K3" s="4"/>
    </row>
    <row r="4" spans="1:20" ht="12.75" customHeight="1" x14ac:dyDescent="0.2">
      <c r="B4" s="2" t="s">
        <v>4</v>
      </c>
      <c r="C4" s="32"/>
      <c r="D4" s="46">
        <v>495</v>
      </c>
      <c r="F4" s="2">
        <f t="shared" ref="F4:F10" si="0">D4</f>
        <v>495</v>
      </c>
      <c r="H4" s="28">
        <v>192.8</v>
      </c>
      <c r="I4" s="5"/>
      <c r="J4" s="6">
        <f>+F4*H4</f>
        <v>95436</v>
      </c>
      <c r="K4" s="5"/>
      <c r="L4" s="2"/>
      <c r="M4" s="32"/>
      <c r="N4" s="2"/>
      <c r="O4" s="2"/>
      <c r="P4" s="2"/>
      <c r="R4" s="28"/>
      <c r="S4" s="5"/>
      <c r="T4" s="6"/>
    </row>
    <row r="5" spans="1:20" ht="12.75" customHeight="1" x14ac:dyDescent="0.3">
      <c r="B5" s="19" t="s">
        <v>5</v>
      </c>
      <c r="C5" s="18"/>
      <c r="D5" s="47">
        <v>90</v>
      </c>
      <c r="E5" s="19"/>
      <c r="F5" s="19">
        <f t="shared" si="0"/>
        <v>90</v>
      </c>
      <c r="G5" s="19"/>
      <c r="H5" s="29">
        <v>233.1</v>
      </c>
      <c r="I5" s="20"/>
      <c r="J5" s="21">
        <f>F5*H5</f>
        <v>20979</v>
      </c>
      <c r="K5" s="7"/>
      <c r="L5" s="19"/>
      <c r="M5" s="18"/>
      <c r="N5" s="19"/>
      <c r="O5" s="19"/>
      <c r="P5" s="19"/>
      <c r="Q5" s="19"/>
      <c r="R5" s="29"/>
      <c r="S5" s="20"/>
      <c r="T5" s="21"/>
    </row>
    <row r="6" spans="1:20" ht="12.75" customHeight="1" x14ac:dyDescent="0.3">
      <c r="B6" s="19" t="s">
        <v>16</v>
      </c>
      <c r="C6" s="19"/>
      <c r="D6" s="47">
        <v>90</v>
      </c>
      <c r="E6" s="19"/>
      <c r="F6" s="19">
        <f t="shared" si="0"/>
        <v>90</v>
      </c>
      <c r="G6" s="19"/>
      <c r="H6" s="29">
        <v>302.60000000000002</v>
      </c>
      <c r="I6" s="20"/>
      <c r="J6" s="21">
        <f>F6*H6</f>
        <v>27234.000000000004</v>
      </c>
      <c r="K6" s="8"/>
      <c r="L6" s="19"/>
      <c r="M6" s="19"/>
      <c r="N6" s="19"/>
      <c r="O6" s="19"/>
      <c r="P6" s="19"/>
      <c r="Q6" s="19"/>
      <c r="R6" s="29"/>
      <c r="S6" s="20"/>
      <c r="T6" s="21"/>
    </row>
    <row r="7" spans="1:20" ht="12.75" hidden="1" customHeight="1" x14ac:dyDescent="0.3">
      <c r="B7" s="22"/>
      <c r="C7" s="19"/>
      <c r="D7" s="47"/>
      <c r="E7" s="33"/>
      <c r="F7" s="19">
        <f t="shared" si="0"/>
        <v>0</v>
      </c>
      <c r="G7" s="33"/>
      <c r="H7" s="34"/>
      <c r="I7" s="35"/>
      <c r="J7" s="21"/>
      <c r="K7" s="8"/>
      <c r="L7" s="22"/>
      <c r="M7" s="19"/>
      <c r="N7" s="33"/>
      <c r="O7" s="33"/>
      <c r="P7" s="33"/>
      <c r="Q7" s="33"/>
      <c r="R7" s="34"/>
      <c r="S7" s="35"/>
      <c r="T7" s="21"/>
    </row>
    <row r="8" spans="1:20" ht="12.75" customHeight="1" x14ac:dyDescent="0.3">
      <c r="B8" s="22" t="s">
        <v>19</v>
      </c>
      <c r="C8" s="22"/>
      <c r="D8" s="47">
        <v>25</v>
      </c>
      <c r="E8" s="22"/>
      <c r="F8" s="19">
        <f t="shared" si="0"/>
        <v>25</v>
      </c>
      <c r="G8" s="22"/>
      <c r="H8" s="30">
        <v>148.6</v>
      </c>
      <c r="I8" s="23"/>
      <c r="J8" s="21">
        <f>+H8*F8</f>
        <v>3715</v>
      </c>
      <c r="K8" s="9"/>
      <c r="L8" s="22"/>
      <c r="M8" s="22"/>
      <c r="N8" s="22"/>
      <c r="O8" s="22"/>
      <c r="P8" s="33"/>
      <c r="Q8" s="22"/>
      <c r="R8" s="30"/>
      <c r="S8" s="23"/>
      <c r="T8" s="21"/>
    </row>
    <row r="9" spans="1:20" ht="12.75" customHeight="1" x14ac:dyDescent="0.3">
      <c r="B9" s="22" t="s">
        <v>18</v>
      </c>
      <c r="C9" s="22"/>
      <c r="D9" s="47">
        <v>0</v>
      </c>
      <c r="E9" s="22"/>
      <c r="F9" s="19">
        <f t="shared" si="0"/>
        <v>0</v>
      </c>
      <c r="G9" s="22"/>
      <c r="H9" s="30">
        <v>350.5</v>
      </c>
      <c r="I9" s="23"/>
      <c r="J9" s="21">
        <f>+H9*F9</f>
        <v>0</v>
      </c>
      <c r="K9" s="9"/>
      <c r="L9" s="22"/>
      <c r="M9" s="22"/>
      <c r="N9" s="22"/>
      <c r="O9" s="22"/>
      <c r="P9" s="33"/>
      <c r="Q9" s="22"/>
      <c r="R9" s="30"/>
      <c r="S9" s="23"/>
      <c r="T9" s="21"/>
    </row>
    <row r="10" spans="1:20" ht="12.75" customHeight="1" x14ac:dyDescent="0.3">
      <c r="B10" s="22" t="s">
        <v>20</v>
      </c>
      <c r="C10" s="22"/>
      <c r="D10" s="47">
        <v>0</v>
      </c>
      <c r="E10" s="22"/>
      <c r="F10" s="19">
        <f t="shared" si="0"/>
        <v>0</v>
      </c>
      <c r="G10" s="22"/>
      <c r="H10" s="30">
        <v>388.4</v>
      </c>
      <c r="I10" s="27"/>
      <c r="J10" s="21">
        <f>+H10*F10</f>
        <v>0</v>
      </c>
      <c r="K10" s="9"/>
      <c r="L10" s="22"/>
      <c r="M10" s="22"/>
      <c r="N10" s="22"/>
      <c r="O10" s="22"/>
      <c r="P10" s="33"/>
      <c r="Q10" s="22"/>
      <c r="R10" s="30"/>
      <c r="S10" s="27"/>
      <c r="T10" s="21"/>
    </row>
    <row r="11" spans="1:20" ht="12.75" customHeight="1" x14ac:dyDescent="0.3">
      <c r="B11" s="24" t="s">
        <v>15</v>
      </c>
      <c r="C11" s="25"/>
      <c r="D11" s="48">
        <v>160.4</v>
      </c>
      <c r="E11" s="25"/>
      <c r="F11" s="24">
        <f>+D11*0.7</f>
        <v>112.28</v>
      </c>
      <c r="G11" s="24"/>
      <c r="H11" s="31">
        <v>203.2</v>
      </c>
      <c r="I11" s="26"/>
      <c r="J11" s="21">
        <f>F11*H11</f>
        <v>22815.295999999998</v>
      </c>
      <c r="K11" s="10"/>
      <c r="L11" s="24"/>
      <c r="M11" s="25"/>
      <c r="N11" s="24"/>
      <c r="O11" s="25"/>
      <c r="P11" s="24"/>
      <c r="Q11" s="24"/>
      <c r="R11" s="31"/>
      <c r="S11" s="26"/>
      <c r="T11" s="21"/>
    </row>
    <row r="12" spans="1:20" ht="12.75" customHeight="1" x14ac:dyDescent="0.2">
      <c r="B12" s="11" t="s">
        <v>21</v>
      </c>
      <c r="C12" s="12"/>
      <c r="D12" s="11"/>
      <c r="E12" s="12"/>
      <c r="F12" s="43">
        <f>SUM(F4:F11)</f>
        <v>812.28</v>
      </c>
      <c r="G12" s="44"/>
      <c r="H12" s="42">
        <f>J12/F12</f>
        <v>209.50816959669081</v>
      </c>
      <c r="I12" s="5"/>
      <c r="J12" s="13">
        <f>SUM(J4:J11)</f>
        <v>170179.296</v>
      </c>
      <c r="K12" s="5"/>
    </row>
    <row r="13" spans="1:20" ht="12.75" customHeight="1" x14ac:dyDescent="0.2">
      <c r="B13" s="17"/>
      <c r="H13" s="5"/>
      <c r="I13" s="5"/>
      <c r="J13" s="5"/>
      <c r="K13" s="5"/>
    </row>
    <row r="14" spans="1:20" ht="12.75" customHeight="1" x14ac:dyDescent="0.2">
      <c r="B14" s="37" t="s">
        <v>6</v>
      </c>
      <c r="H14" s="5"/>
      <c r="I14" s="5"/>
      <c r="J14" s="5"/>
      <c r="K14" s="5"/>
    </row>
    <row r="15" spans="1:20" ht="12.75" customHeight="1" x14ac:dyDescent="0.2">
      <c r="B15" s="37" t="s">
        <v>25</v>
      </c>
      <c r="H15" s="5"/>
      <c r="I15" s="5"/>
      <c r="J15" s="5"/>
      <c r="K15" s="5"/>
    </row>
    <row r="16" spans="1:20" ht="12.75" customHeight="1" x14ac:dyDescent="0.2">
      <c r="B16" s="17"/>
    </row>
    <row r="17" spans="1:2" ht="12.75" customHeight="1" x14ac:dyDescent="0.2">
      <c r="B17" s="17"/>
    </row>
    <row r="18" spans="1:2" ht="12.75" customHeight="1" x14ac:dyDescent="0.2">
      <c r="B18" s="17"/>
    </row>
    <row r="19" spans="1:2" ht="118.5" customHeight="1" x14ac:dyDescent="0.2"/>
    <row r="20" spans="1:2" ht="12.75" customHeight="1" x14ac:dyDescent="0.2">
      <c r="A20" s="38" t="s">
        <v>7</v>
      </c>
    </row>
    <row r="21" spans="1:2" ht="12.75" customHeight="1" x14ac:dyDescent="0.2">
      <c r="A21" s="38" t="s">
        <v>8</v>
      </c>
    </row>
    <row r="23" spans="1:2" ht="12.75" customHeight="1" x14ac:dyDescent="0.2">
      <c r="A23" s="38" t="s">
        <v>9</v>
      </c>
    </row>
    <row r="24" spans="1:2" ht="12.75" customHeight="1" x14ac:dyDescent="0.2">
      <c r="A24" s="2" t="s">
        <v>17</v>
      </c>
    </row>
    <row r="25" spans="1:2" ht="12.75" customHeight="1" x14ac:dyDescent="0.2">
      <c r="A25" s="2" t="s">
        <v>22</v>
      </c>
    </row>
  </sheetData>
  <sheetProtection sheet="1"/>
  <phoneticPr fontId="15" type="noConversion"/>
  <conditionalFormatting sqref="F12">
    <cfRule type="cellIs" dxfId="3" priority="1" stopIfTrue="1" operator="between">
      <formula>495</formula>
      <formula>818</formula>
    </cfRule>
    <cfRule type="cellIs" dxfId="2" priority="4" stopIfTrue="1" operator="greaterThan">
      <formula>818</formula>
    </cfRule>
  </conditionalFormatting>
  <conditionalFormatting sqref="H12">
    <cfRule type="cellIs" dxfId="1" priority="2" stopIfTrue="1" operator="between">
      <formula>199.9</formula>
      <formula>220.5</formula>
    </cfRule>
    <cfRule type="cellIs" dxfId="0" priority="3" stopIfTrue="1" operator="lessThan">
      <formula>199.9</formula>
    </cfRule>
  </conditionalFormatting>
  <printOptions horizontalCentered="1"/>
  <pageMargins left="0" right="0" top="0.56000000000000005" bottom="0.17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4"/>
  <sheetViews>
    <sheetView workbookViewId="0">
      <selection activeCell="W20" sqref="W20:W21"/>
    </sheetView>
  </sheetViews>
  <sheetFormatPr defaultRowHeight="12.75" x14ac:dyDescent="0.2"/>
  <sheetData>
    <row r="2" spans="3:15" x14ac:dyDescent="0.2">
      <c r="D2">
        <v>0</v>
      </c>
      <c r="E2">
        <v>10</v>
      </c>
      <c r="F2">
        <v>20</v>
      </c>
      <c r="G2">
        <v>30</v>
      </c>
      <c r="H2">
        <v>40</v>
      </c>
    </row>
    <row r="4" spans="3:15" x14ac:dyDescent="0.2">
      <c r="C4">
        <v>0</v>
      </c>
      <c r="D4">
        <v>470</v>
      </c>
      <c r="F4">
        <v>510</v>
      </c>
      <c r="H4">
        <v>540</v>
      </c>
      <c r="J4" s="57">
        <f>+D4/3.28084</f>
        <v>143.25599541580814</v>
      </c>
      <c r="K4" s="57">
        <f t="shared" ref="K4:N10" si="0">+E4/3.28084</f>
        <v>0</v>
      </c>
      <c r="L4" s="57">
        <f t="shared" si="0"/>
        <v>155.44799502566417</v>
      </c>
      <c r="M4" s="57">
        <f t="shared" si="0"/>
        <v>0</v>
      </c>
      <c r="N4" s="57">
        <f t="shared" si="0"/>
        <v>164.59199473305617</v>
      </c>
      <c r="O4" s="57"/>
    </row>
    <row r="5" spans="3:15" x14ac:dyDescent="0.2">
      <c r="C5">
        <f t="shared" ref="C5:C10" si="1">+C4+2000</f>
        <v>2000</v>
      </c>
      <c r="D5">
        <v>510</v>
      </c>
      <c r="F5">
        <v>550</v>
      </c>
      <c r="H5">
        <v>580</v>
      </c>
      <c r="J5" s="57">
        <f t="shared" ref="J5:J10" si="2">+D5/3.28084</f>
        <v>155.44799502566417</v>
      </c>
      <c r="K5" s="57">
        <f t="shared" si="0"/>
        <v>0</v>
      </c>
      <c r="L5" s="57">
        <f t="shared" si="0"/>
        <v>167.63999463552017</v>
      </c>
      <c r="M5" s="57">
        <f t="shared" si="0"/>
        <v>0</v>
      </c>
      <c r="N5" s="57">
        <f t="shared" si="0"/>
        <v>176.78399434291219</v>
      </c>
      <c r="O5" s="57"/>
    </row>
    <row r="6" spans="3:15" x14ac:dyDescent="0.2">
      <c r="C6">
        <f t="shared" si="1"/>
        <v>4000</v>
      </c>
      <c r="D6">
        <v>550</v>
      </c>
      <c r="F6">
        <v>590</v>
      </c>
      <c r="H6">
        <v>630</v>
      </c>
      <c r="J6" s="57">
        <f t="shared" si="2"/>
        <v>167.63999463552017</v>
      </c>
      <c r="K6" s="57">
        <f t="shared" si="0"/>
        <v>0</v>
      </c>
      <c r="L6" s="57">
        <f t="shared" si="0"/>
        <v>179.83199424537619</v>
      </c>
      <c r="M6" s="57">
        <f t="shared" si="0"/>
        <v>0</v>
      </c>
      <c r="N6" s="57">
        <f t="shared" si="0"/>
        <v>192.02399385523219</v>
      </c>
      <c r="O6" s="57"/>
    </row>
    <row r="7" spans="3:15" x14ac:dyDescent="0.2">
      <c r="C7">
        <f t="shared" si="1"/>
        <v>6000</v>
      </c>
      <c r="D7">
        <v>590</v>
      </c>
      <c r="F7">
        <v>635</v>
      </c>
      <c r="H7">
        <v>680</v>
      </c>
      <c r="J7" s="57">
        <f t="shared" si="2"/>
        <v>179.83199424537619</v>
      </c>
      <c r="K7" s="57">
        <f t="shared" si="0"/>
        <v>0</v>
      </c>
      <c r="L7" s="57">
        <f t="shared" si="0"/>
        <v>193.54799380646421</v>
      </c>
      <c r="M7" s="57">
        <f t="shared" si="0"/>
        <v>0</v>
      </c>
      <c r="N7" s="57">
        <f t="shared" si="0"/>
        <v>207.26399336755222</v>
      </c>
      <c r="O7" s="57"/>
    </row>
    <row r="8" spans="3:15" x14ac:dyDescent="0.2">
      <c r="C8">
        <f t="shared" si="1"/>
        <v>8000</v>
      </c>
      <c r="D8">
        <v>640</v>
      </c>
      <c r="F8">
        <v>680</v>
      </c>
      <c r="H8">
        <v>730</v>
      </c>
      <c r="J8" s="57">
        <f t="shared" si="2"/>
        <v>195.07199375769619</v>
      </c>
      <c r="K8" s="57">
        <f t="shared" si="0"/>
        <v>0</v>
      </c>
      <c r="L8" s="57">
        <f t="shared" si="0"/>
        <v>207.26399336755222</v>
      </c>
      <c r="M8" s="57">
        <f t="shared" si="0"/>
        <v>0</v>
      </c>
      <c r="N8" s="57">
        <f t="shared" si="0"/>
        <v>222.50399287987224</v>
      </c>
      <c r="O8" s="57"/>
    </row>
    <row r="9" spans="3:15" x14ac:dyDescent="0.2">
      <c r="C9">
        <f t="shared" si="1"/>
        <v>10000</v>
      </c>
      <c r="D9">
        <v>690</v>
      </c>
      <c r="F9">
        <v>740</v>
      </c>
      <c r="H9">
        <v>790</v>
      </c>
      <c r="J9" s="57">
        <f t="shared" si="2"/>
        <v>210.31199327001622</v>
      </c>
      <c r="K9" s="57">
        <f t="shared" si="0"/>
        <v>0</v>
      </c>
      <c r="L9" s="57">
        <f t="shared" si="0"/>
        <v>225.55199278233624</v>
      </c>
      <c r="M9" s="57">
        <f t="shared" si="0"/>
        <v>0</v>
      </c>
      <c r="N9" s="57">
        <f t="shared" si="0"/>
        <v>240.79199229465624</v>
      </c>
      <c r="O9" s="57"/>
    </row>
    <row r="10" spans="3:15" x14ac:dyDescent="0.2">
      <c r="C10">
        <f t="shared" si="1"/>
        <v>12000</v>
      </c>
      <c r="D10">
        <v>750</v>
      </c>
      <c r="F10">
        <v>800</v>
      </c>
      <c r="H10">
        <v>857</v>
      </c>
      <c r="J10" s="57">
        <f t="shared" si="2"/>
        <v>228.59999268480024</v>
      </c>
      <c r="K10" s="57">
        <f t="shared" si="0"/>
        <v>0</v>
      </c>
      <c r="L10" s="57">
        <f t="shared" si="0"/>
        <v>243.83999219712024</v>
      </c>
      <c r="M10" s="57">
        <f t="shared" si="0"/>
        <v>0</v>
      </c>
      <c r="N10" s="57">
        <f t="shared" si="0"/>
        <v>261.21359164116507</v>
      </c>
      <c r="O10" s="57"/>
    </row>
    <row r="14" spans="3:15" x14ac:dyDescent="0.2">
      <c r="C14">
        <f t="shared" ref="C14:C20" si="3">C4</f>
        <v>0</v>
      </c>
      <c r="D14" s="57">
        <f>J4</f>
        <v>143.25599541580814</v>
      </c>
      <c r="E14" s="57">
        <f t="shared" ref="E14:H20" si="4">K4</f>
        <v>0</v>
      </c>
      <c r="F14" s="57">
        <f t="shared" si="4"/>
        <v>155.44799502566417</v>
      </c>
      <c r="G14" s="57">
        <f t="shared" si="4"/>
        <v>0</v>
      </c>
      <c r="H14" s="57">
        <f t="shared" si="4"/>
        <v>164.59199473305617</v>
      </c>
      <c r="J14" s="57">
        <f t="shared" ref="J14:N20" si="5">ROUND(P4/10, 0)*10</f>
        <v>0</v>
      </c>
      <c r="K14" s="57">
        <f t="shared" si="5"/>
        <v>0</v>
      </c>
      <c r="L14" s="57">
        <f t="shared" si="5"/>
        <v>0</v>
      </c>
      <c r="M14" s="57">
        <f t="shared" si="5"/>
        <v>0</v>
      </c>
      <c r="N14" s="57">
        <f t="shared" si="5"/>
        <v>0</v>
      </c>
    </row>
    <row r="15" spans="3:15" x14ac:dyDescent="0.2">
      <c r="C15">
        <f t="shared" si="3"/>
        <v>2000</v>
      </c>
      <c r="D15" s="57"/>
      <c r="E15" s="57">
        <f t="shared" si="4"/>
        <v>0</v>
      </c>
      <c r="F15" s="57"/>
      <c r="G15" s="57">
        <f t="shared" si="4"/>
        <v>0</v>
      </c>
      <c r="H15" s="57"/>
      <c r="J15" s="57">
        <f t="shared" si="5"/>
        <v>0</v>
      </c>
      <c r="K15" s="57">
        <f t="shared" si="5"/>
        <v>0</v>
      </c>
      <c r="L15" s="57">
        <f t="shared" si="5"/>
        <v>0</v>
      </c>
      <c r="M15" s="57">
        <f t="shared" si="5"/>
        <v>0</v>
      </c>
      <c r="N15" s="57">
        <f t="shared" si="5"/>
        <v>0</v>
      </c>
    </row>
    <row r="16" spans="3:15" x14ac:dyDescent="0.2">
      <c r="C16">
        <f t="shared" si="3"/>
        <v>4000</v>
      </c>
      <c r="D16" s="57"/>
      <c r="E16" s="57">
        <f t="shared" si="4"/>
        <v>0</v>
      </c>
      <c r="F16" s="57"/>
      <c r="G16" s="57">
        <f t="shared" si="4"/>
        <v>0</v>
      </c>
      <c r="H16" s="57"/>
      <c r="J16" s="57">
        <f t="shared" si="5"/>
        <v>0</v>
      </c>
      <c r="K16" s="57">
        <f t="shared" si="5"/>
        <v>0</v>
      </c>
      <c r="L16" s="57">
        <f t="shared" si="5"/>
        <v>0</v>
      </c>
      <c r="M16" s="57">
        <f t="shared" si="5"/>
        <v>0</v>
      </c>
      <c r="N16" s="57">
        <f t="shared" si="5"/>
        <v>0</v>
      </c>
    </row>
    <row r="17" spans="3:14" x14ac:dyDescent="0.2">
      <c r="C17">
        <f t="shared" si="3"/>
        <v>6000</v>
      </c>
      <c r="D17" s="57">
        <f>J7</f>
        <v>179.83199424537619</v>
      </c>
      <c r="E17" s="57">
        <f t="shared" si="4"/>
        <v>0</v>
      </c>
      <c r="F17" s="57">
        <f t="shared" si="4"/>
        <v>193.54799380646421</v>
      </c>
      <c r="G17" s="57">
        <f t="shared" si="4"/>
        <v>0</v>
      </c>
      <c r="H17" s="57">
        <f t="shared" si="4"/>
        <v>207.26399336755222</v>
      </c>
      <c r="J17" s="57">
        <f t="shared" si="5"/>
        <v>0</v>
      </c>
      <c r="K17" s="57">
        <f t="shared" si="5"/>
        <v>0</v>
      </c>
      <c r="L17" s="57">
        <f t="shared" si="5"/>
        <v>0</v>
      </c>
      <c r="M17" s="57">
        <f t="shared" si="5"/>
        <v>0</v>
      </c>
      <c r="N17" s="57">
        <f t="shared" si="5"/>
        <v>0</v>
      </c>
    </row>
    <row r="18" spans="3:14" x14ac:dyDescent="0.2">
      <c r="C18">
        <f t="shared" si="3"/>
        <v>8000</v>
      </c>
      <c r="D18" s="57"/>
      <c r="E18" s="57">
        <f t="shared" si="4"/>
        <v>0</v>
      </c>
      <c r="F18" s="57"/>
      <c r="G18" s="57">
        <f t="shared" si="4"/>
        <v>0</v>
      </c>
      <c r="H18" s="57"/>
      <c r="J18" s="57">
        <f t="shared" si="5"/>
        <v>0</v>
      </c>
      <c r="K18" s="57">
        <f t="shared" si="5"/>
        <v>0</v>
      </c>
      <c r="L18" s="57">
        <f t="shared" si="5"/>
        <v>0</v>
      </c>
      <c r="M18" s="57">
        <f t="shared" si="5"/>
        <v>0</v>
      </c>
      <c r="N18" s="57">
        <f t="shared" si="5"/>
        <v>0</v>
      </c>
    </row>
    <row r="19" spans="3:14" x14ac:dyDescent="0.2">
      <c r="C19">
        <f t="shared" si="3"/>
        <v>10000</v>
      </c>
      <c r="D19" s="57"/>
      <c r="E19" s="57">
        <f t="shared" si="4"/>
        <v>0</v>
      </c>
      <c r="F19" s="57"/>
      <c r="G19" s="57">
        <f t="shared" si="4"/>
        <v>0</v>
      </c>
      <c r="H19" s="57"/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</row>
    <row r="20" spans="3:14" x14ac:dyDescent="0.2">
      <c r="C20">
        <f t="shared" si="3"/>
        <v>12000</v>
      </c>
      <c r="D20" s="57">
        <f>J10</f>
        <v>228.59999268480024</v>
      </c>
      <c r="E20" s="57">
        <f t="shared" si="4"/>
        <v>0</v>
      </c>
      <c r="F20" s="57">
        <f t="shared" si="4"/>
        <v>243.83999219712024</v>
      </c>
      <c r="G20" s="57">
        <f t="shared" si="4"/>
        <v>0</v>
      </c>
      <c r="H20" s="57">
        <f t="shared" si="4"/>
        <v>261.21359164116507</v>
      </c>
      <c r="J20" s="57">
        <f t="shared" si="5"/>
        <v>0</v>
      </c>
      <c r="K20" s="57">
        <f t="shared" si="5"/>
        <v>0</v>
      </c>
      <c r="L20" s="57">
        <f t="shared" si="5"/>
        <v>0</v>
      </c>
      <c r="M20" s="57">
        <f t="shared" si="5"/>
        <v>0</v>
      </c>
      <c r="N20" s="57">
        <f t="shared" si="5"/>
        <v>0</v>
      </c>
    </row>
    <row r="21" spans="3:14" x14ac:dyDescent="0.2">
      <c r="J21" s="57"/>
    </row>
    <row r="22" spans="3:14" x14ac:dyDescent="0.2">
      <c r="J22" s="57"/>
    </row>
    <row r="23" spans="3:14" x14ac:dyDescent="0.2">
      <c r="J23" s="57"/>
    </row>
    <row r="24" spans="3:14" x14ac:dyDescent="0.2">
      <c r="J24" s="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2" zoomScale="115" zoomScaleNormal="115" workbookViewId="0">
      <selection activeCell="A7" sqref="A7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8" x14ac:dyDescent="0.2">
      <c r="B3" t="s">
        <v>28</v>
      </c>
      <c r="C3" s="61">
        <v>2700</v>
      </c>
      <c r="D3" s="61">
        <v>2400</v>
      </c>
      <c r="E3" s="61">
        <v>2200</v>
      </c>
      <c r="F3" s="61">
        <v>1800</v>
      </c>
      <c r="G3" s="62" t="s">
        <v>36</v>
      </c>
    </row>
    <row r="4" spans="1:8" x14ac:dyDescent="0.2">
      <c r="B4">
        <f>B19</f>
        <v>0</v>
      </c>
      <c r="C4">
        <v>180</v>
      </c>
      <c r="D4">
        <v>162</v>
      </c>
      <c r="E4">
        <v>150</v>
      </c>
      <c r="F4">
        <v>140</v>
      </c>
      <c r="H4">
        <v>175</v>
      </c>
    </row>
    <row r="5" spans="1:8" x14ac:dyDescent="0.2">
      <c r="A5">
        <v>28</v>
      </c>
      <c r="B5">
        <f>B20</f>
        <v>2000</v>
      </c>
    </row>
    <row r="6" spans="1:8" x14ac:dyDescent="0.2">
      <c r="A6">
        <f>+A5-2</f>
        <v>26</v>
      </c>
      <c r="B6">
        <f>B21</f>
        <v>4000</v>
      </c>
    </row>
    <row r="7" spans="1:8" x14ac:dyDescent="0.2">
      <c r="A7">
        <f t="shared" ref="A7:A12" si="0">+A6-2</f>
        <v>24</v>
      </c>
      <c r="B7">
        <f>B22</f>
        <v>7500</v>
      </c>
      <c r="H7">
        <f>F7</f>
        <v>0</v>
      </c>
    </row>
    <row r="8" spans="1:8" x14ac:dyDescent="0.2">
      <c r="A8">
        <f t="shared" si="0"/>
        <v>22</v>
      </c>
      <c r="B8">
        <v>9000</v>
      </c>
    </row>
    <row r="9" spans="1:8" x14ac:dyDescent="0.2">
      <c r="A9">
        <f t="shared" si="0"/>
        <v>20</v>
      </c>
      <c r="B9">
        <f>B24</f>
        <v>10000</v>
      </c>
      <c r="G9">
        <v>140</v>
      </c>
    </row>
    <row r="10" spans="1:8" x14ac:dyDescent="0.2">
      <c r="B10">
        <v>11500</v>
      </c>
      <c r="H10">
        <f>E10</f>
        <v>0</v>
      </c>
    </row>
    <row r="11" spans="1:8" x14ac:dyDescent="0.2">
      <c r="A11">
        <v>18</v>
      </c>
      <c r="B11">
        <f>B26</f>
        <v>14000</v>
      </c>
    </row>
    <row r="12" spans="1:8" x14ac:dyDescent="0.2">
      <c r="A12">
        <f t="shared" si="0"/>
        <v>16</v>
      </c>
      <c r="B12">
        <v>15000</v>
      </c>
      <c r="H12">
        <f>+D12</f>
        <v>0</v>
      </c>
    </row>
    <row r="13" spans="1:8" x14ac:dyDescent="0.2">
      <c r="A13">
        <v>16</v>
      </c>
      <c r="B13">
        <f>B27</f>
        <v>16000</v>
      </c>
    </row>
    <row r="14" spans="1:8" x14ac:dyDescent="0.2">
      <c r="A14">
        <v>14</v>
      </c>
      <c r="B14">
        <f>B28</f>
        <v>19000</v>
      </c>
      <c r="H14">
        <f>C14</f>
        <v>0</v>
      </c>
    </row>
    <row r="15" spans="1:8" x14ac:dyDescent="0.2">
      <c r="B15">
        <f>B29</f>
        <v>20000</v>
      </c>
      <c r="C15">
        <v>85</v>
      </c>
      <c r="D15">
        <v>76</v>
      </c>
      <c r="E15">
        <v>68</v>
      </c>
      <c r="F15">
        <v>58</v>
      </c>
      <c r="G15">
        <v>40</v>
      </c>
    </row>
    <row r="19" spans="2:6" x14ac:dyDescent="0.2">
      <c r="B19">
        <v>0</v>
      </c>
      <c r="C19">
        <v>119</v>
      </c>
      <c r="D19">
        <v>134</v>
      </c>
      <c r="E19">
        <v>145.5</v>
      </c>
      <c r="F19">
        <v>157.5</v>
      </c>
    </row>
    <row r="20" spans="2:6" x14ac:dyDescent="0.2">
      <c r="B20">
        <f>+B19+2000</f>
        <v>2000</v>
      </c>
      <c r="C20">
        <v>123</v>
      </c>
      <c r="D20">
        <v>137.5</v>
      </c>
      <c r="E20">
        <v>149</v>
      </c>
      <c r="F20">
        <v>161</v>
      </c>
    </row>
    <row r="21" spans="2:6" x14ac:dyDescent="0.2">
      <c r="B21">
        <f t="shared" ref="B21:B27" si="1">+B20+2000</f>
        <v>4000</v>
      </c>
    </row>
    <row r="22" spans="2:6" x14ac:dyDescent="0.2">
      <c r="B22">
        <v>7500</v>
      </c>
      <c r="F22">
        <v>171</v>
      </c>
    </row>
    <row r="23" spans="2:6" x14ac:dyDescent="0.2">
      <c r="B23">
        <v>9000</v>
      </c>
      <c r="C23">
        <v>136</v>
      </c>
      <c r="D23">
        <v>149.30000000000001</v>
      </c>
      <c r="F23">
        <v>173</v>
      </c>
    </row>
    <row r="24" spans="2:6" x14ac:dyDescent="0.2">
      <c r="B24">
        <v>10000</v>
      </c>
      <c r="C24">
        <v>138</v>
      </c>
      <c r="D24">
        <v>150.75</v>
      </c>
      <c r="E24">
        <v>164</v>
      </c>
      <c r="F24">
        <v>177</v>
      </c>
    </row>
    <row r="25" spans="2:6" x14ac:dyDescent="0.2">
      <c r="B25">
        <f t="shared" si="1"/>
        <v>12000</v>
      </c>
    </row>
    <row r="26" spans="2:6" x14ac:dyDescent="0.2">
      <c r="B26">
        <f t="shared" si="1"/>
        <v>14000</v>
      </c>
      <c r="D26">
        <v>158</v>
      </c>
    </row>
    <row r="27" spans="2:6" x14ac:dyDescent="0.2">
      <c r="B27">
        <f t="shared" si="1"/>
        <v>16000</v>
      </c>
    </row>
    <row r="28" spans="2:6" x14ac:dyDescent="0.2">
      <c r="B28">
        <v>19000</v>
      </c>
      <c r="C28">
        <v>151</v>
      </c>
    </row>
    <row r="29" spans="2:6" x14ac:dyDescent="0.2">
      <c r="B29">
        <v>20000</v>
      </c>
      <c r="C29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115" zoomScaleNormal="115" workbookViewId="0">
      <selection activeCell="L62" sqref="L62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16" customWidth="1"/>
  </cols>
  <sheetData>
    <row r="1" spans="1:16" x14ac:dyDescent="0.2">
      <c r="D1" s="16" t="s">
        <v>10</v>
      </c>
    </row>
    <row r="2" spans="1:16" x14ac:dyDescent="0.2">
      <c r="D2" s="16" t="s">
        <v>11</v>
      </c>
      <c r="E2" s="16" t="s">
        <v>12</v>
      </c>
      <c r="L2" t="s">
        <v>26</v>
      </c>
      <c r="O2" t="s">
        <v>27</v>
      </c>
    </row>
    <row r="3" spans="1:16" x14ac:dyDescent="0.2">
      <c r="A3" s="16">
        <f>A4</f>
        <v>192.8</v>
      </c>
      <c r="B3" s="16">
        <v>0</v>
      </c>
    </row>
    <row r="4" spans="1:16" x14ac:dyDescent="0.2">
      <c r="A4" s="16">
        <f t="shared" ref="A4:A9" si="0">C4/B4</f>
        <v>192.8</v>
      </c>
      <c r="B4" s="16">
        <f>WBSARA!F4</f>
        <v>495</v>
      </c>
      <c r="C4" s="16">
        <f>WBSARA!J4</f>
        <v>95436</v>
      </c>
      <c r="D4" s="49">
        <v>200</v>
      </c>
      <c r="E4" s="40">
        <f>495+5</f>
        <v>500</v>
      </c>
      <c r="L4" s="49">
        <v>200</v>
      </c>
      <c r="M4" s="40">
        <f>495+5</f>
        <v>500</v>
      </c>
      <c r="O4" s="49">
        <v>200</v>
      </c>
      <c r="P4" s="40">
        <f>495+5</f>
        <v>500</v>
      </c>
    </row>
    <row r="5" spans="1:16" x14ac:dyDescent="0.2">
      <c r="A5" s="16">
        <f t="shared" si="0"/>
        <v>199</v>
      </c>
      <c r="B5" s="16">
        <f>WBSARA!F5+B4</f>
        <v>585</v>
      </c>
      <c r="C5" s="16">
        <f>WBSARA!J5+C4</f>
        <v>116415</v>
      </c>
      <c r="D5" s="49">
        <v>200</v>
      </c>
      <c r="E5" s="40">
        <v>816</v>
      </c>
      <c r="L5" s="49">
        <v>200</v>
      </c>
      <c r="M5" s="40">
        <v>816</v>
      </c>
      <c r="O5" s="49">
        <v>200</v>
      </c>
      <c r="P5" s="40">
        <v>816</v>
      </c>
    </row>
    <row r="6" spans="1:16" x14ac:dyDescent="0.2">
      <c r="A6" s="16">
        <f t="shared" si="0"/>
        <v>212.81333333333333</v>
      </c>
      <c r="B6" s="16">
        <f>WBSARA!F6+B5</f>
        <v>675</v>
      </c>
      <c r="C6" s="16">
        <f>WBSARA!J6+C5</f>
        <v>143649</v>
      </c>
      <c r="D6" s="49">
        <v>220</v>
      </c>
      <c r="E6" s="40">
        <v>816</v>
      </c>
      <c r="L6" s="49">
        <v>220.5</v>
      </c>
      <c r="M6" s="40">
        <v>816</v>
      </c>
      <c r="O6" s="49">
        <v>220</v>
      </c>
      <c r="P6" s="40">
        <v>816</v>
      </c>
    </row>
    <row r="7" spans="1:16" x14ac:dyDescent="0.2">
      <c r="A7" s="16">
        <f t="shared" si="0"/>
        <v>212.81333333333333</v>
      </c>
      <c r="B7" s="16">
        <f>WBSARA!F7+B6</f>
        <v>675</v>
      </c>
      <c r="C7" s="16">
        <f>WBSARA!J7+C6</f>
        <v>143649</v>
      </c>
      <c r="D7" s="49">
        <v>220</v>
      </c>
      <c r="E7" s="40">
        <v>500</v>
      </c>
      <c r="L7" s="49">
        <v>220.5</v>
      </c>
      <c r="M7" s="40">
        <v>773</v>
      </c>
      <c r="O7" s="49">
        <v>220</v>
      </c>
      <c r="P7" s="40">
        <f>773-3</f>
        <v>770</v>
      </c>
    </row>
    <row r="8" spans="1:16" x14ac:dyDescent="0.2">
      <c r="A8" s="16">
        <f t="shared" si="0"/>
        <v>210.52</v>
      </c>
      <c r="B8" s="16">
        <f>WBSARA!F8+B7</f>
        <v>700</v>
      </c>
      <c r="C8" s="16">
        <f>WBSARA!J8+C7</f>
        <v>147364</v>
      </c>
      <c r="D8" s="49">
        <v>220</v>
      </c>
      <c r="E8" s="40">
        <f>495+5</f>
        <v>500</v>
      </c>
      <c r="L8" s="49">
        <v>200</v>
      </c>
      <c r="M8" s="40">
        <v>773</v>
      </c>
      <c r="O8" s="49">
        <v>200</v>
      </c>
      <c r="P8" s="40">
        <f>773-3</f>
        <v>770</v>
      </c>
    </row>
    <row r="9" spans="1:16" x14ac:dyDescent="0.2">
      <c r="A9" s="16">
        <f t="shared" si="0"/>
        <v>210.52</v>
      </c>
      <c r="B9" s="16">
        <f>WBSARA!F9+B8</f>
        <v>700</v>
      </c>
      <c r="C9" s="16">
        <f>WBSARA!J9+C8</f>
        <v>147364</v>
      </c>
      <c r="D9" s="49">
        <v>200</v>
      </c>
      <c r="E9" s="40">
        <f>495+5</f>
        <v>500</v>
      </c>
      <c r="H9" s="49">
        <v>216.7</v>
      </c>
      <c r="I9" s="40">
        <v>770</v>
      </c>
      <c r="L9" s="49">
        <v>220.5</v>
      </c>
      <c r="M9" s="40">
        <v>773</v>
      </c>
      <c r="O9" s="49">
        <v>220</v>
      </c>
      <c r="P9" s="40">
        <f>773-3</f>
        <v>770</v>
      </c>
    </row>
    <row r="10" spans="1:16" x14ac:dyDescent="0.2">
      <c r="A10" s="16">
        <f>C10/B10</f>
        <v>210.52</v>
      </c>
      <c r="B10" s="16">
        <f>WBSARA!F10+B9</f>
        <v>700</v>
      </c>
      <c r="C10" s="16">
        <f>WBSARA!J10+C9</f>
        <v>147364</v>
      </c>
      <c r="D10" s="51">
        <v>200</v>
      </c>
      <c r="E10" s="52">
        <f>727-27</f>
        <v>700</v>
      </c>
      <c r="L10" s="49">
        <v>220.5</v>
      </c>
      <c r="M10" s="40">
        <f>495+5</f>
        <v>500</v>
      </c>
      <c r="O10" s="49">
        <v>220</v>
      </c>
      <c r="P10" s="40">
        <f>495+5</f>
        <v>500</v>
      </c>
    </row>
    <row r="11" spans="1:16" x14ac:dyDescent="0.2">
      <c r="A11" s="16">
        <f>C11/B11</f>
        <v>209.50816959669081</v>
      </c>
      <c r="B11" s="16">
        <f>WBSARA!F11+B10</f>
        <v>812.28</v>
      </c>
      <c r="C11" s="16">
        <f>WBSARA!J11+C10</f>
        <v>170179.296</v>
      </c>
      <c r="D11" s="51">
        <v>216.7</v>
      </c>
      <c r="E11" s="52">
        <f>727-27</f>
        <v>700</v>
      </c>
      <c r="L11" s="49">
        <v>200</v>
      </c>
      <c r="M11" s="40">
        <f>495+5</f>
        <v>500</v>
      </c>
      <c r="O11" s="49">
        <v>200</v>
      </c>
      <c r="P11" s="40">
        <f>495+5</f>
        <v>500</v>
      </c>
    </row>
    <row r="12" spans="1:16" x14ac:dyDescent="0.2">
      <c r="A12" s="16">
        <f>A11</f>
        <v>209.50816959669081</v>
      </c>
      <c r="D12" s="51">
        <v>216.7</v>
      </c>
      <c r="E12" s="52">
        <f>495+5</f>
        <v>500</v>
      </c>
      <c r="G12" s="40">
        <v>727</v>
      </c>
      <c r="H12" t="s">
        <v>24</v>
      </c>
      <c r="L12" s="49">
        <v>200</v>
      </c>
      <c r="M12" s="40">
        <f>727-25</f>
        <v>702</v>
      </c>
      <c r="O12" s="49">
        <v>200</v>
      </c>
      <c r="P12" s="40">
        <f>727-27</f>
        <v>700</v>
      </c>
    </row>
    <row r="13" spans="1:16" x14ac:dyDescent="0.2">
      <c r="A13" s="16">
        <f>A12</f>
        <v>209.50816959669081</v>
      </c>
      <c r="D13" s="53">
        <v>216.7</v>
      </c>
      <c r="E13" s="54">
        <v>770</v>
      </c>
      <c r="G13" s="40">
        <v>727</v>
      </c>
      <c r="H13" t="s">
        <v>24</v>
      </c>
      <c r="L13" s="49">
        <v>216.7</v>
      </c>
      <c r="M13" s="40">
        <f>727-25</f>
        <v>702</v>
      </c>
      <c r="O13" s="49">
        <v>216.7</v>
      </c>
      <c r="P13" s="40">
        <f>727-27</f>
        <v>700</v>
      </c>
    </row>
    <row r="14" spans="1:16" x14ac:dyDescent="0.2">
      <c r="D14" s="53">
        <v>200</v>
      </c>
      <c r="E14" s="54">
        <v>770</v>
      </c>
      <c r="L14" s="49">
        <v>216.7</v>
      </c>
      <c r="M14" s="40">
        <f>495+5</f>
        <v>500</v>
      </c>
      <c r="O14" s="49">
        <v>216.7</v>
      </c>
      <c r="P14" s="40">
        <f>495+5</f>
        <v>500</v>
      </c>
    </row>
    <row r="15" spans="1:16" x14ac:dyDescent="0.2">
      <c r="D15" s="28"/>
      <c r="H15" s="44"/>
      <c r="I15" s="45"/>
      <c r="O15" s="28"/>
      <c r="P15" s="16"/>
    </row>
    <row r="16" spans="1:16" x14ac:dyDescent="0.2">
      <c r="D16" s="50">
        <v>220</v>
      </c>
      <c r="E16" s="41">
        <v>816</v>
      </c>
      <c r="O16" s="50">
        <v>220</v>
      </c>
      <c r="P16" s="41">
        <v>816</v>
      </c>
    </row>
    <row r="17" spans="3:16" x14ac:dyDescent="0.2">
      <c r="D17" s="50">
        <v>220</v>
      </c>
      <c r="E17" s="41">
        <f>495+5</f>
        <v>500</v>
      </c>
      <c r="O17" s="50">
        <v>220</v>
      </c>
      <c r="P17" s="41">
        <f>495+5</f>
        <v>500</v>
      </c>
    </row>
    <row r="20" spans="3:16" x14ac:dyDescent="0.2">
      <c r="C20" s="39"/>
    </row>
    <row r="21" spans="3:16" x14ac:dyDescent="0.2">
      <c r="C21" s="39"/>
    </row>
    <row r="22" spans="3:16" x14ac:dyDescent="0.2">
      <c r="C22" s="39"/>
    </row>
    <row r="23" spans="3:16" x14ac:dyDescent="0.2">
      <c r="C23" s="39"/>
    </row>
    <row r="24" spans="3:16" x14ac:dyDescent="0.2">
      <c r="C24" s="39"/>
    </row>
    <row r="25" spans="3:16" x14ac:dyDescent="0.2">
      <c r="C25" s="39"/>
    </row>
    <row r="26" spans="3:16" x14ac:dyDescent="0.2">
      <c r="C26" s="39"/>
    </row>
    <row r="27" spans="3:16" x14ac:dyDescent="0.2">
      <c r="C27" s="39"/>
    </row>
    <row r="28" spans="3:16" x14ac:dyDescent="0.2">
      <c r="C28" s="39"/>
    </row>
    <row r="29" spans="3:16" x14ac:dyDescent="0.2">
      <c r="C29" s="39"/>
    </row>
    <row r="30" spans="3:16" x14ac:dyDescent="0.2">
      <c r="C30" s="39"/>
    </row>
  </sheetData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opLeftCell="B1" zoomScale="115" zoomScaleNormal="115" workbookViewId="0">
      <selection activeCell="H28" sqref="H28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7" x14ac:dyDescent="0.2">
      <c r="B3" t="s">
        <v>28</v>
      </c>
      <c r="C3" s="56">
        <v>0.75</v>
      </c>
      <c r="D3" s="56">
        <v>0.65</v>
      </c>
      <c r="E3" s="56">
        <v>0.55000000000000004</v>
      </c>
      <c r="F3" s="56">
        <v>0.45</v>
      </c>
      <c r="G3" s="56">
        <v>0.35</v>
      </c>
    </row>
    <row r="4" spans="1:7" x14ac:dyDescent="0.2">
      <c r="A4">
        <v>450</v>
      </c>
      <c r="B4">
        <v>0</v>
      </c>
      <c r="C4">
        <f>C18</f>
        <v>475</v>
      </c>
      <c r="D4">
        <f>D18</f>
        <v>620</v>
      </c>
      <c r="E4">
        <f>E18</f>
        <v>675</v>
      </c>
      <c r="F4">
        <f>F18</f>
        <v>740</v>
      </c>
      <c r="G4">
        <f>G18</f>
        <v>794</v>
      </c>
    </row>
    <row r="5" spans="1:7" x14ac:dyDescent="0.2">
      <c r="A5">
        <f t="shared" ref="A5:A13" si="0">+A4+50</f>
        <v>500</v>
      </c>
      <c r="B5">
        <f>+B4+2500</f>
        <v>2500</v>
      </c>
      <c r="E5">
        <f t="shared" ref="E5:F9" si="1">E19</f>
        <v>690</v>
      </c>
      <c r="F5">
        <f t="shared" si="1"/>
        <v>755</v>
      </c>
    </row>
    <row r="6" spans="1:7" x14ac:dyDescent="0.2">
      <c r="A6">
        <f t="shared" si="0"/>
        <v>550</v>
      </c>
      <c r="B6">
        <f t="shared" ref="B6:B14" si="2">+B5+2500</f>
        <v>5000</v>
      </c>
      <c r="C6">
        <f>C20</f>
        <v>485</v>
      </c>
      <c r="D6">
        <f>D20</f>
        <v>625</v>
      </c>
      <c r="E6">
        <f t="shared" si="1"/>
        <v>702</v>
      </c>
      <c r="F6">
        <f t="shared" si="1"/>
        <v>770</v>
      </c>
    </row>
    <row r="7" spans="1:7" x14ac:dyDescent="0.2">
      <c r="A7">
        <f t="shared" si="0"/>
        <v>600</v>
      </c>
      <c r="B7">
        <f t="shared" si="2"/>
        <v>7500</v>
      </c>
      <c r="C7">
        <f>C21</f>
        <v>487</v>
      </c>
      <c r="D7">
        <f>D21</f>
        <v>626</v>
      </c>
      <c r="E7">
        <f t="shared" si="1"/>
        <v>705</v>
      </c>
    </row>
    <row r="8" spans="1:7" x14ac:dyDescent="0.2">
      <c r="A8">
        <f t="shared" si="0"/>
        <v>650</v>
      </c>
      <c r="B8">
        <f t="shared" si="2"/>
        <v>10000</v>
      </c>
      <c r="E8">
        <f t="shared" si="1"/>
        <v>702</v>
      </c>
      <c r="F8">
        <f>F22</f>
        <v>798</v>
      </c>
    </row>
    <row r="9" spans="1:7" x14ac:dyDescent="0.2">
      <c r="A9">
        <f t="shared" si="0"/>
        <v>700</v>
      </c>
      <c r="B9">
        <f t="shared" si="2"/>
        <v>12500</v>
      </c>
      <c r="E9">
        <f t="shared" si="1"/>
        <v>698</v>
      </c>
      <c r="F9">
        <f>F23</f>
        <v>795</v>
      </c>
    </row>
    <row r="10" spans="1:7" x14ac:dyDescent="0.2">
      <c r="A10">
        <f t="shared" si="0"/>
        <v>750</v>
      </c>
      <c r="B10">
        <f t="shared" si="2"/>
        <v>15000</v>
      </c>
      <c r="F10">
        <f>F24</f>
        <v>770</v>
      </c>
      <c r="G10">
        <f>G24</f>
        <v>890</v>
      </c>
    </row>
    <row r="11" spans="1:7" x14ac:dyDescent="0.2">
      <c r="A11">
        <f t="shared" si="0"/>
        <v>800</v>
      </c>
      <c r="B11">
        <f t="shared" si="2"/>
        <v>17500</v>
      </c>
    </row>
    <row r="12" spans="1:7" x14ac:dyDescent="0.2">
      <c r="A12">
        <f t="shared" si="0"/>
        <v>850</v>
      </c>
      <c r="B12">
        <f t="shared" si="2"/>
        <v>20000</v>
      </c>
      <c r="G12">
        <f>G26</f>
        <v>855</v>
      </c>
    </row>
    <row r="13" spans="1:7" x14ac:dyDescent="0.2">
      <c r="A13">
        <f t="shared" si="0"/>
        <v>900</v>
      </c>
      <c r="B13">
        <f t="shared" si="2"/>
        <v>22500</v>
      </c>
    </row>
    <row r="14" spans="1:7" x14ac:dyDescent="0.2">
      <c r="B14">
        <f t="shared" si="2"/>
        <v>25000</v>
      </c>
    </row>
    <row r="18" spans="2:7" x14ac:dyDescent="0.2">
      <c r="B18">
        <v>0</v>
      </c>
      <c r="C18">
        <v>475</v>
      </c>
      <c r="D18">
        <v>620</v>
      </c>
      <c r="E18">
        <v>675</v>
      </c>
      <c r="F18">
        <v>740</v>
      </c>
      <c r="G18">
        <v>794</v>
      </c>
    </row>
    <row r="19" spans="2:7" x14ac:dyDescent="0.2">
      <c r="B19">
        <f>+B18+2500</f>
        <v>2500</v>
      </c>
      <c r="C19">
        <v>482</v>
      </c>
      <c r="D19">
        <v>624</v>
      </c>
      <c r="E19">
        <v>690</v>
      </c>
      <c r="F19">
        <v>755</v>
      </c>
    </row>
    <row r="20" spans="2:7" x14ac:dyDescent="0.2">
      <c r="B20">
        <f t="shared" ref="B20:B28" si="3">+B19+2500</f>
        <v>5000</v>
      </c>
      <c r="C20">
        <v>485</v>
      </c>
      <c r="D20">
        <v>625</v>
      </c>
      <c r="E20">
        <v>702</v>
      </c>
      <c r="F20">
        <v>770</v>
      </c>
    </row>
    <row r="21" spans="2:7" x14ac:dyDescent="0.2">
      <c r="B21">
        <f t="shared" si="3"/>
        <v>7500</v>
      </c>
      <c r="C21">
        <v>487</v>
      </c>
      <c r="D21">
        <v>626</v>
      </c>
      <c r="E21">
        <v>705</v>
      </c>
      <c r="F21">
        <v>782</v>
      </c>
    </row>
    <row r="22" spans="2:7" x14ac:dyDescent="0.2">
      <c r="B22">
        <f t="shared" si="3"/>
        <v>10000</v>
      </c>
      <c r="E22">
        <v>702</v>
      </c>
      <c r="F22">
        <v>798</v>
      </c>
    </row>
    <row r="23" spans="2:7" x14ac:dyDescent="0.2">
      <c r="B23">
        <f t="shared" si="3"/>
        <v>12500</v>
      </c>
      <c r="E23">
        <v>698</v>
      </c>
      <c r="F23">
        <v>795</v>
      </c>
    </row>
    <row r="24" spans="2:7" x14ac:dyDescent="0.2">
      <c r="B24">
        <f t="shared" si="3"/>
        <v>15000</v>
      </c>
      <c r="F24">
        <v>770</v>
      </c>
      <c r="G24">
        <v>890</v>
      </c>
    </row>
    <row r="25" spans="2:7" x14ac:dyDescent="0.2">
      <c r="B25">
        <f t="shared" si="3"/>
        <v>17500</v>
      </c>
    </row>
    <row r="26" spans="2:7" x14ac:dyDescent="0.2">
      <c r="B26">
        <f t="shared" si="3"/>
        <v>20000</v>
      </c>
      <c r="G26">
        <v>855</v>
      </c>
    </row>
    <row r="27" spans="2:7" x14ac:dyDescent="0.2">
      <c r="B27">
        <f t="shared" si="3"/>
        <v>22500</v>
      </c>
    </row>
    <row r="28" spans="2:7" x14ac:dyDescent="0.2">
      <c r="B28">
        <f t="shared" si="3"/>
        <v>25000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topLeftCell="A10" zoomScale="115" zoomScaleNormal="115" workbookViewId="0">
      <selection activeCell="D14" sqref="D14"/>
    </sheetView>
  </sheetViews>
  <sheetFormatPr defaultRowHeight="12.75" x14ac:dyDescent="0.2"/>
  <cols>
    <col min="1" max="1" width="12.85546875" customWidth="1"/>
    <col min="3" max="3" width="12.140625" customWidth="1"/>
    <col min="4" max="4" width="13" customWidth="1"/>
    <col min="6" max="7" width="7.5703125" customWidth="1"/>
  </cols>
  <sheetData>
    <row r="3" spans="1:7" x14ac:dyDescent="0.2">
      <c r="A3" t="s">
        <v>30</v>
      </c>
      <c r="B3" t="s">
        <v>29</v>
      </c>
      <c r="C3" s="56" t="s">
        <v>31</v>
      </c>
      <c r="D3" s="56" t="s">
        <v>32</v>
      </c>
      <c r="E3" s="56" t="s">
        <v>33</v>
      </c>
      <c r="F3" s="56"/>
      <c r="G3" s="56"/>
    </row>
    <row r="4" spans="1:7" x14ac:dyDescent="0.2">
      <c r="A4">
        <v>3</v>
      </c>
      <c r="B4">
        <v>25</v>
      </c>
    </row>
    <row r="5" spans="1:7" x14ac:dyDescent="0.2">
      <c r="A5">
        <f>+A4+1</f>
        <v>4</v>
      </c>
      <c r="B5">
        <f>+B4+5</f>
        <v>30</v>
      </c>
    </row>
    <row r="6" spans="1:7" x14ac:dyDescent="0.2">
      <c r="A6">
        <f t="shared" ref="A6:A19" si="0">+A5+1</f>
        <v>5</v>
      </c>
      <c r="B6">
        <f t="shared" ref="B6:B19" si="1">+B5+5</f>
        <v>35</v>
      </c>
      <c r="E6">
        <f>E26*3.85</f>
        <v>23.1</v>
      </c>
    </row>
    <row r="7" spans="1:7" x14ac:dyDescent="0.2">
      <c r="A7">
        <f t="shared" si="0"/>
        <v>6</v>
      </c>
      <c r="B7">
        <f t="shared" si="1"/>
        <v>40</v>
      </c>
    </row>
    <row r="8" spans="1:7" x14ac:dyDescent="0.2">
      <c r="A8">
        <f t="shared" si="0"/>
        <v>7</v>
      </c>
      <c r="B8">
        <f t="shared" si="1"/>
        <v>45</v>
      </c>
      <c r="C8">
        <v>26</v>
      </c>
      <c r="D8">
        <v>32</v>
      </c>
    </row>
    <row r="9" spans="1:7" x14ac:dyDescent="0.2">
      <c r="A9">
        <f t="shared" si="0"/>
        <v>8</v>
      </c>
      <c r="B9">
        <f t="shared" si="1"/>
        <v>50</v>
      </c>
    </row>
    <row r="10" spans="1:7" x14ac:dyDescent="0.2">
      <c r="A10">
        <f t="shared" si="0"/>
        <v>9</v>
      </c>
      <c r="B10">
        <f t="shared" si="1"/>
        <v>55</v>
      </c>
      <c r="C10">
        <v>29.52</v>
      </c>
      <c r="D10">
        <v>35.58</v>
      </c>
    </row>
    <row r="11" spans="1:7" x14ac:dyDescent="0.2">
      <c r="A11">
        <f t="shared" si="0"/>
        <v>10</v>
      </c>
      <c r="B11">
        <f t="shared" si="1"/>
        <v>60</v>
      </c>
    </row>
    <row r="12" spans="1:7" x14ac:dyDescent="0.2">
      <c r="A12">
        <f t="shared" si="0"/>
        <v>11</v>
      </c>
      <c r="B12">
        <f t="shared" si="1"/>
        <v>65</v>
      </c>
      <c r="C12">
        <v>33.6</v>
      </c>
      <c r="D12">
        <v>40.119999999999997</v>
      </c>
    </row>
    <row r="13" spans="1:7" x14ac:dyDescent="0.2">
      <c r="A13">
        <f t="shared" si="0"/>
        <v>12</v>
      </c>
      <c r="B13">
        <f t="shared" si="1"/>
        <v>70</v>
      </c>
    </row>
    <row r="14" spans="1:7" x14ac:dyDescent="0.2">
      <c r="A14">
        <f t="shared" si="0"/>
        <v>13</v>
      </c>
      <c r="B14">
        <f t="shared" si="1"/>
        <v>75</v>
      </c>
      <c r="C14">
        <v>38.6</v>
      </c>
      <c r="D14">
        <v>45.8</v>
      </c>
      <c r="E14">
        <f>E34*3.85</f>
        <v>51.975000000000001</v>
      </c>
    </row>
    <row r="15" spans="1:7" x14ac:dyDescent="0.2">
      <c r="A15">
        <f t="shared" si="0"/>
        <v>14</v>
      </c>
      <c r="B15">
        <f t="shared" si="1"/>
        <v>80</v>
      </c>
    </row>
    <row r="16" spans="1:7" x14ac:dyDescent="0.2">
      <c r="A16">
        <f t="shared" si="0"/>
        <v>15</v>
      </c>
      <c r="B16">
        <f t="shared" si="1"/>
        <v>85</v>
      </c>
      <c r="C16">
        <v>45</v>
      </c>
      <c r="D16">
        <v>53</v>
      </c>
    </row>
    <row r="17" spans="1:5" x14ac:dyDescent="0.2">
      <c r="A17">
        <f t="shared" si="0"/>
        <v>16</v>
      </c>
      <c r="B17">
        <f t="shared" si="1"/>
        <v>90</v>
      </c>
    </row>
    <row r="18" spans="1:5" x14ac:dyDescent="0.2">
      <c r="A18">
        <f t="shared" si="0"/>
        <v>17</v>
      </c>
      <c r="B18">
        <f t="shared" si="1"/>
        <v>95</v>
      </c>
    </row>
    <row r="19" spans="1:5" x14ac:dyDescent="0.2">
      <c r="A19">
        <f t="shared" si="0"/>
        <v>18</v>
      </c>
      <c r="B19">
        <f t="shared" si="1"/>
        <v>100</v>
      </c>
    </row>
    <row r="24" spans="1:5" x14ac:dyDescent="0.2">
      <c r="A24">
        <v>3</v>
      </c>
      <c r="B24">
        <v>25</v>
      </c>
      <c r="C24">
        <f t="shared" ref="C24:E25" si="2">C38</f>
        <v>0</v>
      </c>
      <c r="D24">
        <f t="shared" si="2"/>
        <v>0</v>
      </c>
      <c r="E24">
        <f t="shared" si="2"/>
        <v>0</v>
      </c>
    </row>
    <row r="25" spans="1:5" x14ac:dyDescent="0.2">
      <c r="A25">
        <f>+A24+1</f>
        <v>4</v>
      </c>
      <c r="B25">
        <f>+B24+5</f>
        <v>30</v>
      </c>
      <c r="C25">
        <f t="shared" si="2"/>
        <v>0</v>
      </c>
      <c r="D25">
        <f t="shared" si="2"/>
        <v>0</v>
      </c>
      <c r="E25">
        <f t="shared" si="2"/>
        <v>0</v>
      </c>
    </row>
    <row r="26" spans="1:5" x14ac:dyDescent="0.2">
      <c r="A26">
        <f t="shared" ref="A26:A39" si="3">+A25+1</f>
        <v>5</v>
      </c>
      <c r="B26">
        <f t="shared" ref="B26:B39" si="4">+B25+5</f>
        <v>35</v>
      </c>
      <c r="C26">
        <v>4.5</v>
      </c>
      <c r="D26">
        <v>6</v>
      </c>
      <c r="E26">
        <v>6</v>
      </c>
    </row>
    <row r="27" spans="1:5" x14ac:dyDescent="0.2">
      <c r="A27">
        <f t="shared" si="3"/>
        <v>6</v>
      </c>
      <c r="B27">
        <f t="shared" si="4"/>
        <v>40</v>
      </c>
      <c r="C27">
        <f>C41</f>
        <v>0</v>
      </c>
      <c r="D27">
        <f>D41</f>
        <v>0</v>
      </c>
      <c r="E27">
        <f>E41</f>
        <v>0</v>
      </c>
    </row>
    <row r="28" spans="1:5" x14ac:dyDescent="0.2">
      <c r="A28">
        <f t="shared" si="3"/>
        <v>7</v>
      </c>
      <c r="B28">
        <f t="shared" si="4"/>
        <v>45</v>
      </c>
      <c r="E28">
        <f>E42</f>
        <v>0</v>
      </c>
    </row>
    <row r="29" spans="1:5" x14ac:dyDescent="0.2">
      <c r="A29">
        <f t="shared" si="3"/>
        <v>8</v>
      </c>
      <c r="B29">
        <f t="shared" si="4"/>
        <v>50</v>
      </c>
      <c r="E29">
        <f>E43</f>
        <v>0</v>
      </c>
    </row>
    <row r="30" spans="1:5" x14ac:dyDescent="0.2">
      <c r="A30">
        <f t="shared" si="3"/>
        <v>9</v>
      </c>
      <c r="B30">
        <f t="shared" si="4"/>
        <v>55</v>
      </c>
    </row>
    <row r="31" spans="1:5" x14ac:dyDescent="0.2">
      <c r="A31">
        <f t="shared" si="3"/>
        <v>10</v>
      </c>
      <c r="B31">
        <f t="shared" si="4"/>
        <v>60</v>
      </c>
    </row>
    <row r="32" spans="1:5" x14ac:dyDescent="0.2">
      <c r="A32">
        <f t="shared" si="3"/>
        <v>11</v>
      </c>
      <c r="B32">
        <f t="shared" si="4"/>
        <v>65</v>
      </c>
    </row>
    <row r="33" spans="1:5" x14ac:dyDescent="0.2">
      <c r="A33">
        <f t="shared" si="3"/>
        <v>12</v>
      </c>
      <c r="B33">
        <f t="shared" si="4"/>
        <v>70</v>
      </c>
    </row>
    <row r="34" spans="1:5" x14ac:dyDescent="0.2">
      <c r="A34">
        <f t="shared" si="3"/>
        <v>13</v>
      </c>
      <c r="B34">
        <f t="shared" si="4"/>
        <v>75</v>
      </c>
      <c r="C34">
        <v>9.25</v>
      </c>
      <c r="D34">
        <v>11.5</v>
      </c>
      <c r="E34">
        <v>13.5</v>
      </c>
    </row>
    <row r="35" spans="1:5" x14ac:dyDescent="0.2">
      <c r="A35">
        <f t="shared" si="3"/>
        <v>14</v>
      </c>
      <c r="B35">
        <f t="shared" si="4"/>
        <v>80</v>
      </c>
    </row>
    <row r="36" spans="1:5" x14ac:dyDescent="0.2">
      <c r="A36">
        <f t="shared" si="3"/>
        <v>15</v>
      </c>
      <c r="B36">
        <f t="shared" si="4"/>
        <v>85</v>
      </c>
      <c r="E36">
        <v>15.5</v>
      </c>
    </row>
    <row r="37" spans="1:5" x14ac:dyDescent="0.2">
      <c r="A37">
        <f t="shared" si="3"/>
        <v>16</v>
      </c>
      <c r="B37">
        <f t="shared" si="4"/>
        <v>90</v>
      </c>
    </row>
    <row r="38" spans="1:5" x14ac:dyDescent="0.2">
      <c r="A38">
        <f t="shared" si="3"/>
        <v>17</v>
      </c>
      <c r="B38">
        <f t="shared" si="4"/>
        <v>95</v>
      </c>
    </row>
    <row r="39" spans="1:5" x14ac:dyDescent="0.2">
      <c r="A39">
        <f t="shared" si="3"/>
        <v>18</v>
      </c>
      <c r="B39">
        <f t="shared" si="4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4" zoomScale="115" zoomScaleNormal="115" workbookViewId="0">
      <selection activeCell="K43" sqref="K43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8" x14ac:dyDescent="0.2">
      <c r="B3" t="s">
        <v>28</v>
      </c>
      <c r="C3" s="56">
        <v>0.45</v>
      </c>
      <c r="D3" s="56">
        <v>0.55000000000000004</v>
      </c>
      <c r="E3" s="56">
        <v>0.65</v>
      </c>
      <c r="F3" s="56">
        <v>0.75</v>
      </c>
      <c r="G3" s="56"/>
    </row>
    <row r="4" spans="1:8" x14ac:dyDescent="0.2">
      <c r="A4">
        <v>450</v>
      </c>
      <c r="B4">
        <f>B19</f>
        <v>0</v>
      </c>
      <c r="C4">
        <f>C19</f>
        <v>119</v>
      </c>
      <c r="D4">
        <f>D19</f>
        <v>134</v>
      </c>
      <c r="E4">
        <f>E19</f>
        <v>145.5</v>
      </c>
      <c r="F4">
        <f>F19</f>
        <v>157.5</v>
      </c>
      <c r="H4">
        <v>175</v>
      </c>
    </row>
    <row r="5" spans="1:8" x14ac:dyDescent="0.2">
      <c r="A5">
        <f t="shared" ref="A5:A10" si="0">+A4+50</f>
        <v>500</v>
      </c>
      <c r="B5">
        <f>B20</f>
        <v>2000</v>
      </c>
    </row>
    <row r="6" spans="1:8" x14ac:dyDescent="0.2">
      <c r="A6">
        <f t="shared" si="0"/>
        <v>550</v>
      </c>
      <c r="B6">
        <f>B21</f>
        <v>4000</v>
      </c>
    </row>
    <row r="7" spans="1:8" x14ac:dyDescent="0.2">
      <c r="A7">
        <f t="shared" si="0"/>
        <v>600</v>
      </c>
      <c r="B7">
        <f>B22</f>
        <v>7500</v>
      </c>
      <c r="F7">
        <f>F22</f>
        <v>171</v>
      </c>
      <c r="H7">
        <f>F7</f>
        <v>171</v>
      </c>
    </row>
    <row r="8" spans="1:8" x14ac:dyDescent="0.2">
      <c r="A8">
        <f t="shared" si="0"/>
        <v>650</v>
      </c>
      <c r="B8">
        <v>9000</v>
      </c>
    </row>
    <row r="9" spans="1:8" x14ac:dyDescent="0.2">
      <c r="A9">
        <f t="shared" si="0"/>
        <v>700</v>
      </c>
      <c r="B9">
        <f>B24</f>
        <v>10000</v>
      </c>
    </row>
    <row r="10" spans="1:8" x14ac:dyDescent="0.2">
      <c r="A10">
        <f t="shared" si="0"/>
        <v>750</v>
      </c>
      <c r="B10">
        <v>11500</v>
      </c>
      <c r="E10">
        <v>166</v>
      </c>
      <c r="H10">
        <f>E10</f>
        <v>166</v>
      </c>
    </row>
    <row r="11" spans="1:8" x14ac:dyDescent="0.2">
      <c r="A11">
        <f>+A10+50</f>
        <v>800</v>
      </c>
      <c r="B11">
        <f>B26</f>
        <v>14000</v>
      </c>
    </row>
    <row r="12" spans="1:8" x14ac:dyDescent="0.2">
      <c r="B12">
        <v>15000</v>
      </c>
      <c r="D12">
        <v>160</v>
      </c>
      <c r="H12">
        <f>+D12</f>
        <v>160</v>
      </c>
    </row>
    <row r="13" spans="1:8" x14ac:dyDescent="0.2">
      <c r="A13">
        <f>+A11+50</f>
        <v>850</v>
      </c>
      <c r="B13">
        <f>B27</f>
        <v>16000</v>
      </c>
    </row>
    <row r="14" spans="1:8" x14ac:dyDescent="0.2">
      <c r="A14">
        <f>+A13+50</f>
        <v>900</v>
      </c>
      <c r="B14">
        <f>B28</f>
        <v>19000</v>
      </c>
      <c r="C14">
        <f>C28</f>
        <v>151</v>
      </c>
      <c r="H14">
        <f>C14</f>
        <v>151</v>
      </c>
    </row>
    <row r="15" spans="1:8" x14ac:dyDescent="0.2">
      <c r="B15">
        <f>B29</f>
        <v>20000</v>
      </c>
    </row>
    <row r="19" spans="2:6" x14ac:dyDescent="0.2">
      <c r="B19">
        <v>0</v>
      </c>
      <c r="C19">
        <v>119</v>
      </c>
      <c r="D19">
        <v>134</v>
      </c>
      <c r="E19">
        <v>145.5</v>
      </c>
      <c r="F19">
        <v>157.5</v>
      </c>
    </row>
    <row r="20" spans="2:6" x14ac:dyDescent="0.2">
      <c r="B20">
        <f>+B19+2000</f>
        <v>2000</v>
      </c>
      <c r="C20">
        <v>123</v>
      </c>
      <c r="D20">
        <v>137.5</v>
      </c>
      <c r="E20">
        <v>149</v>
      </c>
      <c r="F20">
        <v>161</v>
      </c>
    </row>
    <row r="21" spans="2:6" x14ac:dyDescent="0.2">
      <c r="B21">
        <f t="shared" ref="B21:B27" si="1">+B20+2000</f>
        <v>4000</v>
      </c>
    </row>
    <row r="22" spans="2:6" x14ac:dyDescent="0.2">
      <c r="B22">
        <v>7500</v>
      </c>
      <c r="F22">
        <v>171</v>
      </c>
    </row>
    <row r="23" spans="2:6" x14ac:dyDescent="0.2">
      <c r="B23">
        <v>9000</v>
      </c>
      <c r="C23">
        <v>136</v>
      </c>
      <c r="D23">
        <v>149.30000000000001</v>
      </c>
      <c r="F23">
        <v>173</v>
      </c>
    </row>
    <row r="24" spans="2:6" x14ac:dyDescent="0.2">
      <c r="B24">
        <v>10000</v>
      </c>
      <c r="C24">
        <v>138</v>
      </c>
      <c r="D24">
        <v>150.75</v>
      </c>
      <c r="E24">
        <v>164</v>
      </c>
      <c r="F24">
        <v>177</v>
      </c>
    </row>
    <row r="25" spans="2:6" x14ac:dyDescent="0.2">
      <c r="B25">
        <f t="shared" si="1"/>
        <v>12000</v>
      </c>
    </row>
    <row r="26" spans="2:6" x14ac:dyDescent="0.2">
      <c r="B26">
        <f t="shared" si="1"/>
        <v>14000</v>
      </c>
      <c r="D26">
        <v>158</v>
      </c>
    </row>
    <row r="27" spans="2:6" x14ac:dyDescent="0.2">
      <c r="B27">
        <f t="shared" si="1"/>
        <v>16000</v>
      </c>
    </row>
    <row r="28" spans="2:6" x14ac:dyDescent="0.2">
      <c r="B28">
        <v>19000</v>
      </c>
      <c r="C28">
        <v>151</v>
      </c>
    </row>
    <row r="29" spans="2:6" x14ac:dyDescent="0.2">
      <c r="B29">
        <v>20000</v>
      </c>
      <c r="C29">
        <v>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10" zoomScale="115" zoomScaleNormal="115" workbookViewId="0">
      <selection activeCell="H35" sqref="H35"/>
    </sheetView>
  </sheetViews>
  <sheetFormatPr defaultRowHeight="12.75" x14ac:dyDescent="0.2"/>
  <cols>
    <col min="1" max="1" width="12.85546875" customWidth="1"/>
    <col min="3" max="3" width="9.140625" customWidth="1"/>
    <col min="4" max="4" width="8.7109375" customWidth="1"/>
  </cols>
  <sheetData>
    <row r="3" spans="1:8" x14ac:dyDescent="0.2">
      <c r="B3" t="s">
        <v>28</v>
      </c>
      <c r="C3" s="56">
        <v>0.45</v>
      </c>
      <c r="D3" s="56">
        <v>0.55000000000000004</v>
      </c>
      <c r="E3" s="56">
        <v>0.65</v>
      </c>
      <c r="F3" s="56">
        <v>0.75</v>
      </c>
      <c r="G3" s="56"/>
    </row>
    <row r="4" spans="1:8" x14ac:dyDescent="0.2">
      <c r="A4">
        <v>450</v>
      </c>
      <c r="B4">
        <f>B19</f>
        <v>0</v>
      </c>
      <c r="C4">
        <v>199.9</v>
      </c>
      <c r="D4">
        <f>D19</f>
        <v>134</v>
      </c>
      <c r="E4">
        <f>E19</f>
        <v>145.5</v>
      </c>
      <c r="F4">
        <f>F19</f>
        <v>157.5</v>
      </c>
      <c r="H4">
        <v>175</v>
      </c>
    </row>
    <row r="5" spans="1:8" x14ac:dyDescent="0.2">
      <c r="A5">
        <f t="shared" ref="A5:A10" si="0">+A4+50</f>
        <v>500</v>
      </c>
      <c r="B5">
        <f>B20</f>
        <v>2000</v>
      </c>
    </row>
    <row r="6" spans="1:8" x14ac:dyDescent="0.2">
      <c r="A6">
        <f t="shared" si="0"/>
        <v>550</v>
      </c>
      <c r="B6">
        <f>B21</f>
        <v>4000</v>
      </c>
    </row>
    <row r="7" spans="1:8" x14ac:dyDescent="0.2">
      <c r="A7">
        <f t="shared" si="0"/>
        <v>600</v>
      </c>
      <c r="B7">
        <f>B22</f>
        <v>7500</v>
      </c>
      <c r="F7">
        <f>F22</f>
        <v>171</v>
      </c>
      <c r="H7">
        <f>F7</f>
        <v>171</v>
      </c>
    </row>
    <row r="8" spans="1:8" x14ac:dyDescent="0.2">
      <c r="A8">
        <f t="shared" si="0"/>
        <v>650</v>
      </c>
      <c r="B8">
        <v>9000</v>
      </c>
    </row>
    <row r="9" spans="1:8" x14ac:dyDescent="0.2">
      <c r="A9">
        <f t="shared" si="0"/>
        <v>700</v>
      </c>
      <c r="B9">
        <f>B24</f>
        <v>10000</v>
      </c>
      <c r="C9">
        <v>199.9</v>
      </c>
    </row>
    <row r="10" spans="1:8" x14ac:dyDescent="0.2">
      <c r="A10">
        <f t="shared" si="0"/>
        <v>750</v>
      </c>
      <c r="B10">
        <v>11500</v>
      </c>
      <c r="E10">
        <v>166</v>
      </c>
      <c r="H10">
        <f>E10</f>
        <v>166</v>
      </c>
    </row>
    <row r="11" spans="1:8" x14ac:dyDescent="0.2">
      <c r="A11">
        <f>+A10+50</f>
        <v>800</v>
      </c>
      <c r="B11">
        <f>B26</f>
        <v>14000</v>
      </c>
    </row>
    <row r="12" spans="1:8" x14ac:dyDescent="0.2">
      <c r="B12">
        <v>15000</v>
      </c>
      <c r="D12">
        <v>160</v>
      </c>
      <c r="H12">
        <f>+D12</f>
        <v>160</v>
      </c>
    </row>
    <row r="13" spans="1:8" x14ac:dyDescent="0.2">
      <c r="A13">
        <f>+A11+50</f>
        <v>850</v>
      </c>
      <c r="B13">
        <f>B27</f>
        <v>16000</v>
      </c>
    </row>
    <row r="14" spans="1:8" x14ac:dyDescent="0.2">
      <c r="A14">
        <f>+A13+50</f>
        <v>900</v>
      </c>
      <c r="B14">
        <f>B28</f>
        <v>19000</v>
      </c>
      <c r="H14">
        <f>C14</f>
        <v>0</v>
      </c>
    </row>
    <row r="15" spans="1:8" x14ac:dyDescent="0.2">
      <c r="B15">
        <f>B29</f>
        <v>20000</v>
      </c>
      <c r="C15">
        <v>170</v>
      </c>
    </row>
    <row r="19" spans="2:6" x14ac:dyDescent="0.2">
      <c r="B19">
        <v>0</v>
      </c>
      <c r="C19">
        <v>119</v>
      </c>
      <c r="D19">
        <v>134</v>
      </c>
      <c r="E19">
        <v>145.5</v>
      </c>
      <c r="F19">
        <v>157.5</v>
      </c>
    </row>
    <row r="20" spans="2:6" x14ac:dyDescent="0.2">
      <c r="B20">
        <f>+B19+2000</f>
        <v>2000</v>
      </c>
      <c r="C20">
        <v>123</v>
      </c>
      <c r="D20">
        <v>137.5</v>
      </c>
      <c r="E20">
        <v>149</v>
      </c>
      <c r="F20">
        <v>161</v>
      </c>
    </row>
    <row r="21" spans="2:6" x14ac:dyDescent="0.2">
      <c r="B21">
        <f t="shared" ref="B21:B27" si="1">+B20+2000</f>
        <v>4000</v>
      </c>
    </row>
    <row r="22" spans="2:6" x14ac:dyDescent="0.2">
      <c r="B22">
        <v>7500</v>
      </c>
      <c r="F22">
        <v>171</v>
      </c>
    </row>
    <row r="23" spans="2:6" x14ac:dyDescent="0.2">
      <c r="B23">
        <v>9000</v>
      </c>
      <c r="C23">
        <v>136</v>
      </c>
      <c r="D23">
        <v>149.30000000000001</v>
      </c>
      <c r="F23">
        <v>173</v>
      </c>
    </row>
    <row r="24" spans="2:6" x14ac:dyDescent="0.2">
      <c r="B24">
        <v>10000</v>
      </c>
      <c r="C24">
        <v>138</v>
      </c>
      <c r="D24">
        <v>150.75</v>
      </c>
      <c r="E24">
        <v>164</v>
      </c>
      <c r="F24">
        <v>177</v>
      </c>
    </row>
    <row r="25" spans="2:6" x14ac:dyDescent="0.2">
      <c r="B25">
        <f t="shared" si="1"/>
        <v>12000</v>
      </c>
    </row>
    <row r="26" spans="2:6" x14ac:dyDescent="0.2">
      <c r="B26">
        <f t="shared" si="1"/>
        <v>14000</v>
      </c>
      <c r="D26">
        <v>158</v>
      </c>
    </row>
    <row r="27" spans="2:6" x14ac:dyDescent="0.2">
      <c r="B27">
        <f t="shared" si="1"/>
        <v>16000</v>
      </c>
    </row>
    <row r="28" spans="2:6" x14ac:dyDescent="0.2">
      <c r="B28">
        <v>19000</v>
      </c>
      <c r="C28">
        <v>151</v>
      </c>
    </row>
    <row r="29" spans="2:6" x14ac:dyDescent="0.2">
      <c r="B29">
        <v>20000</v>
      </c>
      <c r="C29">
        <v>158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9" zoomScale="115" zoomScaleNormal="115" workbookViewId="0">
      <selection activeCell="Q33" sqref="Q33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28" customWidth="1"/>
  </cols>
  <sheetData>
    <row r="1" spans="1:16" x14ac:dyDescent="0.2">
      <c r="D1" s="16" t="s">
        <v>10</v>
      </c>
    </row>
    <row r="2" spans="1:16" x14ac:dyDescent="0.2">
      <c r="D2" s="16" t="s">
        <v>11</v>
      </c>
      <c r="E2" s="28" t="s">
        <v>12</v>
      </c>
      <c r="L2" t="s">
        <v>26</v>
      </c>
      <c r="O2" t="s">
        <v>27</v>
      </c>
    </row>
    <row r="3" spans="1:16" x14ac:dyDescent="0.2">
      <c r="A3" s="16">
        <f>A4</f>
        <v>192.8</v>
      </c>
      <c r="B3" s="16">
        <v>0</v>
      </c>
    </row>
    <row r="4" spans="1:16" x14ac:dyDescent="0.2">
      <c r="A4" s="16">
        <f t="shared" ref="A4:A9" si="0">C4/B4</f>
        <v>192.8</v>
      </c>
      <c r="B4" s="16">
        <f>WBSARA!F4</f>
        <v>495</v>
      </c>
      <c r="C4" s="16">
        <f>WBSARA!J4</f>
        <v>95436</v>
      </c>
      <c r="D4" s="40">
        <v>0</v>
      </c>
      <c r="E4" s="49">
        <v>0</v>
      </c>
      <c r="L4" s="49">
        <v>200</v>
      </c>
      <c r="M4" s="40">
        <f>495+5</f>
        <v>500</v>
      </c>
      <c r="O4" s="49">
        <v>200</v>
      </c>
      <c r="P4" s="40">
        <f>495+5</f>
        <v>500</v>
      </c>
    </row>
    <row r="5" spans="1:16" x14ac:dyDescent="0.2">
      <c r="A5" s="16">
        <f t="shared" si="0"/>
        <v>199</v>
      </c>
      <c r="B5" s="16">
        <f>WBSARA!F5+B4</f>
        <v>585</v>
      </c>
      <c r="C5" s="16">
        <f>WBSARA!J5+C4</f>
        <v>116415</v>
      </c>
      <c r="D5" s="40">
        <v>0</v>
      </c>
      <c r="E5" s="49">
        <v>6</v>
      </c>
      <c r="L5" s="49">
        <v>200</v>
      </c>
      <c r="M5" s="40">
        <v>816</v>
      </c>
      <c r="O5" s="49">
        <v>200</v>
      </c>
      <c r="P5" s="40">
        <v>816</v>
      </c>
    </row>
    <row r="6" spans="1:16" x14ac:dyDescent="0.2">
      <c r="A6" s="16">
        <f t="shared" si="0"/>
        <v>212.81333333333333</v>
      </c>
      <c r="B6" s="16">
        <f>WBSARA!F6+B5</f>
        <v>675</v>
      </c>
      <c r="C6" s="16">
        <f>WBSARA!J6+C5</f>
        <v>143649</v>
      </c>
      <c r="D6" s="40">
        <v>700</v>
      </c>
      <c r="E6" s="49">
        <v>6</v>
      </c>
      <c r="L6" s="49">
        <v>220.5</v>
      </c>
      <c r="M6" s="40">
        <v>816</v>
      </c>
      <c r="O6" s="49">
        <v>220</v>
      </c>
      <c r="P6" s="40">
        <v>816</v>
      </c>
    </row>
    <row r="7" spans="1:16" x14ac:dyDescent="0.2">
      <c r="A7" s="16">
        <f t="shared" si="0"/>
        <v>212.81333333333333</v>
      </c>
      <c r="B7" s="16">
        <f>WBSARA!F7+B6</f>
        <v>675</v>
      </c>
      <c r="C7" s="16">
        <f>WBSARA!J7+C6</f>
        <v>143649</v>
      </c>
      <c r="D7" s="40">
        <v>816</v>
      </c>
      <c r="E7" s="49">
        <v>5</v>
      </c>
      <c r="L7" s="49">
        <v>220.5</v>
      </c>
      <c r="M7" s="40">
        <v>773</v>
      </c>
      <c r="O7" s="49">
        <v>220</v>
      </c>
      <c r="P7" s="40">
        <f>773-3</f>
        <v>770</v>
      </c>
    </row>
    <row r="8" spans="1:16" x14ac:dyDescent="0.2">
      <c r="A8" s="16">
        <f t="shared" si="0"/>
        <v>210.52</v>
      </c>
      <c r="B8" s="16">
        <f>WBSARA!F8+B7</f>
        <v>700</v>
      </c>
      <c r="C8" s="16">
        <f>WBSARA!J8+C7</f>
        <v>147364</v>
      </c>
      <c r="D8" s="40">
        <v>816</v>
      </c>
      <c r="E8" s="49">
        <v>0</v>
      </c>
      <c r="L8" s="49">
        <v>200</v>
      </c>
      <c r="M8" s="40">
        <v>773</v>
      </c>
      <c r="O8" s="49">
        <v>200</v>
      </c>
      <c r="P8" s="40">
        <f>773-3</f>
        <v>770</v>
      </c>
    </row>
    <row r="9" spans="1:16" x14ac:dyDescent="0.2">
      <c r="A9" s="16">
        <f t="shared" si="0"/>
        <v>210.52</v>
      </c>
      <c r="B9" s="16">
        <f>WBSARA!F9+B8</f>
        <v>700</v>
      </c>
      <c r="C9" s="16">
        <f>WBSARA!J9+C8</f>
        <v>147364</v>
      </c>
      <c r="D9" s="40">
        <v>816</v>
      </c>
      <c r="E9" s="49">
        <v>-2.5</v>
      </c>
      <c r="H9" s="49">
        <v>216.7</v>
      </c>
      <c r="I9" s="40">
        <v>770</v>
      </c>
      <c r="L9" s="49">
        <v>220.5</v>
      </c>
      <c r="M9" s="40">
        <v>773</v>
      </c>
      <c r="O9" s="49">
        <v>220</v>
      </c>
      <c r="P9" s="40">
        <f>773-3</f>
        <v>770</v>
      </c>
    </row>
    <row r="10" spans="1:16" x14ac:dyDescent="0.2">
      <c r="A10" s="16">
        <f>C10/B10</f>
        <v>210.52</v>
      </c>
      <c r="B10" s="16">
        <f>WBSARA!F10+B9</f>
        <v>700</v>
      </c>
      <c r="C10" s="16">
        <f>WBSARA!J10+C9</f>
        <v>147364</v>
      </c>
      <c r="D10" s="52">
        <v>700</v>
      </c>
      <c r="E10" s="51">
        <v>-3</v>
      </c>
      <c r="L10" s="49">
        <v>220.5</v>
      </c>
      <c r="M10" s="40">
        <f>495+5</f>
        <v>500</v>
      </c>
      <c r="O10" s="49">
        <v>220</v>
      </c>
      <c r="P10" s="40">
        <f>495+5</f>
        <v>500</v>
      </c>
    </row>
    <row r="11" spans="1:16" x14ac:dyDescent="0.2">
      <c r="A11" s="16">
        <f>C11/B11</f>
        <v>209.50816959669081</v>
      </c>
      <c r="B11" s="16">
        <f>WBSARA!F11+B10</f>
        <v>812.28</v>
      </c>
      <c r="C11" s="16">
        <f>WBSARA!J11+C10</f>
        <v>170179.296</v>
      </c>
      <c r="D11" s="52">
        <v>0</v>
      </c>
      <c r="E11" s="51">
        <v>-3</v>
      </c>
      <c r="L11" s="49">
        <v>200</v>
      </c>
      <c r="M11" s="40">
        <f>495+5</f>
        <v>500</v>
      </c>
      <c r="O11" s="49">
        <v>200</v>
      </c>
      <c r="P11" s="40">
        <f>495+5</f>
        <v>500</v>
      </c>
    </row>
    <row r="12" spans="1:16" x14ac:dyDescent="0.2">
      <c r="A12" s="16">
        <f>A11</f>
        <v>209.50816959669081</v>
      </c>
      <c r="D12" s="52">
        <v>0</v>
      </c>
      <c r="E12" s="51">
        <v>0</v>
      </c>
      <c r="G12" s="40">
        <v>727</v>
      </c>
      <c r="H12" t="s">
        <v>24</v>
      </c>
      <c r="L12" s="49">
        <v>200</v>
      </c>
      <c r="M12" s="40">
        <f>727-25</f>
        <v>702</v>
      </c>
      <c r="O12" s="49">
        <v>200</v>
      </c>
      <c r="P12" s="40">
        <f>727-27</f>
        <v>700</v>
      </c>
    </row>
    <row r="13" spans="1:16" x14ac:dyDescent="0.2">
      <c r="A13" s="16">
        <f>A12</f>
        <v>209.50816959669081</v>
      </c>
      <c r="D13" s="54">
        <v>0</v>
      </c>
      <c r="E13" s="53">
        <v>0</v>
      </c>
      <c r="G13" s="40">
        <v>727</v>
      </c>
      <c r="H13" t="s">
        <v>24</v>
      </c>
      <c r="L13" s="49">
        <v>216.7</v>
      </c>
      <c r="M13" s="40">
        <f>727-25</f>
        <v>702</v>
      </c>
      <c r="O13" s="49">
        <v>216.7</v>
      </c>
      <c r="P13" s="40">
        <f>727-27</f>
        <v>700</v>
      </c>
    </row>
    <row r="14" spans="1:16" x14ac:dyDescent="0.2">
      <c r="D14" s="54">
        <v>0</v>
      </c>
      <c r="E14" s="53">
        <v>0</v>
      </c>
      <c r="L14" s="49">
        <v>216.7</v>
      </c>
      <c r="M14" s="40">
        <f>495+5</f>
        <v>500</v>
      </c>
      <c r="O14" s="49">
        <v>216.7</v>
      </c>
      <c r="P14" s="40">
        <f>495+5</f>
        <v>500</v>
      </c>
    </row>
    <row r="15" spans="1:16" x14ac:dyDescent="0.2">
      <c r="H15" s="44"/>
      <c r="I15" s="45"/>
      <c r="O15" s="28"/>
      <c r="P15" s="16"/>
    </row>
    <row r="16" spans="1:16" x14ac:dyDescent="0.2">
      <c r="D16" s="41">
        <v>220</v>
      </c>
      <c r="E16" s="50">
        <v>816</v>
      </c>
      <c r="O16" s="50">
        <v>220</v>
      </c>
      <c r="P16" s="41">
        <v>816</v>
      </c>
    </row>
    <row r="17" spans="3:16" x14ac:dyDescent="0.2">
      <c r="D17" s="41">
        <v>220</v>
      </c>
      <c r="E17" s="50">
        <f>495+5</f>
        <v>500</v>
      </c>
      <c r="O17" s="50">
        <v>220</v>
      </c>
      <c r="P17" s="41">
        <f>495+5</f>
        <v>500</v>
      </c>
    </row>
    <row r="20" spans="3:16" x14ac:dyDescent="0.2">
      <c r="C20" s="39"/>
    </row>
    <row r="21" spans="3:16" x14ac:dyDescent="0.2">
      <c r="C21" s="39"/>
    </row>
    <row r="22" spans="3:16" x14ac:dyDescent="0.2">
      <c r="C22" s="39"/>
    </row>
    <row r="23" spans="3:16" x14ac:dyDescent="0.2">
      <c r="C23" s="39"/>
    </row>
    <row r="24" spans="3:16" x14ac:dyDescent="0.2">
      <c r="C24" s="39"/>
    </row>
    <row r="25" spans="3:16" x14ac:dyDescent="0.2">
      <c r="C25" s="39"/>
    </row>
    <row r="26" spans="3:16" x14ac:dyDescent="0.2">
      <c r="C26" s="39"/>
    </row>
    <row r="27" spans="3:16" x14ac:dyDescent="0.2">
      <c r="C27" s="39"/>
    </row>
    <row r="28" spans="3:16" x14ac:dyDescent="0.2">
      <c r="C28" s="39"/>
    </row>
    <row r="29" spans="3:16" x14ac:dyDescent="0.2">
      <c r="C29" s="39"/>
    </row>
    <row r="30" spans="3:16" x14ac:dyDescent="0.2">
      <c r="C30" s="3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22" zoomScale="115" zoomScaleNormal="115" workbookViewId="0">
      <selection activeCell="O39" sqref="O39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28" customWidth="1"/>
    <col min="12" max="12" width="14.85546875" customWidth="1"/>
  </cols>
  <sheetData>
    <row r="1" spans="1:18" x14ac:dyDescent="0.2">
      <c r="D1" s="16" t="s">
        <v>10</v>
      </c>
    </row>
    <row r="2" spans="1:18" x14ac:dyDescent="0.2">
      <c r="D2" s="16" t="s">
        <v>11</v>
      </c>
      <c r="E2" s="28" t="s">
        <v>12</v>
      </c>
      <c r="N2" t="s">
        <v>34</v>
      </c>
      <c r="O2" s="60" t="s">
        <v>35</v>
      </c>
    </row>
    <row r="3" spans="1:18" x14ac:dyDescent="0.2">
      <c r="A3" s="16">
        <f>A4</f>
        <v>192.8</v>
      </c>
      <c r="B3" s="16">
        <v>0</v>
      </c>
      <c r="Q3">
        <v>6</v>
      </c>
      <c r="R3" s="60" t="s">
        <v>35</v>
      </c>
    </row>
    <row r="4" spans="1:18" x14ac:dyDescent="0.2">
      <c r="A4" s="16">
        <f t="shared" ref="A4:A9" si="0">C4/B4</f>
        <v>192.8</v>
      </c>
      <c r="B4" s="16">
        <f>WBSARA!F4</f>
        <v>495</v>
      </c>
      <c r="C4">
        <f>WBSARA!J4</f>
        <v>95436</v>
      </c>
      <c r="D4">
        <v>0</v>
      </c>
      <c r="E4" s="49">
        <v>0</v>
      </c>
      <c r="J4">
        <v>0</v>
      </c>
      <c r="K4">
        <v>0</v>
      </c>
      <c r="M4">
        <v>0</v>
      </c>
      <c r="N4" s="59">
        <f>(M4/30)^2</f>
        <v>0</v>
      </c>
      <c r="O4" s="59">
        <f>+N4*-1</f>
        <v>0</v>
      </c>
      <c r="Q4" s="59">
        <f>(M4/51)^2</f>
        <v>0</v>
      </c>
      <c r="R4" s="59">
        <f>+Q4*-1</f>
        <v>0</v>
      </c>
    </row>
    <row r="5" spans="1:18" x14ac:dyDescent="0.2">
      <c r="A5" s="16">
        <f t="shared" si="0"/>
        <v>199</v>
      </c>
      <c r="B5" s="16">
        <f>WBSARA!F5+B4</f>
        <v>585</v>
      </c>
      <c r="C5" s="16">
        <f>WBSARA!J5+C4</f>
        <v>116415</v>
      </c>
      <c r="D5" s="40">
        <f t="shared" ref="D5:D10" si="1">+D4+50</f>
        <v>50</v>
      </c>
      <c r="E5" s="49">
        <v>0.9</v>
      </c>
      <c r="J5">
        <f>+J4+15</f>
        <v>15</v>
      </c>
      <c r="K5">
        <v>-0.1</v>
      </c>
      <c r="M5">
        <f>+M4+5</f>
        <v>5</v>
      </c>
      <c r="N5" s="59">
        <f t="shared" ref="N5:N24" si="2">(M5/30)^2</f>
        <v>2.7777777777777776E-2</v>
      </c>
      <c r="O5" s="59">
        <f t="shared" ref="O5:O17" si="3">+N5*-1</f>
        <v>-2.7777777777777776E-2</v>
      </c>
      <c r="Q5" s="59">
        <f t="shared" ref="Q5:Q21" si="4">(M5/51)^2</f>
        <v>9.6116878123798533E-3</v>
      </c>
      <c r="R5" s="59">
        <f t="shared" ref="R5:R17" si="5">+Q5*-1</f>
        <v>-9.6116878123798533E-3</v>
      </c>
    </row>
    <row r="6" spans="1:18" x14ac:dyDescent="0.2">
      <c r="A6" s="16">
        <f t="shared" si="0"/>
        <v>212.81333333333333</v>
      </c>
      <c r="B6" s="16">
        <f>WBSARA!F6+B5</f>
        <v>675</v>
      </c>
      <c r="C6" s="16">
        <f>WBSARA!J6+C5</f>
        <v>143649</v>
      </c>
      <c r="D6" s="40">
        <f t="shared" si="1"/>
        <v>100</v>
      </c>
      <c r="E6" s="49">
        <v>3.2</v>
      </c>
      <c r="J6">
        <f>+J5+15</f>
        <v>30</v>
      </c>
      <c r="K6">
        <v>-0.2</v>
      </c>
      <c r="M6">
        <f t="shared" ref="M6:M24" si="6">+M5+5</f>
        <v>10</v>
      </c>
      <c r="N6" s="59">
        <f t="shared" si="2"/>
        <v>0.1111111111111111</v>
      </c>
      <c r="O6" s="59">
        <f t="shared" si="3"/>
        <v>-0.1111111111111111</v>
      </c>
      <c r="Q6" s="59">
        <f t="shared" si="4"/>
        <v>3.8446751249519413E-2</v>
      </c>
      <c r="R6" s="59">
        <f t="shared" si="5"/>
        <v>-3.8446751249519413E-2</v>
      </c>
    </row>
    <row r="7" spans="1:18" x14ac:dyDescent="0.2">
      <c r="A7" s="16">
        <f t="shared" si="0"/>
        <v>212.81333333333333</v>
      </c>
      <c r="B7" s="16">
        <f>WBSARA!F7+B6</f>
        <v>675</v>
      </c>
      <c r="C7" s="16">
        <f>WBSARA!J7+C6</f>
        <v>143649</v>
      </c>
      <c r="D7" s="40">
        <f t="shared" si="1"/>
        <v>150</v>
      </c>
      <c r="E7" s="49">
        <v>7.2</v>
      </c>
      <c r="J7">
        <f>+J6+15</f>
        <v>45</v>
      </c>
      <c r="K7">
        <v>-0.5</v>
      </c>
      <c r="M7">
        <f t="shared" si="6"/>
        <v>15</v>
      </c>
      <c r="N7" s="59">
        <f t="shared" si="2"/>
        <v>0.25</v>
      </c>
      <c r="O7" s="59">
        <f t="shared" si="3"/>
        <v>-0.25</v>
      </c>
      <c r="Q7" s="59">
        <f t="shared" si="4"/>
        <v>8.6505190311418692E-2</v>
      </c>
      <c r="R7" s="59">
        <f t="shared" si="5"/>
        <v>-8.6505190311418692E-2</v>
      </c>
    </row>
    <row r="8" spans="1:18" x14ac:dyDescent="0.2">
      <c r="A8" s="16">
        <f t="shared" si="0"/>
        <v>210.52</v>
      </c>
      <c r="B8" s="16">
        <f>WBSARA!F8+B7</f>
        <v>700</v>
      </c>
      <c r="C8" s="16">
        <f>WBSARA!J8+C7</f>
        <v>147364</v>
      </c>
      <c r="D8" s="40">
        <f t="shared" si="1"/>
        <v>200</v>
      </c>
      <c r="E8" s="49">
        <v>8</v>
      </c>
      <c r="J8">
        <f>+J7+15</f>
        <v>60</v>
      </c>
      <c r="K8">
        <v>-1</v>
      </c>
      <c r="M8">
        <f t="shared" si="6"/>
        <v>20</v>
      </c>
      <c r="N8" s="59">
        <f t="shared" si="2"/>
        <v>0.44444444444444442</v>
      </c>
      <c r="O8" s="59">
        <f t="shared" si="3"/>
        <v>-0.44444444444444442</v>
      </c>
      <c r="Q8" s="59">
        <f t="shared" si="4"/>
        <v>0.15378700499807765</v>
      </c>
      <c r="R8" s="59">
        <f t="shared" si="5"/>
        <v>-0.15378700499807765</v>
      </c>
    </row>
    <row r="9" spans="1:18" x14ac:dyDescent="0.2">
      <c r="A9" s="16">
        <f t="shared" si="0"/>
        <v>210.52</v>
      </c>
      <c r="B9" s="16">
        <f>WBSARA!F9+B8</f>
        <v>700</v>
      </c>
      <c r="C9" s="16">
        <f>WBSARA!J9+C8</f>
        <v>147364</v>
      </c>
      <c r="D9" s="40">
        <f t="shared" si="1"/>
        <v>250</v>
      </c>
      <c r="E9" s="49">
        <v>8</v>
      </c>
      <c r="J9">
        <f>+J8+15</f>
        <v>75</v>
      </c>
      <c r="K9">
        <v>-1.5</v>
      </c>
      <c r="M9">
        <f t="shared" si="6"/>
        <v>25</v>
      </c>
      <c r="N9" s="59">
        <f t="shared" si="2"/>
        <v>0.69444444444444453</v>
      </c>
      <c r="O9" s="59">
        <f t="shared" si="3"/>
        <v>-0.69444444444444453</v>
      </c>
      <c r="Q9" s="59">
        <f t="shared" si="4"/>
        <v>0.24029219530949633</v>
      </c>
      <c r="R9" s="59">
        <f t="shared" si="5"/>
        <v>-0.24029219530949633</v>
      </c>
    </row>
    <row r="10" spans="1:18" x14ac:dyDescent="0.2">
      <c r="A10" s="16">
        <f>C10/B10</f>
        <v>210.52</v>
      </c>
      <c r="B10" s="16">
        <f>WBSARA!F10+B9</f>
        <v>700</v>
      </c>
      <c r="C10" s="16">
        <f>WBSARA!J10+C9</f>
        <v>147364</v>
      </c>
      <c r="D10" s="40">
        <f t="shared" si="1"/>
        <v>300</v>
      </c>
      <c r="E10" s="51">
        <v>-3</v>
      </c>
      <c r="J10">
        <v>100</v>
      </c>
      <c r="K10">
        <v>-2.6</v>
      </c>
      <c r="M10">
        <f t="shared" si="6"/>
        <v>30</v>
      </c>
      <c r="N10" s="59">
        <f t="shared" si="2"/>
        <v>1</v>
      </c>
      <c r="O10" s="59">
        <f t="shared" si="3"/>
        <v>-1</v>
      </c>
      <c r="Q10" s="59">
        <f t="shared" si="4"/>
        <v>0.34602076124567477</v>
      </c>
      <c r="R10" s="59">
        <f t="shared" si="5"/>
        <v>-0.34602076124567477</v>
      </c>
    </row>
    <row r="11" spans="1:18" x14ac:dyDescent="0.2">
      <c r="A11" s="16">
        <f>C11/B11</f>
        <v>209.50816959669081</v>
      </c>
      <c r="B11" s="16">
        <f>WBSARA!F11+B10</f>
        <v>812.28</v>
      </c>
      <c r="C11" s="16">
        <f>WBSARA!J11+C10</f>
        <v>170179.296</v>
      </c>
      <c r="D11" s="40">
        <f t="shared" ref="D11:D17" si="7">+D10+50</f>
        <v>350</v>
      </c>
      <c r="E11" s="51">
        <v>-3</v>
      </c>
      <c r="G11">
        <v>73.5</v>
      </c>
      <c r="H11">
        <v>5.95</v>
      </c>
      <c r="J11">
        <v>125</v>
      </c>
      <c r="K11">
        <v>-4</v>
      </c>
      <c r="M11">
        <f t="shared" si="6"/>
        <v>35</v>
      </c>
      <c r="N11" s="59">
        <f t="shared" si="2"/>
        <v>1.3611111111111114</v>
      </c>
      <c r="O11" s="59">
        <f t="shared" si="3"/>
        <v>-1.3611111111111114</v>
      </c>
      <c r="Q11" s="59">
        <f t="shared" si="4"/>
        <v>0.47097270280661285</v>
      </c>
      <c r="R11" s="59">
        <f t="shared" si="5"/>
        <v>-0.47097270280661285</v>
      </c>
    </row>
    <row r="12" spans="1:18" x14ac:dyDescent="0.2">
      <c r="A12" s="16">
        <f>A11</f>
        <v>209.50816959669081</v>
      </c>
      <c r="D12" s="40">
        <f t="shared" si="7"/>
        <v>400</v>
      </c>
      <c r="E12" s="51">
        <v>0</v>
      </c>
      <c r="G12" s="58">
        <v>90</v>
      </c>
      <c r="H12" s="58">
        <v>5.95</v>
      </c>
      <c r="M12">
        <f t="shared" si="6"/>
        <v>40</v>
      </c>
      <c r="N12" s="59">
        <f t="shared" si="2"/>
        <v>1.7777777777777777</v>
      </c>
      <c r="O12" s="59">
        <f t="shared" si="3"/>
        <v>-1.7777777777777777</v>
      </c>
      <c r="Q12" s="59">
        <f t="shared" si="4"/>
        <v>0.61514801999231061</v>
      </c>
      <c r="R12" s="59">
        <f t="shared" si="5"/>
        <v>-0.61514801999231061</v>
      </c>
    </row>
    <row r="13" spans="1:18" x14ac:dyDescent="0.2">
      <c r="A13" s="16">
        <f>A12</f>
        <v>209.50816959669081</v>
      </c>
      <c r="D13" s="40">
        <f t="shared" si="7"/>
        <v>450</v>
      </c>
      <c r="E13" s="53">
        <v>0</v>
      </c>
      <c r="G13" s="58">
        <v>100</v>
      </c>
      <c r="H13" s="58">
        <v>5.95</v>
      </c>
      <c r="J13">
        <v>63</v>
      </c>
      <c r="K13">
        <v>4.4000000000000004</v>
      </c>
      <c r="M13">
        <f t="shared" si="6"/>
        <v>45</v>
      </c>
      <c r="N13" s="59">
        <f t="shared" si="2"/>
        <v>2.25</v>
      </c>
      <c r="O13" s="59">
        <f t="shared" si="3"/>
        <v>-2.25</v>
      </c>
      <c r="Q13" s="59">
        <f t="shared" si="4"/>
        <v>0.7785467128027681</v>
      </c>
      <c r="R13" s="59">
        <f t="shared" si="5"/>
        <v>-0.7785467128027681</v>
      </c>
    </row>
    <row r="14" spans="1:18" x14ac:dyDescent="0.2">
      <c r="D14" s="40">
        <f t="shared" si="7"/>
        <v>500</v>
      </c>
      <c r="E14" s="53">
        <v>0</v>
      </c>
      <c r="G14" s="58">
        <v>100</v>
      </c>
      <c r="H14" s="58">
        <v>-2.25</v>
      </c>
      <c r="J14">
        <v>87</v>
      </c>
      <c r="K14">
        <v>4.4000000000000004</v>
      </c>
      <c r="M14">
        <f t="shared" si="6"/>
        <v>50</v>
      </c>
      <c r="N14" s="59">
        <f t="shared" si="2"/>
        <v>2.7777777777777781</v>
      </c>
      <c r="O14" s="59">
        <f t="shared" si="3"/>
        <v>-2.7777777777777781</v>
      </c>
      <c r="Q14" s="59">
        <f t="shared" si="4"/>
        <v>0.96116878123798533</v>
      </c>
      <c r="R14" s="59">
        <f t="shared" si="5"/>
        <v>-0.96116878123798533</v>
      </c>
    </row>
    <row r="15" spans="1:18" x14ac:dyDescent="0.2">
      <c r="D15" s="40">
        <f t="shared" si="7"/>
        <v>550</v>
      </c>
      <c r="G15" s="58">
        <v>45</v>
      </c>
      <c r="H15" s="58">
        <v>-2.25</v>
      </c>
      <c r="J15">
        <v>87</v>
      </c>
      <c r="K15">
        <v>-1.8</v>
      </c>
      <c r="M15">
        <f t="shared" si="6"/>
        <v>55</v>
      </c>
      <c r="N15" s="59">
        <f t="shared" si="2"/>
        <v>3.3611111111111107</v>
      </c>
      <c r="O15" s="59">
        <f t="shared" si="3"/>
        <v>-3.3611111111111107</v>
      </c>
      <c r="Q15" s="59">
        <f t="shared" si="4"/>
        <v>1.1630142252979623</v>
      </c>
      <c r="R15" s="59">
        <f t="shared" si="5"/>
        <v>-1.1630142252979623</v>
      </c>
    </row>
    <row r="16" spans="1:18" x14ac:dyDescent="0.2">
      <c r="D16" s="40">
        <f t="shared" si="7"/>
        <v>600</v>
      </c>
      <c r="E16" s="50">
        <v>816</v>
      </c>
      <c r="J16">
        <v>40.5</v>
      </c>
      <c r="K16">
        <v>-1.8</v>
      </c>
      <c r="M16">
        <f t="shared" si="6"/>
        <v>60</v>
      </c>
      <c r="N16" s="59">
        <f t="shared" si="2"/>
        <v>4</v>
      </c>
      <c r="O16" s="59">
        <f t="shared" si="3"/>
        <v>-4</v>
      </c>
      <c r="Q16" s="59">
        <f t="shared" si="4"/>
        <v>1.3840830449826991</v>
      </c>
      <c r="R16" s="59">
        <f t="shared" si="5"/>
        <v>-1.3840830449826991</v>
      </c>
    </row>
    <row r="17" spans="3:18" x14ac:dyDescent="0.2">
      <c r="D17" s="40">
        <f t="shared" si="7"/>
        <v>650</v>
      </c>
      <c r="E17" s="50">
        <f>495+5</f>
        <v>500</v>
      </c>
      <c r="M17">
        <f t="shared" si="6"/>
        <v>65</v>
      </c>
      <c r="N17" s="59">
        <f t="shared" si="2"/>
        <v>4.6944444444444438</v>
      </c>
      <c r="O17" s="59">
        <f t="shared" si="3"/>
        <v>-4.6944444444444438</v>
      </c>
      <c r="Q17" s="59">
        <f t="shared" si="4"/>
        <v>1.6243752402921952</v>
      </c>
      <c r="R17" s="59">
        <f t="shared" si="5"/>
        <v>-1.6243752402921952</v>
      </c>
    </row>
    <row r="18" spans="3:18" x14ac:dyDescent="0.2">
      <c r="M18">
        <f t="shared" si="6"/>
        <v>70</v>
      </c>
      <c r="N18" s="59">
        <f t="shared" si="2"/>
        <v>5.4444444444444455</v>
      </c>
      <c r="O18" s="59"/>
      <c r="Q18" s="59">
        <f t="shared" si="4"/>
        <v>1.8838908112264514</v>
      </c>
      <c r="R18" s="59"/>
    </row>
    <row r="19" spans="3:18" x14ac:dyDescent="0.2">
      <c r="M19">
        <f t="shared" si="6"/>
        <v>75</v>
      </c>
      <c r="N19" s="59">
        <f t="shared" si="2"/>
        <v>6.25</v>
      </c>
      <c r="O19" s="59"/>
      <c r="Q19" s="59">
        <f t="shared" si="4"/>
        <v>2.1626297577854676</v>
      </c>
      <c r="R19" s="59"/>
    </row>
    <row r="20" spans="3:18" x14ac:dyDescent="0.2">
      <c r="C20" s="39"/>
      <c r="M20">
        <f t="shared" si="6"/>
        <v>80</v>
      </c>
      <c r="N20" s="59">
        <f t="shared" si="2"/>
        <v>7.1111111111111107</v>
      </c>
      <c r="O20" s="59"/>
      <c r="Q20" s="59">
        <f t="shared" si="4"/>
        <v>2.4605920799692425</v>
      </c>
      <c r="R20" s="59"/>
    </row>
    <row r="21" spans="3:18" x14ac:dyDescent="0.2">
      <c r="C21" s="39"/>
      <c r="M21">
        <f t="shared" si="6"/>
        <v>85</v>
      </c>
      <c r="N21" s="59">
        <f t="shared" si="2"/>
        <v>8.0277777777777786</v>
      </c>
      <c r="O21" s="59"/>
      <c r="Q21" s="59">
        <f t="shared" si="4"/>
        <v>2.7777777777777781</v>
      </c>
      <c r="R21" s="59"/>
    </row>
    <row r="22" spans="3:18" x14ac:dyDescent="0.2">
      <c r="C22" s="39"/>
      <c r="M22">
        <f t="shared" si="6"/>
        <v>90</v>
      </c>
      <c r="N22" s="59">
        <f t="shared" si="2"/>
        <v>9</v>
      </c>
    </row>
    <row r="23" spans="3:18" x14ac:dyDescent="0.2">
      <c r="C23" s="39"/>
      <c r="M23">
        <f t="shared" si="6"/>
        <v>95</v>
      </c>
      <c r="N23" s="59">
        <f t="shared" si="2"/>
        <v>10.027777777777777</v>
      </c>
    </row>
    <row r="24" spans="3:18" x14ac:dyDescent="0.2">
      <c r="C24" s="39"/>
      <c r="M24">
        <f t="shared" si="6"/>
        <v>100</v>
      </c>
      <c r="N24" s="59">
        <f t="shared" si="2"/>
        <v>11.111111111111112</v>
      </c>
    </row>
    <row r="25" spans="3:18" x14ac:dyDescent="0.2">
      <c r="C25" s="39"/>
    </row>
    <row r="26" spans="3:18" x14ac:dyDescent="0.2">
      <c r="C26" s="39"/>
    </row>
    <row r="27" spans="3:18" x14ac:dyDescent="0.2">
      <c r="C27" s="39"/>
    </row>
    <row r="28" spans="3:18" x14ac:dyDescent="0.2">
      <c r="C28" s="39"/>
    </row>
    <row r="29" spans="3:18" x14ac:dyDescent="0.2">
      <c r="C29" s="39"/>
    </row>
    <row r="30" spans="3:18" x14ac:dyDescent="0.2">
      <c r="C30" s="3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4"/>
  <sheetViews>
    <sheetView topLeftCell="D1" zoomScale="85" zoomScaleNormal="85" workbookViewId="0">
      <selection activeCell="H32" sqref="H32"/>
    </sheetView>
  </sheetViews>
  <sheetFormatPr defaultRowHeight="12.75" x14ac:dyDescent="0.2"/>
  <sheetData>
    <row r="4" spans="3:15" x14ac:dyDescent="0.2">
      <c r="C4">
        <v>0</v>
      </c>
      <c r="D4">
        <v>460</v>
      </c>
      <c r="E4">
        <v>490</v>
      </c>
      <c r="F4">
        <v>510</v>
      </c>
      <c r="G4">
        <v>550</v>
      </c>
      <c r="H4">
        <v>580</v>
      </c>
      <c r="J4" s="57">
        <f>+D4/3.28084/4.6</f>
        <v>30.479999024640033</v>
      </c>
      <c r="K4" s="57">
        <f t="shared" ref="K4:K10" si="0">+E4/3.28084/4.6</f>
        <v>32.467825047986118</v>
      </c>
      <c r="L4" s="57">
        <f t="shared" ref="L4:L10" si="1">+F4/3.28084/4.6</f>
        <v>33.793042396883514</v>
      </c>
      <c r="M4" s="57">
        <f t="shared" ref="M4:M10" si="2">+G4/3.28084/4.6</f>
        <v>36.4434770946783</v>
      </c>
      <c r="N4" s="57">
        <f t="shared" ref="N4:N10" si="3">+H4/3.28084/4.6</f>
        <v>38.431303118024395</v>
      </c>
      <c r="O4" s="57"/>
    </row>
    <row r="5" spans="3:15" x14ac:dyDescent="0.2">
      <c r="C5">
        <f t="shared" ref="C5:C10" si="4">+C4+2000</f>
        <v>2000</v>
      </c>
      <c r="D5">
        <v>550</v>
      </c>
      <c r="E5">
        <v>590</v>
      </c>
      <c r="F5">
        <v>620</v>
      </c>
      <c r="G5">
        <v>660</v>
      </c>
      <c r="H5">
        <v>700</v>
      </c>
      <c r="J5" s="57">
        <f t="shared" ref="J5:J10" si="5">+D5/3.28084/4.6</f>
        <v>36.4434770946783</v>
      </c>
      <c r="K5" s="57">
        <f t="shared" si="0"/>
        <v>39.093911792473087</v>
      </c>
      <c r="L5" s="57">
        <f t="shared" si="1"/>
        <v>41.081737815819174</v>
      </c>
      <c r="M5" s="57">
        <f t="shared" si="2"/>
        <v>43.732172513613961</v>
      </c>
      <c r="N5" s="57">
        <f t="shared" si="3"/>
        <v>46.382607211408747</v>
      </c>
      <c r="O5" s="57"/>
    </row>
    <row r="6" spans="3:15" x14ac:dyDescent="0.2">
      <c r="C6">
        <f t="shared" si="4"/>
        <v>4000</v>
      </c>
      <c r="D6">
        <v>670</v>
      </c>
      <c r="E6">
        <v>710</v>
      </c>
      <c r="F6">
        <v>750</v>
      </c>
      <c r="G6">
        <v>800</v>
      </c>
      <c r="H6">
        <v>840</v>
      </c>
      <c r="J6" s="57">
        <f t="shared" si="5"/>
        <v>44.394781188062659</v>
      </c>
      <c r="K6" s="57">
        <f t="shared" si="0"/>
        <v>47.045215885857445</v>
      </c>
      <c r="L6" s="57">
        <f t="shared" si="1"/>
        <v>49.695650583652231</v>
      </c>
      <c r="M6" s="57">
        <f t="shared" si="2"/>
        <v>53.008693955895708</v>
      </c>
      <c r="N6" s="57">
        <f t="shared" si="3"/>
        <v>55.659128653690487</v>
      </c>
      <c r="O6" s="57"/>
    </row>
    <row r="7" spans="3:15" x14ac:dyDescent="0.2">
      <c r="C7">
        <f t="shared" si="4"/>
        <v>6000</v>
      </c>
      <c r="D7">
        <v>810</v>
      </c>
      <c r="E7">
        <v>860</v>
      </c>
      <c r="F7">
        <v>920</v>
      </c>
      <c r="G7">
        <v>970</v>
      </c>
      <c r="H7">
        <v>1020</v>
      </c>
      <c r="J7" s="57">
        <f t="shared" si="5"/>
        <v>53.671302630344407</v>
      </c>
      <c r="K7" s="57">
        <f t="shared" si="0"/>
        <v>56.984346002587891</v>
      </c>
      <c r="L7" s="57">
        <f t="shared" si="1"/>
        <v>60.959998049280067</v>
      </c>
      <c r="M7" s="57">
        <f t="shared" si="2"/>
        <v>64.273041421523558</v>
      </c>
      <c r="N7" s="57">
        <f t="shared" si="3"/>
        <v>67.586084793767029</v>
      </c>
      <c r="O7" s="57"/>
    </row>
    <row r="8" spans="3:15" x14ac:dyDescent="0.2">
      <c r="C8">
        <f t="shared" si="4"/>
        <v>8000</v>
      </c>
      <c r="D8">
        <v>990</v>
      </c>
      <c r="E8">
        <v>1050</v>
      </c>
      <c r="F8">
        <v>1120</v>
      </c>
      <c r="G8">
        <v>1180</v>
      </c>
      <c r="H8">
        <v>1250</v>
      </c>
      <c r="J8" s="57">
        <f t="shared" si="5"/>
        <v>65.598258770420941</v>
      </c>
      <c r="K8" s="57">
        <f t="shared" si="0"/>
        <v>69.573910817113116</v>
      </c>
      <c r="L8" s="57">
        <f t="shared" si="1"/>
        <v>74.212171538253997</v>
      </c>
      <c r="M8" s="57">
        <f t="shared" si="2"/>
        <v>78.187823584946173</v>
      </c>
      <c r="N8" s="57">
        <f t="shared" si="3"/>
        <v>82.826084306087054</v>
      </c>
      <c r="O8" s="57"/>
    </row>
    <row r="9" spans="3:15" x14ac:dyDescent="0.2">
      <c r="C9">
        <f t="shared" si="4"/>
        <v>10000</v>
      </c>
      <c r="D9">
        <v>1210</v>
      </c>
      <c r="E9">
        <v>1280</v>
      </c>
      <c r="F9">
        <v>1360</v>
      </c>
      <c r="G9">
        <v>1440</v>
      </c>
      <c r="H9">
        <v>1520</v>
      </c>
      <c r="J9" s="57">
        <f t="shared" si="5"/>
        <v>80.175649608292261</v>
      </c>
      <c r="K9" s="57">
        <f t="shared" si="0"/>
        <v>84.813910329433128</v>
      </c>
      <c r="L9" s="57">
        <f t="shared" si="1"/>
        <v>90.114779725022714</v>
      </c>
      <c r="M9" s="57">
        <f t="shared" si="2"/>
        <v>95.415649120612272</v>
      </c>
      <c r="N9" s="57">
        <f t="shared" si="3"/>
        <v>100.71651851620186</v>
      </c>
      <c r="O9" s="57"/>
    </row>
    <row r="10" spans="3:15" x14ac:dyDescent="0.2">
      <c r="C10">
        <f t="shared" si="4"/>
        <v>12000</v>
      </c>
      <c r="D10">
        <v>1480</v>
      </c>
      <c r="E10">
        <v>1570</v>
      </c>
      <c r="F10">
        <v>1670</v>
      </c>
      <c r="G10">
        <v>1770</v>
      </c>
      <c r="H10">
        <v>1870</v>
      </c>
      <c r="J10" s="57">
        <f t="shared" si="5"/>
        <v>98.066083818407066</v>
      </c>
      <c r="K10" s="57">
        <f t="shared" si="0"/>
        <v>104.02956188844533</v>
      </c>
      <c r="L10" s="57">
        <f t="shared" si="1"/>
        <v>110.6556486329323</v>
      </c>
      <c r="M10" s="57">
        <f t="shared" si="2"/>
        <v>117.28173537741927</v>
      </c>
      <c r="N10" s="57">
        <f t="shared" si="3"/>
        <v>123.90782212190622</v>
      </c>
      <c r="O10" s="57"/>
    </row>
    <row r="14" spans="3:15" x14ac:dyDescent="0.2">
      <c r="C14">
        <f t="shared" ref="C14:C20" si="6">C4</f>
        <v>0</v>
      </c>
      <c r="D14" s="57">
        <f>J4</f>
        <v>30.479999024640033</v>
      </c>
      <c r="E14" s="57">
        <f t="shared" ref="E14:H20" si="7">K4</f>
        <v>32.467825047986118</v>
      </c>
      <c r="F14" s="57">
        <f t="shared" si="7"/>
        <v>33.793042396883514</v>
      </c>
      <c r="G14" s="57">
        <f t="shared" si="7"/>
        <v>36.4434770946783</v>
      </c>
      <c r="H14" s="57">
        <f t="shared" si="7"/>
        <v>38.431303118024395</v>
      </c>
      <c r="J14" s="57">
        <f t="shared" ref="J14:N20" si="8">ROUND(P4/10, 0)*10</f>
        <v>0</v>
      </c>
      <c r="K14" s="57">
        <f t="shared" si="8"/>
        <v>0</v>
      </c>
      <c r="L14" s="57">
        <f t="shared" si="8"/>
        <v>0</v>
      </c>
      <c r="M14" s="57">
        <f t="shared" si="8"/>
        <v>0</v>
      </c>
      <c r="N14" s="57">
        <f t="shared" si="8"/>
        <v>0</v>
      </c>
    </row>
    <row r="15" spans="3:15" x14ac:dyDescent="0.2">
      <c r="C15">
        <f t="shared" si="6"/>
        <v>2000</v>
      </c>
      <c r="D15" s="57">
        <f t="shared" ref="D15:D20" si="9">J5</f>
        <v>36.4434770946783</v>
      </c>
      <c r="E15" s="57">
        <f t="shared" si="7"/>
        <v>39.093911792473087</v>
      </c>
      <c r="F15" s="57">
        <f t="shared" si="7"/>
        <v>41.081737815819174</v>
      </c>
      <c r="G15" s="57">
        <f t="shared" si="7"/>
        <v>43.732172513613961</v>
      </c>
      <c r="H15" s="57">
        <f t="shared" si="7"/>
        <v>46.382607211408747</v>
      </c>
      <c r="J15" s="57">
        <f t="shared" si="8"/>
        <v>0</v>
      </c>
      <c r="K15" s="57">
        <f t="shared" si="8"/>
        <v>0</v>
      </c>
      <c r="L15" s="57">
        <f t="shared" si="8"/>
        <v>0</v>
      </c>
      <c r="M15" s="57">
        <f t="shared" si="8"/>
        <v>0</v>
      </c>
      <c r="N15" s="57">
        <f t="shared" si="8"/>
        <v>0</v>
      </c>
    </row>
    <row r="16" spans="3:15" x14ac:dyDescent="0.2">
      <c r="C16">
        <f t="shared" si="6"/>
        <v>4000</v>
      </c>
      <c r="D16" s="57">
        <f t="shared" si="9"/>
        <v>44.394781188062659</v>
      </c>
      <c r="E16" s="57">
        <f t="shared" si="7"/>
        <v>47.045215885857445</v>
      </c>
      <c r="F16" s="57">
        <f t="shared" si="7"/>
        <v>49.695650583652231</v>
      </c>
      <c r="G16" s="57">
        <f t="shared" si="7"/>
        <v>53.008693955895708</v>
      </c>
      <c r="H16" s="57">
        <f t="shared" si="7"/>
        <v>55.659128653690487</v>
      </c>
      <c r="J16" s="57">
        <f t="shared" si="8"/>
        <v>0</v>
      </c>
      <c r="K16" s="57">
        <f t="shared" si="8"/>
        <v>0</v>
      </c>
      <c r="L16" s="57">
        <f t="shared" si="8"/>
        <v>0</v>
      </c>
      <c r="M16" s="57">
        <f t="shared" si="8"/>
        <v>0</v>
      </c>
      <c r="N16" s="57">
        <f t="shared" si="8"/>
        <v>0</v>
      </c>
    </row>
    <row r="17" spans="3:14" x14ac:dyDescent="0.2">
      <c r="C17">
        <f t="shared" si="6"/>
        <v>6000</v>
      </c>
      <c r="D17" s="57">
        <f t="shared" si="9"/>
        <v>53.671302630344407</v>
      </c>
      <c r="E17" s="57">
        <f t="shared" si="7"/>
        <v>56.984346002587891</v>
      </c>
      <c r="F17" s="57">
        <f t="shared" si="7"/>
        <v>60.959998049280067</v>
      </c>
      <c r="G17" s="57">
        <f t="shared" si="7"/>
        <v>64.273041421523558</v>
      </c>
      <c r="H17" s="57">
        <f t="shared" si="7"/>
        <v>67.586084793767029</v>
      </c>
      <c r="J17" s="57">
        <f t="shared" si="8"/>
        <v>0</v>
      </c>
      <c r="K17" s="57">
        <f t="shared" si="8"/>
        <v>0</v>
      </c>
      <c r="L17" s="57">
        <f t="shared" si="8"/>
        <v>0</v>
      </c>
      <c r="M17" s="57">
        <f t="shared" si="8"/>
        <v>0</v>
      </c>
      <c r="N17" s="57">
        <f t="shared" si="8"/>
        <v>0</v>
      </c>
    </row>
    <row r="18" spans="3:14" x14ac:dyDescent="0.2">
      <c r="C18">
        <f t="shared" si="6"/>
        <v>8000</v>
      </c>
      <c r="D18" s="57">
        <f t="shared" si="9"/>
        <v>65.598258770420941</v>
      </c>
      <c r="E18" s="57">
        <f t="shared" si="7"/>
        <v>69.573910817113116</v>
      </c>
      <c r="F18" s="57">
        <f t="shared" si="7"/>
        <v>74.212171538253997</v>
      </c>
      <c r="G18" s="57">
        <f t="shared" si="7"/>
        <v>78.187823584946173</v>
      </c>
      <c r="H18" s="57">
        <f t="shared" si="7"/>
        <v>82.826084306087054</v>
      </c>
      <c r="J18" s="57">
        <f t="shared" si="8"/>
        <v>0</v>
      </c>
      <c r="K18" s="57">
        <f t="shared" si="8"/>
        <v>0</v>
      </c>
      <c r="L18" s="57">
        <f t="shared" si="8"/>
        <v>0</v>
      </c>
      <c r="M18" s="57">
        <f t="shared" si="8"/>
        <v>0</v>
      </c>
      <c r="N18" s="57">
        <f t="shared" si="8"/>
        <v>0</v>
      </c>
    </row>
    <row r="19" spans="3:14" x14ac:dyDescent="0.2">
      <c r="C19">
        <f t="shared" si="6"/>
        <v>10000</v>
      </c>
      <c r="D19" s="57">
        <f t="shared" si="9"/>
        <v>80.175649608292261</v>
      </c>
      <c r="E19" s="57">
        <f t="shared" si="7"/>
        <v>84.813910329433128</v>
      </c>
      <c r="F19" s="57">
        <f t="shared" si="7"/>
        <v>90.114779725022714</v>
      </c>
      <c r="G19" s="57">
        <f t="shared" si="7"/>
        <v>95.415649120612272</v>
      </c>
      <c r="H19" s="57">
        <f t="shared" si="7"/>
        <v>100.71651851620186</v>
      </c>
      <c r="J19" s="57">
        <f t="shared" si="8"/>
        <v>0</v>
      </c>
      <c r="K19" s="57">
        <f t="shared" si="8"/>
        <v>0</v>
      </c>
      <c r="L19" s="57">
        <f t="shared" si="8"/>
        <v>0</v>
      </c>
      <c r="M19" s="57">
        <f t="shared" si="8"/>
        <v>0</v>
      </c>
      <c r="N19" s="57">
        <f t="shared" si="8"/>
        <v>0</v>
      </c>
    </row>
    <row r="20" spans="3:14" x14ac:dyDescent="0.2">
      <c r="C20">
        <f t="shared" si="6"/>
        <v>12000</v>
      </c>
      <c r="D20" s="57">
        <f t="shared" si="9"/>
        <v>98.066083818407066</v>
      </c>
      <c r="E20" s="57">
        <f t="shared" si="7"/>
        <v>104.02956188844533</v>
      </c>
      <c r="F20" s="57">
        <f t="shared" si="7"/>
        <v>110.6556486329323</v>
      </c>
      <c r="G20" s="57">
        <f t="shared" si="7"/>
        <v>117.28173537741927</v>
      </c>
      <c r="H20" s="57">
        <f t="shared" si="7"/>
        <v>123.90782212190622</v>
      </c>
      <c r="J20" s="57">
        <f t="shared" si="8"/>
        <v>0</v>
      </c>
      <c r="K20" s="57">
        <f t="shared" si="8"/>
        <v>0</v>
      </c>
      <c r="L20" s="57">
        <f t="shared" si="8"/>
        <v>0</v>
      </c>
      <c r="M20" s="57">
        <f t="shared" si="8"/>
        <v>0</v>
      </c>
      <c r="N20" s="57">
        <f t="shared" si="8"/>
        <v>0</v>
      </c>
    </row>
    <row r="21" spans="3:14" x14ac:dyDescent="0.2">
      <c r="J21" s="57"/>
    </row>
    <row r="22" spans="3:14" x14ac:dyDescent="0.2">
      <c r="J22" s="57"/>
    </row>
    <row r="23" spans="3:14" x14ac:dyDescent="0.2">
      <c r="J23" s="57"/>
    </row>
    <row r="24" spans="3:14" x14ac:dyDescent="0.2">
      <c r="J24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WBSARA</vt:lpstr>
      <vt:lpstr>Envelope</vt:lpstr>
      <vt:lpstr>CruseRange-Altitude</vt:lpstr>
      <vt:lpstr>FuelFlow-Power</vt:lpstr>
      <vt:lpstr>TAS-Altitude</vt:lpstr>
      <vt:lpstr>Vne-Altitude</vt:lpstr>
      <vt:lpstr>LoadFactor-Weight</vt:lpstr>
      <vt:lpstr>LoadFactor-IAS</vt:lpstr>
      <vt:lpstr>TakeoffDistance (2)</vt:lpstr>
      <vt:lpstr>LandingDistance</vt:lpstr>
      <vt:lpstr>M1B-Perf</vt:lpstr>
      <vt:lpstr>WBSARA!Print_Area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Piper Archer N8276V</dc:title>
  <dc:subject>Weight &amp; Balance</dc:subject>
  <dc:creator>DJ</dc:creator>
  <cp:lastModifiedBy>player</cp:lastModifiedBy>
  <cp:lastPrinted>2006-03-09T23:19:28Z</cp:lastPrinted>
  <dcterms:created xsi:type="dcterms:W3CDTF">1997-06-23T20:51:56Z</dcterms:created>
  <dcterms:modified xsi:type="dcterms:W3CDTF">2018-09-28T05:59:47Z</dcterms:modified>
</cp:coreProperties>
</file>