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filterPrivacy="1" defaultThemeVersion="166925"/>
  <xr:revisionPtr revIDLastSave="1" documentId="11_FB0BFBE8BD8E402C720C287D75844E089D9D7DA2" xr6:coauthVersionLast="45" xr6:coauthVersionMax="45" xr10:uidLastSave="{7B46865D-2CE6-4C40-8657-0E888DC99768}"/>
  <bookViews>
    <workbookView xWindow="-108" yWindow="-108" windowWidth="23256" windowHeight="12576" activeTab="2" xr2:uid="{00000000-000D-0000-FFFF-FFFF00000000}"/>
  </bookViews>
  <sheets>
    <sheet name="Staff" sheetId="1" r:id="rId1"/>
    <sheet name="Stats" sheetId="2" r:id="rId2"/>
    <sheet name="Report July 2017" sheetId="3" r:id="rId3"/>
  </sheets>
  <definedNames>
    <definedName name="_xlnm._FilterDatabase" localSheetId="2" hidden="1">'Report July 2017'!$A$4:$H$30</definedName>
    <definedName name="_xlnm._FilterDatabase" localSheetId="0" hidden="1">Staff!$A$4:$H$24</definedName>
    <definedName name="Annual_Salary" localSheetId="2">'Report July 2017'!$N$4:$N$46</definedName>
    <definedName name="Annual_Salary">Staff!$N$4:$N$39</definedName>
    <definedName name="Date_of_Hire" localSheetId="2">'Report July 2017'!$F$4:$F$46</definedName>
    <definedName name="Date_of_Hire">Staff!$F$4:$F$39</definedName>
    <definedName name="Department" localSheetId="2">'Report July 2017'!$H$4:$H$46</definedName>
    <definedName name="Department">Staff!$H$4:$H$39</definedName>
    <definedName name="Email" localSheetId="2">'Report July 2017'!$E$4:$E$46</definedName>
    <definedName name="Email">Staff!$E$4:$E$39</definedName>
    <definedName name="Emp_ID" localSheetId="2">'Report July 2017'!$A$4:$A$46</definedName>
    <definedName name="Emp_ID">Staff!$A$4:$A$39</definedName>
    <definedName name="Extension" localSheetId="2">'Report July 2017'!$K$4:$K$46</definedName>
    <definedName name="Extension">Staff!$K$4:$K$39</definedName>
    <definedName name="First" localSheetId="2">'Report July 2017'!$C$4:$C$46</definedName>
    <definedName name="First">Staff!$C$4:$C$39</definedName>
    <definedName name="Floor" localSheetId="2">'Report July 2017'!$J$4:$J$46</definedName>
    <definedName name="Floor">Staff!$J$4:$J$39</definedName>
    <definedName name="Gender" localSheetId="2">'Report July 2017'!$D$4:$D$46</definedName>
    <definedName name="Gender">Staff!$D$4:$D$39</definedName>
    <definedName name="Last" localSheetId="2">'Report July 2017'!$B$4:$B$46</definedName>
    <definedName name="Last">Staff!$B$4:$B$39</definedName>
    <definedName name="Last_Review" localSheetId="2">'Report July 2017'!$L$4:$L$46</definedName>
    <definedName name="Last_Review">Staff!$L$4:$L$39</definedName>
    <definedName name="Location" localSheetId="2">'Report July 2017'!$I$4:$I$46</definedName>
    <definedName name="Location">Staff!$I$4:$I$39</definedName>
    <definedName name="Next_Review" localSheetId="2">'Report July 2017'!$M$4:$M$46</definedName>
    <definedName name="Next_Review">Staff!$M$4:$M$39</definedName>
    <definedName name="Pension" localSheetId="2">'Report July 2017'!$O$4:$O$46</definedName>
    <definedName name="Pension">Staff!$O$4:$O$39</definedName>
    <definedName name="Pension_Rate" localSheetId="2">'Report July 2017'!$P$1</definedName>
    <definedName name="Pension_Rate">Staff!$P$1</definedName>
    <definedName name="Years_Service" localSheetId="2">'Report July 2017'!$G$4:$G$46</definedName>
    <definedName name="Years_Service">Staff!$G$4:$G$39</definedName>
  </definedNames>
  <calcPr calcId="191029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4" i="3" l="1"/>
  <c r="P4" i="3"/>
  <c r="O5" i="3"/>
  <c r="P5" i="3"/>
  <c r="O6" i="3"/>
  <c r="P6" i="3"/>
  <c r="O7" i="3"/>
  <c r="P7" i="3"/>
  <c r="P8" i="3"/>
  <c r="O9" i="3"/>
  <c r="P9" i="3"/>
  <c r="O10" i="3"/>
  <c r="P10" i="3"/>
  <c r="O11" i="3"/>
  <c r="P11" i="3"/>
  <c r="O12" i="3"/>
  <c r="P12" i="3"/>
  <c r="O13" i="3"/>
  <c r="P13" i="3"/>
  <c r="P14" i="3"/>
  <c r="O15" i="3"/>
  <c r="P15" i="3"/>
  <c r="O16" i="3"/>
  <c r="P16" i="3"/>
  <c r="P17" i="3"/>
  <c r="O18" i="3"/>
  <c r="P18" i="3"/>
  <c r="P19" i="3"/>
  <c r="O20" i="3"/>
  <c r="P20" i="3"/>
  <c r="O21" i="3"/>
  <c r="P21" i="3"/>
  <c r="O22" i="3"/>
  <c r="P22" i="3"/>
  <c r="P23" i="3"/>
  <c r="O24" i="3"/>
  <c r="P24" i="3"/>
  <c r="O25" i="3"/>
  <c r="P25" i="3"/>
  <c r="O26" i="3"/>
  <c r="P26" i="3"/>
  <c r="O27" i="3"/>
  <c r="P27" i="3"/>
  <c r="O28" i="3"/>
  <c r="P28" i="3"/>
  <c r="P29" i="3"/>
  <c r="O30" i="3"/>
  <c r="P30" i="3"/>
  <c r="P31" i="3"/>
  <c r="O32" i="3"/>
  <c r="P32" i="3"/>
  <c r="O33" i="3"/>
  <c r="P33" i="3"/>
  <c r="O34" i="3"/>
  <c r="P34" i="3"/>
  <c r="O35" i="3"/>
  <c r="P35" i="3"/>
  <c r="O36" i="3"/>
  <c r="P36" i="3"/>
  <c r="O37" i="3"/>
  <c r="P37" i="3"/>
  <c r="O38" i="3"/>
  <c r="P38" i="3"/>
  <c r="O39" i="3"/>
  <c r="P39" i="3"/>
  <c r="O40" i="3"/>
  <c r="P40" i="3"/>
  <c r="O41" i="3"/>
  <c r="P41" i="3"/>
  <c r="O42" i="3"/>
  <c r="P42" i="3"/>
  <c r="O43" i="3"/>
  <c r="P43" i="3"/>
  <c r="O44" i="3"/>
  <c r="P44" i="3"/>
  <c r="O45" i="3"/>
  <c r="P45" i="3"/>
  <c r="O46" i="3"/>
  <c r="P46" i="3"/>
  <c r="P48" i="3"/>
  <c r="O8" i="3"/>
  <c r="O14" i="3"/>
  <c r="O17" i="3"/>
  <c r="O19" i="3"/>
  <c r="O23" i="3"/>
  <c r="O29" i="3"/>
  <c r="O31" i="3"/>
  <c r="O48" i="3"/>
  <c r="N8" i="3"/>
  <c r="N14" i="3"/>
  <c r="N17" i="3"/>
  <c r="N19" i="3"/>
  <c r="N23" i="3"/>
  <c r="N29" i="3"/>
  <c r="N31" i="3"/>
  <c r="N48" i="3"/>
  <c r="P47" i="3"/>
  <c r="O47" i="3"/>
  <c r="N47" i="3"/>
  <c r="G15" i="3"/>
  <c r="G24" i="3"/>
  <c r="G32" i="3"/>
  <c r="G9" i="3"/>
  <c r="G33" i="3"/>
  <c r="G10" i="3"/>
  <c r="G34" i="3"/>
  <c r="G4" i="3"/>
  <c r="G35" i="3"/>
  <c r="G11" i="3"/>
  <c r="G36" i="3"/>
  <c r="G25" i="3"/>
  <c r="G37" i="3"/>
  <c r="G38" i="3"/>
  <c r="G20" i="3"/>
  <c r="G26" i="3"/>
  <c r="G27" i="3"/>
  <c r="G12" i="3"/>
  <c r="G18" i="3"/>
  <c r="G5" i="3"/>
  <c r="G39" i="3"/>
  <c r="G40" i="3"/>
  <c r="G6" i="3"/>
  <c r="G41" i="3"/>
  <c r="G42" i="3"/>
  <c r="G7" i="3"/>
  <c r="G21" i="3"/>
  <c r="G43" i="3"/>
  <c r="G44" i="3"/>
  <c r="G28" i="3"/>
  <c r="G45" i="3"/>
  <c r="G22" i="3"/>
  <c r="G46" i="3"/>
  <c r="G16" i="3"/>
  <c r="G13" i="3"/>
  <c r="G30" i="3"/>
  <c r="M30" i="3"/>
  <c r="K30" i="3"/>
  <c r="J30" i="3"/>
  <c r="E30" i="3"/>
  <c r="M13" i="3"/>
  <c r="K13" i="3"/>
  <c r="J13" i="3"/>
  <c r="E13" i="3"/>
  <c r="M16" i="3"/>
  <c r="K16" i="3"/>
  <c r="J16" i="3"/>
  <c r="E16" i="3"/>
  <c r="M46" i="3"/>
  <c r="K46" i="3"/>
  <c r="J46" i="3"/>
  <c r="E46" i="3"/>
  <c r="M22" i="3"/>
  <c r="K22" i="3"/>
  <c r="J22" i="3"/>
  <c r="E22" i="3"/>
  <c r="M45" i="3"/>
  <c r="K45" i="3"/>
  <c r="J45" i="3"/>
  <c r="E45" i="3"/>
  <c r="M28" i="3"/>
  <c r="K28" i="3"/>
  <c r="J28" i="3"/>
  <c r="E28" i="3"/>
  <c r="M44" i="3"/>
  <c r="K44" i="3"/>
  <c r="J44" i="3"/>
  <c r="E44" i="3"/>
  <c r="M43" i="3"/>
  <c r="K43" i="3"/>
  <c r="J43" i="3"/>
  <c r="E43" i="3"/>
  <c r="M21" i="3"/>
  <c r="K21" i="3"/>
  <c r="J21" i="3"/>
  <c r="E21" i="3"/>
  <c r="M7" i="3"/>
  <c r="K7" i="3"/>
  <c r="J7" i="3"/>
  <c r="E7" i="3"/>
  <c r="M42" i="3"/>
  <c r="K42" i="3"/>
  <c r="J42" i="3"/>
  <c r="E42" i="3"/>
  <c r="M41" i="3"/>
  <c r="K41" i="3"/>
  <c r="J41" i="3"/>
  <c r="E41" i="3"/>
  <c r="M6" i="3"/>
  <c r="K6" i="3"/>
  <c r="J6" i="3"/>
  <c r="E6" i="3"/>
  <c r="M40" i="3"/>
  <c r="K40" i="3"/>
  <c r="J40" i="3"/>
  <c r="E40" i="3"/>
  <c r="M39" i="3"/>
  <c r="K39" i="3"/>
  <c r="J39" i="3"/>
  <c r="E39" i="3"/>
  <c r="M5" i="3"/>
  <c r="K5" i="3"/>
  <c r="J5" i="3"/>
  <c r="E5" i="3"/>
  <c r="M18" i="3"/>
  <c r="K18" i="3"/>
  <c r="J18" i="3"/>
  <c r="E18" i="3"/>
  <c r="M12" i="3"/>
  <c r="K12" i="3"/>
  <c r="J12" i="3"/>
  <c r="E12" i="3"/>
  <c r="M27" i="3"/>
  <c r="K27" i="3"/>
  <c r="J27" i="3"/>
  <c r="E27" i="3"/>
  <c r="M26" i="3"/>
  <c r="K26" i="3"/>
  <c r="J26" i="3"/>
  <c r="E26" i="3"/>
  <c r="M20" i="3"/>
  <c r="K20" i="3"/>
  <c r="J20" i="3"/>
  <c r="E20" i="3"/>
  <c r="M38" i="3"/>
  <c r="K38" i="3"/>
  <c r="J38" i="3"/>
  <c r="E38" i="3"/>
  <c r="M37" i="3"/>
  <c r="K37" i="3"/>
  <c r="J37" i="3"/>
  <c r="E37" i="3"/>
  <c r="M25" i="3"/>
  <c r="K25" i="3"/>
  <c r="J25" i="3"/>
  <c r="E25" i="3"/>
  <c r="M36" i="3"/>
  <c r="K36" i="3"/>
  <c r="J36" i="3"/>
  <c r="E36" i="3"/>
  <c r="M11" i="3"/>
  <c r="K11" i="3"/>
  <c r="J11" i="3"/>
  <c r="E11" i="3"/>
  <c r="M35" i="3"/>
  <c r="K35" i="3"/>
  <c r="J35" i="3"/>
  <c r="E35" i="3"/>
  <c r="M4" i="3"/>
  <c r="K4" i="3"/>
  <c r="J4" i="3"/>
  <c r="E4" i="3"/>
  <c r="M34" i="3"/>
  <c r="K34" i="3"/>
  <c r="J34" i="3"/>
  <c r="E34" i="3"/>
  <c r="M10" i="3"/>
  <c r="K10" i="3"/>
  <c r="J10" i="3"/>
  <c r="E10" i="3"/>
  <c r="M33" i="3"/>
  <c r="K33" i="3"/>
  <c r="J33" i="3"/>
  <c r="E33" i="3"/>
  <c r="M9" i="3"/>
  <c r="K9" i="3"/>
  <c r="J9" i="3"/>
  <c r="E9" i="3"/>
  <c r="M32" i="3"/>
  <c r="K32" i="3"/>
  <c r="J32" i="3"/>
  <c r="E32" i="3"/>
  <c r="M24" i="3"/>
  <c r="K24" i="3"/>
  <c r="J24" i="3"/>
  <c r="E24" i="3"/>
  <c r="M15" i="3"/>
  <c r="K15" i="3"/>
  <c r="J15" i="3"/>
  <c r="E15" i="3"/>
  <c r="B22" i="2"/>
  <c r="C22" i="2"/>
  <c r="D22" i="2"/>
  <c r="E39" i="1"/>
  <c r="G39" i="1"/>
  <c r="J39" i="1"/>
  <c r="K39" i="1"/>
  <c r="M39" i="1"/>
  <c r="O39" i="1"/>
  <c r="P39" i="1"/>
  <c r="O4" i="1"/>
  <c r="P4" i="1"/>
  <c r="O5" i="1"/>
  <c r="P5" i="1"/>
  <c r="O6" i="1"/>
  <c r="P6" i="1"/>
  <c r="O7" i="1"/>
  <c r="P7" i="1"/>
  <c r="O8" i="1"/>
  <c r="P8" i="1"/>
  <c r="O9" i="1"/>
  <c r="P9" i="1"/>
  <c r="O10" i="1"/>
  <c r="P10" i="1"/>
  <c r="O11" i="1"/>
  <c r="P11" i="1"/>
  <c r="O12" i="1"/>
  <c r="P12" i="1"/>
  <c r="O13" i="1"/>
  <c r="P13" i="1"/>
  <c r="O14" i="1"/>
  <c r="P14" i="1"/>
  <c r="O15" i="1"/>
  <c r="P15" i="1"/>
  <c r="O16" i="1"/>
  <c r="P16" i="1"/>
  <c r="O17" i="1"/>
  <c r="P17" i="1"/>
  <c r="O18" i="1"/>
  <c r="P18" i="1"/>
  <c r="O19" i="1"/>
  <c r="P19" i="1"/>
  <c r="O20" i="1"/>
  <c r="P20" i="1"/>
  <c r="O21" i="1"/>
  <c r="P21" i="1"/>
  <c r="O22" i="1"/>
  <c r="P22" i="1"/>
  <c r="O23" i="1"/>
  <c r="P23" i="1"/>
  <c r="O24" i="1"/>
  <c r="P24" i="1"/>
  <c r="O25" i="1"/>
  <c r="P25" i="1"/>
  <c r="O26" i="1"/>
  <c r="P26" i="1"/>
  <c r="O27" i="1"/>
  <c r="P27" i="1"/>
  <c r="O28" i="1"/>
  <c r="P28" i="1"/>
  <c r="O29" i="1"/>
  <c r="P29" i="1"/>
  <c r="O30" i="1"/>
  <c r="P30" i="1"/>
  <c r="O31" i="1"/>
  <c r="P31" i="1"/>
  <c r="O32" i="1"/>
  <c r="P32" i="1"/>
  <c r="O33" i="1"/>
  <c r="P33" i="1"/>
  <c r="O34" i="1"/>
  <c r="P34" i="1"/>
  <c r="O35" i="1"/>
  <c r="P35" i="1"/>
  <c r="O36" i="1"/>
  <c r="P36" i="1"/>
  <c r="O37" i="1"/>
  <c r="P37" i="1"/>
  <c r="O38" i="1"/>
  <c r="P38" i="1"/>
  <c r="P40" i="1"/>
  <c r="A40" i="1"/>
  <c r="N40" i="1"/>
  <c r="B12" i="2"/>
  <c r="B11" i="2"/>
  <c r="B3" i="2"/>
  <c r="O40" i="1"/>
  <c r="G12" i="1"/>
  <c r="M7" i="1"/>
  <c r="M25" i="1"/>
  <c r="M30" i="1"/>
  <c r="M34" i="1"/>
  <c r="M23" i="1"/>
  <c r="M24" i="1"/>
  <c r="M10" i="1"/>
  <c r="M4" i="1"/>
  <c r="M22" i="1"/>
  <c r="M16" i="1"/>
  <c r="M18" i="1"/>
  <c r="M15" i="1"/>
  <c r="M5" i="1"/>
  <c r="M26" i="1"/>
  <c r="M38" i="1"/>
  <c r="M21" i="1"/>
  <c r="M13" i="1"/>
  <c r="M20" i="1"/>
  <c r="M19" i="1"/>
  <c r="M29" i="1"/>
  <c r="M33" i="1"/>
  <c r="M11" i="1"/>
  <c r="M8" i="1"/>
  <c r="M9" i="1"/>
  <c r="M6" i="1"/>
  <c r="M28" i="1"/>
  <c r="M36" i="1"/>
  <c r="M14" i="1"/>
  <c r="M35" i="1"/>
  <c r="M32" i="1"/>
  <c r="M17" i="1"/>
  <c r="M31" i="1"/>
  <c r="M37" i="1"/>
  <c r="M27" i="1"/>
  <c r="M12" i="1"/>
  <c r="B4" i="2"/>
  <c r="B5" i="2"/>
  <c r="G7" i="1"/>
  <c r="G25" i="1"/>
  <c r="G30" i="1"/>
  <c r="G34" i="1"/>
  <c r="G23" i="1"/>
  <c r="G24" i="1"/>
  <c r="G10" i="1"/>
  <c r="G4" i="1"/>
  <c r="G22" i="1"/>
  <c r="G16" i="1"/>
  <c r="G18" i="1"/>
  <c r="G15" i="1"/>
  <c r="G5" i="1"/>
  <c r="G26" i="1"/>
  <c r="G38" i="1"/>
  <c r="G21" i="1"/>
  <c r="G13" i="1"/>
  <c r="G20" i="1"/>
  <c r="G19" i="1"/>
  <c r="G29" i="1"/>
  <c r="G33" i="1"/>
  <c r="G11" i="1"/>
  <c r="G8" i="1"/>
  <c r="G9" i="1"/>
  <c r="G6" i="1"/>
  <c r="G28" i="1"/>
  <c r="G36" i="1"/>
  <c r="G14" i="1"/>
  <c r="G35" i="1"/>
  <c r="G32" i="1"/>
  <c r="G17" i="1"/>
  <c r="G31" i="1"/>
  <c r="G37" i="1"/>
  <c r="G27" i="1"/>
  <c r="E7" i="1"/>
  <c r="E25" i="1"/>
  <c r="E30" i="1"/>
  <c r="E34" i="1"/>
  <c r="E23" i="1"/>
  <c r="E24" i="1"/>
  <c r="E10" i="1"/>
  <c r="E4" i="1"/>
  <c r="E22" i="1"/>
  <c r="E16" i="1"/>
  <c r="E18" i="1"/>
  <c r="E15" i="1"/>
  <c r="E5" i="1"/>
  <c r="E26" i="1"/>
  <c r="E38" i="1"/>
  <c r="E21" i="1"/>
  <c r="E13" i="1"/>
  <c r="E20" i="1"/>
  <c r="E19" i="1"/>
  <c r="E29" i="1"/>
  <c r="E33" i="1"/>
  <c r="E11" i="1"/>
  <c r="E8" i="1"/>
  <c r="E9" i="1"/>
  <c r="E6" i="1"/>
  <c r="E28" i="1"/>
  <c r="E36" i="1"/>
  <c r="E14" i="1"/>
  <c r="E35" i="1"/>
  <c r="E32" i="1"/>
  <c r="E17" i="1"/>
  <c r="E31" i="1"/>
  <c r="E37" i="1"/>
  <c r="E27" i="1"/>
  <c r="E12" i="1"/>
  <c r="K7" i="1"/>
  <c r="K25" i="1"/>
  <c r="K30" i="1"/>
  <c r="K34" i="1"/>
  <c r="K23" i="1"/>
  <c r="K24" i="1"/>
  <c r="K10" i="1"/>
  <c r="K4" i="1"/>
  <c r="K22" i="1"/>
  <c r="K16" i="1"/>
  <c r="K18" i="1"/>
  <c r="K15" i="1"/>
  <c r="K5" i="1"/>
  <c r="K26" i="1"/>
  <c r="K38" i="1"/>
  <c r="K21" i="1"/>
  <c r="K13" i="1"/>
  <c r="K20" i="1"/>
  <c r="K19" i="1"/>
  <c r="K29" i="1"/>
  <c r="K33" i="1"/>
  <c r="K11" i="1"/>
  <c r="K8" i="1"/>
  <c r="K9" i="1"/>
  <c r="K6" i="1"/>
  <c r="K28" i="1"/>
  <c r="K36" i="1"/>
  <c r="K14" i="1"/>
  <c r="K35" i="1"/>
  <c r="K32" i="1"/>
  <c r="K17" i="1"/>
  <c r="K31" i="1"/>
  <c r="K37" i="1"/>
  <c r="K27" i="1"/>
  <c r="K12" i="1"/>
  <c r="J7" i="1"/>
  <c r="J25" i="1"/>
  <c r="J30" i="1"/>
  <c r="J34" i="1"/>
  <c r="J23" i="1"/>
  <c r="J24" i="1"/>
  <c r="J10" i="1"/>
  <c r="J4" i="1"/>
  <c r="J22" i="1"/>
  <c r="J16" i="1"/>
  <c r="J18" i="1"/>
  <c r="J15" i="1"/>
  <c r="J5" i="1"/>
  <c r="J26" i="1"/>
  <c r="J38" i="1"/>
  <c r="J21" i="1"/>
  <c r="J13" i="1"/>
  <c r="J20" i="1"/>
  <c r="J19" i="1"/>
  <c r="J29" i="1"/>
  <c r="J33" i="1"/>
  <c r="J11" i="1"/>
  <c r="J8" i="1"/>
  <c r="J9" i="1"/>
  <c r="J6" i="1"/>
  <c r="J28" i="1"/>
  <c r="J36" i="1"/>
  <c r="J14" i="1"/>
  <c r="J35" i="1"/>
  <c r="J32" i="1"/>
  <c r="J17" i="1"/>
  <c r="J31" i="1"/>
  <c r="J37" i="1"/>
  <c r="J27" i="1"/>
  <c r="J12" i="1"/>
  <c r="G40" i="1"/>
  <c r="D19" i="2"/>
  <c r="C17" i="2"/>
  <c r="C21" i="2"/>
  <c r="B17" i="2"/>
  <c r="B21" i="2"/>
  <c r="D20" i="2"/>
  <c r="C18" i="2"/>
  <c r="C16" i="2"/>
  <c r="B18" i="2"/>
  <c r="B16" i="2"/>
  <c r="D17" i="2"/>
  <c r="D21" i="2"/>
  <c r="C19" i="2"/>
  <c r="B19" i="2"/>
  <c r="D18" i="2"/>
  <c r="D16" i="2"/>
  <c r="C20" i="2"/>
  <c r="B20" i="2"/>
  <c r="B7" i="2"/>
  <c r="B6" i="2"/>
</calcChain>
</file>

<file path=xl/sharedStrings.xml><?xml version="1.0" encoding="utf-8"?>
<sst xmlns="http://schemas.openxmlformats.org/spreadsheetml/2006/main" count="496" uniqueCount="185">
  <si>
    <t>Emp ID</t>
  </si>
  <si>
    <t>Last</t>
  </si>
  <si>
    <t>First</t>
  </si>
  <si>
    <t>Email</t>
  </si>
  <si>
    <t>Date of Hire</t>
  </si>
  <si>
    <t>Department</t>
  </si>
  <si>
    <t>Location</t>
  </si>
  <si>
    <t>Extension</t>
  </si>
  <si>
    <t>E1001</t>
  </si>
  <si>
    <t>E1003</t>
  </si>
  <si>
    <t>Daniel</t>
  </si>
  <si>
    <t>E1004</t>
  </si>
  <si>
    <t>Adam</t>
  </si>
  <si>
    <t>Facilities</t>
  </si>
  <si>
    <t>Susan</t>
  </si>
  <si>
    <t>Accounting</t>
  </si>
  <si>
    <t>Elizabeth</t>
  </si>
  <si>
    <t>Human Resources</t>
  </si>
  <si>
    <t>Janet</t>
  </si>
  <si>
    <t>Bob</t>
  </si>
  <si>
    <t>Sabrina</t>
  </si>
  <si>
    <t>Mary</t>
  </si>
  <si>
    <t>Executive</t>
  </si>
  <si>
    <t>Joe</t>
  </si>
  <si>
    <t>Customer Service</t>
  </si>
  <si>
    <t>Mark</t>
  </si>
  <si>
    <t>Alexandra</t>
  </si>
  <si>
    <t>Jim</t>
  </si>
  <si>
    <t>Tina</t>
  </si>
  <si>
    <t>Carlton</t>
  </si>
  <si>
    <t>Samantha</t>
  </si>
  <si>
    <t>Chairs</t>
  </si>
  <si>
    <t>Mihael</t>
  </si>
  <si>
    <t>Khan</t>
  </si>
  <si>
    <t>Phoebe</t>
  </si>
  <si>
    <t>Gour</t>
  </si>
  <si>
    <t>Leighton</t>
  </si>
  <si>
    <t>Forrest</t>
  </si>
  <si>
    <t>Natasha</t>
  </si>
  <si>
    <t>Song</t>
  </si>
  <si>
    <t>Aanya</t>
  </si>
  <si>
    <t>Zhang</t>
  </si>
  <si>
    <t>Connor</t>
  </si>
  <si>
    <t>Betts</t>
  </si>
  <si>
    <t>Yvette</t>
  </si>
  <si>
    <t>Biti</t>
  </si>
  <si>
    <t>Charlie</t>
  </si>
  <si>
    <t>Bui</t>
  </si>
  <si>
    <t>Stevie</t>
  </si>
  <si>
    <t>Bacata</t>
  </si>
  <si>
    <t>Nicholas</t>
  </si>
  <si>
    <t>Fernandes</t>
  </si>
  <si>
    <t>Radhya</t>
  </si>
  <si>
    <t>Staples</t>
  </si>
  <si>
    <t>Senome</t>
  </si>
  <si>
    <t>Sales</t>
  </si>
  <si>
    <t>Eric</t>
  </si>
  <si>
    <t>Mei</t>
  </si>
  <si>
    <t>Sean</t>
  </si>
  <si>
    <t>IT</t>
  </si>
  <si>
    <t>Floor</t>
  </si>
  <si>
    <t>Uma</t>
  </si>
  <si>
    <t>Years Service</t>
  </si>
  <si>
    <t>E1110</t>
  </si>
  <si>
    <t>E1134</t>
  </si>
  <si>
    <t>E1150</t>
  </si>
  <si>
    <t>E1162</t>
  </si>
  <si>
    <t>E1172</t>
  </si>
  <si>
    <t>E1180</t>
  </si>
  <si>
    <t>E1186</t>
  </si>
  <si>
    <t>E1192</t>
  </si>
  <si>
    <t>E1198</t>
  </si>
  <si>
    <t>E1203</t>
  </si>
  <si>
    <t>E1207</t>
  </si>
  <si>
    <t>E1211</t>
  </si>
  <si>
    <t>E1215</t>
  </si>
  <si>
    <t>E1218</t>
  </si>
  <si>
    <t>E1221</t>
  </si>
  <si>
    <t>E1224</t>
  </si>
  <si>
    <t>E1227</t>
  </si>
  <si>
    <t>E1230</t>
  </si>
  <si>
    <t>E1232</t>
  </si>
  <si>
    <t>E1235</t>
  </si>
  <si>
    <t>E1237</t>
  </si>
  <si>
    <t>E1239</t>
  </si>
  <si>
    <t>E1241</t>
  </si>
  <si>
    <t>E1243</t>
  </si>
  <si>
    <t>E1244</t>
  </si>
  <si>
    <t>E1245</t>
  </si>
  <si>
    <t>E1246</t>
  </si>
  <si>
    <t>E1248</t>
  </si>
  <si>
    <t>E1249</t>
  </si>
  <si>
    <t>E1250</t>
  </si>
  <si>
    <t>E1252</t>
  </si>
  <si>
    <t>E1253</t>
  </si>
  <si>
    <t>Pushpin HR Database</t>
  </si>
  <si>
    <t>02-West 2635</t>
  </si>
  <si>
    <t>02-West 2018</t>
  </si>
  <si>
    <t>02-West 2347</t>
  </si>
  <si>
    <t>03-West 2764</t>
  </si>
  <si>
    <t>02-West 2589</t>
  </si>
  <si>
    <t>02-West 2699</t>
  </si>
  <si>
    <t>03-West 2432</t>
  </si>
  <si>
    <t>02-West 2962</t>
  </si>
  <si>
    <t>01-West 2425</t>
  </si>
  <si>
    <t>03-West 2796</t>
  </si>
  <si>
    <t>03-West 2601</t>
  </si>
  <si>
    <t>02-West 2414</t>
  </si>
  <si>
    <t>02-West 2537</t>
  </si>
  <si>
    <t>02-West 2286</t>
  </si>
  <si>
    <t>03-West 2082</t>
  </si>
  <si>
    <t>03-West 2482</t>
  </si>
  <si>
    <t>02-West 2279</t>
  </si>
  <si>
    <t>03-West 2765</t>
  </si>
  <si>
    <t>01-West 2783</t>
  </si>
  <si>
    <t>Peter</t>
  </si>
  <si>
    <t>03-North 2318</t>
  </si>
  <si>
    <t>02-North 2694</t>
  </si>
  <si>
    <t>01-North 2321</t>
  </si>
  <si>
    <t>03-North 2134</t>
  </si>
  <si>
    <t>01-North 2086</t>
  </si>
  <si>
    <t>01-North 2358</t>
  </si>
  <si>
    <t>02-North 2372</t>
  </si>
  <si>
    <t>03-North 2392</t>
  </si>
  <si>
    <t>02-North 2639</t>
  </si>
  <si>
    <t>02-North 2284</t>
  </si>
  <si>
    <t>02-North 2910</t>
  </si>
  <si>
    <t>02-North 2294</t>
  </si>
  <si>
    <t>02-North 2260</t>
  </si>
  <si>
    <t>02-North 2578</t>
  </si>
  <si>
    <t>02-North 2654</t>
  </si>
  <si>
    <t>02-North 2793</t>
  </si>
  <si>
    <t>Last Review</t>
  </si>
  <si>
    <t>Next Review</t>
  </si>
  <si>
    <t>Total Salaries:</t>
  </si>
  <si>
    <t>Average Salary:</t>
  </si>
  <si>
    <t>Longest Service:</t>
  </si>
  <si>
    <t>Most Recent Start Date:</t>
  </si>
  <si>
    <t>Barry</t>
  </si>
  <si>
    <t>Boller</t>
  </si>
  <si>
    <t>Carol</t>
  </si>
  <si>
    <t>Chaffee</t>
  </si>
  <si>
    <t>Chaudri</t>
  </si>
  <si>
    <t>Chu</t>
  </si>
  <si>
    <t>Chung</t>
  </si>
  <si>
    <t>Clark</t>
  </si>
  <si>
    <t>Anna</t>
  </si>
  <si>
    <t>Cole</t>
  </si>
  <si>
    <t>Comuntzis</t>
  </si>
  <si>
    <t>Decker</t>
  </si>
  <si>
    <t>Desiato</t>
  </si>
  <si>
    <t>Donnell</t>
  </si>
  <si>
    <t>Ellis</t>
  </si>
  <si>
    <t>Ferris</t>
  </si>
  <si>
    <t>Filosa</t>
  </si>
  <si>
    <t>Flanders</t>
  </si>
  <si>
    <t>Martinez</t>
  </si>
  <si>
    <t>Carlos</t>
  </si>
  <si>
    <t>Sanders</t>
  </si>
  <si>
    <t>Wang</t>
  </si>
  <si>
    <t>Pension</t>
  </si>
  <si>
    <t>Contribution</t>
  </si>
  <si>
    <t>Total Staff:</t>
  </si>
  <si>
    <t>Total Salary</t>
  </si>
  <si>
    <t>Gender</t>
  </si>
  <si>
    <t>M</t>
  </si>
  <si>
    <t>F</t>
  </si>
  <si>
    <t>Total Staff</t>
  </si>
  <si>
    <t>Male</t>
  </si>
  <si>
    <t>Female</t>
  </si>
  <si>
    <t>Annual Salary</t>
  </si>
  <si>
    <t>Package</t>
  </si>
  <si>
    <t>E1254</t>
  </si>
  <si>
    <t>Grey</t>
  </si>
  <si>
    <t>William</t>
  </si>
  <si>
    <t>Marketing</t>
  </si>
  <si>
    <t>Accounting Total</t>
  </si>
  <si>
    <t>Customer Service Total</t>
  </si>
  <si>
    <t>Executive Total</t>
  </si>
  <si>
    <t>Facilities Total</t>
  </si>
  <si>
    <t>Human Resources Total</t>
  </si>
  <si>
    <t>IT Total</t>
  </si>
  <si>
    <t>Marketing Total</t>
  </si>
  <si>
    <t>Sales Total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</si>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</sst>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&quot;$&quot;#,##0.00"/>
    <numFmt numFmtId="166" formatCode="m/d/yyyy"/>
    <numFmt numFmtId="167" formatCode="_([$$-409]* #,##0.00_);_([$$-409]* \(#,##0.00\);_([$$-409]* &quot;-&quot;??_);_(@_)"/>
  </numFmts>
  <fonts count="11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22"/>
      <color theme="4"/>
      <name val="Calibri Light"/>
      <family val="2"/>
      <scheme val="maj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F2F2F2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1"/>
      </bottom>
      <diagonal/>
    </border>
    <border>
      <left/>
      <right/>
      <top style="medium">
        <color theme="1"/>
      </top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2" borderId="0" applyNumberFormat="0" applyBorder="0" applyAlignment="0" applyProtection="0"/>
    <xf numFmtId="0" fontId="5" fillId="3" borderId="1" applyNumberFormat="0" applyAlignment="0" applyProtection="0"/>
    <xf numFmtId="0" fontId="7" fillId="4" borderId="0" applyNumberFormat="0" applyBorder="0" applyAlignment="0" applyProtection="0"/>
  </cellStyleXfs>
  <cellXfs count="72">
    <xf numFmtId="0" fontId="0" fillId="0" borderId="0" xfId="0"/>
    <xf numFmtId="0" fontId="3" fillId="0" borderId="0" xfId="0" applyFont="1" applyFill="1" applyBorder="1" applyAlignment="1">
      <alignment horizontal="left" wrapText="1"/>
    </xf>
    <xf numFmtId="0" fontId="4" fillId="0" borderId="0" xfId="0" applyFont="1" applyAlignment="1">
      <alignment wrapText="1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3" fillId="0" borderId="0" xfId="0" applyFont="1" applyFill="1" applyBorder="1" applyAlignment="1">
      <alignment horizontal="center" wrapText="1"/>
    </xf>
    <xf numFmtId="0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2" fillId="2" borderId="0" xfId="2" applyBorder="1" applyAlignment="1">
      <alignment horizontal="left" vertical="center" wrapText="1"/>
    </xf>
    <xf numFmtId="165" fontId="5" fillId="3" borderId="1" xfId="3" applyNumberFormat="1" applyAlignment="1">
      <alignment vertical="center"/>
    </xf>
    <xf numFmtId="164" fontId="5" fillId="3" borderId="1" xfId="3" applyNumberFormat="1" applyAlignment="1">
      <alignment vertical="center"/>
    </xf>
    <xf numFmtId="14" fontId="5" fillId="3" borderId="1" xfId="3" applyNumberFormat="1" applyAlignment="1">
      <alignment vertical="center"/>
    </xf>
    <xf numFmtId="0" fontId="6" fillId="0" borderId="0" xfId="0" applyFont="1" applyAlignment="1">
      <alignment wrapText="1"/>
    </xf>
    <xf numFmtId="0" fontId="2" fillId="2" borderId="0" xfId="2"/>
    <xf numFmtId="9" fontId="7" fillId="4" borderId="0" xfId="4" applyNumberFormat="1"/>
    <xf numFmtId="165" fontId="0" fillId="0" borderId="0" xfId="0" applyNumberFormat="1"/>
    <xf numFmtId="0" fontId="5" fillId="3" borderId="1" xfId="3" applyNumberFormat="1" applyAlignment="1">
      <alignment vertical="center"/>
    </xf>
    <xf numFmtId="0" fontId="8" fillId="0" borderId="0" xfId="1" applyFont="1" applyAlignment="1">
      <alignment horizontal="left"/>
    </xf>
    <xf numFmtId="0" fontId="4" fillId="0" borderId="0" xfId="0" applyFont="1" applyAlignment="1">
      <alignment horizontal="center" wrapText="1"/>
    </xf>
    <xf numFmtId="0" fontId="2" fillId="2" borderId="0" xfId="2" applyBorder="1" applyAlignment="1">
      <alignment horizontal="center" vertical="center" wrapText="1"/>
    </xf>
    <xf numFmtId="0" fontId="3" fillId="0" borderId="0" xfId="0" applyFont="1" applyFill="1" applyAlignment="1">
      <alignment horizontal="left" wrapText="1"/>
    </xf>
    <xf numFmtId="0" fontId="3" fillId="0" borderId="0" xfId="0" applyFont="1" applyFill="1" applyAlignment="1">
      <alignment horizontal="center" wrapText="1"/>
    </xf>
    <xf numFmtId="166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0" fontId="0" fillId="0" borderId="0" xfId="0" applyFont="1"/>
    <xf numFmtId="0" fontId="0" fillId="0" borderId="2" xfId="0" applyFont="1" applyBorder="1"/>
    <xf numFmtId="0" fontId="9" fillId="5" borderId="3" xfId="0" applyFont="1" applyFill="1" applyBorder="1"/>
    <xf numFmtId="0" fontId="0" fillId="0" borderId="3" xfId="0" applyFont="1" applyBorder="1" applyAlignment="1">
      <alignment horizontal="center"/>
    </xf>
    <xf numFmtId="0" fontId="0" fillId="0" borderId="3" xfId="0" applyFont="1" applyBorder="1"/>
    <xf numFmtId="0" fontId="4" fillId="0" borderId="3" xfId="0" applyFont="1" applyBorder="1" applyAlignment="1">
      <alignment wrapText="1"/>
    </xf>
    <xf numFmtId="0" fontId="4" fillId="0" borderId="3" xfId="0" applyFont="1" applyBorder="1" applyAlignment="1">
      <alignment horizontal="center" wrapText="1"/>
    </xf>
    <xf numFmtId="14" fontId="0" fillId="0" borderId="3" xfId="0" applyNumberFormat="1" applyFont="1" applyBorder="1" applyAlignment="1">
      <alignment horizontal="center"/>
    </xf>
    <xf numFmtId="164" fontId="0" fillId="0" borderId="3" xfId="0" applyNumberFormat="1" applyFont="1" applyBorder="1" applyAlignment="1">
      <alignment horizontal="center"/>
    </xf>
    <xf numFmtId="0" fontId="3" fillId="0" borderId="3" xfId="0" applyFont="1" applyBorder="1" applyAlignment="1">
      <alignment horizontal="left" wrapText="1"/>
    </xf>
    <xf numFmtId="0" fontId="3" fillId="0" borderId="3" xfId="0" applyFont="1" applyBorder="1" applyAlignment="1">
      <alignment horizontal="center" wrapText="1"/>
    </xf>
    <xf numFmtId="0" fontId="0" fillId="0" borderId="3" xfId="0" applyNumberFormat="1" applyFont="1" applyBorder="1" applyAlignment="1">
      <alignment horizontal="center"/>
    </xf>
    <xf numFmtId="165" fontId="0" fillId="0" borderId="3" xfId="0" applyNumberFormat="1" applyFont="1" applyBorder="1" applyAlignment="1">
      <alignment horizontal="center"/>
    </xf>
    <xf numFmtId="165" fontId="0" fillId="0" borderId="3" xfId="0" applyNumberFormat="1" applyFont="1" applyBorder="1"/>
    <xf numFmtId="167" fontId="0" fillId="0" borderId="3" xfId="0" applyNumberFormat="1" applyFont="1" applyBorder="1" applyAlignment="1">
      <alignment horizontal="center"/>
    </xf>
    <xf numFmtId="0" fontId="0" fillId="0" borderId="0" xfId="0" applyFont="1" applyAlignment="1">
      <alignment horizontal="center"/>
    </xf>
    <xf numFmtId="14" fontId="0" fillId="0" borderId="0" xfId="0" applyNumberFormat="1" applyFont="1" applyAlignment="1">
      <alignment horizontal="center"/>
    </xf>
    <xf numFmtId="164" fontId="0" fillId="0" borderId="0" xfId="0" applyNumberFormat="1" applyFont="1" applyAlignment="1">
      <alignment horizontal="center"/>
    </xf>
    <xf numFmtId="0" fontId="3" fillId="0" borderId="0" xfId="0" applyFont="1" applyBorder="1" applyAlignment="1">
      <alignment horizontal="left" wrapText="1"/>
    </xf>
    <xf numFmtId="0" fontId="3" fillId="0" borderId="0" xfId="0" applyFont="1" applyBorder="1" applyAlignment="1">
      <alignment horizontal="center" wrapText="1"/>
    </xf>
    <xf numFmtId="0" fontId="0" fillId="0" borderId="0" xfId="0" applyNumberFormat="1" applyFont="1" applyAlignment="1">
      <alignment horizontal="center"/>
    </xf>
    <xf numFmtId="165" fontId="0" fillId="0" borderId="0" xfId="0" applyNumberFormat="1" applyFont="1" applyAlignment="1">
      <alignment horizontal="center"/>
    </xf>
    <xf numFmtId="165" fontId="0" fillId="0" borderId="0" xfId="0" applyNumberFormat="1" applyFont="1"/>
    <xf numFmtId="167" fontId="0" fillId="0" borderId="0" xfId="0" applyNumberFormat="1" applyFont="1" applyAlignment="1">
      <alignment horizontal="center"/>
    </xf>
    <xf numFmtId="166" fontId="0" fillId="0" borderId="0" xfId="0" applyNumberFormat="1" applyFont="1" applyAlignment="1">
      <alignment horizontal="center"/>
    </xf>
    <xf numFmtId="0" fontId="0" fillId="0" borderId="2" xfId="0" applyFont="1" applyBorder="1" applyAlignment="1">
      <alignment horizontal="center"/>
    </xf>
    <xf numFmtId="0" fontId="4" fillId="0" borderId="2" xfId="0" applyFont="1" applyBorder="1" applyAlignment="1">
      <alignment wrapText="1"/>
    </xf>
    <xf numFmtId="0" fontId="4" fillId="0" borderId="2" xfId="0" applyFont="1" applyBorder="1" applyAlignment="1">
      <alignment horizontal="center" wrapText="1"/>
    </xf>
    <xf numFmtId="14" fontId="0" fillId="0" borderId="2" xfId="0" applyNumberFormat="1" applyFont="1" applyBorder="1" applyAlignment="1">
      <alignment horizontal="center"/>
    </xf>
    <xf numFmtId="164" fontId="0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left" wrapText="1"/>
    </xf>
    <xf numFmtId="0" fontId="3" fillId="0" borderId="2" xfId="0" applyFont="1" applyBorder="1" applyAlignment="1">
      <alignment horizontal="center" wrapText="1"/>
    </xf>
    <xf numFmtId="0" fontId="0" fillId="0" borderId="2" xfId="0" applyNumberFormat="1" applyFont="1" applyBorder="1" applyAlignment="1">
      <alignment horizontal="center"/>
    </xf>
    <xf numFmtId="165" fontId="0" fillId="0" borderId="2" xfId="0" applyNumberFormat="1" applyFont="1" applyBorder="1" applyAlignment="1">
      <alignment horizontal="center"/>
    </xf>
    <xf numFmtId="165" fontId="0" fillId="0" borderId="2" xfId="0" applyNumberFormat="1" applyFont="1" applyBorder="1"/>
    <xf numFmtId="167" fontId="0" fillId="0" borderId="2" xfId="0" applyNumberFormat="1" applyFont="1" applyBorder="1" applyAlignment="1">
      <alignment horizontal="center"/>
    </xf>
    <xf numFmtId="0" fontId="10" fillId="0" borderId="0" xfId="0" applyFont="1" applyBorder="1" applyAlignment="1">
      <alignment horizontal="left" wrapText="1"/>
    </xf>
    <xf numFmtId="0" fontId="0" fillId="0" borderId="0" xfId="0" applyFont="1" applyBorder="1" applyAlignment="1">
      <alignment horizontal="center"/>
    </xf>
    <xf numFmtId="0" fontId="0" fillId="0" borderId="0" xfId="0" applyFont="1" applyBorder="1"/>
    <xf numFmtId="0" fontId="4" fillId="0" borderId="0" xfId="0" applyFont="1" applyBorder="1" applyAlignment="1">
      <alignment wrapText="1"/>
    </xf>
    <xf numFmtId="0" fontId="4" fillId="0" borderId="0" xfId="0" applyFont="1" applyBorder="1" applyAlignment="1">
      <alignment horizontal="center" wrapText="1"/>
    </xf>
    <xf numFmtId="14" fontId="0" fillId="0" borderId="0" xfId="0" applyNumberFormat="1" applyFont="1" applyBorder="1" applyAlignment="1">
      <alignment horizontal="center"/>
    </xf>
    <xf numFmtId="164" fontId="0" fillId="0" borderId="0" xfId="0" applyNumberFormat="1" applyFont="1" applyBorder="1" applyAlignment="1">
      <alignment horizontal="center"/>
    </xf>
    <xf numFmtId="0" fontId="0" fillId="0" borderId="0" xfId="0" applyNumberFormat="1" applyFont="1" applyBorder="1" applyAlignment="1">
      <alignment horizontal="center"/>
    </xf>
    <xf numFmtId="165" fontId="0" fillId="0" borderId="0" xfId="0" applyNumberFormat="1" applyFont="1" applyBorder="1" applyAlignment="1">
      <alignment horizontal="center"/>
    </xf>
    <xf numFmtId="165" fontId="0" fillId="0" borderId="0" xfId="0" applyNumberFormat="1" applyFont="1" applyBorder="1"/>
    <xf numFmtId="167" fontId="0" fillId="0" borderId="0" xfId="0" applyNumberFormat="1" applyFont="1" applyBorder="1" applyAlignment="1">
      <alignment horizontal="center"/>
    </xf>
  </cellXfs>
  <cellStyles count="5">
    <cellStyle name="20% - Accent1" xfId="4" builtinId="30"/>
    <cellStyle name="Accent1" xfId="2" builtinId="29"/>
    <cellStyle name="Normal" xfId="0" builtinId="0"/>
    <cellStyle name="Output" xfId="3" builtinId="21"/>
    <cellStyle name="Title" xfId="1" builtinId="15"/>
  </cellStyles>
  <dxfs count="37">
    <dxf>
      <fill>
        <patternFill>
          <bgColor theme="5" tint="0.3999450666829432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ill>
        <patternFill patternType="none">
          <bgColor auto="1"/>
        </patternFill>
      </fill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7" formatCode="_([$$-409]* #,##0.00_);_([$$-409]* \(#,##0.00\);_([$$-409]* &quot;-&quot;??_);_(@_)"/>
      <alignment horizontal="center" vertical="bottom" textRotation="0" wrapText="0" indent="0" justifyLastLine="0" shrinkToFit="0" readingOrder="0"/>
    </dxf>
    <dxf>
      <numFmt numFmtId="165" formatCode="&quot;$&quot;#,##0.00"/>
    </dxf>
    <dxf>
      <numFmt numFmtId="165" formatCode="&quot;$&quot;#,##0.00"/>
    </dxf>
    <dxf>
      <numFmt numFmtId="165" formatCode="&quot;$&quot;#,##0.00"/>
      <alignment horizontal="center" vertical="bottom" textRotation="0" wrapText="0" indent="0" justifyLastLine="0" shrinkToFit="0" readingOrder="0"/>
    </dxf>
    <dxf>
      <numFmt numFmtId="165" formatCode="&quot;$&quot;#,##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6" formatCode="m/d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6" formatCode="m/d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6" formatCode="m/d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bottom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Stats!$B$10</c:f>
              <c:strCache>
                <c:ptCount val="1"/>
                <c:pt idx="0">
                  <c:v>Total Staff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128-4193-9B57-C543C5AE005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128-4193-9B57-C543C5AE005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Stats!$A$11:$A$12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Stats!$B$11:$B$12</c:f>
              <c:numCache>
                <c:formatCode>General</c:formatCode>
                <c:ptCount val="2"/>
                <c:pt idx="0">
                  <c:v>18</c:v>
                </c:pt>
                <c:pt idx="1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1C-4D93-A2C2-316304DC4BC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Stats!$B$15</c:f>
              <c:strCache>
                <c:ptCount val="1"/>
                <c:pt idx="0">
                  <c:v>Total Salary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DAF-468C-822C-65D9136E481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DAF-468C-822C-65D9136E481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DAF-468C-822C-65D9136E4819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6DAF-468C-822C-65D9136E4819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6DAF-468C-822C-65D9136E4819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6DAF-468C-822C-65D9136E4819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0D99-44FD-B144-3490A9F1B74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Stats!$A$16:$A$22</c:f>
              <c:strCache>
                <c:ptCount val="7"/>
                <c:pt idx="0">
                  <c:v>Executive</c:v>
                </c:pt>
                <c:pt idx="1">
                  <c:v>IT</c:v>
                </c:pt>
                <c:pt idx="2">
                  <c:v>Sales</c:v>
                </c:pt>
                <c:pt idx="3">
                  <c:v>Customer Service</c:v>
                </c:pt>
                <c:pt idx="4">
                  <c:v>Accounting</c:v>
                </c:pt>
                <c:pt idx="5">
                  <c:v>Human Resources</c:v>
                </c:pt>
                <c:pt idx="6">
                  <c:v>Marketing</c:v>
                </c:pt>
              </c:strCache>
            </c:strRef>
          </c:cat>
          <c:val>
            <c:numRef>
              <c:f>Stats!$B$16:$B$22</c:f>
              <c:numCache>
                <c:formatCode>"$"#,##0.00</c:formatCode>
                <c:ptCount val="7"/>
                <c:pt idx="0">
                  <c:v>197800</c:v>
                </c:pt>
                <c:pt idx="1">
                  <c:v>278500</c:v>
                </c:pt>
                <c:pt idx="2">
                  <c:v>807000</c:v>
                </c:pt>
                <c:pt idx="3">
                  <c:v>255500</c:v>
                </c:pt>
                <c:pt idx="4">
                  <c:v>227800</c:v>
                </c:pt>
                <c:pt idx="5">
                  <c:v>149700</c:v>
                </c:pt>
                <c:pt idx="6">
                  <c:v>97000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D7-4AB5-A501-7B32B63B91A1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171450</xdr:colOff>
      <xdr:row>1</xdr:row>
      <xdr:rowOff>174170</xdr:rowOff>
    </xdr:from>
    <xdr:to>
      <xdr:col>4</xdr:col>
      <xdr:colOff>10886</xdr:colOff>
      <xdr:row>12</xdr:row>
      <xdr:rowOff>5443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DB5471F-1593-40AB-B7CD-50B21DB329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133349</xdr:colOff>
      <xdr:row>1</xdr:row>
      <xdr:rowOff>171449</xdr:rowOff>
    </xdr:from>
    <xdr:to>
      <xdr:col>10</xdr:col>
      <xdr:colOff>560614</xdr:colOff>
      <xdr:row>21</xdr:row>
      <xdr:rowOff>27215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EA7632C-135D-4CE6-B2B6-50468D13BE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3:P40" totalsRowCount="1" dataDxfId="36">
  <autoFilter ref="A3:P39" xr:uid="{00000000-0009-0000-0100-000001000000}"/>
  <sortState xmlns:xlrd2="http://schemas.microsoft.com/office/spreadsheetml/2017/richdata2" ref="A4:O38">
    <sortCondition ref="A3:A38"/>
  </sortState>
  <tableColumns count="16">
    <tableColumn id="1" xr3:uid="{00000000-0010-0000-0000-000001000000}" name="Emp ID" totalsRowFunction="count" dataDxfId="35" totalsRowDxfId="34"/>
    <tableColumn id="2" xr3:uid="{00000000-0010-0000-0000-000002000000}" name="Last"/>
    <tableColumn id="3" xr3:uid="{00000000-0010-0000-0000-000003000000}" name="First" dataDxfId="33" totalsRowDxfId="32"/>
    <tableColumn id="4" xr3:uid="{00000000-0010-0000-0000-000004000000}" name="Gender" dataDxfId="31" totalsRowDxfId="30"/>
    <tableColumn id="5" xr3:uid="{00000000-0010-0000-0000-000005000000}" name="Email">
      <calculatedColumnFormula>LOWER(C4&amp;"."&amp;B4&amp;"@pushpin.com")</calculatedColumnFormula>
    </tableColumn>
    <tableColumn id="6" xr3:uid="{00000000-0010-0000-0000-000006000000}" name="Date of Hire" dataDxfId="29" totalsRowDxfId="28"/>
    <tableColumn id="7" xr3:uid="{00000000-0010-0000-0000-000007000000}" name="Years Service" totalsRowFunction="average" dataDxfId="27" totalsRowDxfId="26">
      <calculatedColumnFormula>YEARFRAC(F4,TODAY())</calculatedColumnFormula>
    </tableColumn>
    <tableColumn id="8" xr3:uid="{00000000-0010-0000-0000-000008000000}" name="Department" dataDxfId="25" totalsRowDxfId="24"/>
    <tableColumn id="9" xr3:uid="{00000000-0010-0000-0000-000009000000}" name="Location" dataDxfId="23" totalsRowDxfId="22"/>
    <tableColumn id="10" xr3:uid="{00000000-0010-0000-0000-00000A000000}" name="Floor" dataDxfId="21" totalsRowDxfId="20">
      <calculatedColumnFormula>LEFT(I4,2)</calculatedColumnFormula>
    </tableColumn>
    <tableColumn id="11" xr3:uid="{00000000-0010-0000-0000-00000B000000}" name="Extension" dataDxfId="19" totalsRowDxfId="18">
      <calculatedColumnFormula>RIGHT(I4,4)</calculatedColumnFormula>
    </tableColumn>
    <tableColumn id="12" xr3:uid="{00000000-0010-0000-0000-00000C000000}" name="Last Review" dataDxfId="17" totalsRowDxfId="16"/>
    <tableColumn id="13" xr3:uid="{00000000-0010-0000-0000-00000D000000}" name="Next Review" dataDxfId="15" totalsRowDxfId="14">
      <calculatedColumnFormula>L4+365</calculatedColumnFormula>
    </tableColumn>
    <tableColumn id="14" xr3:uid="{00000000-0010-0000-0000-00000E000000}" name="Annual Salary" totalsRowFunction="sum" dataDxfId="13" totalsRowDxfId="12"/>
    <tableColumn id="15" xr3:uid="{00000000-0010-0000-0000-00000F000000}" name="Pension" totalsRowFunction="sum" dataDxfId="11" totalsRowDxfId="10">
      <calculatedColumnFormula>N4*Pension_Rate</calculatedColumnFormula>
    </tableColumn>
    <tableColumn id="16" xr3:uid="{00000000-0010-0000-0000-000010000000}" name="Package" totalsRowFunction="sum" dataDxfId="9" totalsRowDxfId="8">
      <calculatedColumnFormula>SUM(Table1[[#This Row],[Annual Salary]:[Pension]])</calculatedColumnFormula>
    </tableColumn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15:D22" totalsRowShown="0">
  <autoFilter ref="A15:D22" xr:uid="{00000000-0009-0000-0100-000002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100-000001000000}" name="Department" dataDxfId="7"/>
    <tableColumn id="2" xr3:uid="{00000000-0010-0000-0100-000002000000}" name="Total Salary" dataDxfId="6">
      <calculatedColumnFormula>SUMIFS(Annual_Salary,Department,A16)</calculatedColumnFormula>
    </tableColumn>
    <tableColumn id="3" xr3:uid="{00000000-0010-0000-0100-000003000000}" name="M" dataDxfId="5">
      <calculatedColumnFormula>SUMIFS(Annual_Salary,Department,A16,Gender,$C$15)</calculatedColumnFormula>
    </tableColumn>
    <tableColumn id="4" xr3:uid="{00000000-0010-0000-0100-000004000000}" name="F" dataDxfId="4">
      <calculatedColumnFormula>SUMIFS(Annual_Salary,Department,A16,Gender,$D$15)</calculatedColumnFormula>
    </tableColumn>
  </tableColumns>
  <tableStyleInfo name="TableStyleMedium16" showFirstColumn="1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4"/>
  <sheetViews>
    <sheetView zoomScale="70" zoomScaleNormal="70" zoomScalePageLayoutView="70" workbookViewId="0">
      <selection activeCell="R10" sqref="R10"/>
    </sheetView>
  </sheetViews>
  <sheetFormatPr defaultColWidth="8.77734375" defaultRowHeight="14.4" x14ac:dyDescent="0.3"/>
  <cols>
    <col min="1" max="1" width="9.109375" style="3" customWidth="1"/>
    <col min="2" max="2" width="13" customWidth="1"/>
    <col min="3" max="3" width="11.77734375" customWidth="1"/>
    <col min="4" max="4" width="9.44140625" style="3" customWidth="1"/>
    <col min="5" max="5" width="29.109375" bestFit="1" customWidth="1"/>
    <col min="6" max="6" width="14" style="3" customWidth="1"/>
    <col min="7" max="7" width="14.77734375" customWidth="1"/>
    <col min="8" max="8" width="17.6640625" customWidth="1"/>
    <col min="9" max="9" width="16.109375" customWidth="1"/>
    <col min="10" max="10" width="10.44140625" customWidth="1"/>
    <col min="11" max="11" width="12.77734375" customWidth="1"/>
    <col min="12" max="12" width="14.109375" customWidth="1"/>
    <col min="13" max="13" width="14.44140625" customWidth="1"/>
    <col min="14" max="14" width="15.109375" customWidth="1"/>
    <col min="15" max="15" width="11.33203125" bestFit="1" customWidth="1"/>
    <col min="16" max="16" width="13.33203125" bestFit="1" customWidth="1"/>
  </cols>
  <sheetData>
    <row r="1" spans="1:16" ht="28.8" x14ac:dyDescent="0.55000000000000004">
      <c r="A1" s="18" t="s">
        <v>95</v>
      </c>
      <c r="O1" s="14" t="s">
        <v>161</v>
      </c>
      <c r="P1" s="15">
        <v>0.09</v>
      </c>
    </row>
    <row r="3" spans="1:16" x14ac:dyDescent="0.3">
      <c r="A3" t="s">
        <v>0</v>
      </c>
      <c r="B3" t="s">
        <v>1</v>
      </c>
      <c r="C3" t="s">
        <v>2</v>
      </c>
      <c r="D3" t="s">
        <v>164</v>
      </c>
      <c r="E3" t="s">
        <v>3</v>
      </c>
      <c r="F3" t="s">
        <v>4</v>
      </c>
      <c r="G3" t="s">
        <v>62</v>
      </c>
      <c r="H3" t="s">
        <v>5</v>
      </c>
      <c r="I3" t="s">
        <v>6</v>
      </c>
      <c r="J3" t="s">
        <v>60</v>
      </c>
      <c r="K3" t="s">
        <v>7</v>
      </c>
      <c r="L3" t="s">
        <v>132</v>
      </c>
      <c r="M3" t="s">
        <v>133</v>
      </c>
      <c r="N3" t="s">
        <v>170</v>
      </c>
      <c r="O3" t="s">
        <v>160</v>
      </c>
      <c r="P3" t="s">
        <v>171</v>
      </c>
    </row>
    <row r="4" spans="1:16" x14ac:dyDescent="0.3">
      <c r="A4" s="3" t="s">
        <v>8</v>
      </c>
      <c r="B4" t="s">
        <v>140</v>
      </c>
      <c r="C4" s="2" t="s">
        <v>23</v>
      </c>
      <c r="D4" s="19" t="s">
        <v>165</v>
      </c>
      <c r="E4" t="str">
        <f t="shared" ref="E4:E38" si="0">LOWER(C4&amp;"."&amp;B4&amp;"@pushpin.com")</f>
        <v>joe.carol@pushpin.com</v>
      </c>
      <c r="F4" s="7">
        <v>36923</v>
      </c>
      <c r="G4" s="4">
        <f t="shared" ref="G4:G38" ca="1" si="1">YEARFRAC(F4,TODAY())</f>
        <v>19.725000000000001</v>
      </c>
      <c r="H4" s="1" t="s">
        <v>22</v>
      </c>
      <c r="I4" s="5" t="s">
        <v>118</v>
      </c>
      <c r="J4" s="6" t="str">
        <f t="shared" ref="J4:J38" si="2">LEFT(I4,2)</f>
        <v>01</v>
      </c>
      <c r="K4" s="6" t="str">
        <f t="shared" ref="K4:K38" si="3">RIGHT(I4,4)</f>
        <v>2321</v>
      </c>
      <c r="L4" s="7">
        <v>42817</v>
      </c>
      <c r="M4" s="7">
        <f t="shared" ref="M4:M38" si="4">L4+365</f>
        <v>43182</v>
      </c>
      <c r="N4" s="8">
        <v>101400</v>
      </c>
      <c r="O4" s="16">
        <f t="shared" ref="O4:O38" si="5">N4*Pension_Rate</f>
        <v>9126</v>
      </c>
      <c r="P4" s="24">
        <f>SUM(Table1[[#This Row],[Annual Salary]:[Pension]])</f>
        <v>110526</v>
      </c>
    </row>
    <row r="5" spans="1:16" x14ac:dyDescent="0.3">
      <c r="A5" s="3" t="s">
        <v>9</v>
      </c>
      <c r="B5" t="s">
        <v>144</v>
      </c>
      <c r="C5" s="2" t="s">
        <v>56</v>
      </c>
      <c r="D5" s="19" t="s">
        <v>165</v>
      </c>
      <c r="E5" t="str">
        <f t="shared" si="0"/>
        <v>eric.chung@pushpin.com</v>
      </c>
      <c r="F5" s="7">
        <v>36949</v>
      </c>
      <c r="G5" s="4">
        <f t="shared" ca="1" si="1"/>
        <v>19.652777777777779</v>
      </c>
      <c r="H5" s="1" t="s">
        <v>59</v>
      </c>
      <c r="I5" s="5" t="s">
        <v>105</v>
      </c>
      <c r="J5" s="6" t="str">
        <f t="shared" si="2"/>
        <v>03</v>
      </c>
      <c r="K5" s="6" t="str">
        <f t="shared" si="3"/>
        <v>2796</v>
      </c>
      <c r="L5" s="7">
        <v>42731</v>
      </c>
      <c r="M5" s="7">
        <f t="shared" si="4"/>
        <v>43096</v>
      </c>
      <c r="N5" s="8">
        <v>70300</v>
      </c>
      <c r="O5" s="16">
        <f t="shared" si="5"/>
        <v>6327</v>
      </c>
      <c r="P5" s="24">
        <f>SUM(Table1[[#This Row],[Annual Salary]:[Pension]])</f>
        <v>76627</v>
      </c>
    </row>
    <row r="6" spans="1:16" x14ac:dyDescent="0.3">
      <c r="A6" s="3" t="s">
        <v>11</v>
      </c>
      <c r="B6" t="s">
        <v>155</v>
      </c>
      <c r="C6" s="2" t="s">
        <v>10</v>
      </c>
      <c r="D6" s="19" t="s">
        <v>165</v>
      </c>
      <c r="E6" t="str">
        <f t="shared" si="0"/>
        <v>daniel.flanders@pushpin.com</v>
      </c>
      <c r="F6" s="7">
        <v>37510</v>
      </c>
      <c r="G6" s="4">
        <f t="shared" ca="1" si="1"/>
        <v>18.113888888888887</v>
      </c>
      <c r="H6" s="1" t="s">
        <v>55</v>
      </c>
      <c r="I6" s="5" t="s">
        <v>124</v>
      </c>
      <c r="J6" s="6" t="str">
        <f t="shared" si="2"/>
        <v>02</v>
      </c>
      <c r="K6" s="6" t="str">
        <f t="shared" si="3"/>
        <v>2639</v>
      </c>
      <c r="L6" s="7">
        <v>42590</v>
      </c>
      <c r="M6" s="7">
        <f t="shared" si="4"/>
        <v>42955</v>
      </c>
      <c r="N6" s="8">
        <v>68800</v>
      </c>
      <c r="O6" s="16">
        <f t="shared" si="5"/>
        <v>6192</v>
      </c>
      <c r="P6" s="24">
        <f>SUM(Table1[[#This Row],[Annual Salary]:[Pension]])</f>
        <v>74992</v>
      </c>
    </row>
    <row r="7" spans="1:16" x14ac:dyDescent="0.3">
      <c r="A7" s="3" t="s">
        <v>63</v>
      </c>
      <c r="B7" t="s">
        <v>138</v>
      </c>
      <c r="C7" s="2" t="s">
        <v>12</v>
      </c>
      <c r="D7" s="19" t="s">
        <v>165</v>
      </c>
      <c r="E7" t="str">
        <f t="shared" si="0"/>
        <v>adam.barry@pushpin.com</v>
      </c>
      <c r="F7" s="7">
        <v>38099</v>
      </c>
      <c r="G7" s="4">
        <f t="shared" ca="1" si="1"/>
        <v>16.5</v>
      </c>
      <c r="H7" s="1" t="s">
        <v>24</v>
      </c>
      <c r="I7" s="5" t="s">
        <v>97</v>
      </c>
      <c r="J7" s="6" t="str">
        <f t="shared" si="2"/>
        <v>02</v>
      </c>
      <c r="K7" s="6" t="str">
        <f t="shared" si="3"/>
        <v>2018</v>
      </c>
      <c r="L7" s="7">
        <v>42860</v>
      </c>
      <c r="M7" s="7">
        <f t="shared" si="4"/>
        <v>43225</v>
      </c>
      <c r="N7" s="8">
        <v>59200</v>
      </c>
      <c r="O7" s="16">
        <f t="shared" si="5"/>
        <v>5328</v>
      </c>
      <c r="P7" s="24">
        <f>SUM(Table1[[#This Row],[Annual Salary]:[Pension]])</f>
        <v>64528</v>
      </c>
    </row>
    <row r="8" spans="1:16" x14ac:dyDescent="0.3">
      <c r="A8" s="3" t="s">
        <v>64</v>
      </c>
      <c r="B8" t="s">
        <v>153</v>
      </c>
      <c r="C8" s="2" t="s">
        <v>21</v>
      </c>
      <c r="D8" s="19" t="s">
        <v>166</v>
      </c>
      <c r="E8" t="str">
        <f t="shared" si="0"/>
        <v>mary.ferris@pushpin.com</v>
      </c>
      <c r="F8" s="7">
        <v>38548</v>
      </c>
      <c r="G8" s="4">
        <f t="shared" ca="1" si="1"/>
        <v>15.269444444444444</v>
      </c>
      <c r="H8" s="1" t="s">
        <v>55</v>
      </c>
      <c r="I8" s="5" t="s">
        <v>123</v>
      </c>
      <c r="J8" s="6" t="str">
        <f t="shared" si="2"/>
        <v>03</v>
      </c>
      <c r="K8" s="6" t="str">
        <f t="shared" si="3"/>
        <v>2392</v>
      </c>
      <c r="L8" s="7">
        <v>42598</v>
      </c>
      <c r="M8" s="7">
        <f t="shared" si="4"/>
        <v>42963</v>
      </c>
      <c r="N8" s="8">
        <v>62900</v>
      </c>
      <c r="O8" s="16">
        <f t="shared" si="5"/>
        <v>5661</v>
      </c>
      <c r="P8" s="24">
        <f>SUM(Table1[[#This Row],[Annual Salary]:[Pension]])</f>
        <v>68561</v>
      </c>
    </row>
    <row r="9" spans="1:16" x14ac:dyDescent="0.3">
      <c r="A9" s="3" t="s">
        <v>65</v>
      </c>
      <c r="B9" t="s">
        <v>154</v>
      </c>
      <c r="C9" s="2" t="s">
        <v>14</v>
      </c>
      <c r="D9" s="19" t="s">
        <v>166</v>
      </c>
      <c r="E9" t="str">
        <f t="shared" si="0"/>
        <v>susan.filosa@pushpin.com</v>
      </c>
      <c r="F9" s="7">
        <v>38744</v>
      </c>
      <c r="G9" s="4">
        <f t="shared" ca="1" si="1"/>
        <v>14.736111111111111</v>
      </c>
      <c r="H9" s="1" t="s">
        <v>24</v>
      </c>
      <c r="I9" s="5" t="s">
        <v>112</v>
      </c>
      <c r="J9" s="6" t="str">
        <f t="shared" si="2"/>
        <v>02</v>
      </c>
      <c r="K9" s="6" t="str">
        <f t="shared" si="3"/>
        <v>2279</v>
      </c>
      <c r="L9" s="7">
        <v>42596</v>
      </c>
      <c r="M9" s="7">
        <f t="shared" si="4"/>
        <v>42961</v>
      </c>
      <c r="N9" s="8">
        <v>58400</v>
      </c>
      <c r="O9" s="16">
        <f t="shared" si="5"/>
        <v>5256</v>
      </c>
      <c r="P9" s="24">
        <f>SUM(Table1[[#This Row],[Annual Salary]:[Pension]])</f>
        <v>63656</v>
      </c>
    </row>
    <row r="10" spans="1:16" x14ac:dyDescent="0.3">
      <c r="A10" s="3" t="s">
        <v>66</v>
      </c>
      <c r="B10" t="s">
        <v>29</v>
      </c>
      <c r="C10" s="2" t="s">
        <v>28</v>
      </c>
      <c r="D10" s="19" t="s">
        <v>166</v>
      </c>
      <c r="E10" t="str">
        <f t="shared" si="0"/>
        <v>tina.carlton@pushpin.com</v>
      </c>
      <c r="F10" s="7">
        <v>38798</v>
      </c>
      <c r="G10" s="4">
        <f t="shared" ca="1" si="1"/>
        <v>14.583333333333334</v>
      </c>
      <c r="H10" s="1" t="s">
        <v>55</v>
      </c>
      <c r="I10" s="5" t="s">
        <v>101</v>
      </c>
      <c r="J10" s="6" t="str">
        <f t="shared" si="2"/>
        <v>02</v>
      </c>
      <c r="K10" s="6" t="str">
        <f t="shared" si="3"/>
        <v>2699</v>
      </c>
      <c r="L10" s="7">
        <v>42825</v>
      </c>
      <c r="M10" s="7">
        <f t="shared" si="4"/>
        <v>43190</v>
      </c>
      <c r="N10" s="8">
        <v>59200</v>
      </c>
      <c r="O10" s="16">
        <f t="shared" si="5"/>
        <v>5328</v>
      </c>
      <c r="P10" s="24">
        <f>SUM(Table1[[#This Row],[Annual Salary]:[Pension]])</f>
        <v>64528</v>
      </c>
    </row>
    <row r="11" spans="1:16" x14ac:dyDescent="0.3">
      <c r="A11" s="3" t="s">
        <v>67</v>
      </c>
      <c r="B11" t="s">
        <v>51</v>
      </c>
      <c r="C11" s="2" t="s">
        <v>50</v>
      </c>
      <c r="D11" s="19" t="s">
        <v>165</v>
      </c>
      <c r="E11" t="str">
        <f t="shared" si="0"/>
        <v>nicholas.fernandes@pushpin.com</v>
      </c>
      <c r="F11" s="7">
        <v>39023</v>
      </c>
      <c r="G11" s="4">
        <f t="shared" ca="1" si="1"/>
        <v>13.972222222222221</v>
      </c>
      <c r="H11" s="1" t="s">
        <v>15</v>
      </c>
      <c r="I11" s="5" t="s">
        <v>122</v>
      </c>
      <c r="J11" s="6" t="str">
        <f t="shared" si="2"/>
        <v>02</v>
      </c>
      <c r="K11" s="6" t="str">
        <f t="shared" si="3"/>
        <v>2372</v>
      </c>
      <c r="L11" s="7">
        <v>42614</v>
      </c>
      <c r="M11" s="7">
        <f t="shared" si="4"/>
        <v>42979</v>
      </c>
      <c r="N11" s="8">
        <v>51600</v>
      </c>
      <c r="O11" s="16">
        <f t="shared" si="5"/>
        <v>4644</v>
      </c>
      <c r="P11" s="24">
        <f>SUM(Table1[[#This Row],[Annual Salary]:[Pension]])</f>
        <v>56244</v>
      </c>
    </row>
    <row r="12" spans="1:16" x14ac:dyDescent="0.3">
      <c r="A12" s="3" t="s">
        <v>68</v>
      </c>
      <c r="B12" t="s">
        <v>49</v>
      </c>
      <c r="C12" s="2" t="s">
        <v>48</v>
      </c>
      <c r="D12" s="19" t="s">
        <v>165</v>
      </c>
      <c r="E12" t="str">
        <f t="shared" si="0"/>
        <v>stevie.bacata@pushpin.com</v>
      </c>
      <c r="F12" s="7">
        <v>39551</v>
      </c>
      <c r="G12" s="4">
        <f t="shared" ca="1" si="1"/>
        <v>12.525</v>
      </c>
      <c r="H12" s="1" t="s">
        <v>55</v>
      </c>
      <c r="I12" s="5" t="s">
        <v>96</v>
      </c>
      <c r="J12" s="6" t="str">
        <f t="shared" si="2"/>
        <v>02</v>
      </c>
      <c r="K12" s="6" t="str">
        <f t="shared" si="3"/>
        <v>2635</v>
      </c>
      <c r="L12" s="7">
        <v>42507</v>
      </c>
      <c r="M12" s="7">
        <f t="shared" si="4"/>
        <v>42872</v>
      </c>
      <c r="N12" s="8">
        <v>58200</v>
      </c>
      <c r="O12" s="16">
        <f t="shared" si="5"/>
        <v>5238</v>
      </c>
      <c r="P12" s="24">
        <f>SUM(Table1[[#This Row],[Annual Salary]:[Pension]])</f>
        <v>63438</v>
      </c>
    </row>
    <row r="13" spans="1:16" x14ac:dyDescent="0.3">
      <c r="A13" s="3" t="s">
        <v>69</v>
      </c>
      <c r="B13" t="s">
        <v>148</v>
      </c>
      <c r="C13" s="2" t="s">
        <v>18</v>
      </c>
      <c r="D13" s="19" t="s">
        <v>166</v>
      </c>
      <c r="E13" t="str">
        <f t="shared" si="0"/>
        <v>janet.comuntzis@pushpin.com</v>
      </c>
      <c r="F13" s="7">
        <v>39686</v>
      </c>
      <c r="G13" s="4">
        <f t="shared" ca="1" si="1"/>
        <v>12.155555555555555</v>
      </c>
      <c r="H13" s="1" t="s">
        <v>24</v>
      </c>
      <c r="I13" s="5" t="s">
        <v>109</v>
      </c>
      <c r="J13" s="6" t="str">
        <f t="shared" si="2"/>
        <v>02</v>
      </c>
      <c r="K13" s="6" t="str">
        <f t="shared" si="3"/>
        <v>2286</v>
      </c>
      <c r="L13" s="7">
        <v>42658</v>
      </c>
      <c r="M13" s="7">
        <f t="shared" si="4"/>
        <v>43023</v>
      </c>
      <c r="N13" s="8">
        <v>55800</v>
      </c>
      <c r="O13" s="16">
        <f t="shared" si="5"/>
        <v>5022</v>
      </c>
      <c r="P13" s="24">
        <f>SUM(Table1[[#This Row],[Annual Salary]:[Pension]])</f>
        <v>60822</v>
      </c>
    </row>
    <row r="14" spans="1:16" x14ac:dyDescent="0.3">
      <c r="A14" s="3" t="s">
        <v>70</v>
      </c>
      <c r="B14" t="s">
        <v>33</v>
      </c>
      <c r="C14" s="2" t="s">
        <v>32</v>
      </c>
      <c r="D14" s="19" t="s">
        <v>165</v>
      </c>
      <c r="E14" t="str">
        <f t="shared" si="0"/>
        <v>mihael.khan@pushpin.com</v>
      </c>
      <c r="F14" s="7">
        <v>40160</v>
      </c>
      <c r="G14" s="4">
        <f t="shared" ca="1" si="1"/>
        <v>10.858333333333333</v>
      </c>
      <c r="H14" s="1" t="s">
        <v>55</v>
      </c>
      <c r="I14" s="5" t="s">
        <v>127</v>
      </c>
      <c r="J14" s="6" t="str">
        <f t="shared" si="2"/>
        <v>02</v>
      </c>
      <c r="K14" s="6" t="str">
        <f t="shared" si="3"/>
        <v>2294</v>
      </c>
      <c r="L14" s="7">
        <v>42566</v>
      </c>
      <c r="M14" s="7">
        <f t="shared" si="4"/>
        <v>42931</v>
      </c>
      <c r="N14" s="8">
        <v>55500</v>
      </c>
      <c r="O14" s="16">
        <f t="shared" si="5"/>
        <v>4995</v>
      </c>
      <c r="P14" s="24">
        <f>SUM(Table1[[#This Row],[Annual Salary]:[Pension]])</f>
        <v>60495</v>
      </c>
    </row>
    <row r="15" spans="1:16" x14ac:dyDescent="0.3">
      <c r="A15" s="3" t="s">
        <v>71</v>
      </c>
      <c r="B15" t="s">
        <v>143</v>
      </c>
      <c r="C15" s="2" t="s">
        <v>16</v>
      </c>
      <c r="D15" s="19" t="s">
        <v>166</v>
      </c>
      <c r="E15" t="str">
        <f t="shared" si="0"/>
        <v>elizabeth.chu@pushpin.com</v>
      </c>
      <c r="F15" s="7">
        <v>40220</v>
      </c>
      <c r="G15" s="4">
        <f t="shared" ca="1" si="1"/>
        <v>10.697222222222223</v>
      </c>
      <c r="H15" s="1" t="s">
        <v>59</v>
      </c>
      <c r="I15" s="5" t="s">
        <v>104</v>
      </c>
      <c r="J15" s="6" t="str">
        <f t="shared" si="2"/>
        <v>01</v>
      </c>
      <c r="K15" s="6" t="str">
        <f t="shared" si="3"/>
        <v>2425</v>
      </c>
      <c r="L15" s="7">
        <v>42761</v>
      </c>
      <c r="M15" s="7">
        <f t="shared" si="4"/>
        <v>43126</v>
      </c>
      <c r="N15" s="8">
        <v>48400</v>
      </c>
      <c r="O15" s="16">
        <f t="shared" si="5"/>
        <v>4356</v>
      </c>
      <c r="P15" s="24">
        <f>SUM(Table1[[#This Row],[Annual Salary]:[Pension]])</f>
        <v>52756</v>
      </c>
    </row>
    <row r="16" spans="1:16" x14ac:dyDescent="0.3">
      <c r="A16" s="3" t="s">
        <v>72</v>
      </c>
      <c r="B16" t="s">
        <v>31</v>
      </c>
      <c r="C16" s="2" t="s">
        <v>30</v>
      </c>
      <c r="D16" s="19" t="s">
        <v>166</v>
      </c>
      <c r="E16" t="str">
        <f t="shared" si="0"/>
        <v>samantha.chairs@pushpin.com</v>
      </c>
      <c r="F16" s="7">
        <v>40595</v>
      </c>
      <c r="G16" s="4">
        <f t="shared" ca="1" si="1"/>
        <v>9.6694444444444443</v>
      </c>
      <c r="H16" s="1" t="s">
        <v>55</v>
      </c>
      <c r="I16" s="5" t="s">
        <v>103</v>
      </c>
      <c r="J16" s="6" t="str">
        <f t="shared" si="2"/>
        <v>02</v>
      </c>
      <c r="K16" s="6" t="str">
        <f t="shared" si="3"/>
        <v>2962</v>
      </c>
      <c r="L16" s="7">
        <v>42801</v>
      </c>
      <c r="M16" s="7">
        <f t="shared" si="4"/>
        <v>43166</v>
      </c>
      <c r="N16" s="8">
        <v>59300</v>
      </c>
      <c r="O16" s="16">
        <f t="shared" si="5"/>
        <v>5337</v>
      </c>
      <c r="P16" s="24">
        <f>SUM(Table1[[#This Row],[Annual Salary]:[Pension]])</f>
        <v>64637</v>
      </c>
    </row>
    <row r="17" spans="1:16" x14ac:dyDescent="0.3">
      <c r="A17" s="3" t="s">
        <v>73</v>
      </c>
      <c r="B17" t="s">
        <v>39</v>
      </c>
      <c r="C17" s="2" t="s">
        <v>38</v>
      </c>
      <c r="D17" s="19" t="s">
        <v>166</v>
      </c>
      <c r="E17" t="str">
        <f t="shared" si="0"/>
        <v>natasha.song@pushpin.com</v>
      </c>
      <c r="F17" s="7">
        <v>40713</v>
      </c>
      <c r="G17" s="4">
        <f t="shared" ca="1" si="1"/>
        <v>9.3416666666666668</v>
      </c>
      <c r="H17" s="1" t="s">
        <v>55</v>
      </c>
      <c r="I17" s="5" t="s">
        <v>129</v>
      </c>
      <c r="J17" s="6" t="str">
        <f t="shared" si="2"/>
        <v>02</v>
      </c>
      <c r="K17" s="6" t="str">
        <f t="shared" si="3"/>
        <v>2578</v>
      </c>
      <c r="L17" s="7">
        <v>42552</v>
      </c>
      <c r="M17" s="7">
        <f t="shared" si="4"/>
        <v>42917</v>
      </c>
      <c r="N17" s="8">
        <v>56000</v>
      </c>
      <c r="O17" s="16">
        <f t="shared" si="5"/>
        <v>5040</v>
      </c>
      <c r="P17" s="24">
        <f>SUM(Table1[[#This Row],[Annual Salary]:[Pension]])</f>
        <v>61040</v>
      </c>
    </row>
    <row r="18" spans="1:16" x14ac:dyDescent="0.3">
      <c r="A18" s="3" t="s">
        <v>74</v>
      </c>
      <c r="B18" t="s">
        <v>142</v>
      </c>
      <c r="C18" s="2" t="s">
        <v>61</v>
      </c>
      <c r="D18" s="19" t="s">
        <v>166</v>
      </c>
      <c r="E18" t="str">
        <f t="shared" si="0"/>
        <v>uma.chaudri@pushpin.com</v>
      </c>
      <c r="F18" s="7">
        <v>40994</v>
      </c>
      <c r="G18" s="4">
        <f t="shared" ca="1" si="1"/>
        <v>8.5722222222222229</v>
      </c>
      <c r="H18" s="1" t="s">
        <v>17</v>
      </c>
      <c r="I18" s="5" t="s">
        <v>119</v>
      </c>
      <c r="J18" s="6" t="str">
        <f t="shared" si="2"/>
        <v>03</v>
      </c>
      <c r="K18" s="6" t="str">
        <f t="shared" si="3"/>
        <v>2134</v>
      </c>
      <c r="L18" s="7">
        <v>42776</v>
      </c>
      <c r="M18" s="7">
        <f t="shared" si="4"/>
        <v>43141</v>
      </c>
      <c r="N18" s="8">
        <v>63200</v>
      </c>
      <c r="O18" s="16">
        <f t="shared" si="5"/>
        <v>5688</v>
      </c>
      <c r="P18" s="24">
        <f>SUM(Table1[[#This Row],[Annual Salary]:[Pension]])</f>
        <v>68888</v>
      </c>
    </row>
    <row r="19" spans="1:16" x14ac:dyDescent="0.3">
      <c r="A19" s="3" t="s">
        <v>75</v>
      </c>
      <c r="B19" t="s">
        <v>150</v>
      </c>
      <c r="C19" s="2" t="s">
        <v>28</v>
      </c>
      <c r="D19" s="19" t="s">
        <v>166</v>
      </c>
      <c r="E19" t="str">
        <f t="shared" si="0"/>
        <v>tina.desiato@pushpin.com</v>
      </c>
      <c r="F19" s="7">
        <v>41175</v>
      </c>
      <c r="G19" s="4">
        <f t="shared" ca="1" si="1"/>
        <v>8.0805555555555557</v>
      </c>
      <c r="H19" t="s">
        <v>59</v>
      </c>
      <c r="I19" s="5" t="s">
        <v>121</v>
      </c>
      <c r="J19" s="6" t="str">
        <f t="shared" si="2"/>
        <v>01</v>
      </c>
      <c r="K19" s="6" t="str">
        <f t="shared" si="3"/>
        <v>2358</v>
      </c>
      <c r="L19" s="7">
        <v>42652</v>
      </c>
      <c r="M19" s="7">
        <f t="shared" si="4"/>
        <v>43017</v>
      </c>
      <c r="N19" s="8">
        <v>51700</v>
      </c>
      <c r="O19" s="16">
        <f t="shared" si="5"/>
        <v>4653</v>
      </c>
      <c r="P19" s="24">
        <f>SUM(Table1[[#This Row],[Annual Salary]:[Pension]])</f>
        <v>56353</v>
      </c>
    </row>
    <row r="20" spans="1:16" x14ac:dyDescent="0.3">
      <c r="A20" s="3" t="s">
        <v>76</v>
      </c>
      <c r="B20" t="s">
        <v>149</v>
      </c>
      <c r="C20" s="2" t="s">
        <v>19</v>
      </c>
      <c r="D20" s="19" t="s">
        <v>165</v>
      </c>
      <c r="E20" t="str">
        <f t="shared" si="0"/>
        <v>bob.decker@pushpin.com</v>
      </c>
      <c r="F20" s="7">
        <v>41210</v>
      </c>
      <c r="G20" s="4">
        <f t="shared" ca="1" si="1"/>
        <v>7.9833333333333334</v>
      </c>
      <c r="H20" s="1" t="s">
        <v>59</v>
      </c>
      <c r="I20" s="5" t="s">
        <v>120</v>
      </c>
      <c r="J20" s="6" t="str">
        <f t="shared" si="2"/>
        <v>01</v>
      </c>
      <c r="K20" s="6" t="str">
        <f t="shared" si="3"/>
        <v>2086</v>
      </c>
      <c r="L20" s="7">
        <v>42656</v>
      </c>
      <c r="M20" s="7">
        <f t="shared" si="4"/>
        <v>43021</v>
      </c>
      <c r="N20" s="8">
        <v>49600</v>
      </c>
      <c r="O20" s="16">
        <f t="shared" si="5"/>
        <v>4464</v>
      </c>
      <c r="P20" s="24">
        <f>SUM(Table1[[#This Row],[Annual Salary]:[Pension]])</f>
        <v>54064</v>
      </c>
    </row>
    <row r="21" spans="1:16" x14ac:dyDescent="0.3">
      <c r="A21" s="3" t="s">
        <v>77</v>
      </c>
      <c r="B21" t="s">
        <v>147</v>
      </c>
      <c r="C21" s="2" t="s">
        <v>20</v>
      </c>
      <c r="D21" s="19" t="s">
        <v>166</v>
      </c>
      <c r="E21" t="str">
        <f t="shared" si="0"/>
        <v>sabrina.cole@pushpin.com</v>
      </c>
      <c r="F21" s="7">
        <v>41401</v>
      </c>
      <c r="G21" s="4">
        <f t="shared" ca="1" si="1"/>
        <v>7.458333333333333</v>
      </c>
      <c r="H21" s="1" t="s">
        <v>24</v>
      </c>
      <c r="I21" s="5" t="s">
        <v>108</v>
      </c>
      <c r="J21" s="6" t="str">
        <f t="shared" si="2"/>
        <v>02</v>
      </c>
      <c r="K21" s="6" t="str">
        <f t="shared" si="3"/>
        <v>2537</v>
      </c>
      <c r="L21" s="7">
        <v>42710</v>
      </c>
      <c r="M21" s="7">
        <f t="shared" si="4"/>
        <v>43075</v>
      </c>
      <c r="N21" s="8">
        <v>45100</v>
      </c>
      <c r="O21" s="16">
        <f t="shared" si="5"/>
        <v>4059</v>
      </c>
      <c r="P21" s="24">
        <f>SUM(Table1[[#This Row],[Annual Salary]:[Pension]])</f>
        <v>49159</v>
      </c>
    </row>
    <row r="22" spans="1:16" x14ac:dyDescent="0.3">
      <c r="A22" s="3" t="s">
        <v>78</v>
      </c>
      <c r="B22" t="s">
        <v>141</v>
      </c>
      <c r="C22" s="2" t="s">
        <v>27</v>
      </c>
      <c r="D22" s="19" t="s">
        <v>165</v>
      </c>
      <c r="E22" t="str">
        <f t="shared" si="0"/>
        <v>jim.chaffee@pushpin.com</v>
      </c>
      <c r="F22" s="7">
        <v>41787</v>
      </c>
      <c r="G22" s="4">
        <f t="shared" ca="1" si="1"/>
        <v>6.4</v>
      </c>
      <c r="H22" s="1" t="s">
        <v>13</v>
      </c>
      <c r="I22" s="5" t="s">
        <v>102</v>
      </c>
      <c r="J22" s="6" t="str">
        <f t="shared" si="2"/>
        <v>03</v>
      </c>
      <c r="K22" s="6" t="str">
        <f t="shared" si="3"/>
        <v>2432</v>
      </c>
      <c r="L22" s="7">
        <v>42804</v>
      </c>
      <c r="M22" s="7">
        <f t="shared" si="4"/>
        <v>43169</v>
      </c>
      <c r="N22" s="8">
        <v>42100</v>
      </c>
      <c r="O22" s="16">
        <f t="shared" si="5"/>
        <v>3789</v>
      </c>
      <c r="P22" s="24">
        <f>SUM(Table1[[#This Row],[Annual Salary]:[Pension]])</f>
        <v>45889</v>
      </c>
    </row>
    <row r="23" spans="1:16" x14ac:dyDescent="0.3">
      <c r="A23" s="3" t="s">
        <v>79</v>
      </c>
      <c r="B23" t="s">
        <v>139</v>
      </c>
      <c r="C23" s="2" t="s">
        <v>27</v>
      </c>
      <c r="D23" s="19" t="s">
        <v>165</v>
      </c>
      <c r="E23" t="str">
        <f t="shared" si="0"/>
        <v>jim.boller@pushpin.com</v>
      </c>
      <c r="F23" s="7">
        <v>41893</v>
      </c>
      <c r="G23" s="4">
        <f t="shared" ca="1" si="1"/>
        <v>6.1138888888888889</v>
      </c>
      <c r="H23" s="1" t="s">
        <v>15</v>
      </c>
      <c r="I23" s="5" t="s">
        <v>116</v>
      </c>
      <c r="J23" s="6" t="str">
        <f t="shared" si="2"/>
        <v>03</v>
      </c>
      <c r="K23" s="6" t="str">
        <f t="shared" si="3"/>
        <v>2318</v>
      </c>
      <c r="L23" s="7">
        <v>42835</v>
      </c>
      <c r="M23" s="7">
        <f t="shared" si="4"/>
        <v>43200</v>
      </c>
      <c r="N23" s="8">
        <v>62800</v>
      </c>
      <c r="O23" s="16">
        <f t="shared" si="5"/>
        <v>5652</v>
      </c>
      <c r="P23" s="24">
        <f>SUM(Table1[[#This Row],[Annual Salary]:[Pension]])</f>
        <v>68452</v>
      </c>
    </row>
    <row r="24" spans="1:16" x14ac:dyDescent="0.3">
      <c r="A24" s="3" t="s">
        <v>80</v>
      </c>
      <c r="B24" t="s">
        <v>47</v>
      </c>
      <c r="C24" s="2" t="s">
        <v>46</v>
      </c>
      <c r="D24" s="19" t="s">
        <v>165</v>
      </c>
      <c r="E24" t="str">
        <f t="shared" si="0"/>
        <v>charlie.bui@pushpin.com</v>
      </c>
      <c r="F24" s="7">
        <v>41903</v>
      </c>
      <c r="G24" s="4">
        <f t="shared" ca="1" si="1"/>
        <v>6.0861111111111112</v>
      </c>
      <c r="H24" s="1" t="s">
        <v>55</v>
      </c>
      <c r="I24" s="5" t="s">
        <v>117</v>
      </c>
      <c r="J24" s="6" t="str">
        <f t="shared" si="2"/>
        <v>02</v>
      </c>
      <c r="K24" s="6" t="str">
        <f t="shared" si="3"/>
        <v>2694</v>
      </c>
      <c r="L24" s="7">
        <v>42828</v>
      </c>
      <c r="M24" s="7">
        <f t="shared" si="4"/>
        <v>43193</v>
      </c>
      <c r="N24" s="8">
        <v>54700</v>
      </c>
      <c r="O24" s="16">
        <f t="shared" si="5"/>
        <v>4923</v>
      </c>
      <c r="P24" s="24">
        <f>SUM(Table1[[#This Row],[Annual Salary]:[Pension]])</f>
        <v>59623</v>
      </c>
    </row>
    <row r="25" spans="1:16" x14ac:dyDescent="0.3">
      <c r="A25" s="3" t="s">
        <v>81</v>
      </c>
      <c r="B25" t="s">
        <v>43</v>
      </c>
      <c r="C25" s="2" t="s">
        <v>42</v>
      </c>
      <c r="D25" s="19" t="s">
        <v>165</v>
      </c>
      <c r="E25" t="str">
        <f t="shared" si="0"/>
        <v>connor.betts@pushpin.com</v>
      </c>
      <c r="F25" s="7">
        <v>41956</v>
      </c>
      <c r="G25" s="4">
        <f t="shared" ca="1" si="1"/>
        <v>5.9416666666666664</v>
      </c>
      <c r="H25" s="1" t="s">
        <v>55</v>
      </c>
      <c r="I25" s="5" t="s">
        <v>98</v>
      </c>
      <c r="J25" s="6" t="str">
        <f t="shared" si="2"/>
        <v>02</v>
      </c>
      <c r="K25" s="6" t="str">
        <f t="shared" si="3"/>
        <v>2347</v>
      </c>
      <c r="L25" s="7">
        <v>42848</v>
      </c>
      <c r="M25" s="7">
        <f t="shared" si="4"/>
        <v>43213</v>
      </c>
      <c r="N25" s="8">
        <v>52600</v>
      </c>
      <c r="O25" s="16">
        <f t="shared" si="5"/>
        <v>4734</v>
      </c>
      <c r="P25" s="24">
        <f>SUM(Table1[[#This Row],[Annual Salary]:[Pension]])</f>
        <v>57334</v>
      </c>
    </row>
    <row r="26" spans="1:16" x14ac:dyDescent="0.3">
      <c r="A26" s="3" t="s">
        <v>82</v>
      </c>
      <c r="B26" t="s">
        <v>145</v>
      </c>
      <c r="C26" s="2" t="s">
        <v>146</v>
      </c>
      <c r="D26" s="19" t="s">
        <v>166</v>
      </c>
      <c r="E26" t="str">
        <f t="shared" si="0"/>
        <v>anna.clark@pushpin.com</v>
      </c>
      <c r="F26" s="7">
        <v>41989</v>
      </c>
      <c r="G26" s="4">
        <f t="shared" ca="1" si="1"/>
        <v>5.85</v>
      </c>
      <c r="H26" s="1" t="s">
        <v>15</v>
      </c>
      <c r="I26" s="5" t="s">
        <v>106</v>
      </c>
      <c r="J26" s="6" t="str">
        <f t="shared" si="2"/>
        <v>03</v>
      </c>
      <c r="K26" s="6" t="str">
        <f t="shared" si="3"/>
        <v>2601</v>
      </c>
      <c r="L26" s="7">
        <v>42731</v>
      </c>
      <c r="M26" s="7">
        <f t="shared" si="4"/>
        <v>43096</v>
      </c>
      <c r="N26" s="8">
        <v>58500</v>
      </c>
      <c r="O26" s="16">
        <f t="shared" si="5"/>
        <v>5265</v>
      </c>
      <c r="P26" s="24">
        <f>SUM(Table1[[#This Row],[Annual Salary]:[Pension]])</f>
        <v>63765</v>
      </c>
    </row>
    <row r="27" spans="1:16" x14ac:dyDescent="0.3">
      <c r="A27" s="3" t="s">
        <v>83</v>
      </c>
      <c r="B27" t="s">
        <v>41</v>
      </c>
      <c r="C27" s="2" t="s">
        <v>40</v>
      </c>
      <c r="D27" s="19" t="s">
        <v>166</v>
      </c>
      <c r="E27" t="str">
        <f t="shared" si="0"/>
        <v>aanya.zhang@pushpin.com</v>
      </c>
      <c r="F27" s="7">
        <v>42002</v>
      </c>
      <c r="G27" s="4">
        <f t="shared" ca="1" si="1"/>
        <v>5.8138888888888891</v>
      </c>
      <c r="H27" s="1" t="s">
        <v>55</v>
      </c>
      <c r="I27" s="5" t="s">
        <v>131</v>
      </c>
      <c r="J27" s="6" t="str">
        <f t="shared" si="2"/>
        <v>02</v>
      </c>
      <c r="K27" s="6" t="str">
        <f t="shared" si="3"/>
        <v>2793</v>
      </c>
      <c r="L27" s="7">
        <v>42540</v>
      </c>
      <c r="M27" s="7">
        <f t="shared" si="4"/>
        <v>42905</v>
      </c>
      <c r="N27" s="8">
        <v>46500</v>
      </c>
      <c r="O27" s="16">
        <f t="shared" si="5"/>
        <v>4185</v>
      </c>
      <c r="P27" s="24">
        <f>SUM(Table1[[#This Row],[Annual Salary]:[Pension]])</f>
        <v>50685</v>
      </c>
    </row>
    <row r="28" spans="1:16" x14ac:dyDescent="0.3">
      <c r="A28" s="3" t="s">
        <v>84</v>
      </c>
      <c r="B28" t="s">
        <v>37</v>
      </c>
      <c r="C28" s="2" t="s">
        <v>36</v>
      </c>
      <c r="D28" s="19" t="s">
        <v>165</v>
      </c>
      <c r="E28" t="str">
        <f t="shared" si="0"/>
        <v>leighton.forrest@pushpin.com</v>
      </c>
      <c r="F28" s="7">
        <v>42120</v>
      </c>
      <c r="G28" s="4">
        <f t="shared" ca="1" si="1"/>
        <v>5.4888888888888889</v>
      </c>
      <c r="H28" s="1" t="s">
        <v>55</v>
      </c>
      <c r="I28" s="5" t="s">
        <v>125</v>
      </c>
      <c r="J28" s="6" t="str">
        <f t="shared" si="2"/>
        <v>02</v>
      </c>
      <c r="K28" s="6" t="str">
        <f t="shared" si="3"/>
        <v>2284</v>
      </c>
      <c r="L28" s="7">
        <v>42586</v>
      </c>
      <c r="M28" s="7">
        <f t="shared" si="4"/>
        <v>42951</v>
      </c>
      <c r="N28" s="8">
        <v>56200</v>
      </c>
      <c r="O28" s="16">
        <f t="shared" si="5"/>
        <v>5058</v>
      </c>
      <c r="P28" s="24">
        <f>SUM(Table1[[#This Row],[Annual Salary]:[Pension]])</f>
        <v>61258</v>
      </c>
    </row>
    <row r="29" spans="1:16" x14ac:dyDescent="0.3">
      <c r="A29" s="3" t="s">
        <v>85</v>
      </c>
      <c r="B29" t="s">
        <v>151</v>
      </c>
      <c r="C29" s="2" t="s">
        <v>26</v>
      </c>
      <c r="D29" s="19" t="s">
        <v>166</v>
      </c>
      <c r="E29" t="str">
        <f t="shared" si="0"/>
        <v>alexandra.donnell@pushpin.com</v>
      </c>
      <c r="F29" s="7">
        <v>42228</v>
      </c>
      <c r="G29" s="4">
        <f t="shared" ca="1" si="1"/>
        <v>5.1944444444444446</v>
      </c>
      <c r="H29" s="1" t="s">
        <v>15</v>
      </c>
      <c r="I29" s="5" t="s">
        <v>110</v>
      </c>
      <c r="J29" s="6" t="str">
        <f t="shared" si="2"/>
        <v>03</v>
      </c>
      <c r="K29" s="6" t="str">
        <f t="shared" si="3"/>
        <v>2082</v>
      </c>
      <c r="L29" s="7">
        <v>42629</v>
      </c>
      <c r="M29" s="7">
        <f t="shared" si="4"/>
        <v>42994</v>
      </c>
      <c r="N29" s="8">
        <v>54900</v>
      </c>
      <c r="O29" s="16">
        <f t="shared" si="5"/>
        <v>4941</v>
      </c>
      <c r="P29" s="24">
        <f>SUM(Table1[[#This Row],[Annual Salary]:[Pension]])</f>
        <v>59841</v>
      </c>
    </row>
    <row r="30" spans="1:16" x14ac:dyDescent="0.3">
      <c r="A30" s="3" t="s">
        <v>86</v>
      </c>
      <c r="B30" t="s">
        <v>156</v>
      </c>
      <c r="C30" s="2" t="s">
        <v>157</v>
      </c>
      <c r="D30" s="19" t="s">
        <v>165</v>
      </c>
      <c r="E30" t="str">
        <f t="shared" si="0"/>
        <v>carlos.martinez@pushpin.com</v>
      </c>
      <c r="F30" s="7">
        <v>42229</v>
      </c>
      <c r="G30" s="4">
        <f t="shared" ca="1" si="1"/>
        <v>5.1916666666666664</v>
      </c>
      <c r="H30" s="1" t="s">
        <v>17</v>
      </c>
      <c r="I30" s="5" t="s">
        <v>99</v>
      </c>
      <c r="J30" s="6" t="str">
        <f t="shared" si="2"/>
        <v>03</v>
      </c>
      <c r="K30" s="6" t="str">
        <f t="shared" si="3"/>
        <v>2764</v>
      </c>
      <c r="L30" s="7">
        <v>42845</v>
      </c>
      <c r="M30" s="7">
        <f t="shared" si="4"/>
        <v>43210</v>
      </c>
      <c r="N30" s="8">
        <v>47900</v>
      </c>
      <c r="O30" s="16">
        <f t="shared" si="5"/>
        <v>4311</v>
      </c>
      <c r="P30" s="24">
        <f>SUM(Table1[[#This Row],[Annual Salary]:[Pension]])</f>
        <v>52211</v>
      </c>
    </row>
    <row r="31" spans="1:16" x14ac:dyDescent="0.3">
      <c r="A31" s="3" t="s">
        <v>87</v>
      </c>
      <c r="B31" t="s">
        <v>53</v>
      </c>
      <c r="C31" s="2" t="s">
        <v>115</v>
      </c>
      <c r="D31" s="19" t="s">
        <v>165</v>
      </c>
      <c r="E31" t="str">
        <f t="shared" si="0"/>
        <v>peter.staples@pushpin.com</v>
      </c>
      <c r="F31" s="7">
        <v>42321</v>
      </c>
      <c r="G31" s="4">
        <f t="shared" ca="1" si="1"/>
        <v>4.9416666666666664</v>
      </c>
      <c r="H31" s="1" t="s">
        <v>55</v>
      </c>
      <c r="I31" s="5" t="s">
        <v>130</v>
      </c>
      <c r="J31" s="6" t="str">
        <f t="shared" si="2"/>
        <v>02</v>
      </c>
      <c r="K31" s="6" t="str">
        <f t="shared" si="3"/>
        <v>2654</v>
      </c>
      <c r="L31" s="7">
        <v>42551</v>
      </c>
      <c r="M31" s="7">
        <f t="shared" si="4"/>
        <v>42916</v>
      </c>
      <c r="N31" s="8">
        <v>49600</v>
      </c>
      <c r="O31" s="16">
        <f t="shared" si="5"/>
        <v>4464</v>
      </c>
      <c r="P31" s="24">
        <f>SUM(Table1[[#This Row],[Annual Salary]:[Pension]])</f>
        <v>54064</v>
      </c>
    </row>
    <row r="32" spans="1:16" x14ac:dyDescent="0.3">
      <c r="A32" s="3" t="s">
        <v>88</v>
      </c>
      <c r="B32" t="s">
        <v>54</v>
      </c>
      <c r="C32" s="2" t="s">
        <v>52</v>
      </c>
      <c r="D32" s="19" t="s">
        <v>166</v>
      </c>
      <c r="E32" t="str">
        <f t="shared" si="0"/>
        <v>radhya.senome@pushpin.com</v>
      </c>
      <c r="F32" s="7">
        <v>42324</v>
      </c>
      <c r="G32" s="4">
        <f t="shared" ca="1" si="1"/>
        <v>4.9333333333333336</v>
      </c>
      <c r="H32" s="1" t="s">
        <v>55</v>
      </c>
      <c r="I32" s="5" t="s">
        <v>128</v>
      </c>
      <c r="J32" s="6" t="str">
        <f t="shared" si="2"/>
        <v>02</v>
      </c>
      <c r="K32" s="6" t="str">
        <f t="shared" si="3"/>
        <v>2260</v>
      </c>
      <c r="L32" s="7">
        <v>42563</v>
      </c>
      <c r="M32" s="7">
        <f t="shared" si="4"/>
        <v>42928</v>
      </c>
      <c r="N32" s="8">
        <v>35600</v>
      </c>
      <c r="O32" s="16">
        <f t="shared" si="5"/>
        <v>3204</v>
      </c>
      <c r="P32" s="24">
        <f>SUM(Table1[[#This Row],[Annual Salary]:[Pension]])</f>
        <v>38804</v>
      </c>
    </row>
    <row r="33" spans="1:16" x14ac:dyDescent="0.3">
      <c r="A33" s="3" t="s">
        <v>89</v>
      </c>
      <c r="B33" t="s">
        <v>152</v>
      </c>
      <c r="C33" s="2" t="s">
        <v>25</v>
      </c>
      <c r="D33" s="19" t="s">
        <v>165</v>
      </c>
      <c r="E33" t="str">
        <f t="shared" si="0"/>
        <v>mark.ellis@pushpin.com</v>
      </c>
      <c r="F33" s="7">
        <v>42371</v>
      </c>
      <c r="G33" s="4">
        <f t="shared" ca="1" si="1"/>
        <v>4.8055555555555554</v>
      </c>
      <c r="H33" s="1" t="s">
        <v>59</v>
      </c>
      <c r="I33" s="5" t="s">
        <v>111</v>
      </c>
      <c r="J33" s="6" t="str">
        <f t="shared" si="2"/>
        <v>03</v>
      </c>
      <c r="K33" s="6" t="str">
        <f t="shared" si="3"/>
        <v>2482</v>
      </c>
      <c r="L33" s="7">
        <v>42619</v>
      </c>
      <c r="M33" s="7">
        <f t="shared" si="4"/>
        <v>42984</v>
      </c>
      <c r="N33" s="8">
        <v>58500</v>
      </c>
      <c r="O33" s="16">
        <f t="shared" si="5"/>
        <v>5265</v>
      </c>
      <c r="P33" s="24">
        <f>SUM(Table1[[#This Row],[Annual Salary]:[Pension]])</f>
        <v>63765</v>
      </c>
    </row>
    <row r="34" spans="1:16" x14ac:dyDescent="0.3">
      <c r="A34" s="3" t="s">
        <v>90</v>
      </c>
      <c r="B34" t="s">
        <v>45</v>
      </c>
      <c r="C34" s="2" t="s">
        <v>44</v>
      </c>
      <c r="D34" s="19" t="s">
        <v>166</v>
      </c>
      <c r="E34" t="str">
        <f t="shared" si="0"/>
        <v>yvette.biti@pushpin.com</v>
      </c>
      <c r="F34" s="7">
        <v>42384</v>
      </c>
      <c r="G34" s="4">
        <f t="shared" ca="1" si="1"/>
        <v>4.7694444444444448</v>
      </c>
      <c r="H34" s="1" t="s">
        <v>55</v>
      </c>
      <c r="I34" s="5" t="s">
        <v>100</v>
      </c>
      <c r="J34" s="6" t="str">
        <f t="shared" si="2"/>
        <v>02</v>
      </c>
      <c r="K34" s="6" t="str">
        <f t="shared" si="3"/>
        <v>2589</v>
      </c>
      <c r="L34" s="7">
        <v>42839</v>
      </c>
      <c r="M34" s="7">
        <f t="shared" si="4"/>
        <v>43204</v>
      </c>
      <c r="N34" s="8">
        <v>51400</v>
      </c>
      <c r="O34" s="16">
        <f t="shared" si="5"/>
        <v>4626</v>
      </c>
      <c r="P34" s="24">
        <f>SUM(Table1[[#This Row],[Annual Salary]:[Pension]])</f>
        <v>56026</v>
      </c>
    </row>
    <row r="35" spans="1:16" x14ac:dyDescent="0.3">
      <c r="A35" s="3" t="s">
        <v>91</v>
      </c>
      <c r="B35" t="s">
        <v>158</v>
      </c>
      <c r="C35" s="2" t="s">
        <v>58</v>
      </c>
      <c r="D35" s="19" t="s">
        <v>165</v>
      </c>
      <c r="E35" t="str">
        <f t="shared" si="0"/>
        <v>sean.sanders@pushpin.com</v>
      </c>
      <c r="F35" s="7">
        <v>42691</v>
      </c>
      <c r="G35" s="4">
        <f t="shared" ca="1" si="1"/>
        <v>3.9305555555555554</v>
      </c>
      <c r="H35" s="1" t="s">
        <v>17</v>
      </c>
      <c r="I35" s="5" t="s">
        <v>113</v>
      </c>
      <c r="J35" s="6" t="str">
        <f t="shared" si="2"/>
        <v>03</v>
      </c>
      <c r="K35" s="6" t="str">
        <f t="shared" si="3"/>
        <v>2765</v>
      </c>
      <c r="L35" s="7">
        <v>42566</v>
      </c>
      <c r="M35" s="7">
        <f t="shared" si="4"/>
        <v>42931</v>
      </c>
      <c r="N35" s="8">
        <v>38600</v>
      </c>
      <c r="O35" s="16">
        <f t="shared" si="5"/>
        <v>3474</v>
      </c>
      <c r="P35" s="24">
        <f>SUM(Table1[[#This Row],[Annual Salary]:[Pension]])</f>
        <v>42074</v>
      </c>
    </row>
    <row r="36" spans="1:16" x14ac:dyDescent="0.3">
      <c r="A36" s="3" t="s">
        <v>92</v>
      </c>
      <c r="B36" t="s">
        <v>35</v>
      </c>
      <c r="C36" s="2" t="s">
        <v>34</v>
      </c>
      <c r="D36" s="19" t="s">
        <v>166</v>
      </c>
      <c r="E36" t="str">
        <f t="shared" si="0"/>
        <v>phoebe.gour@pushpin.com</v>
      </c>
      <c r="F36" s="7">
        <v>42721</v>
      </c>
      <c r="G36" s="4">
        <f t="shared" ca="1" si="1"/>
        <v>3.8472222222222223</v>
      </c>
      <c r="H36" s="1" t="s">
        <v>55</v>
      </c>
      <c r="I36" s="5" t="s">
        <v>126</v>
      </c>
      <c r="J36" s="6" t="str">
        <f t="shared" si="2"/>
        <v>02</v>
      </c>
      <c r="K36" s="6" t="str">
        <f t="shared" si="3"/>
        <v>2910</v>
      </c>
      <c r="L36" s="7">
        <v>42539</v>
      </c>
      <c r="M36" s="7">
        <f t="shared" si="4"/>
        <v>42904</v>
      </c>
      <c r="N36" s="8">
        <v>40500</v>
      </c>
      <c r="O36" s="16">
        <f t="shared" si="5"/>
        <v>3645</v>
      </c>
      <c r="P36" s="24">
        <f>SUM(Table1[[#This Row],[Annual Salary]:[Pension]])</f>
        <v>44145</v>
      </c>
    </row>
    <row r="37" spans="1:16" x14ac:dyDescent="0.3">
      <c r="A37" s="3" t="s">
        <v>93</v>
      </c>
      <c r="B37" t="s">
        <v>159</v>
      </c>
      <c r="C37" s="2" t="s">
        <v>57</v>
      </c>
      <c r="D37" s="19" t="s">
        <v>166</v>
      </c>
      <c r="E37" t="str">
        <f t="shared" si="0"/>
        <v>mei.wang@pushpin.com</v>
      </c>
      <c r="F37" s="7">
        <v>40188</v>
      </c>
      <c r="G37" s="4">
        <f t="shared" ca="1" si="1"/>
        <v>10.783333333333333</v>
      </c>
      <c r="H37" s="1" t="s">
        <v>22</v>
      </c>
      <c r="I37" s="5" t="s">
        <v>114</v>
      </c>
      <c r="J37" s="6" t="str">
        <f t="shared" si="2"/>
        <v>01</v>
      </c>
      <c r="K37" s="6" t="str">
        <f t="shared" si="3"/>
        <v>2783</v>
      </c>
      <c r="L37" s="7">
        <v>42544</v>
      </c>
      <c r="M37" s="7">
        <f t="shared" si="4"/>
        <v>42909</v>
      </c>
      <c r="N37" s="8">
        <v>96400</v>
      </c>
      <c r="O37" s="16">
        <f t="shared" si="5"/>
        <v>8676</v>
      </c>
      <c r="P37" s="24">
        <f>SUM(Table1[[#This Row],[Annual Salary]:[Pension]])</f>
        <v>105076</v>
      </c>
    </row>
    <row r="38" spans="1:16" x14ac:dyDescent="0.3">
      <c r="A38" s="3" t="s">
        <v>94</v>
      </c>
      <c r="B38" t="s">
        <v>145</v>
      </c>
      <c r="C38" s="2" t="s">
        <v>16</v>
      </c>
      <c r="D38" s="19" t="s">
        <v>166</v>
      </c>
      <c r="E38" t="str">
        <f t="shared" si="0"/>
        <v>elizabeth.clark@pushpin.com</v>
      </c>
      <c r="F38" s="7">
        <v>42874</v>
      </c>
      <c r="G38" s="4">
        <f t="shared" ca="1" si="1"/>
        <v>3.4249999999999998</v>
      </c>
      <c r="H38" s="1" t="s">
        <v>24</v>
      </c>
      <c r="I38" s="5" t="s">
        <v>107</v>
      </c>
      <c r="J38" s="6" t="str">
        <f t="shared" si="2"/>
        <v>02</v>
      </c>
      <c r="K38" s="6" t="str">
        <f t="shared" si="3"/>
        <v>2414</v>
      </c>
      <c r="L38" s="7">
        <v>42720</v>
      </c>
      <c r="M38" s="7">
        <f t="shared" si="4"/>
        <v>43085</v>
      </c>
      <c r="N38" s="8">
        <v>37000</v>
      </c>
      <c r="O38" s="16">
        <f t="shared" si="5"/>
        <v>3330</v>
      </c>
      <c r="P38" s="24">
        <f>SUM(Table1[[#This Row],[Annual Salary]:[Pension]])</f>
        <v>40330</v>
      </c>
    </row>
    <row r="39" spans="1:16" x14ac:dyDescent="0.3">
      <c r="A39" s="3" t="s">
        <v>172</v>
      </c>
      <c r="B39" t="s">
        <v>173</v>
      </c>
      <c r="C39" s="2" t="s">
        <v>174</v>
      </c>
      <c r="D39" s="19" t="s">
        <v>165</v>
      </c>
      <c r="E39" t="str">
        <f>LOWER(C39&amp;"."&amp;B39&amp;"@pushpin.com")</f>
        <v>william.grey@pushpin.com</v>
      </c>
      <c r="F39" s="23">
        <v>42933</v>
      </c>
      <c r="G39" s="4">
        <f ca="1">YEARFRAC(F39,TODAY())</f>
        <v>3.2638888888888888</v>
      </c>
      <c r="H39" s="1" t="s">
        <v>175</v>
      </c>
      <c r="I39" s="5"/>
      <c r="J39" s="6" t="str">
        <f>LEFT(I39,2)</f>
        <v/>
      </c>
      <c r="K39" s="6" t="str">
        <f>RIGHT(I39,4)</f>
        <v/>
      </c>
      <c r="L39" s="23">
        <v>42933</v>
      </c>
      <c r="M39" s="23">
        <f>L39+365</f>
        <v>43298</v>
      </c>
      <c r="N39" s="8">
        <v>97000</v>
      </c>
      <c r="O39" s="16">
        <f>N39*Pension_Rate</f>
        <v>8730</v>
      </c>
      <c r="P39" s="24">
        <f>SUM(Table1[[#This Row],[Annual Salary]:[Pension]])</f>
        <v>105730</v>
      </c>
    </row>
    <row r="40" spans="1:16" x14ac:dyDescent="0.3">
      <c r="A40" s="3">
        <f>SUBTOTAL(103,Table1[Emp ID])</f>
        <v>36</v>
      </c>
      <c r="C40" s="2"/>
      <c r="D40" s="19"/>
      <c r="G40" s="4">
        <f ca="1">SUBTOTAL(101,Table1[Years Service])</f>
        <v>9.0743055555555561</v>
      </c>
      <c r="H40" s="21"/>
      <c r="I40" s="22"/>
      <c r="J40" s="3"/>
      <c r="K40" s="3"/>
      <c r="L40" s="3"/>
      <c r="M40" s="3"/>
      <c r="N40" s="8">
        <f>SUBTOTAL(109,Table1[Annual Salary])</f>
        <v>2055400</v>
      </c>
      <c r="O40" s="16">
        <f>SUBTOTAL(109,Table1[Pension])</f>
        <v>184986</v>
      </c>
      <c r="P40" s="24">
        <f>SUBTOTAL(109,Table1[Package])</f>
        <v>2240386</v>
      </c>
    </row>
    <row r="42" spans="1:16" ht="15.6" x14ac:dyDescent="0.3">
      <c r="E42" s="13"/>
    </row>
    <row r="43" spans="1:16" ht="15.6" x14ac:dyDescent="0.3">
      <c r="E43" s="13"/>
    </row>
    <row r="44" spans="1:16" ht="15.6" x14ac:dyDescent="0.3">
      <c r="E44" s="13"/>
    </row>
  </sheetData>
  <sortState xmlns:xlrd2="http://schemas.microsoft.com/office/spreadsheetml/2017/richdata2" ref="A4:N38">
    <sortCondition ref="A7"/>
  </sortState>
  <conditionalFormatting sqref="M4:M39">
    <cfRule type="cellIs" dxfId="3" priority="1" operator="equal">
      <formula>0</formula>
    </cfRule>
    <cfRule type="expression" dxfId="2" priority="2">
      <formula>M4&lt;TODAY()</formula>
    </cfRule>
  </conditionalFormatting>
  <pageMargins left="0.7" right="0.7" top="0.75" bottom="0.75" header="0.3" footer="0.3"/>
  <pageSetup paperSize="9" orientation="portrait" horizontalDpi="75" verticalDpi="75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2"/>
  <sheetViews>
    <sheetView showGridLines="0" zoomScale="70" zoomScaleNormal="70" zoomScalePageLayoutView="70" workbookViewId="0">
      <selection activeCell="B42" sqref="B42"/>
    </sheetView>
  </sheetViews>
  <sheetFormatPr defaultColWidth="8.77734375" defaultRowHeight="14.4" x14ac:dyDescent="0.3"/>
  <cols>
    <col min="1" max="1" width="29.6640625" customWidth="1"/>
    <col min="2" max="4" width="17.109375" customWidth="1"/>
  </cols>
  <sheetData>
    <row r="1" spans="1:4" ht="28.8" x14ac:dyDescent="0.55000000000000004">
      <c r="A1" s="18" t="s">
        <v>95</v>
      </c>
    </row>
    <row r="2" spans="1:4" x14ac:dyDescent="0.3">
      <c r="A2" s="3"/>
    </row>
    <row r="3" spans="1:4" ht="23.25" customHeight="1" x14ac:dyDescent="0.3">
      <c r="A3" s="9" t="s">
        <v>162</v>
      </c>
      <c r="B3" s="17">
        <f>COUNTA(Emp_ID)</f>
        <v>36</v>
      </c>
    </row>
    <row r="4" spans="1:4" ht="23.25" customHeight="1" x14ac:dyDescent="0.3">
      <c r="A4" s="9" t="s">
        <v>134</v>
      </c>
      <c r="B4" s="10">
        <f>SUM(Annual_Salary)</f>
        <v>2055400</v>
      </c>
    </row>
    <row r="5" spans="1:4" ht="23.25" customHeight="1" x14ac:dyDescent="0.3">
      <c r="A5" s="9" t="s">
        <v>135</v>
      </c>
      <c r="B5" s="10">
        <f>AVERAGE(Annual_Salary)</f>
        <v>57094.444444444445</v>
      </c>
    </row>
    <row r="6" spans="1:4" ht="23.25" customHeight="1" x14ac:dyDescent="0.3">
      <c r="A6" s="9" t="s">
        <v>136</v>
      </c>
      <c r="B6" s="11">
        <f ca="1">MAX(Years_Service)</f>
        <v>19.725000000000001</v>
      </c>
    </row>
    <row r="7" spans="1:4" ht="23.25" customHeight="1" x14ac:dyDescent="0.3">
      <c r="A7" s="9" t="s">
        <v>137</v>
      </c>
      <c r="B7" s="12">
        <f>MAX(Date_of_Hire)</f>
        <v>42933</v>
      </c>
    </row>
    <row r="10" spans="1:4" x14ac:dyDescent="0.3">
      <c r="A10" s="9" t="s">
        <v>164</v>
      </c>
      <c r="B10" s="20" t="s">
        <v>167</v>
      </c>
    </row>
    <row r="11" spans="1:4" x14ac:dyDescent="0.3">
      <c r="A11" s="1" t="s">
        <v>168</v>
      </c>
      <c r="B11" s="6">
        <f>COUNTIFS(Gender,"M")</f>
        <v>18</v>
      </c>
    </row>
    <row r="12" spans="1:4" x14ac:dyDescent="0.3">
      <c r="A12" s="1" t="s">
        <v>169</v>
      </c>
      <c r="B12" s="6">
        <f>COUNTIFS(Gender,"F")</f>
        <v>18</v>
      </c>
    </row>
    <row r="15" spans="1:4" x14ac:dyDescent="0.3">
      <c r="A15" t="s">
        <v>5</v>
      </c>
      <c r="B15" t="s">
        <v>163</v>
      </c>
      <c r="C15" t="s">
        <v>165</v>
      </c>
      <c r="D15" t="s">
        <v>166</v>
      </c>
    </row>
    <row r="16" spans="1:4" x14ac:dyDescent="0.3">
      <c r="A16" s="1" t="s">
        <v>22</v>
      </c>
      <c r="B16" s="16">
        <f t="shared" ref="B16:B21" si="0">SUMIFS(Annual_Salary,Department,A16)</f>
        <v>197800</v>
      </c>
      <c r="C16" s="16">
        <f t="shared" ref="C16:C21" si="1">SUMIFS(Annual_Salary,Department,A16,Gender,$C$15)</f>
        <v>101400</v>
      </c>
      <c r="D16" s="16">
        <f t="shared" ref="D16:D21" si="2">SUMIFS(Annual_Salary,Department,A16,Gender,$D$15)</f>
        <v>96400</v>
      </c>
    </row>
    <row r="17" spans="1:4" x14ac:dyDescent="0.3">
      <c r="A17" s="1" t="s">
        <v>59</v>
      </c>
      <c r="B17" s="16">
        <f t="shared" si="0"/>
        <v>278500</v>
      </c>
      <c r="C17" s="16">
        <f t="shared" si="1"/>
        <v>178400</v>
      </c>
      <c r="D17" s="16">
        <f t="shared" si="2"/>
        <v>100100</v>
      </c>
    </row>
    <row r="18" spans="1:4" x14ac:dyDescent="0.3">
      <c r="A18" s="1" t="s">
        <v>55</v>
      </c>
      <c r="B18" s="16">
        <f t="shared" si="0"/>
        <v>807000</v>
      </c>
      <c r="C18" s="16">
        <f t="shared" si="1"/>
        <v>395600</v>
      </c>
      <c r="D18" s="16">
        <f t="shared" si="2"/>
        <v>411400</v>
      </c>
    </row>
    <row r="19" spans="1:4" x14ac:dyDescent="0.3">
      <c r="A19" s="1" t="s">
        <v>24</v>
      </c>
      <c r="B19" s="16">
        <f t="shared" si="0"/>
        <v>255500</v>
      </c>
      <c r="C19" s="16">
        <f t="shared" si="1"/>
        <v>59200</v>
      </c>
      <c r="D19" s="16">
        <f t="shared" si="2"/>
        <v>196300</v>
      </c>
    </row>
    <row r="20" spans="1:4" x14ac:dyDescent="0.3">
      <c r="A20" s="1" t="s">
        <v>15</v>
      </c>
      <c r="B20" s="16">
        <f t="shared" si="0"/>
        <v>227800</v>
      </c>
      <c r="C20" s="16">
        <f t="shared" si="1"/>
        <v>114400</v>
      </c>
      <c r="D20" s="16">
        <f t="shared" si="2"/>
        <v>113400</v>
      </c>
    </row>
    <row r="21" spans="1:4" x14ac:dyDescent="0.3">
      <c r="A21" s="1" t="s">
        <v>17</v>
      </c>
      <c r="B21" s="16">
        <f t="shared" si="0"/>
        <v>149700</v>
      </c>
      <c r="C21" s="16">
        <f t="shared" si="1"/>
        <v>86500</v>
      </c>
      <c r="D21" s="16">
        <f t="shared" si="2"/>
        <v>63200</v>
      </c>
    </row>
    <row r="22" spans="1:4" x14ac:dyDescent="0.3">
      <c r="A22" s="21" t="s">
        <v>175</v>
      </c>
      <c r="B22" s="16">
        <f>SUMIFS(Annual_Salary,Department,A22)</f>
        <v>97000</v>
      </c>
      <c r="C22" s="16">
        <f>SUMIFS(Annual_Salary,Department,A22,Gender,$C$15)</f>
        <v>97000</v>
      </c>
      <c r="D22" s="16">
        <f>SUMIFS(Annual_Salary,Department,A22,Gender,$D$15)</f>
        <v>0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E4F3A-286B-4B1C-9258-C322589E8642}">
  <dimension ref="A1:P52"/>
  <sheetViews>
    <sheetView tabSelected="1" zoomScaleNormal="100" zoomScalePageLayoutView="70" workbookViewId="0">
      <selection activeCell="R7" sqref="R7"/>
    </sheetView>
  </sheetViews>
  <sheetFormatPr defaultColWidth="8.77734375" defaultRowHeight="14.4" x14ac:dyDescent="0.3"/>
  <cols>
    <col min="1" max="1" width="9.109375" style="3" customWidth="1"/>
    <col min="2" max="2" width="13" customWidth="1"/>
    <col min="3" max="3" width="11.77734375" customWidth="1"/>
    <col min="4" max="4" width="9.44140625" style="3" customWidth="1"/>
    <col min="5" max="5" width="29.109375" bestFit="1" customWidth="1"/>
    <col min="6" max="6" width="14" style="3" customWidth="1"/>
    <col min="7" max="7" width="14.77734375" customWidth="1"/>
    <col min="8" max="8" width="17.6640625" customWidth="1"/>
    <col min="9" max="9" width="16.109375" hidden="1" customWidth="1"/>
    <col min="10" max="10" width="10.44140625" hidden="1" customWidth="1"/>
    <col min="11" max="11" width="12.77734375" hidden="1" customWidth="1"/>
    <col min="12" max="12" width="14.109375" hidden="1" customWidth="1"/>
    <col min="13" max="13" width="14.44140625" hidden="1" customWidth="1"/>
    <col min="14" max="14" width="15.109375" customWidth="1"/>
    <col min="15" max="15" width="11.33203125" bestFit="1" customWidth="1"/>
    <col min="16" max="16" width="13.33203125" bestFit="1" customWidth="1"/>
  </cols>
  <sheetData>
    <row r="1" spans="1:16" ht="28.8" x14ac:dyDescent="0.55000000000000004">
      <c r="A1" s="18" t="s">
        <v>95</v>
      </c>
      <c r="O1" s="14" t="s">
        <v>161</v>
      </c>
      <c r="P1" s="15">
        <v>0.09</v>
      </c>
    </row>
    <row r="2" spans="1:16" ht="15" thickBot="1" x14ac:dyDescent="0.35"/>
    <row r="3" spans="1:16" ht="15" thickBot="1" x14ac:dyDescent="0.35">
      <c r="A3" s="27" t="s">
        <v>0</v>
      </c>
      <c r="B3" s="27" t="s">
        <v>1</v>
      </c>
      <c r="C3" s="27" t="s">
        <v>2</v>
      </c>
      <c r="D3" s="27" t="s">
        <v>164</v>
      </c>
      <c r="E3" s="27" t="s">
        <v>3</v>
      </c>
      <c r="F3" s="27" t="s">
        <v>4</v>
      </c>
      <c r="G3" s="27" t="s">
        <v>62</v>
      </c>
      <c r="H3" s="27" t="s">
        <v>5</v>
      </c>
      <c r="I3" s="27" t="s">
        <v>6</v>
      </c>
      <c r="J3" s="27" t="s">
        <v>60</v>
      </c>
      <c r="K3" s="27" t="s">
        <v>7</v>
      </c>
      <c r="L3" s="27" t="s">
        <v>132</v>
      </c>
      <c r="M3" s="27" t="s">
        <v>133</v>
      </c>
      <c r="N3" s="27" t="s">
        <v>170</v>
      </c>
      <c r="O3" s="27" t="s">
        <v>160</v>
      </c>
      <c r="P3" s="27" t="s">
        <v>171</v>
      </c>
    </row>
    <row r="4" spans="1:16" x14ac:dyDescent="0.3">
      <c r="A4" s="28" t="s">
        <v>67</v>
      </c>
      <c r="B4" s="29" t="s">
        <v>51</v>
      </c>
      <c r="C4" s="30" t="s">
        <v>50</v>
      </c>
      <c r="D4" s="31" t="s">
        <v>165</v>
      </c>
      <c r="E4" s="29" t="str">
        <f>LOWER(C4&amp;"."&amp;B4&amp;"@pushpin.com")</f>
        <v>nicholas.fernandes@pushpin.com</v>
      </c>
      <c r="F4" s="32">
        <v>39023</v>
      </c>
      <c r="G4" s="33">
        <f ca="1">YEARFRAC(F4,TODAY())</f>
        <v>13.972222222222221</v>
      </c>
      <c r="H4" s="34" t="s">
        <v>15</v>
      </c>
      <c r="I4" s="35" t="s">
        <v>122</v>
      </c>
      <c r="J4" s="36" t="str">
        <f>LEFT(I4,2)</f>
        <v>02</v>
      </c>
      <c r="K4" s="36" t="str">
        <f>RIGHT(I4,4)</f>
        <v>2372</v>
      </c>
      <c r="L4" s="32">
        <v>42614</v>
      </c>
      <c r="M4" s="32">
        <f>L4+365</f>
        <v>42979</v>
      </c>
      <c r="N4" s="37">
        <v>51600</v>
      </c>
      <c r="O4" s="38">
        <f>N4*Pension_Rate</f>
        <v>4644</v>
      </c>
      <c r="P4" s="39">
        <f>SUM('Report July 2017'!$N4:$O4)</f>
        <v>56244</v>
      </c>
    </row>
    <row r="5" spans="1:16" x14ac:dyDescent="0.3">
      <c r="A5" s="40" t="s">
        <v>79</v>
      </c>
      <c r="B5" s="25" t="s">
        <v>139</v>
      </c>
      <c r="C5" s="2" t="s">
        <v>27</v>
      </c>
      <c r="D5" s="19" t="s">
        <v>165</v>
      </c>
      <c r="E5" s="25" t="str">
        <f>LOWER(C5&amp;"."&amp;B5&amp;"@pushpin.com")</f>
        <v>jim.boller@pushpin.com</v>
      </c>
      <c r="F5" s="41">
        <v>41893</v>
      </c>
      <c r="G5" s="42">
        <f ca="1">YEARFRAC(F5,TODAY())</f>
        <v>6.1138888888888889</v>
      </c>
      <c r="H5" s="43" t="s">
        <v>15</v>
      </c>
      <c r="I5" s="44" t="s">
        <v>116</v>
      </c>
      <c r="J5" s="45" t="str">
        <f>LEFT(I5,2)</f>
        <v>03</v>
      </c>
      <c r="K5" s="45" t="str">
        <f>RIGHT(I5,4)</f>
        <v>2318</v>
      </c>
      <c r="L5" s="41">
        <v>42835</v>
      </c>
      <c r="M5" s="41">
        <f>L5+365</f>
        <v>43200</v>
      </c>
      <c r="N5" s="46">
        <v>62800</v>
      </c>
      <c r="O5" s="47">
        <f>N5*Pension_Rate</f>
        <v>5652</v>
      </c>
      <c r="P5" s="48">
        <f>SUM('Report July 2017'!$N5:$O5)</f>
        <v>68452</v>
      </c>
    </row>
    <row r="6" spans="1:16" x14ac:dyDescent="0.3">
      <c r="A6" s="40" t="s">
        <v>82</v>
      </c>
      <c r="B6" s="25" t="s">
        <v>145</v>
      </c>
      <c r="C6" s="2" t="s">
        <v>146</v>
      </c>
      <c r="D6" s="19" t="s">
        <v>166</v>
      </c>
      <c r="E6" s="25" t="str">
        <f>LOWER(C6&amp;"."&amp;B6&amp;"@pushpin.com")</f>
        <v>anna.clark@pushpin.com</v>
      </c>
      <c r="F6" s="41">
        <v>41989</v>
      </c>
      <c r="G6" s="42">
        <f ca="1">YEARFRAC(F6,TODAY())</f>
        <v>5.85</v>
      </c>
      <c r="H6" s="43" t="s">
        <v>15</v>
      </c>
      <c r="I6" s="44" t="s">
        <v>106</v>
      </c>
      <c r="J6" s="45" t="str">
        <f>LEFT(I6,2)</f>
        <v>03</v>
      </c>
      <c r="K6" s="45" t="str">
        <f>RIGHT(I6,4)</f>
        <v>2601</v>
      </c>
      <c r="L6" s="41">
        <v>42731</v>
      </c>
      <c r="M6" s="41">
        <f>L6+365</f>
        <v>43096</v>
      </c>
      <c r="N6" s="46">
        <v>58500</v>
      </c>
      <c r="O6" s="47">
        <f>N6*Pension_Rate</f>
        <v>5265</v>
      </c>
      <c r="P6" s="48">
        <f>SUM('Report July 2017'!$N6:$O6)</f>
        <v>63765</v>
      </c>
    </row>
    <row r="7" spans="1:16" x14ac:dyDescent="0.3">
      <c r="A7" s="40" t="s">
        <v>85</v>
      </c>
      <c r="B7" s="25" t="s">
        <v>151</v>
      </c>
      <c r="C7" s="2" t="s">
        <v>26</v>
      </c>
      <c r="D7" s="19" t="s">
        <v>166</v>
      </c>
      <c r="E7" s="25" t="str">
        <f>LOWER(C7&amp;"."&amp;B7&amp;"@pushpin.com")</f>
        <v>alexandra.donnell@pushpin.com</v>
      </c>
      <c r="F7" s="41">
        <v>42228</v>
      </c>
      <c r="G7" s="42">
        <f ca="1">YEARFRAC(F7,TODAY())</f>
        <v>5.1944444444444446</v>
      </c>
      <c r="H7" s="43" t="s">
        <v>15</v>
      </c>
      <c r="I7" s="44" t="s">
        <v>110</v>
      </c>
      <c r="J7" s="45" t="str">
        <f>LEFT(I7,2)</f>
        <v>03</v>
      </c>
      <c r="K7" s="45" t="str">
        <f>RIGHT(I7,4)</f>
        <v>2082</v>
      </c>
      <c r="L7" s="41">
        <v>42629</v>
      </c>
      <c r="M7" s="41">
        <f>L7+365</f>
        <v>42994</v>
      </c>
      <c r="N7" s="46">
        <v>54900</v>
      </c>
      <c r="O7" s="47">
        <f>N7*Pension_Rate</f>
        <v>4941</v>
      </c>
      <c r="P7" s="48">
        <f>SUM('Report July 2017'!$N7:$O7)</f>
        <v>59841</v>
      </c>
    </row>
    <row r="8" spans="1:16" x14ac:dyDescent="0.3">
      <c r="A8" s="40"/>
      <c r="B8" s="25"/>
      <c r="C8" s="2"/>
      <c r="D8" s="19"/>
      <c r="E8" s="25"/>
      <c r="F8" s="41"/>
      <c r="G8" s="42"/>
      <c r="H8" s="61" t="s">
        <v>176</v>
      </c>
      <c r="I8" s="44"/>
      <c r="J8" s="45"/>
      <c r="K8" s="45"/>
      <c r="L8" s="41"/>
      <c r="M8" s="41"/>
      <c r="N8" s="46">
        <f>SUBTOTAL(9,N4:N7)</f>
        <v>227800</v>
      </c>
      <c r="O8" s="47">
        <f>SUBTOTAL(9,O4:O7)</f>
        <v>20502</v>
      </c>
      <c r="P8" s="48">
        <f>SUBTOTAL(9,P4:P7)</f>
        <v>248302</v>
      </c>
    </row>
    <row r="9" spans="1:16" x14ac:dyDescent="0.3">
      <c r="A9" s="40" t="s">
        <v>63</v>
      </c>
      <c r="B9" s="25" t="s">
        <v>138</v>
      </c>
      <c r="C9" s="2" t="s">
        <v>12</v>
      </c>
      <c r="D9" s="19" t="s">
        <v>165</v>
      </c>
      <c r="E9" s="25" t="str">
        <f>LOWER(C9&amp;"."&amp;B9&amp;"@pushpin.com")</f>
        <v>adam.barry@pushpin.com</v>
      </c>
      <c r="F9" s="41">
        <v>38099</v>
      </c>
      <c r="G9" s="42">
        <f ca="1">YEARFRAC(F9,TODAY())</f>
        <v>16.5</v>
      </c>
      <c r="H9" s="43" t="s">
        <v>24</v>
      </c>
      <c r="I9" s="44" t="s">
        <v>97</v>
      </c>
      <c r="J9" s="45" t="str">
        <f>LEFT(I9,2)</f>
        <v>02</v>
      </c>
      <c r="K9" s="45" t="str">
        <f>RIGHT(I9,4)</f>
        <v>2018</v>
      </c>
      <c r="L9" s="41">
        <v>42860</v>
      </c>
      <c r="M9" s="41">
        <f>L9+365</f>
        <v>43225</v>
      </c>
      <c r="N9" s="46">
        <v>59200</v>
      </c>
      <c r="O9" s="47">
        <f>N9*Pension_Rate</f>
        <v>5328</v>
      </c>
      <c r="P9" s="48">
        <f>SUM('Report July 2017'!$N9:$O9)</f>
        <v>64528</v>
      </c>
    </row>
    <row r="10" spans="1:16" x14ac:dyDescent="0.3">
      <c r="A10" s="40" t="s">
        <v>65</v>
      </c>
      <c r="B10" s="25" t="s">
        <v>154</v>
      </c>
      <c r="C10" s="2" t="s">
        <v>14</v>
      </c>
      <c r="D10" s="19" t="s">
        <v>166</v>
      </c>
      <c r="E10" s="25" t="str">
        <f>LOWER(C10&amp;"."&amp;B10&amp;"@pushpin.com")</f>
        <v>susan.filosa@pushpin.com</v>
      </c>
      <c r="F10" s="41">
        <v>38744</v>
      </c>
      <c r="G10" s="42">
        <f ca="1">YEARFRAC(F10,TODAY())</f>
        <v>14.736111111111111</v>
      </c>
      <c r="H10" s="43" t="s">
        <v>24</v>
      </c>
      <c r="I10" s="44" t="s">
        <v>112</v>
      </c>
      <c r="J10" s="45" t="str">
        <f>LEFT(I10,2)</f>
        <v>02</v>
      </c>
      <c r="K10" s="45" t="str">
        <f>RIGHT(I10,4)</f>
        <v>2279</v>
      </c>
      <c r="L10" s="41">
        <v>42596</v>
      </c>
      <c r="M10" s="41">
        <f>L10+365</f>
        <v>42961</v>
      </c>
      <c r="N10" s="46">
        <v>58400</v>
      </c>
      <c r="O10" s="47">
        <f>N10*Pension_Rate</f>
        <v>5256</v>
      </c>
      <c r="P10" s="48">
        <f>SUM('Report July 2017'!$N10:$O10)</f>
        <v>63656</v>
      </c>
    </row>
    <row r="11" spans="1:16" x14ac:dyDescent="0.3">
      <c r="A11" s="40" t="s">
        <v>69</v>
      </c>
      <c r="B11" s="25" t="s">
        <v>148</v>
      </c>
      <c r="C11" s="2" t="s">
        <v>18</v>
      </c>
      <c r="D11" s="19" t="s">
        <v>166</v>
      </c>
      <c r="E11" s="25" t="str">
        <f>LOWER(C11&amp;"."&amp;B11&amp;"@pushpin.com")</f>
        <v>janet.comuntzis@pushpin.com</v>
      </c>
      <c r="F11" s="41">
        <v>39686</v>
      </c>
      <c r="G11" s="42">
        <f ca="1">YEARFRAC(F11,TODAY())</f>
        <v>12.155555555555555</v>
      </c>
      <c r="H11" s="43" t="s">
        <v>24</v>
      </c>
      <c r="I11" s="44" t="s">
        <v>109</v>
      </c>
      <c r="J11" s="45" t="str">
        <f>LEFT(I11,2)</f>
        <v>02</v>
      </c>
      <c r="K11" s="45" t="str">
        <f>RIGHT(I11,4)</f>
        <v>2286</v>
      </c>
      <c r="L11" s="41">
        <v>42658</v>
      </c>
      <c r="M11" s="41">
        <f>L11+365</f>
        <v>43023</v>
      </c>
      <c r="N11" s="46">
        <v>55800</v>
      </c>
      <c r="O11" s="47">
        <f>N11*Pension_Rate</f>
        <v>5022</v>
      </c>
      <c r="P11" s="48">
        <f>SUM('Report July 2017'!$N11:$O11)</f>
        <v>60822</v>
      </c>
    </row>
    <row r="12" spans="1:16" x14ac:dyDescent="0.3">
      <c r="A12" s="40" t="s">
        <v>77</v>
      </c>
      <c r="B12" s="25" t="s">
        <v>147</v>
      </c>
      <c r="C12" s="2" t="s">
        <v>20</v>
      </c>
      <c r="D12" s="19" t="s">
        <v>166</v>
      </c>
      <c r="E12" s="25" t="str">
        <f>LOWER(C12&amp;"."&amp;B12&amp;"@pushpin.com")</f>
        <v>sabrina.cole@pushpin.com</v>
      </c>
      <c r="F12" s="41">
        <v>41401</v>
      </c>
      <c r="G12" s="42">
        <f ca="1">YEARFRAC(F12,TODAY())</f>
        <v>7.458333333333333</v>
      </c>
      <c r="H12" s="43" t="s">
        <v>24</v>
      </c>
      <c r="I12" s="44" t="s">
        <v>108</v>
      </c>
      <c r="J12" s="45" t="str">
        <f>LEFT(I12,2)</f>
        <v>02</v>
      </c>
      <c r="K12" s="45" t="str">
        <f>RIGHT(I12,4)</f>
        <v>2537</v>
      </c>
      <c r="L12" s="41">
        <v>42710</v>
      </c>
      <c r="M12" s="41">
        <f>L12+365</f>
        <v>43075</v>
      </c>
      <c r="N12" s="46">
        <v>45100</v>
      </c>
      <c r="O12" s="47">
        <f>N12*Pension_Rate</f>
        <v>4059</v>
      </c>
      <c r="P12" s="48">
        <f>SUM('Report July 2017'!$N12:$O12)</f>
        <v>49159</v>
      </c>
    </row>
    <row r="13" spans="1:16" x14ac:dyDescent="0.3">
      <c r="A13" s="40" t="s">
        <v>94</v>
      </c>
      <c r="B13" s="25" t="s">
        <v>145</v>
      </c>
      <c r="C13" s="2" t="s">
        <v>16</v>
      </c>
      <c r="D13" s="19" t="s">
        <v>166</v>
      </c>
      <c r="E13" s="25" t="str">
        <f>LOWER(C13&amp;"."&amp;B13&amp;"@pushpin.com")</f>
        <v>elizabeth.clark@pushpin.com</v>
      </c>
      <c r="F13" s="41">
        <v>42874</v>
      </c>
      <c r="G13" s="42">
        <f ca="1">YEARFRAC(F13,TODAY())</f>
        <v>3.4249999999999998</v>
      </c>
      <c r="H13" s="43" t="s">
        <v>24</v>
      </c>
      <c r="I13" s="44" t="s">
        <v>107</v>
      </c>
      <c r="J13" s="45" t="str">
        <f>LEFT(I13,2)</f>
        <v>02</v>
      </c>
      <c r="K13" s="45" t="str">
        <f>RIGHT(I13,4)</f>
        <v>2414</v>
      </c>
      <c r="L13" s="41">
        <v>42720</v>
      </c>
      <c r="M13" s="41">
        <f>L13+365</f>
        <v>43085</v>
      </c>
      <c r="N13" s="46">
        <v>37000</v>
      </c>
      <c r="O13" s="47">
        <f>N13*Pension_Rate</f>
        <v>3330</v>
      </c>
      <c r="P13" s="48">
        <f>SUM('Report July 2017'!$N13:$O13)</f>
        <v>40330</v>
      </c>
    </row>
    <row r="14" spans="1:16" ht="28.8" x14ac:dyDescent="0.3">
      <c r="A14" s="40"/>
      <c r="B14" s="25"/>
      <c r="C14" s="2"/>
      <c r="D14" s="19"/>
      <c r="E14" s="25"/>
      <c r="F14" s="41"/>
      <c r="G14" s="42"/>
      <c r="H14" s="61" t="s">
        <v>177</v>
      </c>
      <c r="I14" s="44"/>
      <c r="J14" s="45"/>
      <c r="K14" s="45"/>
      <c r="L14" s="41"/>
      <c r="M14" s="41"/>
      <c r="N14" s="46">
        <f>SUBTOTAL(9,N9:N13)</f>
        <v>255500</v>
      </c>
      <c r="O14" s="47">
        <f>SUBTOTAL(9,O9:O13)</f>
        <v>22995</v>
      </c>
      <c r="P14" s="48">
        <f>SUBTOTAL(9,P9:P13)</f>
        <v>278495</v>
      </c>
    </row>
    <row r="15" spans="1:16" x14ac:dyDescent="0.3">
      <c r="A15" s="40" t="s">
        <v>8</v>
      </c>
      <c r="B15" s="25" t="s">
        <v>140</v>
      </c>
      <c r="C15" s="2" t="s">
        <v>23</v>
      </c>
      <c r="D15" s="19" t="s">
        <v>165</v>
      </c>
      <c r="E15" s="25" t="str">
        <f>LOWER(C15&amp;"."&amp;B15&amp;"@pushpin.com")</f>
        <v>joe.carol@pushpin.com</v>
      </c>
      <c r="F15" s="41">
        <v>36923</v>
      </c>
      <c r="G15" s="42">
        <f ca="1">YEARFRAC(F15,TODAY())</f>
        <v>19.725000000000001</v>
      </c>
      <c r="H15" s="43" t="s">
        <v>22</v>
      </c>
      <c r="I15" s="44" t="s">
        <v>118</v>
      </c>
      <c r="J15" s="45" t="str">
        <f>LEFT(I15,2)</f>
        <v>01</v>
      </c>
      <c r="K15" s="45" t="str">
        <f>RIGHT(I15,4)</f>
        <v>2321</v>
      </c>
      <c r="L15" s="41">
        <v>42817</v>
      </c>
      <c r="M15" s="41">
        <f>L15+365</f>
        <v>43182</v>
      </c>
      <c r="N15" s="46">
        <v>101400</v>
      </c>
      <c r="O15" s="47">
        <f>N15*Pension_Rate</f>
        <v>9126</v>
      </c>
      <c r="P15" s="48">
        <f>SUM('Report July 2017'!$N15:$O15)</f>
        <v>110526</v>
      </c>
    </row>
    <row r="16" spans="1:16" x14ac:dyDescent="0.3">
      <c r="A16" s="40" t="s">
        <v>93</v>
      </c>
      <c r="B16" s="25" t="s">
        <v>159</v>
      </c>
      <c r="C16" s="2" t="s">
        <v>57</v>
      </c>
      <c r="D16" s="19" t="s">
        <v>166</v>
      </c>
      <c r="E16" s="25" t="str">
        <f>LOWER(C16&amp;"."&amp;B16&amp;"@pushpin.com")</f>
        <v>mei.wang@pushpin.com</v>
      </c>
      <c r="F16" s="41">
        <v>40188</v>
      </c>
      <c r="G16" s="42">
        <f ca="1">YEARFRAC(F16,TODAY())</f>
        <v>10.783333333333333</v>
      </c>
      <c r="H16" s="43" t="s">
        <v>22</v>
      </c>
      <c r="I16" s="44" t="s">
        <v>114</v>
      </c>
      <c r="J16" s="45" t="str">
        <f>LEFT(I16,2)</f>
        <v>01</v>
      </c>
      <c r="K16" s="45" t="str">
        <f>RIGHT(I16,4)</f>
        <v>2783</v>
      </c>
      <c r="L16" s="41">
        <v>42544</v>
      </c>
      <c r="M16" s="41">
        <f>L16+365</f>
        <v>42909</v>
      </c>
      <c r="N16" s="46">
        <v>96400</v>
      </c>
      <c r="O16" s="47">
        <f>N16*Pension_Rate</f>
        <v>8676</v>
      </c>
      <c r="P16" s="48">
        <f>SUM('Report July 2017'!$N16:$O16)</f>
        <v>105076</v>
      </c>
    </row>
    <row r="17" spans="1:16" x14ac:dyDescent="0.3">
      <c r="A17" s="40"/>
      <c r="B17" s="25"/>
      <c r="C17" s="2"/>
      <c r="D17" s="19"/>
      <c r="E17" s="25"/>
      <c r="F17" s="41"/>
      <c r="G17" s="42"/>
      <c r="H17" s="61" t="s">
        <v>178</v>
      </c>
      <c r="I17" s="44"/>
      <c r="J17" s="45"/>
      <c r="K17" s="45"/>
      <c r="L17" s="41"/>
      <c r="M17" s="41"/>
      <c r="N17" s="46">
        <f>SUBTOTAL(9,N15:N16)</f>
        <v>197800</v>
      </c>
      <c r="O17" s="47">
        <f>SUBTOTAL(9,O15:O16)</f>
        <v>17802</v>
      </c>
      <c r="P17" s="48">
        <f>SUBTOTAL(9,P15:P16)</f>
        <v>215602</v>
      </c>
    </row>
    <row r="18" spans="1:16" x14ac:dyDescent="0.3">
      <c r="A18" s="40" t="s">
        <v>78</v>
      </c>
      <c r="B18" s="25" t="s">
        <v>141</v>
      </c>
      <c r="C18" s="2" t="s">
        <v>27</v>
      </c>
      <c r="D18" s="19" t="s">
        <v>165</v>
      </c>
      <c r="E18" s="25" t="str">
        <f>LOWER(C18&amp;"."&amp;B18&amp;"@pushpin.com")</f>
        <v>jim.chaffee@pushpin.com</v>
      </c>
      <c r="F18" s="41">
        <v>41787</v>
      </c>
      <c r="G18" s="42">
        <f ca="1">YEARFRAC(F18,TODAY())</f>
        <v>6.4</v>
      </c>
      <c r="H18" s="43" t="s">
        <v>13</v>
      </c>
      <c r="I18" s="44" t="s">
        <v>102</v>
      </c>
      <c r="J18" s="45" t="str">
        <f>LEFT(I18,2)</f>
        <v>03</v>
      </c>
      <c r="K18" s="45" t="str">
        <f>RIGHT(I18,4)</f>
        <v>2432</v>
      </c>
      <c r="L18" s="41">
        <v>42804</v>
      </c>
      <c r="M18" s="41">
        <f>L18+365</f>
        <v>43169</v>
      </c>
      <c r="N18" s="46">
        <v>42100</v>
      </c>
      <c r="O18" s="47">
        <f>N18*Pension_Rate</f>
        <v>3789</v>
      </c>
      <c r="P18" s="48">
        <f>SUM('Report July 2017'!$N18:$O18)</f>
        <v>45889</v>
      </c>
    </row>
    <row r="19" spans="1:16" x14ac:dyDescent="0.3">
      <c r="A19" s="40"/>
      <c r="B19" s="25"/>
      <c r="C19" s="2"/>
      <c r="D19" s="19"/>
      <c r="E19" s="25"/>
      <c r="F19" s="41"/>
      <c r="G19" s="42"/>
      <c r="H19" s="61" t="s">
        <v>179</v>
      </c>
      <c r="I19" s="44"/>
      <c r="J19" s="45"/>
      <c r="K19" s="45"/>
      <c r="L19" s="41"/>
      <c r="M19" s="41"/>
      <c r="N19" s="46">
        <f>SUBTOTAL(9,N18:N18)</f>
        <v>42100</v>
      </c>
      <c r="O19" s="47">
        <f>SUBTOTAL(9,O18:O18)</f>
        <v>3789</v>
      </c>
      <c r="P19" s="48">
        <f>SUBTOTAL(9,P18:P18)</f>
        <v>45889</v>
      </c>
    </row>
    <row r="20" spans="1:16" x14ac:dyDescent="0.3">
      <c r="A20" s="40" t="s">
        <v>74</v>
      </c>
      <c r="B20" s="25" t="s">
        <v>142</v>
      </c>
      <c r="C20" s="2" t="s">
        <v>61</v>
      </c>
      <c r="D20" s="19" t="s">
        <v>166</v>
      </c>
      <c r="E20" s="25" t="str">
        <f>LOWER(C20&amp;"."&amp;B20&amp;"@pushpin.com")</f>
        <v>uma.chaudri@pushpin.com</v>
      </c>
      <c r="F20" s="41">
        <v>40994</v>
      </c>
      <c r="G20" s="42">
        <f ca="1">YEARFRAC(F20,TODAY())</f>
        <v>8.5722222222222229</v>
      </c>
      <c r="H20" s="43" t="s">
        <v>17</v>
      </c>
      <c r="I20" s="44" t="s">
        <v>119</v>
      </c>
      <c r="J20" s="45" t="str">
        <f>LEFT(I20,2)</f>
        <v>03</v>
      </c>
      <c r="K20" s="45" t="str">
        <f>RIGHT(I20,4)</f>
        <v>2134</v>
      </c>
      <c r="L20" s="41">
        <v>42776</v>
      </c>
      <c r="M20" s="41">
        <f>L20+365</f>
        <v>43141</v>
      </c>
      <c r="N20" s="46">
        <v>63200</v>
      </c>
      <c r="O20" s="47">
        <f>N20*Pension_Rate</f>
        <v>5688</v>
      </c>
      <c r="P20" s="48">
        <f>SUM('Report July 2017'!$N20:$O20)</f>
        <v>68888</v>
      </c>
    </row>
    <row r="21" spans="1:16" x14ac:dyDescent="0.3">
      <c r="A21" s="40" t="s">
        <v>86</v>
      </c>
      <c r="B21" s="25" t="s">
        <v>156</v>
      </c>
      <c r="C21" s="2" t="s">
        <v>157</v>
      </c>
      <c r="D21" s="19" t="s">
        <v>165</v>
      </c>
      <c r="E21" s="25" t="str">
        <f>LOWER(C21&amp;"."&amp;B21&amp;"@pushpin.com")</f>
        <v>carlos.martinez@pushpin.com</v>
      </c>
      <c r="F21" s="41">
        <v>42229</v>
      </c>
      <c r="G21" s="42">
        <f ca="1">YEARFRAC(F21,TODAY())</f>
        <v>5.1916666666666664</v>
      </c>
      <c r="H21" s="43" t="s">
        <v>17</v>
      </c>
      <c r="I21" s="44" t="s">
        <v>99</v>
      </c>
      <c r="J21" s="45" t="str">
        <f>LEFT(I21,2)</f>
        <v>03</v>
      </c>
      <c r="K21" s="45" t="str">
        <f>RIGHT(I21,4)</f>
        <v>2764</v>
      </c>
      <c r="L21" s="41">
        <v>42845</v>
      </c>
      <c r="M21" s="41">
        <f>L21+365</f>
        <v>43210</v>
      </c>
      <c r="N21" s="46">
        <v>47900</v>
      </c>
      <c r="O21" s="47">
        <f>N21*Pension_Rate</f>
        <v>4311</v>
      </c>
      <c r="P21" s="48">
        <f>SUM('Report July 2017'!$N21:$O21)</f>
        <v>52211</v>
      </c>
    </row>
    <row r="22" spans="1:16" x14ac:dyDescent="0.3">
      <c r="A22" s="40" t="s">
        <v>91</v>
      </c>
      <c r="B22" s="25" t="s">
        <v>158</v>
      </c>
      <c r="C22" s="2" t="s">
        <v>58</v>
      </c>
      <c r="D22" s="19" t="s">
        <v>165</v>
      </c>
      <c r="E22" s="25" t="str">
        <f>LOWER(C22&amp;"."&amp;B22&amp;"@pushpin.com")</f>
        <v>sean.sanders@pushpin.com</v>
      </c>
      <c r="F22" s="41">
        <v>42691</v>
      </c>
      <c r="G22" s="42">
        <f ca="1">YEARFRAC(F22,TODAY())</f>
        <v>3.9305555555555554</v>
      </c>
      <c r="H22" s="43" t="s">
        <v>17</v>
      </c>
      <c r="I22" s="44" t="s">
        <v>113</v>
      </c>
      <c r="J22" s="45" t="str">
        <f>LEFT(I22,2)</f>
        <v>03</v>
      </c>
      <c r="K22" s="45" t="str">
        <f>RIGHT(I22,4)</f>
        <v>2765</v>
      </c>
      <c r="L22" s="41">
        <v>42566</v>
      </c>
      <c r="M22" s="41">
        <f>L22+365</f>
        <v>42931</v>
      </c>
      <c r="N22" s="46">
        <v>38600</v>
      </c>
      <c r="O22" s="47">
        <f>N22*Pension_Rate</f>
        <v>3474</v>
      </c>
      <c r="P22" s="48">
        <f>SUM('Report July 2017'!$N22:$O22)</f>
        <v>42074</v>
      </c>
    </row>
    <row r="23" spans="1:16" ht="28.8" x14ac:dyDescent="0.3">
      <c r="A23" s="40"/>
      <c r="B23" s="25"/>
      <c r="C23" s="2"/>
      <c r="D23" s="19"/>
      <c r="E23" s="25"/>
      <c r="F23" s="41"/>
      <c r="G23" s="42"/>
      <c r="H23" s="61" t="s">
        <v>180</v>
      </c>
      <c r="I23" s="44"/>
      <c r="J23" s="45"/>
      <c r="K23" s="45"/>
      <c r="L23" s="41"/>
      <c r="M23" s="41"/>
      <c r="N23" s="46">
        <f>SUBTOTAL(9,N20:N22)</f>
        <v>149700</v>
      </c>
      <c r="O23" s="47">
        <f>SUBTOTAL(9,O20:O22)</f>
        <v>13473</v>
      </c>
      <c r="P23" s="48">
        <f>SUBTOTAL(9,P20:P22)</f>
        <v>163173</v>
      </c>
    </row>
    <row r="24" spans="1:16" x14ac:dyDescent="0.3">
      <c r="A24" s="40" t="s">
        <v>9</v>
      </c>
      <c r="B24" s="25" t="s">
        <v>144</v>
      </c>
      <c r="C24" s="2" t="s">
        <v>56</v>
      </c>
      <c r="D24" s="19" t="s">
        <v>165</v>
      </c>
      <c r="E24" s="25" t="str">
        <f>LOWER(C24&amp;"."&amp;B24&amp;"@pushpin.com")</f>
        <v>eric.chung@pushpin.com</v>
      </c>
      <c r="F24" s="41">
        <v>36949</v>
      </c>
      <c r="G24" s="42">
        <f ca="1">YEARFRAC(F24,TODAY())</f>
        <v>19.652777777777779</v>
      </c>
      <c r="H24" s="43" t="s">
        <v>59</v>
      </c>
      <c r="I24" s="44" t="s">
        <v>105</v>
      </c>
      <c r="J24" s="45" t="str">
        <f>LEFT(I24,2)</f>
        <v>03</v>
      </c>
      <c r="K24" s="45" t="str">
        <f>RIGHT(I24,4)</f>
        <v>2796</v>
      </c>
      <c r="L24" s="41">
        <v>42731</v>
      </c>
      <c r="M24" s="41">
        <f>L24+365</f>
        <v>43096</v>
      </c>
      <c r="N24" s="46">
        <v>70300</v>
      </c>
      <c r="O24" s="47">
        <f>N24*Pension_Rate</f>
        <v>6327</v>
      </c>
      <c r="P24" s="48">
        <f>SUM('Report July 2017'!$N24:$O24)</f>
        <v>76627</v>
      </c>
    </row>
    <row r="25" spans="1:16" x14ac:dyDescent="0.3">
      <c r="A25" s="40" t="s">
        <v>71</v>
      </c>
      <c r="B25" s="25" t="s">
        <v>143</v>
      </c>
      <c r="C25" s="2" t="s">
        <v>16</v>
      </c>
      <c r="D25" s="19" t="s">
        <v>166</v>
      </c>
      <c r="E25" s="25" t="str">
        <f>LOWER(C25&amp;"."&amp;B25&amp;"@pushpin.com")</f>
        <v>elizabeth.chu@pushpin.com</v>
      </c>
      <c r="F25" s="41">
        <v>40220</v>
      </c>
      <c r="G25" s="42">
        <f ca="1">YEARFRAC(F25,TODAY())</f>
        <v>10.697222222222223</v>
      </c>
      <c r="H25" s="43" t="s">
        <v>59</v>
      </c>
      <c r="I25" s="44" t="s">
        <v>104</v>
      </c>
      <c r="J25" s="45" t="str">
        <f>LEFT(I25,2)</f>
        <v>01</v>
      </c>
      <c r="K25" s="45" t="str">
        <f>RIGHT(I25,4)</f>
        <v>2425</v>
      </c>
      <c r="L25" s="41">
        <v>42761</v>
      </c>
      <c r="M25" s="41">
        <f>L25+365</f>
        <v>43126</v>
      </c>
      <c r="N25" s="46">
        <v>48400</v>
      </c>
      <c r="O25" s="47">
        <f>N25*Pension_Rate</f>
        <v>4356</v>
      </c>
      <c r="P25" s="48">
        <f>SUM('Report July 2017'!$N25:$O25)</f>
        <v>52756</v>
      </c>
    </row>
    <row r="26" spans="1:16" x14ac:dyDescent="0.3">
      <c r="A26" s="40" t="s">
        <v>75</v>
      </c>
      <c r="B26" s="25" t="s">
        <v>150</v>
      </c>
      <c r="C26" s="2" t="s">
        <v>28</v>
      </c>
      <c r="D26" s="19" t="s">
        <v>166</v>
      </c>
      <c r="E26" s="25" t="str">
        <f>LOWER(C26&amp;"."&amp;B26&amp;"@pushpin.com")</f>
        <v>tina.desiato@pushpin.com</v>
      </c>
      <c r="F26" s="41">
        <v>41175</v>
      </c>
      <c r="G26" s="42">
        <f ca="1">YEARFRAC(F26,TODAY())</f>
        <v>8.0805555555555557</v>
      </c>
      <c r="H26" s="25" t="s">
        <v>59</v>
      </c>
      <c r="I26" s="44" t="s">
        <v>121</v>
      </c>
      <c r="J26" s="45" t="str">
        <f>LEFT(I26,2)</f>
        <v>01</v>
      </c>
      <c r="K26" s="45" t="str">
        <f>RIGHT(I26,4)</f>
        <v>2358</v>
      </c>
      <c r="L26" s="41">
        <v>42652</v>
      </c>
      <c r="M26" s="41">
        <f>L26+365</f>
        <v>43017</v>
      </c>
      <c r="N26" s="46">
        <v>51700</v>
      </c>
      <c r="O26" s="47">
        <f>N26*Pension_Rate</f>
        <v>4653</v>
      </c>
      <c r="P26" s="48">
        <f>SUM('Report July 2017'!$N26:$O26)</f>
        <v>56353</v>
      </c>
    </row>
    <row r="27" spans="1:16" x14ac:dyDescent="0.3">
      <c r="A27" s="40" t="s">
        <v>76</v>
      </c>
      <c r="B27" s="25" t="s">
        <v>149</v>
      </c>
      <c r="C27" s="2" t="s">
        <v>19</v>
      </c>
      <c r="D27" s="19" t="s">
        <v>165</v>
      </c>
      <c r="E27" s="25" t="str">
        <f>LOWER(C27&amp;"."&amp;B27&amp;"@pushpin.com")</f>
        <v>bob.decker@pushpin.com</v>
      </c>
      <c r="F27" s="41">
        <v>41210</v>
      </c>
      <c r="G27" s="42">
        <f ca="1">YEARFRAC(F27,TODAY())</f>
        <v>7.9833333333333334</v>
      </c>
      <c r="H27" s="43" t="s">
        <v>59</v>
      </c>
      <c r="I27" s="44" t="s">
        <v>120</v>
      </c>
      <c r="J27" s="45" t="str">
        <f>LEFT(I27,2)</f>
        <v>01</v>
      </c>
      <c r="K27" s="45" t="str">
        <f>RIGHT(I27,4)</f>
        <v>2086</v>
      </c>
      <c r="L27" s="41">
        <v>42656</v>
      </c>
      <c r="M27" s="41">
        <f>L27+365</f>
        <v>43021</v>
      </c>
      <c r="N27" s="46">
        <v>49600</v>
      </c>
      <c r="O27" s="47">
        <f>N27*Pension_Rate</f>
        <v>4464</v>
      </c>
      <c r="P27" s="48">
        <f>SUM('Report July 2017'!$N27:$O27)</f>
        <v>54064</v>
      </c>
    </row>
    <row r="28" spans="1:16" x14ac:dyDescent="0.3">
      <c r="A28" s="40" t="s">
        <v>89</v>
      </c>
      <c r="B28" s="25" t="s">
        <v>152</v>
      </c>
      <c r="C28" s="2" t="s">
        <v>25</v>
      </c>
      <c r="D28" s="19" t="s">
        <v>165</v>
      </c>
      <c r="E28" s="25" t="str">
        <f>LOWER(C28&amp;"."&amp;B28&amp;"@pushpin.com")</f>
        <v>mark.ellis@pushpin.com</v>
      </c>
      <c r="F28" s="41">
        <v>42371</v>
      </c>
      <c r="G28" s="42">
        <f ca="1">YEARFRAC(F28,TODAY())</f>
        <v>4.8055555555555554</v>
      </c>
      <c r="H28" s="43" t="s">
        <v>59</v>
      </c>
      <c r="I28" s="44" t="s">
        <v>111</v>
      </c>
      <c r="J28" s="45" t="str">
        <f>LEFT(I28,2)</f>
        <v>03</v>
      </c>
      <c r="K28" s="45" t="str">
        <f>RIGHT(I28,4)</f>
        <v>2482</v>
      </c>
      <c r="L28" s="41">
        <v>42619</v>
      </c>
      <c r="M28" s="41">
        <f>L28+365</f>
        <v>42984</v>
      </c>
      <c r="N28" s="46">
        <v>58500</v>
      </c>
      <c r="O28" s="47">
        <f>N28*Pension_Rate</f>
        <v>5265</v>
      </c>
      <c r="P28" s="48">
        <f>SUM('Report July 2017'!$N28:$O28)</f>
        <v>63765</v>
      </c>
    </row>
    <row r="29" spans="1:16" x14ac:dyDescent="0.3">
      <c r="A29" s="40"/>
      <c r="B29" s="25"/>
      <c r="C29" s="2"/>
      <c r="D29" s="19"/>
      <c r="E29" s="25"/>
      <c r="F29" s="41"/>
      <c r="G29" s="42"/>
      <c r="H29" s="61" t="s">
        <v>181</v>
      </c>
      <c r="I29" s="44"/>
      <c r="J29" s="45"/>
      <c r="K29" s="45"/>
      <c r="L29" s="41"/>
      <c r="M29" s="41"/>
      <c r="N29" s="46">
        <f>SUBTOTAL(9,N24:N28)</f>
        <v>278500</v>
      </c>
      <c r="O29" s="47">
        <f>SUBTOTAL(9,O24:O28)</f>
        <v>25065</v>
      </c>
      <c r="P29" s="48">
        <f>SUBTOTAL(9,P24:P28)</f>
        <v>303565</v>
      </c>
    </row>
    <row r="30" spans="1:16" x14ac:dyDescent="0.3">
      <c r="A30" s="40" t="s">
        <v>172</v>
      </c>
      <c r="B30" s="25" t="s">
        <v>173</v>
      </c>
      <c r="C30" s="2" t="s">
        <v>174</v>
      </c>
      <c r="D30" s="19" t="s">
        <v>165</v>
      </c>
      <c r="E30" s="25" t="str">
        <f>LOWER(C30&amp;"."&amp;B30&amp;"@pushpin.com")</f>
        <v>william.grey@pushpin.com</v>
      </c>
      <c r="F30" s="49">
        <v>42933</v>
      </c>
      <c r="G30" s="42">
        <f ca="1">YEARFRAC(F30,TODAY())</f>
        <v>3.2638888888888888</v>
      </c>
      <c r="H30" s="43" t="s">
        <v>175</v>
      </c>
      <c r="I30" s="44"/>
      <c r="J30" s="45" t="str">
        <f>LEFT(I30,2)</f>
        <v/>
      </c>
      <c r="K30" s="45" t="str">
        <f>RIGHT(I30,4)</f>
        <v/>
      </c>
      <c r="L30" s="49">
        <v>42933</v>
      </c>
      <c r="M30" s="49">
        <f>L30+365</f>
        <v>43298</v>
      </c>
      <c r="N30" s="46">
        <v>97000</v>
      </c>
      <c r="O30" s="47">
        <f>N30*Pension_Rate</f>
        <v>8730</v>
      </c>
      <c r="P30" s="48">
        <f>SUM('Report July 2017'!$N30:$O30)</f>
        <v>105730</v>
      </c>
    </row>
    <row r="31" spans="1:16" x14ac:dyDescent="0.3">
      <c r="A31" s="40"/>
      <c r="B31" s="25"/>
      <c r="C31" s="2"/>
      <c r="D31" s="19"/>
      <c r="E31" s="25"/>
      <c r="F31" s="49"/>
      <c r="G31" s="42"/>
      <c r="H31" s="61" t="s">
        <v>182</v>
      </c>
      <c r="I31" s="44"/>
      <c r="J31" s="45"/>
      <c r="K31" s="45"/>
      <c r="L31" s="49"/>
      <c r="M31" s="49"/>
      <c r="N31" s="46">
        <f>SUBTOTAL(9,N30:N30)</f>
        <v>97000</v>
      </c>
      <c r="O31" s="47">
        <f>SUBTOTAL(9,O30:O30)</f>
        <v>8730</v>
      </c>
      <c r="P31" s="48">
        <f>SUBTOTAL(9,P30:P30)</f>
        <v>105730</v>
      </c>
    </row>
    <row r="32" spans="1:16" x14ac:dyDescent="0.3">
      <c r="A32" s="40" t="s">
        <v>11</v>
      </c>
      <c r="B32" s="25" t="s">
        <v>155</v>
      </c>
      <c r="C32" s="2" t="s">
        <v>10</v>
      </c>
      <c r="D32" s="19" t="s">
        <v>165</v>
      </c>
      <c r="E32" s="25" t="str">
        <f>LOWER(C32&amp;"."&amp;B32&amp;"@pushpin.com")</f>
        <v>daniel.flanders@pushpin.com</v>
      </c>
      <c r="F32" s="41">
        <v>37510</v>
      </c>
      <c r="G32" s="42">
        <f ca="1">YEARFRAC(F32,TODAY())</f>
        <v>18.113888888888887</v>
      </c>
      <c r="H32" s="43" t="s">
        <v>55</v>
      </c>
      <c r="I32" s="44" t="s">
        <v>124</v>
      </c>
      <c r="J32" s="45" t="str">
        <f>LEFT(I32,2)</f>
        <v>02</v>
      </c>
      <c r="K32" s="45" t="str">
        <f>RIGHT(I32,4)</f>
        <v>2639</v>
      </c>
      <c r="L32" s="41">
        <v>42590</v>
      </c>
      <c r="M32" s="41">
        <f>L32+365</f>
        <v>42955</v>
      </c>
      <c r="N32" s="46">
        <v>68800</v>
      </c>
      <c r="O32" s="47">
        <f>N32*Pension_Rate</f>
        <v>6192</v>
      </c>
      <c r="P32" s="48">
        <f>SUM('Report July 2017'!$N32:$O32)</f>
        <v>74992</v>
      </c>
    </row>
    <row r="33" spans="1:16" x14ac:dyDescent="0.3">
      <c r="A33" s="40" t="s">
        <v>64</v>
      </c>
      <c r="B33" s="25" t="s">
        <v>153</v>
      </c>
      <c r="C33" s="2" t="s">
        <v>21</v>
      </c>
      <c r="D33" s="19" t="s">
        <v>166</v>
      </c>
      <c r="E33" s="25" t="str">
        <f>LOWER(C33&amp;"."&amp;B33&amp;"@pushpin.com")</f>
        <v>mary.ferris@pushpin.com</v>
      </c>
      <c r="F33" s="41">
        <v>38548</v>
      </c>
      <c r="G33" s="42">
        <f ca="1">YEARFRAC(F33,TODAY())</f>
        <v>15.269444444444444</v>
      </c>
      <c r="H33" s="43" t="s">
        <v>55</v>
      </c>
      <c r="I33" s="44" t="s">
        <v>123</v>
      </c>
      <c r="J33" s="45" t="str">
        <f>LEFT(I33,2)</f>
        <v>03</v>
      </c>
      <c r="K33" s="45" t="str">
        <f>RIGHT(I33,4)</f>
        <v>2392</v>
      </c>
      <c r="L33" s="41">
        <v>42598</v>
      </c>
      <c r="M33" s="41">
        <f>L33+365</f>
        <v>42963</v>
      </c>
      <c r="N33" s="46">
        <v>62900</v>
      </c>
      <c r="O33" s="47">
        <f>N33*Pension_Rate</f>
        <v>5661</v>
      </c>
      <c r="P33" s="48">
        <f>SUM('Report July 2017'!$N33:$O33)</f>
        <v>68561</v>
      </c>
    </row>
    <row r="34" spans="1:16" x14ac:dyDescent="0.3">
      <c r="A34" s="40" t="s">
        <v>66</v>
      </c>
      <c r="B34" s="25" t="s">
        <v>29</v>
      </c>
      <c r="C34" s="2" t="s">
        <v>28</v>
      </c>
      <c r="D34" s="19" t="s">
        <v>166</v>
      </c>
      <c r="E34" s="25" t="str">
        <f>LOWER(C34&amp;"."&amp;B34&amp;"@pushpin.com")</f>
        <v>tina.carlton@pushpin.com</v>
      </c>
      <c r="F34" s="41">
        <v>38798</v>
      </c>
      <c r="G34" s="42">
        <f ca="1">YEARFRAC(F34,TODAY())</f>
        <v>14.583333333333334</v>
      </c>
      <c r="H34" s="43" t="s">
        <v>55</v>
      </c>
      <c r="I34" s="44" t="s">
        <v>101</v>
      </c>
      <c r="J34" s="45" t="str">
        <f>LEFT(I34,2)</f>
        <v>02</v>
      </c>
      <c r="K34" s="45" t="str">
        <f>RIGHT(I34,4)</f>
        <v>2699</v>
      </c>
      <c r="L34" s="41">
        <v>42825</v>
      </c>
      <c r="M34" s="41">
        <f>L34+365</f>
        <v>43190</v>
      </c>
      <c r="N34" s="46">
        <v>59200</v>
      </c>
      <c r="O34" s="47">
        <f>N34*Pension_Rate</f>
        <v>5328</v>
      </c>
      <c r="P34" s="48">
        <f>SUM('Report July 2017'!$N34:$O34)</f>
        <v>64528</v>
      </c>
    </row>
    <row r="35" spans="1:16" x14ac:dyDescent="0.3">
      <c r="A35" s="40" t="s">
        <v>68</v>
      </c>
      <c r="B35" s="25" t="s">
        <v>49</v>
      </c>
      <c r="C35" s="2" t="s">
        <v>48</v>
      </c>
      <c r="D35" s="19" t="s">
        <v>165</v>
      </c>
      <c r="E35" s="25" t="str">
        <f>LOWER(C35&amp;"."&amp;B35&amp;"@pushpin.com")</f>
        <v>stevie.bacata@pushpin.com</v>
      </c>
      <c r="F35" s="41">
        <v>39551</v>
      </c>
      <c r="G35" s="42">
        <f ca="1">YEARFRAC(F35,TODAY())</f>
        <v>12.525</v>
      </c>
      <c r="H35" s="43" t="s">
        <v>55</v>
      </c>
      <c r="I35" s="44" t="s">
        <v>96</v>
      </c>
      <c r="J35" s="45" t="str">
        <f>LEFT(I35,2)</f>
        <v>02</v>
      </c>
      <c r="K35" s="45" t="str">
        <f>RIGHT(I35,4)</f>
        <v>2635</v>
      </c>
      <c r="L35" s="41">
        <v>42507</v>
      </c>
      <c r="M35" s="41">
        <f>L35+365</f>
        <v>42872</v>
      </c>
      <c r="N35" s="46">
        <v>58200</v>
      </c>
      <c r="O35" s="47">
        <f>N35*Pension_Rate</f>
        <v>5238</v>
      </c>
      <c r="P35" s="48">
        <f>SUM('Report July 2017'!$N35:$O35)</f>
        <v>63438</v>
      </c>
    </row>
    <row r="36" spans="1:16" x14ac:dyDescent="0.3">
      <c r="A36" s="40" t="s">
        <v>70</v>
      </c>
      <c r="B36" s="25" t="s">
        <v>33</v>
      </c>
      <c r="C36" s="2" t="s">
        <v>32</v>
      </c>
      <c r="D36" s="19" t="s">
        <v>165</v>
      </c>
      <c r="E36" s="25" t="str">
        <f>LOWER(C36&amp;"."&amp;B36&amp;"@pushpin.com")</f>
        <v>mihael.khan@pushpin.com</v>
      </c>
      <c r="F36" s="41">
        <v>40160</v>
      </c>
      <c r="G36" s="42">
        <f ca="1">YEARFRAC(F36,TODAY())</f>
        <v>10.858333333333333</v>
      </c>
      <c r="H36" s="43" t="s">
        <v>55</v>
      </c>
      <c r="I36" s="44" t="s">
        <v>127</v>
      </c>
      <c r="J36" s="45" t="str">
        <f>LEFT(I36,2)</f>
        <v>02</v>
      </c>
      <c r="K36" s="45" t="str">
        <f>RIGHT(I36,4)</f>
        <v>2294</v>
      </c>
      <c r="L36" s="41">
        <v>42566</v>
      </c>
      <c r="M36" s="41">
        <f>L36+365</f>
        <v>42931</v>
      </c>
      <c r="N36" s="46">
        <v>55500</v>
      </c>
      <c r="O36" s="47">
        <f>N36*Pension_Rate</f>
        <v>4995</v>
      </c>
      <c r="P36" s="48">
        <f>SUM('Report July 2017'!$N36:$O36)</f>
        <v>60495</v>
      </c>
    </row>
    <row r="37" spans="1:16" x14ac:dyDescent="0.3">
      <c r="A37" s="40" t="s">
        <v>72</v>
      </c>
      <c r="B37" s="25" t="s">
        <v>31</v>
      </c>
      <c r="C37" s="2" t="s">
        <v>30</v>
      </c>
      <c r="D37" s="19" t="s">
        <v>166</v>
      </c>
      <c r="E37" s="25" t="str">
        <f>LOWER(C37&amp;"."&amp;B37&amp;"@pushpin.com")</f>
        <v>samantha.chairs@pushpin.com</v>
      </c>
      <c r="F37" s="41">
        <v>40595</v>
      </c>
      <c r="G37" s="42">
        <f ca="1">YEARFRAC(F37,TODAY())</f>
        <v>9.6694444444444443</v>
      </c>
      <c r="H37" s="43" t="s">
        <v>55</v>
      </c>
      <c r="I37" s="44" t="s">
        <v>103</v>
      </c>
      <c r="J37" s="45" t="str">
        <f>LEFT(I37,2)</f>
        <v>02</v>
      </c>
      <c r="K37" s="45" t="str">
        <f>RIGHT(I37,4)</f>
        <v>2962</v>
      </c>
      <c r="L37" s="41">
        <v>42801</v>
      </c>
      <c r="M37" s="41">
        <f>L37+365</f>
        <v>43166</v>
      </c>
      <c r="N37" s="46">
        <v>59300</v>
      </c>
      <c r="O37" s="47">
        <f>N37*Pension_Rate</f>
        <v>5337</v>
      </c>
      <c r="P37" s="48">
        <f>SUM('Report July 2017'!$N37:$O37)</f>
        <v>64637</v>
      </c>
    </row>
    <row r="38" spans="1:16" x14ac:dyDescent="0.3">
      <c r="A38" s="40" t="s">
        <v>73</v>
      </c>
      <c r="B38" s="25" t="s">
        <v>39</v>
      </c>
      <c r="C38" s="2" t="s">
        <v>38</v>
      </c>
      <c r="D38" s="19" t="s">
        <v>166</v>
      </c>
      <c r="E38" s="25" t="str">
        <f>LOWER(C38&amp;"."&amp;B38&amp;"@pushpin.com")</f>
        <v>natasha.song@pushpin.com</v>
      </c>
      <c r="F38" s="41">
        <v>40713</v>
      </c>
      <c r="G38" s="42">
        <f ca="1">YEARFRAC(F38,TODAY())</f>
        <v>9.3416666666666668</v>
      </c>
      <c r="H38" s="43" t="s">
        <v>55</v>
      </c>
      <c r="I38" s="44" t="s">
        <v>129</v>
      </c>
      <c r="J38" s="45" t="str">
        <f>LEFT(I38,2)</f>
        <v>02</v>
      </c>
      <c r="K38" s="45" t="str">
        <f>RIGHT(I38,4)</f>
        <v>2578</v>
      </c>
      <c r="L38" s="41">
        <v>42552</v>
      </c>
      <c r="M38" s="41">
        <f>L38+365</f>
        <v>42917</v>
      </c>
      <c r="N38" s="46">
        <v>56000</v>
      </c>
      <c r="O38" s="47">
        <f>N38*Pension_Rate</f>
        <v>5040</v>
      </c>
      <c r="P38" s="48">
        <f>SUM('Report July 2017'!$N38:$O38)</f>
        <v>61040</v>
      </c>
    </row>
    <row r="39" spans="1:16" x14ac:dyDescent="0.3">
      <c r="A39" s="40" t="s">
        <v>80</v>
      </c>
      <c r="B39" s="25" t="s">
        <v>47</v>
      </c>
      <c r="C39" s="2" t="s">
        <v>46</v>
      </c>
      <c r="D39" s="19" t="s">
        <v>165</v>
      </c>
      <c r="E39" s="25" t="str">
        <f>LOWER(C39&amp;"."&amp;B39&amp;"@pushpin.com")</f>
        <v>charlie.bui@pushpin.com</v>
      </c>
      <c r="F39" s="41">
        <v>41903</v>
      </c>
      <c r="G39" s="42">
        <f ca="1">YEARFRAC(F39,TODAY())</f>
        <v>6.0861111111111112</v>
      </c>
      <c r="H39" s="43" t="s">
        <v>55</v>
      </c>
      <c r="I39" s="44" t="s">
        <v>117</v>
      </c>
      <c r="J39" s="45" t="str">
        <f>LEFT(I39,2)</f>
        <v>02</v>
      </c>
      <c r="K39" s="45" t="str">
        <f>RIGHT(I39,4)</f>
        <v>2694</v>
      </c>
      <c r="L39" s="41">
        <v>42828</v>
      </c>
      <c r="M39" s="41">
        <f>L39+365</f>
        <v>43193</v>
      </c>
      <c r="N39" s="46">
        <v>54700</v>
      </c>
      <c r="O39" s="47">
        <f>N39*Pension_Rate</f>
        <v>4923</v>
      </c>
      <c r="P39" s="48">
        <f>SUM('Report July 2017'!$N39:$O39)</f>
        <v>59623</v>
      </c>
    </row>
    <row r="40" spans="1:16" x14ac:dyDescent="0.3">
      <c r="A40" s="40" t="s">
        <v>81</v>
      </c>
      <c r="B40" s="25" t="s">
        <v>43</v>
      </c>
      <c r="C40" s="2" t="s">
        <v>42</v>
      </c>
      <c r="D40" s="19" t="s">
        <v>165</v>
      </c>
      <c r="E40" s="25" t="str">
        <f>LOWER(C40&amp;"."&amp;B40&amp;"@pushpin.com")</f>
        <v>connor.betts@pushpin.com</v>
      </c>
      <c r="F40" s="41">
        <v>41956</v>
      </c>
      <c r="G40" s="42">
        <f ca="1">YEARFRAC(F40,TODAY())</f>
        <v>5.9416666666666664</v>
      </c>
      <c r="H40" s="43" t="s">
        <v>55</v>
      </c>
      <c r="I40" s="44" t="s">
        <v>98</v>
      </c>
      <c r="J40" s="45" t="str">
        <f>LEFT(I40,2)</f>
        <v>02</v>
      </c>
      <c r="K40" s="45" t="str">
        <f>RIGHT(I40,4)</f>
        <v>2347</v>
      </c>
      <c r="L40" s="41">
        <v>42848</v>
      </c>
      <c r="M40" s="41">
        <f>L40+365</f>
        <v>43213</v>
      </c>
      <c r="N40" s="46">
        <v>52600</v>
      </c>
      <c r="O40" s="47">
        <f>N40*Pension_Rate</f>
        <v>4734</v>
      </c>
      <c r="P40" s="48">
        <f>SUM('Report July 2017'!$N40:$O40)</f>
        <v>57334</v>
      </c>
    </row>
    <row r="41" spans="1:16" x14ac:dyDescent="0.3">
      <c r="A41" s="40" t="s">
        <v>83</v>
      </c>
      <c r="B41" s="25" t="s">
        <v>41</v>
      </c>
      <c r="C41" s="2" t="s">
        <v>40</v>
      </c>
      <c r="D41" s="19" t="s">
        <v>166</v>
      </c>
      <c r="E41" s="25" t="str">
        <f>LOWER(C41&amp;"."&amp;B41&amp;"@pushpin.com")</f>
        <v>aanya.zhang@pushpin.com</v>
      </c>
      <c r="F41" s="41">
        <v>42002</v>
      </c>
      <c r="G41" s="42">
        <f ca="1">YEARFRAC(F41,TODAY())</f>
        <v>5.8138888888888891</v>
      </c>
      <c r="H41" s="43" t="s">
        <v>55</v>
      </c>
      <c r="I41" s="44" t="s">
        <v>131</v>
      </c>
      <c r="J41" s="45" t="str">
        <f>LEFT(I41,2)</f>
        <v>02</v>
      </c>
      <c r="K41" s="45" t="str">
        <f>RIGHT(I41,4)</f>
        <v>2793</v>
      </c>
      <c r="L41" s="41">
        <v>42540</v>
      </c>
      <c r="M41" s="41">
        <f>L41+365</f>
        <v>42905</v>
      </c>
      <c r="N41" s="46">
        <v>46500</v>
      </c>
      <c r="O41" s="47">
        <f>N41*Pension_Rate</f>
        <v>4185</v>
      </c>
      <c r="P41" s="48">
        <f>SUM('Report July 2017'!$N41:$O41)</f>
        <v>50685</v>
      </c>
    </row>
    <row r="42" spans="1:16" x14ac:dyDescent="0.3">
      <c r="A42" s="40" t="s">
        <v>84</v>
      </c>
      <c r="B42" s="25" t="s">
        <v>37</v>
      </c>
      <c r="C42" s="2" t="s">
        <v>36</v>
      </c>
      <c r="D42" s="19" t="s">
        <v>165</v>
      </c>
      <c r="E42" s="25" t="str">
        <f>LOWER(C42&amp;"."&amp;B42&amp;"@pushpin.com")</f>
        <v>leighton.forrest@pushpin.com</v>
      </c>
      <c r="F42" s="41">
        <v>42120</v>
      </c>
      <c r="G42" s="42">
        <f ca="1">YEARFRAC(F42,TODAY())</f>
        <v>5.4888888888888889</v>
      </c>
      <c r="H42" s="43" t="s">
        <v>55</v>
      </c>
      <c r="I42" s="44" t="s">
        <v>125</v>
      </c>
      <c r="J42" s="45" t="str">
        <f>LEFT(I42,2)</f>
        <v>02</v>
      </c>
      <c r="K42" s="45" t="str">
        <f>RIGHT(I42,4)</f>
        <v>2284</v>
      </c>
      <c r="L42" s="41">
        <v>42586</v>
      </c>
      <c r="M42" s="41">
        <f>L42+365</f>
        <v>42951</v>
      </c>
      <c r="N42" s="46">
        <v>56200</v>
      </c>
      <c r="O42" s="47">
        <f>N42*Pension_Rate</f>
        <v>5058</v>
      </c>
      <c r="P42" s="48">
        <f>SUM('Report July 2017'!$N42:$O42)</f>
        <v>61258</v>
      </c>
    </row>
    <row r="43" spans="1:16" x14ac:dyDescent="0.3">
      <c r="A43" s="40" t="s">
        <v>87</v>
      </c>
      <c r="B43" s="25" t="s">
        <v>53</v>
      </c>
      <c r="C43" s="2" t="s">
        <v>115</v>
      </c>
      <c r="D43" s="19" t="s">
        <v>165</v>
      </c>
      <c r="E43" s="25" t="str">
        <f>LOWER(C43&amp;"."&amp;B43&amp;"@pushpin.com")</f>
        <v>peter.staples@pushpin.com</v>
      </c>
      <c r="F43" s="41">
        <v>42321</v>
      </c>
      <c r="G43" s="42">
        <f ca="1">YEARFRAC(F43,TODAY())</f>
        <v>4.9416666666666664</v>
      </c>
      <c r="H43" s="43" t="s">
        <v>55</v>
      </c>
      <c r="I43" s="44" t="s">
        <v>130</v>
      </c>
      <c r="J43" s="45" t="str">
        <f>LEFT(I43,2)</f>
        <v>02</v>
      </c>
      <c r="K43" s="45" t="str">
        <f>RIGHT(I43,4)</f>
        <v>2654</v>
      </c>
      <c r="L43" s="41">
        <v>42551</v>
      </c>
      <c r="M43" s="41">
        <f>L43+365</f>
        <v>42916</v>
      </c>
      <c r="N43" s="46">
        <v>49600</v>
      </c>
      <c r="O43" s="47">
        <f>N43*Pension_Rate</f>
        <v>4464</v>
      </c>
      <c r="P43" s="48">
        <f>SUM('Report July 2017'!$N43:$O43)</f>
        <v>54064</v>
      </c>
    </row>
    <row r="44" spans="1:16" x14ac:dyDescent="0.3">
      <c r="A44" s="40" t="s">
        <v>88</v>
      </c>
      <c r="B44" s="25" t="s">
        <v>54</v>
      </c>
      <c r="C44" s="2" t="s">
        <v>52</v>
      </c>
      <c r="D44" s="19" t="s">
        <v>166</v>
      </c>
      <c r="E44" s="25" t="str">
        <f>LOWER(C44&amp;"."&amp;B44&amp;"@pushpin.com")</f>
        <v>radhya.senome@pushpin.com</v>
      </c>
      <c r="F44" s="41">
        <v>42324</v>
      </c>
      <c r="G44" s="42">
        <f ca="1">YEARFRAC(F44,TODAY())</f>
        <v>4.9333333333333336</v>
      </c>
      <c r="H44" s="43" t="s">
        <v>55</v>
      </c>
      <c r="I44" s="44" t="s">
        <v>128</v>
      </c>
      <c r="J44" s="45" t="str">
        <f>LEFT(I44,2)</f>
        <v>02</v>
      </c>
      <c r="K44" s="45" t="str">
        <f>RIGHT(I44,4)</f>
        <v>2260</v>
      </c>
      <c r="L44" s="41">
        <v>42563</v>
      </c>
      <c r="M44" s="41">
        <f>L44+365</f>
        <v>42928</v>
      </c>
      <c r="N44" s="46">
        <v>35600</v>
      </c>
      <c r="O44" s="47">
        <f>N44*Pension_Rate</f>
        <v>3204</v>
      </c>
      <c r="P44" s="48">
        <f>SUM('Report July 2017'!$N44:$O44)</f>
        <v>38804</v>
      </c>
    </row>
    <row r="45" spans="1:16" x14ac:dyDescent="0.3">
      <c r="A45" s="40" t="s">
        <v>90</v>
      </c>
      <c r="B45" s="25" t="s">
        <v>45</v>
      </c>
      <c r="C45" s="2" t="s">
        <v>44</v>
      </c>
      <c r="D45" s="19" t="s">
        <v>166</v>
      </c>
      <c r="E45" s="25" t="str">
        <f>LOWER(C45&amp;"."&amp;B45&amp;"@pushpin.com")</f>
        <v>yvette.biti@pushpin.com</v>
      </c>
      <c r="F45" s="41">
        <v>42384</v>
      </c>
      <c r="G45" s="42">
        <f ca="1">YEARFRAC(F45,TODAY())</f>
        <v>4.7694444444444448</v>
      </c>
      <c r="H45" s="43" t="s">
        <v>55</v>
      </c>
      <c r="I45" s="44" t="s">
        <v>100</v>
      </c>
      <c r="J45" s="45" t="str">
        <f>LEFT(I45,2)</f>
        <v>02</v>
      </c>
      <c r="K45" s="45" t="str">
        <f>RIGHT(I45,4)</f>
        <v>2589</v>
      </c>
      <c r="L45" s="41">
        <v>42839</v>
      </c>
      <c r="M45" s="41">
        <f>L45+365</f>
        <v>43204</v>
      </c>
      <c r="N45" s="46">
        <v>51400</v>
      </c>
      <c r="O45" s="47">
        <f>N45*Pension_Rate</f>
        <v>4626</v>
      </c>
      <c r="P45" s="48">
        <f>SUM('Report July 2017'!$N45:$O45)</f>
        <v>56026</v>
      </c>
    </row>
    <row r="46" spans="1:16" ht="15" thickBot="1" x14ac:dyDescent="0.35">
      <c r="A46" s="50" t="s">
        <v>92</v>
      </c>
      <c r="B46" s="26" t="s">
        <v>35</v>
      </c>
      <c r="C46" s="51" t="s">
        <v>34</v>
      </c>
      <c r="D46" s="52" t="s">
        <v>166</v>
      </c>
      <c r="E46" s="26" t="str">
        <f>LOWER(C46&amp;"."&amp;B46&amp;"@pushpin.com")</f>
        <v>phoebe.gour@pushpin.com</v>
      </c>
      <c r="F46" s="53">
        <v>42721</v>
      </c>
      <c r="G46" s="54">
        <f ca="1">YEARFRAC(F46,TODAY())</f>
        <v>3.8472222222222223</v>
      </c>
      <c r="H46" s="55" t="s">
        <v>55</v>
      </c>
      <c r="I46" s="56" t="s">
        <v>126</v>
      </c>
      <c r="J46" s="57" t="str">
        <f>LEFT(I46,2)</f>
        <v>02</v>
      </c>
      <c r="K46" s="57" t="str">
        <f>RIGHT(I46,4)</f>
        <v>2910</v>
      </c>
      <c r="L46" s="53">
        <v>42539</v>
      </c>
      <c r="M46" s="53">
        <f>L46+365</f>
        <v>42904</v>
      </c>
      <c r="N46" s="58">
        <v>40500</v>
      </c>
      <c r="O46" s="59">
        <f>N46*Pension_Rate</f>
        <v>3645</v>
      </c>
      <c r="P46" s="60">
        <f>SUM('Report July 2017'!$N46:$O46)</f>
        <v>44145</v>
      </c>
    </row>
    <row r="47" spans="1:16" x14ac:dyDescent="0.3">
      <c r="A47" s="62"/>
      <c r="B47" s="63"/>
      <c r="C47" s="64"/>
      <c r="D47" s="65"/>
      <c r="E47" s="63"/>
      <c r="F47" s="66"/>
      <c r="G47" s="67"/>
      <c r="H47" s="61" t="s">
        <v>183</v>
      </c>
      <c r="I47" s="44"/>
      <c r="J47" s="68"/>
      <c r="K47" s="68"/>
      <c r="L47" s="66"/>
      <c r="M47" s="66"/>
      <c r="N47" s="69">
        <f>SUBTOTAL(9,N32:N46)</f>
        <v>807000</v>
      </c>
      <c r="O47" s="70">
        <f>SUBTOTAL(9,O32:O46)</f>
        <v>72630</v>
      </c>
      <c r="P47" s="71">
        <f>SUBTOTAL(9,P32:P46)</f>
        <v>879630</v>
      </c>
    </row>
    <row r="48" spans="1:16" x14ac:dyDescent="0.3">
      <c r="A48" s="62"/>
      <c r="B48" s="63"/>
      <c r="C48" s="64"/>
      <c r="D48" s="65"/>
      <c r="E48" s="63"/>
      <c r="F48" s="66"/>
      <c r="G48" s="67"/>
      <c r="H48" s="61" t="s">
        <v>184</v>
      </c>
      <c r="I48" s="44"/>
      <c r="J48" s="68"/>
      <c r="K48" s="68"/>
      <c r="L48" s="66"/>
      <c r="M48" s="66"/>
      <c r="N48" s="69">
        <f>SUBTOTAL(9,N4:N46)</f>
        <v>2055400</v>
      </c>
      <c r="O48" s="70">
        <f>SUBTOTAL(9,O4:O46)</f>
        <v>184986</v>
      </c>
      <c r="P48" s="71">
        <f>SUBTOTAL(9,P4:P46)</f>
        <v>2240386</v>
      </c>
    </row>
    <row r="50" spans="5:5" ht="15.6" x14ac:dyDescent="0.3">
      <c r="E50" s="13"/>
    </row>
    <row r="51" spans="5:5" ht="15.6" x14ac:dyDescent="0.3">
      <c r="E51" s="13"/>
    </row>
    <row r="52" spans="5:5" ht="15.6" x14ac:dyDescent="0.3">
      <c r="E52" s="13"/>
    </row>
  </sheetData>
  <conditionalFormatting sqref="M4:M48">
    <cfRule type="cellIs" dxfId="1" priority="1" operator="equal">
      <formula>0</formula>
    </cfRule>
    <cfRule type="expression" dxfId="0" priority="2">
      <formula>M4&lt;TODAY()</formula>
    </cfRule>
  </conditionalFormatting>
  <pageMargins left="0.7" right="0.7" top="0.75" bottom="0.75" header="0.3" footer="0.3"/>
  <pageSetup paperSize="9" orientation="portrait" horizontalDpi="75" verticalDpi="7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32</vt:i4>
      </vt:variant>
    </vt:vector>
  </HeadingPairs>
  <TitlesOfParts>
    <vt:vector size="35" baseType="lpstr">
      <vt:lpstr>Staff</vt:lpstr>
      <vt:lpstr>Stats</vt:lpstr>
      <vt:lpstr>Report July 2017</vt:lpstr>
      <vt:lpstr>'Report July 2017'!Annual_Salary</vt:lpstr>
      <vt:lpstr>Annual_Salary</vt:lpstr>
      <vt:lpstr>'Report July 2017'!Date_of_Hire</vt:lpstr>
      <vt:lpstr>Date_of_Hire</vt:lpstr>
      <vt:lpstr>'Report July 2017'!Department</vt:lpstr>
      <vt:lpstr>Department</vt:lpstr>
      <vt:lpstr>'Report July 2017'!Email</vt:lpstr>
      <vt:lpstr>Email</vt:lpstr>
      <vt:lpstr>'Report July 2017'!Emp_ID</vt:lpstr>
      <vt:lpstr>Emp_ID</vt:lpstr>
      <vt:lpstr>'Report July 2017'!Extension</vt:lpstr>
      <vt:lpstr>Extension</vt:lpstr>
      <vt:lpstr>'Report July 2017'!First</vt:lpstr>
      <vt:lpstr>First</vt:lpstr>
      <vt:lpstr>'Report July 2017'!Floor</vt:lpstr>
      <vt:lpstr>Floor</vt:lpstr>
      <vt:lpstr>'Report July 2017'!Gender</vt:lpstr>
      <vt:lpstr>Gender</vt:lpstr>
      <vt:lpstr>'Report July 2017'!Last</vt:lpstr>
      <vt:lpstr>Last</vt:lpstr>
      <vt:lpstr>'Report July 2017'!Last_Review</vt:lpstr>
      <vt:lpstr>Last_Review</vt:lpstr>
      <vt:lpstr>'Report July 2017'!Location</vt:lpstr>
      <vt:lpstr>Location</vt:lpstr>
      <vt:lpstr>'Report July 2017'!Next_Review</vt:lpstr>
      <vt:lpstr>Next_Review</vt:lpstr>
      <vt:lpstr>'Report July 2017'!Pension</vt:lpstr>
      <vt:lpstr>Pension</vt:lpstr>
      <vt:lpstr>'Report July 2017'!Pension_Rate</vt:lpstr>
      <vt:lpstr>Pension_Rate</vt:lpstr>
      <vt:lpstr>'Report July 2017'!Years_Service</vt:lpstr>
      <vt:lpstr>Years_Service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2017-07-17T22:44:42Z</dcterms:created>
  <dcterms:modified xsi:type="dcterms:W3CDTF">2020-10-23T05:40:09Z</dcterms:modified>
</cp:coreProperties>
</file>