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815" yWindow="45" windowWidth="20940" windowHeight="16995"/>
  </bookViews>
  <sheets>
    <sheet name="Modified Costas Loop" sheetId="4" r:id="rId1"/>
    <sheet name="Traditional Costas Loop" sheetId="1" r:id="rId2"/>
    <sheet name="Costas Loop Gain" sheetId="2" r:id="rId3"/>
    <sheet name="AttackDecay" sheetId="3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/>
  <c r="E12"/>
  <c r="E18"/>
  <c r="E24"/>
  <c r="E30"/>
  <c r="E36"/>
  <c r="E42"/>
  <c r="E48"/>
  <c r="E54"/>
  <c r="E66"/>
  <c r="E72"/>
  <c r="E60"/>
  <c r="C60"/>
  <c r="B60"/>
  <c r="H60" s="1"/>
  <c r="D3" i="3"/>
  <c r="D2"/>
  <c r="H6" i="4"/>
  <c r="H12"/>
  <c r="H18"/>
  <c r="H24"/>
  <c r="H30"/>
  <c r="H36"/>
  <c r="H42"/>
  <c r="H48"/>
  <c r="H54"/>
  <c r="H66"/>
  <c r="H72"/>
  <c r="B72"/>
  <c r="B54" l="1"/>
  <c r="C54" s="1"/>
  <c r="C72"/>
  <c r="C66"/>
  <c r="J66" s="1"/>
  <c r="C48"/>
  <c r="J48" s="1"/>
  <c r="C42"/>
  <c r="J42" s="1"/>
  <c r="C36"/>
  <c r="J36" s="1"/>
  <c r="C30"/>
  <c r="J30" s="1"/>
  <c r="C24"/>
  <c r="J24" s="1"/>
  <c r="C18"/>
  <c r="J18" s="1"/>
  <c r="C12"/>
  <c r="J12" s="1"/>
  <c r="C6"/>
  <c r="J6" s="1"/>
  <c r="J72" l="1"/>
  <c r="J60"/>
  <c r="J54"/>
  <c r="B10" i="2"/>
  <c r="H72" i="1"/>
  <c r="E72"/>
  <c r="C72"/>
  <c r="H54"/>
  <c r="J72" l="1"/>
  <c r="H66"/>
  <c r="E66"/>
  <c r="C66"/>
  <c r="H60"/>
  <c r="E60"/>
  <c r="C60"/>
  <c r="E54"/>
  <c r="C54"/>
  <c r="H48"/>
  <c r="E48"/>
  <c r="C48"/>
  <c r="J66" l="1"/>
  <c r="J60"/>
  <c r="J54"/>
  <c r="J48"/>
  <c r="H42"/>
  <c r="E42"/>
  <c r="C42"/>
  <c r="H36"/>
  <c r="E36"/>
  <c r="C36"/>
  <c r="J42" l="1"/>
  <c r="J36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<sst xmlns="http://schemas.openxmlformats.org/spreadsheetml/2006/main" count="233" uniqueCount="38">
  <si>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</si>
  <si>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</si>
  <si>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</si>
  <si>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</si>
  <si>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</si>
  <si>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</si>
  <si>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</si>
  <si>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</si>
  <si>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</si>
  <si>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</si>
  <si>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</si>
  <si>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</si>
  <si>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</si>
  <si>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</si>
  <si>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</si>
  <si>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</si>
  <si>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</si>
  <si>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</si>
  <si>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</si>
  <si>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</si>
  <si>
    <t>adjust limits</t>
  </si>
  <si>
    <t>QPSK 4800</t>
  </si>
  <si>
    <t>Input Amplitude</t>
  </si>
  <si>
    <t>Loop Filter Gain</t>
  </si>
  <si>
    <t>NCO Amplitude</t>
  </si>
  <si>
    <t>NCO Sample Rate</t>
  </si>
  <si>
    <t>NCO Period</t>
  </si>
  <si>
    <t>Loop Gain</t>
  </si>
  <si>
    <t>Branch LPF Gain</t>
  </si>
  <si>
    <t>QPSK 3600</t>
  </si>
  <si>
    <t>Phase Detector Gain</t>
  </si>
  <si>
    <t>Attack</t>
  </si>
  <si>
    <t>Decay</t>
  </si>
  <si>
    <t>Full Scale</t>
  </si>
  <si>
    <t>Full Scale/Sec</t>
  </si>
  <si>
    <t>Hz</t>
  </si>
  <si>
    <t>Counts</t>
  </si>
  <si>
    <t>Count/Sample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</si>
</sst>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abSelected="1" topLeftCell="A52" workbookViewId="0">
      <selection activeCell="E59" sqref="E59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ROUND(POWER(2,$E4)*D6, 0)</f>
        <v>8192</v>
      </c>
      <c r="F6" s="11">
        <v>25</v>
      </c>
      <c r="G6" s="12">
        <v>0.5</v>
      </c>
      <c r="H6" s="11">
        <f>ROUND(((F6*(1+G6)) * $B2/$B3)/B6,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>ROUND(POWER(2,$E10)*D12, 0)</f>
        <v>8192</v>
      </c>
      <c r="F12" s="11">
        <v>50</v>
      </c>
      <c r="G12" s="12">
        <v>0.5</v>
      </c>
      <c r="H12" s="11">
        <f>ROUND(((F12*(1+G12)) * $B8/$B9)/B12, 0)</f>
        <v>1365333</v>
      </c>
      <c r="I12" s="11">
        <v>0.81499999999999995</v>
      </c>
      <c r="J12" s="13">
        <f t="shared" ref="J12" si="0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>ROUND(POWER(2,$E16)*D18, 0)</f>
        <v>524</v>
      </c>
      <c r="F18" s="11">
        <v>25</v>
      </c>
      <c r="G18" s="12">
        <v>0.5</v>
      </c>
      <c r="H18" s="11">
        <f>ROUND(((F18*(1+G18)) * $B14/$B15)/B18, 0)</f>
        <v>9481481</v>
      </c>
      <c r="I18" s="11">
        <v>0.81499999999999995</v>
      </c>
      <c r="J18" s="13">
        <f t="shared" ref="J18" si="1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>ROUND(POWER(2,$E22)*D24, 0)</f>
        <v>655</v>
      </c>
      <c r="F24" s="11">
        <v>13</v>
      </c>
      <c r="G24" s="12">
        <v>0.75</v>
      </c>
      <c r="H24" s="11">
        <f>ROUND(((F24*(1+G24)) * $B20/$B21)/B24, 0)</f>
        <v>3339928</v>
      </c>
      <c r="I24" s="11">
        <v>0.81499999999999995</v>
      </c>
      <c r="J24" s="13">
        <f t="shared" ref="J24" si="2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ROUND(POWER(2,$E28)*D30, 0)</f>
        <v>2949</v>
      </c>
      <c r="F30" s="11">
        <v>50</v>
      </c>
      <c r="G30" s="12">
        <v>0.5</v>
      </c>
      <c r="H30" s="11">
        <f>ROUND(((F30*(1+G30)) * $B26/$B27)/B30, 0)</f>
        <v>1706667</v>
      </c>
      <c r="I30" s="11">
        <v>0.81499999999999995</v>
      </c>
      <c r="J30" s="13">
        <f t="shared" ref="J30" si="3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ROUND(POWER(2,$E34)*D36, 0)</f>
        <v>983</v>
      </c>
      <c r="F36" s="11">
        <v>50</v>
      </c>
      <c r="G36" s="12">
        <v>0.5</v>
      </c>
      <c r="H36" s="11">
        <f>ROUND(((F36*(1+G36)) * $B32/$B33)/B36, 0)</f>
        <v>3413333</v>
      </c>
      <c r="I36" s="11">
        <v>0.81499999999999995</v>
      </c>
      <c r="J36" s="13">
        <f t="shared" ref="J36" si="4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ROUND(POWER(2,$E40)*D42, 0)</f>
        <v>1638</v>
      </c>
      <c r="F42" s="11">
        <v>25</v>
      </c>
      <c r="G42" s="12">
        <v>0.5</v>
      </c>
      <c r="H42" s="11">
        <f>ROUND(((F42*(1+G42)) * $B38/$B39)/B42,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>ROUND(POWER(2,$E46)*D48, 0)</f>
        <v>7864</v>
      </c>
      <c r="F48" s="11">
        <v>50</v>
      </c>
      <c r="G48" s="12">
        <v>0.75</v>
      </c>
      <c r="H48" s="11">
        <f>ROUND(((F48*(1+G48)) * $B44/$B45)/B48, 0)</f>
        <v>1327407</v>
      </c>
      <c r="I48" s="11">
        <v>0.81499999999999995</v>
      </c>
      <c r="J48" s="13">
        <f t="shared" ref="J48" si="5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14400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f>D54/850</f>
        <v>7.0270588235294123E-4</v>
      </c>
      <c r="C54" s="11">
        <f>ROUND(POWER(2,$C$10)*B54, 0)</f>
        <v>737</v>
      </c>
      <c r="D54" s="11">
        <v>0.59730000000000005</v>
      </c>
      <c r="E54" s="11">
        <f>ROUND(POWER(2,$E52)*D54, 0)</f>
        <v>19572</v>
      </c>
      <c r="F54" s="11">
        <v>25</v>
      </c>
      <c r="G54" s="12">
        <v>0.5</v>
      </c>
      <c r="H54" s="11">
        <f>ROUND(((F54*(1+G54)) * $B50/$B51)/B54, 0)</f>
        <v>242871</v>
      </c>
      <c r="I54" s="11">
        <v>0.81499999999999995</v>
      </c>
      <c r="J54" s="13">
        <f t="shared" ref="J54" si="6">LOG(H54*C54,2)</f>
        <v>27.415351518857953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f>D60/2000</f>
        <v>1E-4</v>
      </c>
      <c r="C60" s="11">
        <f>ROUND(POWER(2,$C58)*B60, 0)</f>
        <v>105</v>
      </c>
      <c r="D60" s="11">
        <v>0.2</v>
      </c>
      <c r="E60" s="11">
        <f>ROUND(POWER(2,$E58)*D60, 0)</f>
        <v>6554</v>
      </c>
      <c r="F60" s="11">
        <v>13</v>
      </c>
      <c r="G60" s="12">
        <v>0.25</v>
      </c>
      <c r="H60" s="11">
        <f>ROUND(((F60*(1+G60)) * $B56/$B57)/B60, 0)</f>
        <v>739556</v>
      </c>
      <c r="I60" s="11">
        <v>0.81499999999999995</v>
      </c>
      <c r="J60" s="13">
        <f t="shared" ref="J60" si="7">LOG(H60*C60,2)</f>
        <v>26.210545386030962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>ROUND(POWER(2,$E64)*D66, 0)</f>
        <v>8192</v>
      </c>
      <c r="F66" s="11">
        <v>15</v>
      </c>
      <c r="G66" s="12">
        <v>0</v>
      </c>
      <c r="H66" s="11">
        <f>ROUND(((F66*(1+G66)) * $B62/$B63)/B66, 0)</f>
        <v>68267</v>
      </c>
      <c r="I66" s="11">
        <v>0.81499999999999995</v>
      </c>
      <c r="J66" s="13">
        <f t="shared" ref="J66" si="8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f>D72/1000</f>
        <v>8.4999999999999995E-4</v>
      </c>
      <c r="C72" s="11">
        <f>ROUND(POWER(2,$C$16)*B72, 0)</f>
        <v>891</v>
      </c>
      <c r="D72" s="11">
        <v>0.85</v>
      </c>
      <c r="E72" s="11">
        <f>ROUND(POWER(2,$E70)*D72, 0)</f>
        <v>27853</v>
      </c>
      <c r="F72" s="11">
        <v>50</v>
      </c>
      <c r="G72" s="12">
        <v>0</v>
      </c>
      <c r="H72" s="11">
        <f>ROUND(((F72*(1+G72)) * $B68/$B69)/B72, 0)</f>
        <v>356950</v>
      </c>
      <c r="I72" s="11">
        <v>0.81499999999999995</v>
      </c>
      <c r="J72" s="13">
        <f t="shared" ref="J72" si="9">LOG(H72*C72,2)</f>
        <v>28.244644097933083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2"/>
  <sheetViews>
    <sheetView topLeftCell="A58" workbookViewId="0">
      <selection activeCell="C81" sqref="C81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7200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v>2.0000000000000001E-4</v>
      </c>
      <c r="C54" s="11">
        <f>ROUND(POWER(2,$C$10)*B54, 0)</f>
        <v>210</v>
      </c>
      <c r="D54" s="11">
        <v>0.1</v>
      </c>
      <c r="E54" s="11">
        <f>ROUND(POWER(2,$E$4)*D54, 0)</f>
        <v>3277</v>
      </c>
      <c r="F54" s="11">
        <v>25</v>
      </c>
      <c r="G54" s="12">
        <v>0.5</v>
      </c>
      <c r="H54" s="11">
        <f>ROUND(((F54*(1+G54)) * $B$50/$B$51)/B54, 0)</f>
        <v>1706667</v>
      </c>
      <c r="I54" s="11">
        <v>0.81499999999999995</v>
      </c>
      <c r="J54" s="13">
        <f t="shared" ref="J54" si="10">LOG(H54*C54,2)</f>
        <v>28.416995678270762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v>1.4999999999999999E-4</v>
      </c>
      <c r="C72" s="11">
        <f>ROUND(POWER(2,$C$16)*B72, 0)</f>
        <v>157</v>
      </c>
      <c r="D72" s="11">
        <v>0.15</v>
      </c>
      <c r="E72" s="11">
        <f t="shared" ref="E72" si="15">ROUND(POWER(2,$E$4)*D72, 0)</f>
        <v>4915</v>
      </c>
      <c r="F72" s="11">
        <v>10.5</v>
      </c>
      <c r="G72" s="12">
        <v>0</v>
      </c>
      <c r="H72" s="11">
        <f>ROUND(((F72*(1+G72)) * $B$20/$B$21)/B72, 0)</f>
        <v>318578</v>
      </c>
      <c r="I72" s="11">
        <v>0.81499999999999995</v>
      </c>
      <c r="J72" s="13">
        <f t="shared" ref="J72" si="16">LOG(H72*C72,2)</f>
        <v>25.575907865625492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0"/>
  <sheetViews>
    <sheetView workbookViewId="0">
      <selection activeCell="B6" sqref="B6"/>
    </sheetView>
  </sheetViews>
  <sheetFormatPr defaultColWidth="8.85546875" defaultRowHeight="15"/>
  <cols>
    <col min="1" max="1" width="16.42578125" bestFit="1" customWidth="1"/>
    <col min="2" max="2" width="12" bestFit="1" customWidth="1"/>
  </cols>
  <sheetData>
    <row r="2" spans="1:2">
      <c r="A2" t="s">
        <v>22</v>
      </c>
      <c r="B2">
        <v>8192</v>
      </c>
    </row>
    <row r="3" spans="1:2">
      <c r="A3" t="s">
        <v>28</v>
      </c>
      <c r="B3">
        <v>1</v>
      </c>
    </row>
    <row r="4" spans="1:2">
      <c r="A4" t="s">
        <v>23</v>
      </c>
      <c r="B4">
        <v>1</v>
      </c>
    </row>
    <row r="5" spans="1:2">
      <c r="A5" t="s">
        <v>30</v>
      </c>
      <c r="B5">
        <v>256</v>
      </c>
    </row>
    <row r="6" spans="1:2">
      <c r="A6" t="s">
        <v>24</v>
      </c>
      <c r="B6">
        <v>1</v>
      </c>
    </row>
    <row r="7" spans="1:2">
      <c r="A7" t="s">
        <v>25</v>
      </c>
      <c r="B7">
        <v>14400</v>
      </c>
    </row>
    <row r="8" spans="1:2">
      <c r="A8" t="s">
        <v>26</v>
      </c>
      <c r="B8">
        <v>65536</v>
      </c>
    </row>
    <row r="10" spans="1:2">
      <c r="A10" t="s">
        <v>27</v>
      </c>
      <c r="B10">
        <f>B2*B3*B4*B5*B6*B7/B8</f>
        <v>460800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5"/>
  <sheetViews>
    <sheetView workbookViewId="0">
      <selection activeCell="D4" sqref="D4"/>
    </sheetView>
  </sheetViews>
  <sheetFormatPr defaultColWidth="8.85546875" defaultRowHeight="15"/>
  <cols>
    <col min="1" max="1" width="12" bestFit="1" customWidth="1"/>
    <col min="2" max="2" width="6" bestFit="1" customWidth="1"/>
    <col min="3" max="3" width="13.28515625" bestFit="1" customWidth="1"/>
  </cols>
  <sheetData>
    <row r="2" spans="1:5">
      <c r="A2" t="s">
        <v>31</v>
      </c>
      <c r="B2">
        <v>500</v>
      </c>
      <c r="C2" t="s">
        <v>34</v>
      </c>
      <c r="D2">
        <f>B2*B5/B4</f>
        <v>568.88888888888891</v>
      </c>
      <c r="E2" t="s">
        <v>37</v>
      </c>
    </row>
    <row r="3" spans="1:5">
      <c r="A3" t="s">
        <v>32</v>
      </c>
      <c r="B3">
        <v>50</v>
      </c>
      <c r="C3" t="s">
        <v>34</v>
      </c>
      <c r="D3">
        <f>B3*B5/B4</f>
        <v>56.888888888888886</v>
      </c>
    </row>
    <row r="4" spans="1:5">
      <c r="A4" t="s">
        <v>6</v>
      </c>
      <c r="B4">
        <v>28800</v>
      </c>
      <c r="C4" t="s">
        <v>35</v>
      </c>
    </row>
    <row r="5" spans="1:5">
      <c r="A5" t="s">
        <v>33</v>
      </c>
      <c r="B5">
        <v>32768</v>
      </c>
      <c r="C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Modified Costas Loop</vt:lpstr>
      <vt:lpstr>Traditional Costas Loop</vt:lpstr>
      <vt:lpstr>Costas Loop Gain</vt:lpstr>
      <vt:lpstr>AttackDecay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2024-06-05T22:48:49Z</dcterms:modified>
</cp:coreProperties>
</file>