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PBS_K13_Report_Version_1_1\"/>
    </mc:Choice>
  </mc:AlternateContent>
  <bookViews>
    <workbookView xWindow="0" yWindow="0" windowWidth="20490" windowHeight="8340" firstSheet="2" activeTab="6"/>
  </bookViews>
  <sheets>
    <sheet name="Dashboard" sheetId="7" r:id="rId1"/>
    <sheet name="Master Student" sheetId="3" r:id="rId2"/>
    <sheet name="Master Subject" sheetId="6" r:id="rId3"/>
    <sheet name="Master Data" sheetId="8" r:id="rId4"/>
    <sheet name="Master Grade" sheetId="4" r:id="rId5"/>
    <sheet name="Final Report" sheetId="2" r:id="rId6"/>
    <sheet name="Kompetensi Dasar" sheetId="9" r:id="rId7"/>
  </sheets>
  <definedNames>
    <definedName name="Kg">'Final Report'!$E$55</definedName>
    <definedName name="siswa">'Master Student'!$I$8:$I$32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5" i="2" l="1"/>
  <c r="H81" i="2"/>
  <c r="C40" i="4" l="1"/>
  <c r="D40" i="4" s="1"/>
  <c r="C41" i="4"/>
  <c r="D41" i="4" s="1"/>
  <c r="C42" i="4"/>
  <c r="D42" i="4" s="1"/>
  <c r="G88" i="2"/>
  <c r="B33" i="2"/>
  <c r="H6" i="2" l="1"/>
  <c r="H5" i="2"/>
  <c r="H4" i="2"/>
  <c r="B23" i="2" l="1"/>
  <c r="B24" i="2"/>
  <c r="B25" i="2"/>
  <c r="B26" i="2"/>
  <c r="B27" i="2"/>
  <c r="B28" i="2"/>
  <c r="B29" i="2"/>
  <c r="B34" i="2"/>
  <c r="B35" i="2"/>
  <c r="B22" i="2"/>
  <c r="C39" i="4" l="1"/>
  <c r="D39" i="4" s="1"/>
  <c r="C38" i="4"/>
  <c r="D38" i="4" s="1"/>
  <c r="C37" i="4"/>
  <c r="D37" i="4" s="1"/>
  <c r="C36" i="4"/>
  <c r="D36" i="4" s="1"/>
  <c r="C35" i="4"/>
  <c r="D35" i="4" s="1"/>
  <c r="C34" i="4"/>
  <c r="D34" i="4" s="1"/>
  <c r="C33" i="4"/>
  <c r="D33" i="4" s="1"/>
  <c r="C32" i="4"/>
  <c r="D32" i="4" s="1"/>
  <c r="C31" i="4"/>
  <c r="D31" i="4" s="1"/>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C34" i="2" l="1"/>
  <c r="C29" i="2"/>
  <c r="C27" i="2"/>
  <c r="C25" i="2"/>
  <c r="C23" i="2"/>
  <c r="F29" i="2"/>
  <c r="F25" i="2"/>
  <c r="F34" i="2"/>
  <c r="C35" i="2"/>
  <c r="C26" i="2"/>
  <c r="F35" i="2"/>
  <c r="F33" i="2"/>
  <c r="F28" i="2"/>
  <c r="F26" i="2"/>
  <c r="F24" i="2"/>
  <c r="F22" i="2"/>
  <c r="F27" i="2"/>
  <c r="F23" i="2"/>
  <c r="C33" i="2"/>
  <c r="C28" i="2"/>
  <c r="C24" i="2"/>
  <c r="C22" i="2"/>
  <c r="E78" i="2"/>
  <c r="E76" i="2"/>
  <c r="E56" i="2"/>
  <c r="C14" i="2"/>
  <c r="E62" i="2"/>
  <c r="B70" i="2"/>
  <c r="E77" i="2"/>
  <c r="E55" i="2"/>
  <c r="E63" i="2"/>
  <c r="B69" i="2"/>
  <c r="E70" i="2"/>
  <c r="E69" i="2"/>
  <c r="A48" i="2"/>
  <c r="B43" i="2"/>
  <c r="B42" i="2"/>
  <c r="C15" i="2"/>
  <c r="E43" i="2"/>
  <c r="E42" i="2"/>
  <c r="D25" i="2" l="1"/>
  <c r="E25" i="2"/>
  <c r="G24" i="2"/>
  <c r="H24" i="2"/>
  <c r="G23" i="2"/>
  <c r="H23" i="2"/>
  <c r="G26" i="2"/>
  <c r="H26" i="2"/>
  <c r="D26" i="2"/>
  <c r="E26" i="2"/>
  <c r="G29" i="2"/>
  <c r="H29" i="2"/>
  <c r="E29" i="2"/>
  <c r="D29" i="2"/>
  <c r="D28" i="2"/>
  <c r="E28" i="2"/>
  <c r="H33" i="2"/>
  <c r="G33" i="2"/>
  <c r="G34" i="2"/>
  <c r="H34" i="2"/>
  <c r="E33" i="2"/>
  <c r="D33" i="2"/>
  <c r="H35" i="2"/>
  <c r="G35" i="2"/>
  <c r="G25" i="2"/>
  <c r="H25" i="2"/>
  <c r="D27" i="2"/>
  <c r="E27" i="2"/>
  <c r="D24" i="2"/>
  <c r="E24" i="2"/>
  <c r="G27" i="2"/>
  <c r="H27" i="2"/>
  <c r="G28" i="2"/>
  <c r="H28" i="2"/>
  <c r="E35" i="2"/>
  <c r="D35" i="2"/>
  <c r="D23" i="2"/>
  <c r="E23" i="2"/>
  <c r="E34" i="2"/>
  <c r="D34" i="2"/>
  <c r="G22" i="2"/>
  <c r="H22" i="2"/>
  <c r="D22" i="2"/>
  <c r="E22" i="2"/>
</calcChain>
</file>

<file path=xl/sharedStrings.xml><?xml version="1.0" encoding="utf-8"?>
<sst xmlns="http://schemas.openxmlformats.org/spreadsheetml/2006/main" count="394" uniqueCount="263">
  <si>
    <t>STUDENT'S NAME</t>
  </si>
  <si>
    <t>#</t>
  </si>
  <si>
    <t>MASTER STUDENT</t>
  </si>
  <si>
    <t>AGAMA</t>
  </si>
  <si>
    <t>PPKN</t>
  </si>
  <si>
    <t>B.INDO</t>
  </si>
  <si>
    <t>MATH</t>
  </si>
  <si>
    <t>IPA</t>
  </si>
  <si>
    <t>IPS</t>
  </si>
  <si>
    <t>ART</t>
  </si>
  <si>
    <t>HE</t>
  </si>
  <si>
    <t>MANDARIN</t>
  </si>
  <si>
    <t>ENGLISH</t>
  </si>
  <si>
    <t>ICT</t>
  </si>
  <si>
    <t>Con</t>
  </si>
  <si>
    <t>Pra</t>
  </si>
  <si>
    <t>MASTER GRADE</t>
  </si>
  <si>
    <t>No</t>
  </si>
  <si>
    <t>Muatan Pelajaran</t>
  </si>
  <si>
    <t>Pengetahuan</t>
  </si>
  <si>
    <t>Keterampilan</t>
  </si>
  <si>
    <t>Nilai</t>
  </si>
  <si>
    <t>Predikat</t>
  </si>
  <si>
    <t>Deskripsi</t>
  </si>
  <si>
    <t>RAPOR PESERTA DIDIK DAN PROFIL PESERTA DIDIK</t>
  </si>
  <si>
    <t>MASTER SUBJECT</t>
  </si>
  <si>
    <t>SUBJECT</t>
  </si>
  <si>
    <t>Bahasa Indonesia</t>
  </si>
  <si>
    <t>Matematika</t>
  </si>
  <si>
    <t>Ilmu Pengetahuan Alam</t>
  </si>
  <si>
    <t>Ilmu Pengetahuan Sosial</t>
  </si>
  <si>
    <t>Seni Budaya dan Prakarya</t>
  </si>
  <si>
    <t>Pendidikan Jasmani, Olahraga, dan Kesehatan</t>
  </si>
  <si>
    <t>Bahasa Mandarin</t>
  </si>
  <si>
    <t>Bahasa Inggris</t>
  </si>
  <si>
    <t>Nama Peserta Didik</t>
  </si>
  <si>
    <t>:</t>
  </si>
  <si>
    <t>NISN/NIS</t>
  </si>
  <si>
    <t>Nama Sekolah</t>
  </si>
  <si>
    <t>Alamat Sekolah</t>
  </si>
  <si>
    <t>SDS Peachblossoms</t>
  </si>
  <si>
    <t xml:space="preserve">Kota Harapan Indah RV 2 No.9, Tarumajaya - Bekasi
</t>
  </si>
  <si>
    <t>Kelas</t>
  </si>
  <si>
    <t>Semester</t>
  </si>
  <si>
    <t>Tahun Ajaran</t>
  </si>
  <si>
    <t>2019/2020</t>
  </si>
  <si>
    <t>NO</t>
  </si>
  <si>
    <t>4 (Empat)</t>
  </si>
  <si>
    <t>MASTER SEMESTER</t>
  </si>
  <si>
    <t>SEMESTER</t>
  </si>
  <si>
    <t>MASTER TAHUN AJARAN</t>
  </si>
  <si>
    <t>TAHUN AJARAN</t>
  </si>
  <si>
    <t>2020/2021</t>
  </si>
  <si>
    <t>2021/2022</t>
  </si>
  <si>
    <t>2022/2023</t>
  </si>
  <si>
    <t>2023/2024</t>
  </si>
  <si>
    <t>2024/2025</t>
  </si>
  <si>
    <t>2025/2026</t>
  </si>
  <si>
    <t>2026/2027</t>
  </si>
  <si>
    <t>2027/2028</t>
  </si>
  <si>
    <t>Pendidikan Pancasila dan Kewarganegaraan</t>
  </si>
  <si>
    <t>Muatan Lokal</t>
  </si>
  <si>
    <t>A.</t>
  </si>
  <si>
    <t>SIKAP</t>
  </si>
  <si>
    <t>1. Sikap Spiritual</t>
  </si>
  <si>
    <t>2. Sikap Sosial</t>
  </si>
  <si>
    <t>B.</t>
  </si>
  <si>
    <t>PENGETAHUAN DAN KETERAMPILAN</t>
  </si>
  <si>
    <t>Keterangan</t>
  </si>
  <si>
    <t>C.</t>
  </si>
  <si>
    <t>D.</t>
  </si>
  <si>
    <t>Aspek yang dinilai</t>
  </si>
  <si>
    <t>Berat Badan</t>
  </si>
  <si>
    <t>Tinggi Badan</t>
  </si>
  <si>
    <t>Pendengaran</t>
  </si>
  <si>
    <t>Penglihatan</t>
  </si>
  <si>
    <t>PRESTASI</t>
  </si>
  <si>
    <t>KETIDAKHADIRAN</t>
  </si>
  <si>
    <t>Tanpa Keterangan</t>
  </si>
  <si>
    <t>Izin</t>
  </si>
  <si>
    <t>Sakit</t>
  </si>
  <si>
    <t>Orangtua Siswa</t>
  </si>
  <si>
    <t>______________</t>
  </si>
  <si>
    <t>Kepala Sekolah</t>
  </si>
  <si>
    <t>Wali Kelas</t>
  </si>
  <si>
    <t>Agus R. Wibowo</t>
  </si>
  <si>
    <t>Semester 1</t>
  </si>
  <si>
    <t>SARAN-SARAN</t>
  </si>
  <si>
    <t>TINGGI DAN BERAT BADAN</t>
  </si>
  <si>
    <t>EKSTRA KURIKULER</t>
  </si>
  <si>
    <t>KONDISI KESEHATAN</t>
  </si>
  <si>
    <t>F.</t>
  </si>
  <si>
    <t>E.</t>
  </si>
  <si>
    <t>G.</t>
  </si>
  <si>
    <t>H.</t>
  </si>
  <si>
    <t>Aspek Fisik</t>
  </si>
  <si>
    <t>Jenis Prestasi</t>
  </si>
  <si>
    <t>Tanggal Input</t>
  </si>
  <si>
    <t>Home Room</t>
  </si>
  <si>
    <t>MASTER DATA</t>
  </si>
  <si>
    <t>Komputer</t>
  </si>
  <si>
    <t>SIKAP SPIRITUAL</t>
  </si>
  <si>
    <t>SIKAP SOSIAL</t>
  </si>
  <si>
    <t>EKSTRA KURIKULER 1</t>
  </si>
  <si>
    <t>EKSTRA KURIKULER 2</t>
  </si>
  <si>
    <t>KEGIATAN</t>
  </si>
  <si>
    <t>KETERANGAN</t>
  </si>
  <si>
    <t>BERAT (Kg)</t>
  </si>
  <si>
    <t>BERAT &amp; TINGGI</t>
  </si>
  <si>
    <t>JENIS PRESTASI</t>
  </si>
  <si>
    <t>SAKIT</t>
  </si>
  <si>
    <t>IZIN</t>
  </si>
  <si>
    <t>TANPA KET.</t>
  </si>
  <si>
    <t>PENDENGARAN</t>
  </si>
  <si>
    <t>PENGLIHATAN</t>
  </si>
  <si>
    <t>PRESTASI 1</t>
  </si>
  <si>
    <t>PRESTASI 2</t>
  </si>
  <si>
    <t xml:space="preserve">Bekasi, </t>
  </si>
  <si>
    <t>2028/2029</t>
  </si>
  <si>
    <t>TINGGI (Cm)</t>
  </si>
  <si>
    <t>Kelas (Upper)</t>
  </si>
  <si>
    <t>I (Satu)</t>
  </si>
  <si>
    <t>II (Dua)</t>
  </si>
  <si>
    <t>Lexy</t>
  </si>
  <si>
    <t>Pendidikan Agama dan Budi Pekerti</t>
  </si>
  <si>
    <t>EKSTRAKURIKULER</t>
  </si>
  <si>
    <t>Kegiatan Ekstrakurikuler</t>
  </si>
  <si>
    <t>Version 2.0/PBS/Upper</t>
  </si>
  <si>
    <t>Islam</t>
  </si>
  <si>
    <t>Kristen</t>
  </si>
  <si>
    <t>Katolik</t>
  </si>
  <si>
    <t>Buddha</t>
  </si>
  <si>
    <t>Hindu</t>
  </si>
  <si>
    <t>RELIGION</t>
  </si>
  <si>
    <t>Pendidikan Jasmani, Olahraga dan Kesehatan</t>
  </si>
  <si>
    <t>menghargai kebhinneka-tunggalikaan dan keragaman agama, suku bangsa, pakaian tradisional, bahasa, rumah adat, makanan khas, upacara adat, sosial, dan ekonomi di lingkungan rumah, sekolah dan masyarakat sekitar</t>
  </si>
  <si>
    <t>menunjukkan perilaku, disiplin, tanggung jawab, percaya diri, berani mengakui kesalahan, meminta maaf dan memberi maaf sebagaimana dicontohkan tokoh penting yang berperan dalam perjuangan menentang penjajah hingga kemerdekaan Republik Indonesia sebagai perwujudan nilai dan moral Pancasila</t>
  </si>
  <si>
    <t>Kelas IV</t>
  </si>
  <si>
    <t>Mata Pelajaran</t>
  </si>
  <si>
    <t>KD Pengetahuan</t>
  </si>
  <si>
    <t>KD Keterampilan</t>
  </si>
  <si>
    <t>Sangat Mampu</t>
  </si>
  <si>
    <t>Mampu</t>
  </si>
  <si>
    <t>Cukup Mampu</t>
  </si>
  <si>
    <t>Tidak Mampu</t>
  </si>
  <si>
    <t>Pendidikan Agama Islam dan Budi Pekerti</t>
  </si>
  <si>
    <t>Siswa sangat mampu memiliki sikap santun dan menghargai teman, baik di rumah, sekolah, dan di masyarakat sekitarsebagai implementasi dari pemahaman Q.S.Al-Hadiid (57): 9</t>
  </si>
  <si>
    <t>Siswa mampu memiliki sikap santun dan menghargai teman, baik di rumah, sekolah, dan di masyarakat sekitarsebagai implementasi dari pemahaman Q.S.Al-Hadiid (57): 9</t>
  </si>
  <si>
    <t>Siswa cukup mampu memiliki sikap santun dan menghargai teman, baik di rumah, sekolah, dan di masyarakat sekitarsebagai implementasi dari pemahaman Q.S.Al-Hadiid (57): 9</t>
  </si>
  <si>
    <t>Siswa tidak mampu memiliki sikap santun dan menghargai teman, baik di rumah, sekolah, dan di masyarakat sekitarsebagai implementasi dari pemahaman Q.S.Al-Hadiid (57): 9</t>
  </si>
  <si>
    <t>Siswa sangat mampu mencontohkan sikap santun dan menghargai teman, baik di rumah, sekolah, dan di masyarakat sekitar</t>
  </si>
  <si>
    <t>Siswa mampu mencontohkan sikap santun dan menghargai teman, baik di rumah, sekolah, dan di masyarakat sekitar</t>
  </si>
  <si>
    <t>Siswa cukup mampu mencontohkan sikap santun dan menghargai teman, baik di rumah, sekolah, dan di masyarakat sekitar</t>
  </si>
  <si>
    <t>Siswa tidak mampu mencontohkan sikap santun dan menghargai teman, baik di rumah, sekolah, dan di masyarakat sekitar</t>
  </si>
  <si>
    <t>Pendidikan Agama Kristen dan Budi Pekerti</t>
  </si>
  <si>
    <t>Siswa sangat mampu memahami kemahakuasaan Allah dalam berbagai peristiwa rantai kehidupan manusia di sekitarnya</t>
  </si>
  <si>
    <t>Siswa mampu memahami kemahakuasaan Allah dalam berbagai peristiwa rantai kehidupan manusia di sekitarnya</t>
  </si>
  <si>
    <t>Siswa cukup mampu memahami kemahakuasaan Allah dalam berbagai peristiwa rantai kehidupan manusia di sekitarnya</t>
  </si>
  <si>
    <t>Siswa tidak mampu memahami kemahakuasaan Allah dalam berbagai peristiwa rantai kehidupan manusia di sekitarnya</t>
  </si>
  <si>
    <t>Siswa sangat mampu membuat proyek sederhana terkait dengan sikap bersyukur dalam berbagai peristiwa rantai kehidupan manusia di sekitarnya</t>
  </si>
  <si>
    <t>Siswa mampu membuat proyek sederhana terkait dengan sikap bersyukur dalam berbagai peristiwa rantai kehidupan manusia di sekitarnya</t>
  </si>
  <si>
    <t>Siswa cukup mampu membuat proyek sederhana terkait dengan sikap bersyukur dalam berbagai peristiwa rantai kehidupan manusia di sekitarnya</t>
  </si>
  <si>
    <t>Siswa tidak mampu membuat proyek sederhana terkait dengan sikap bersyukur dalam berbagai peristiwa rantai kehidupan manusia di sekitarnya</t>
  </si>
  <si>
    <t>Pendidikan Agama Katolik dan Budi Pekerti</t>
  </si>
  <si>
    <t>Siswa sangat mampu memahami  Allah yang setia pada janji-Nya dengan memberikan Sepuluh Firman sebagai pedoman hidup.</t>
  </si>
  <si>
    <t>Siswa mampu memahami  Allah yang setia pada janji-Nya dengan memberikan Sepuluh Firman sebagai pedoman hidup.</t>
  </si>
  <si>
    <t>Siswa cukup mampu memahami  Allah yang setia pada janji-Nya dengan memberikan Sepuluh Firman sebagai pedoman hidup.</t>
  </si>
  <si>
    <t>Siswa tidak mampu memahami  Allah yang setia pada janji-Nya dengan memberikan Sepuluh Firman sebagai pedoman hidup.</t>
  </si>
  <si>
    <t xml:space="preserve">Siswa sangat mampu mensyukuri  kemampuan dan keterbatasan diri sebagai anugerah Allah </t>
  </si>
  <si>
    <t xml:space="preserve">Siswa mampu mensyukuri  kemampuan dan keterbatasan diri sebagai anugerah Allah </t>
  </si>
  <si>
    <t xml:space="preserve">Siswa cukup mampu mensyukuri  kemampuan dan keterbatasan diri sebagai anugerah Allah </t>
  </si>
  <si>
    <t xml:space="preserve">Siswa tidak mampu mensyukuri  kemampuan dan keterbatasan diri sebagai anugerah Allah </t>
  </si>
  <si>
    <t>Pendidikan Agama Buddha dan Budi Pekerti</t>
  </si>
  <si>
    <t>Siswa sangat mampu memahami prilaku menolong tanpa pamrih dan tahu berterima kasih</t>
  </si>
  <si>
    <t>Siswa mampu memahami prilaku menolong tanpa pamrih dan tahu berterima kasih</t>
  </si>
  <si>
    <t>Siswa cukup mampu memahami prilaku menolong tanpa pamrih dan tahu berterima kasih</t>
  </si>
  <si>
    <t>Siswa tidak mampu memahami prilaku menolong tanpa pamrih dan tahu berterima kasih</t>
  </si>
  <si>
    <t>Siswa sangat mampu melakukan pertolongan tanpa pamrih dan tahu berterima kasih</t>
  </si>
  <si>
    <t>Siswa mampu melakukan pertolongan tanpa pamrih dan tahu berterima kasih</t>
  </si>
  <si>
    <t>Siswa cukup mampu melakukan pertolongan tanpa pamrih dan tahu berterima kasih</t>
  </si>
  <si>
    <t>Siswa tidak mampu melakukan pertolongan tanpa pamrih dan tahu berterima kasih</t>
  </si>
  <si>
    <t>Pendidikan Agama Hindu dan Budi Pekerti</t>
  </si>
  <si>
    <t>Siswa sangat mampu memahami hak dan kewajiban sebagai warga dalam kehidupan sehari-hari di rumah, sekolah
dan masyarakat</t>
  </si>
  <si>
    <t>Siswa mampu memahami hak dan kewajiban sebagai warga dalam kehidupan sehari-hari di rumah, sekolah
dan masyarakat</t>
  </si>
  <si>
    <t>Siswa cukup mampu memahami hak dan kewajiban sebagai warga dalam kehidupan sehari-hari di rumah, sekolah
dan masyarakat</t>
  </si>
  <si>
    <t>Siswa tidak mampu memahami hak dan kewajiban sebagai warga dalam kehidupan sehari-hari di rumah, sekolah
dan masyarakat</t>
  </si>
  <si>
    <t>Siswa sangat mampu mengelompokkan kesamaan identitas suku bangsa (pakaian tradisional, bahasa, rumah adat,
makanan khas, dan upacara adat), sosial ekonomi (jenis pekerjaan orang tua) di lingkungan rumah, sekolah dan masyarakat sekitar</t>
  </si>
  <si>
    <t>Siswa mampu mengelompokkan kesamaan identitas suku bangsa (pakaian tradisional, bahasa, rumah adat,
makanan khas, dan upacara adat), sosial ekonomi (jenis pekerjaan orang tua) di lingkungan rumah, sekolah dan masyarakat sekitar</t>
  </si>
  <si>
    <t>Siswa cukup mampu mengelompokkan kesamaan identitas suku bangsa (pakaian tradisional, bahasa, rumah adat,
makanan khas, dan upacara adat), sosial ekonomi (jenis pekerjaan orang tua) di lingkungan rumah, sekolah dan masyarakat sekitar</t>
  </si>
  <si>
    <t>Siswa tidak mampu mengelompokkan kesamaan identitas suku bangsa (pakaian tradisional, bahasa, rumah adat,
makanan khas, dan upacara adat), sosial ekonomi (jenis pekerjaan orang tua) di lingkungan rumah, sekolah dan masyarakat sekitar</t>
  </si>
  <si>
    <t xml:space="preserve">Siswa sangat mampu menggali informasi dari teks cerita petualangan tentang lingkungan dan sumber daya alam dengan bantuan guru dan teman dalam bahasa Indonesia lisan dan tulis dengan memilih dan memilah kosakata baku
</t>
  </si>
  <si>
    <t xml:space="preserve">Siswa mampu menggali informasi dari teks cerita petualangan tentang lingkungan dan sumber daya alam dengan bantuan guru dan teman dalam bahasa Indonesia lisan dan tulis dengan memilih dan memilah kosakata baku
</t>
  </si>
  <si>
    <t xml:space="preserve">Siswa cukup mampu menggali informasi dari teks cerita petualangan tentang lingkungan dan sumber daya alam dengan bantuan guru dan teman dalam bahasa Indonesia lisan dan tulis dengan memilih dan memilah kosakata baku
</t>
  </si>
  <si>
    <t xml:space="preserve">Siswa tidak mampu menggali informasi dari teks cerita petualangan tentang lingkungan dan sumber daya alam dengan bantuan guru dan teman dalam bahasa Indonesia lisan dan tulis dengan memilih dan memilah kosakata baku
</t>
  </si>
  <si>
    <t>Siswa sangat mampu menguraikan teks instruksi tentang pemeliharaan pancaindera serta penggunaan alat teknologi modern dan tradisional dengan bantuan guru dan teman dalam bahasa Indonesia lisan dan tulis dengan memilih dan memilah kosakata baku</t>
  </si>
  <si>
    <t>Siswa mampu menguraikan teks instruksi tentang pemeliharaan pancaindera serta penggunaan alat teknologi modern dan tradisional dengan bantuan guru dan teman dalam bahasa Indonesia lisan dan tulis dengan memilih dan memilah kosakata baku</t>
  </si>
  <si>
    <t>Siswa cukup mampu menguraikan teks instruksi tentang pemeliharaan pancaindera serta penggunaan alat teknologi modern dan tradisional dengan bantuan guru dan teman dalam bahasa Indonesia lisan dan tulis dengan memilih dan memilah kosakata baku</t>
  </si>
  <si>
    <t>Siswa tidak mampu menguraikan teks instruksi tentang pemeliharaan pancaindera serta penggunaan alat teknologi modern dan tradisional dengan bantuan guru dan teman dalam bahasa Indonesia lisan dan tulis dengan memilih dan memilah kosakata baku</t>
  </si>
  <si>
    <t xml:space="preserve">Siswa sangat mampu mengenal konsep pecahan; memahami dan menentukan operasi hitung bilangan cacah, kelipatan persekutuan terkecil (KPK), faktor persekutuan terbesar (FPB), pembulatan dan penaksiran pada operasi hitung. </t>
  </si>
  <si>
    <t xml:space="preserve">Siswa mampu mengenal konsep pecahan; memahami dan menentukan operasi hitung bilangan cacah, kelipatan persekutuan terkecil (KPK), faktor persekutuan terbesar (FPB), pembulatan dan penaksiran pada operasi hitung. </t>
  </si>
  <si>
    <t xml:space="preserve">Siswa cukup mampu mengenal konsep pecahan; memahami dan menentukan operasi hitung bilangan cacah, kelipatan persekutuan terkecil (KPK), faktor persekutuan terbesar (FPB), pembulatan dan penaksiran pada operasi hitung. </t>
  </si>
  <si>
    <t xml:space="preserve">Siswa tidak mampu mengenal konsep pecahan; memahami dan menentukan operasi hitung bilangan cacah, kelipatan persekutuan terkecil (KPK), faktor persekutuan terbesar (FPB), pembulatan dan penaksiran pada operasi hitung. </t>
  </si>
  <si>
    <t xml:space="preserve">Siswa sangat mampu menyajikan hasil pecahan dalam bentuk gambar, menyatakan kalimat matematika dan memecahkan masalah dengan efektif permasalahan yang berkaitan dengan KPK dan FPB serta pengukuran panjang atau berat berdasarkan pembulatan yang disajikan dalam bentuk tabel sederhana </t>
  </si>
  <si>
    <t xml:space="preserve">Siswa mampu menyajikan hasil pecahan dalam bentuk gambar, menyatakan kalimat matematika dan memecahkan masalah dengan efektif permasalahan yang berkaitan dengan KPK dan FPB serta pengukuran panjang atau berat berdasarkan pembulatan yang disajikan dalam bentuk tabel sederhana </t>
  </si>
  <si>
    <t xml:space="preserve">Siswa cukup mampu menyajikan hasil pecahan dalam bentuk gambar, menyatakan kalimat matematika dan memecahkan masalah dengan efektif permasalahan yang berkaitan dengan KPK dan FPB serta pengukuran panjang atau berat berdasarkan pembulatan yang disajikan dalam bentuk tabel sederhana </t>
  </si>
  <si>
    <t xml:space="preserve">Siswa tidak mampu menyajikan hasil pecahan dalam bentuk gambar, menyatakan kalimat matematika dan memecahkan masalah dengan efektif permasalahan yang berkaitan dengan KPK dan FPB serta pengukuran panjang atau berat berdasarkan pembulatan yang disajikan dalam bentuk tabel sederhana </t>
  </si>
  <si>
    <t>Siswa sangat mampu memahami daur hidup beberapa jenis makhluk hidup, hubungan antara gaya, gerak dan energi melalui pengamatan, serta mendeskripsikan penerapanya dalam kehidupan sehari-hari.</t>
  </si>
  <si>
    <t>Siswa mampu memahami daur hidup beberapa jenis makhluk hidup, hubungan antara gaya, gerak dan energi melalui pengamatan, serta mendeskripsikan penerapanya dalam kehidupan sehari-hari.</t>
  </si>
  <si>
    <t>Siswa cukup mampu memahami daur hidup beberapa jenis makhluk hidup, hubungan antara gaya, gerak dan energi melalui pengamatan, serta mendeskripsikan penerapanya dalam kehidupan sehari-hari.</t>
  </si>
  <si>
    <t>Siswa tidak mampu memahami daur hidup beberapa jenis makhluk hidup, hubungan antara gaya, gerak dan energi melalui pengamatan, serta mendeskripsikan penerapanya dalam kehidupan sehari-hari.</t>
  </si>
  <si>
    <t>Siswa sangat mampu menyajikan secara tertulis hasil pengamatan daur hidup tumbuhan dan laporan hasil percobaan gaya dan gerak menggunakan table.</t>
  </si>
  <si>
    <t>Siswa mampu menyajikan secara tertulis hasil pengamatan daur hidup tumbuhan dan laporan hasil percobaan gaya dan gerak menggunakan table.</t>
  </si>
  <si>
    <t>Siswa cukup mampu menyajikan secara tertulis hasil pengamatan daur hidup tumbuhan dan laporan hasil percobaan gaya dan gerak menggunakan table.</t>
  </si>
  <si>
    <t>Siswa tidak mampu menyajikan secara tertulis hasil pengamatan daur hidup tumbuhan dan laporan hasil percobaan gaya dan gerak menggunakan table.</t>
  </si>
  <si>
    <t>Siswa sangat mampu mengidentifikasi karakteristik ruang dan pemanfaatan sumber daya alam untuk kesejahteraan masyarakat dari tingkat kota/kabupaten sampai tingkat provinsi</t>
  </si>
  <si>
    <t>Siswa mampu mengidentifikasi karakteristik ruang dan pemanfaatan sumber daya alam untuk kesejahteraan masyarakat dari tingkat kota/kabupaten sampai tingkat provinsi</t>
  </si>
  <si>
    <t>Siswa cukup mampu mengidentifikasi karakteristik ruang dan pemanfaatan sumber daya alam untuk kesejahteraan masyarakat dari tingkat kota/kabupaten sampai tingkat provinsi</t>
  </si>
  <si>
    <t>Siswa tidak mampu mengidentifikasi karakteristik ruang dan pemanfaatan sumber daya alam untuk kesejahteraan masyarakat dari tingkat kota/kabupaten sampai tingkat provinsi</t>
  </si>
  <si>
    <t>Siswa sangat mampu menyajikan hasil identifikasi mengenai keragaman sosial, ekonomi, budaya, etnis, dan agama di provinsi setempat sebagai identitas banga Indonesia; serta hubungannya dengan karakteristik ruang</t>
  </si>
  <si>
    <t>Siswa mampu menyajikan hasil identifikasi mengenai keragaman sosial, ekonomi, budaya, etnis, dan agama di provinsi setempat sebagai identitas banga Indonesia; serta hubungannya dengan karakteristik ruang</t>
  </si>
  <si>
    <t>Siswa cukup mampu menyajikan hasil identifikasi mengenai keragaman sosial, ekonomi, budaya, etnis, dan agama di provinsi setempat sebagai identitas banga Indonesia; serta hubungannya dengan karakteristik ruang</t>
  </si>
  <si>
    <t>Siswa tidak mampu menyajikan hasil identifikasi mengenai keragaman sosial, ekonomi, budaya, etnis, dan agama di provinsi setempat sebagai identitas banga Indonesia; serta hubungannya dengan karakteristik ruang</t>
  </si>
  <si>
    <t>Siswa sangat mampu mengenal gambar alam benda, dan kolase</t>
  </si>
  <si>
    <t>Siswa mampu mengenal gambar alam benda, dan kolase</t>
  </si>
  <si>
    <t>Siswa cukup mampu mengenal gambar alam benda, dan kolase</t>
  </si>
  <si>
    <t>Siswa tidak mampu mengenal gambar alam benda, dan kolase</t>
  </si>
  <si>
    <t>Siswa sangat mampu menggambar model benda kesukaan berdasarkan pengamatan langsung</t>
  </si>
  <si>
    <t>Siswa mampu menggambar model benda kesukaan berdasarkan pengamatan langsung</t>
  </si>
  <si>
    <t>Siswa cukup mampu menggambar model benda kesukaan berdasarkan pengamatan langsung</t>
  </si>
  <si>
    <t>Siswa tidak mampu menggambar model benda kesukaan berdasarkan pengamatan langsung</t>
  </si>
  <si>
    <t>Siswa sangat mampu memahami pengaruh aktivitas fisik dan istirahat terhadap pertumbuhan dan perkembangan tubuh</t>
  </si>
  <si>
    <t>Siswa mampu memahami pengaruh aktivitas fisik dan istirahat terhadap pertumbuhan dan perkembangan tubuh</t>
  </si>
  <si>
    <t>Siswa cukup mampu memahami pengaruh aktivitas fisik dan istirahat terhadap pertumbuhan dan perkembangan tubuh</t>
  </si>
  <si>
    <t>Siswa tidak mampu memahami pengaruh aktivitas fisik dan istirahat terhadap pertumbuhan dan perkembangan tubuh</t>
  </si>
  <si>
    <t>Siswa sangat mampu mempraktikkan kombinasi gerak dasar untuk membentuk gerakan dasar atletik jalan dan lari yang dilandasi konsep gerak melalui permainan dan atau tradisional</t>
  </si>
  <si>
    <t>Siswa mampu mempraktikkan kombinasi gerak dasar untuk membentuk gerakan dasar atletik jalan dan lari yang dilandasi konsep gerak melalui permainan dan atau tradisional</t>
  </si>
  <si>
    <t>Siswa cukup mampu mempraktikkan kombinasi gerak dasar untuk membentuk gerakan dasar atletik jalan dan lari yang dilandasi konsep gerak melalui permainan dan atau tradisional</t>
  </si>
  <si>
    <t>Siswa tidak mampu mempraktikkan kombinasi gerak dasar untuk membentuk gerakan dasar atletik jalan dan lari yang dilandasi konsep gerak melalui permainan dan atau tradisional</t>
  </si>
  <si>
    <t>Siswa sangat mampu memahami cara membaca teks dan menemukan kosakata yang ada di dalamnya</t>
  </si>
  <si>
    <t>Siswa mampu memahami cara membaca teks dan menemukan kosakata yang ada di dalamnya</t>
  </si>
  <si>
    <t>Siswa cukup mampu memahami cara membaca teks dan menemukan kosakata yang ada di dalamnya</t>
  </si>
  <si>
    <t>Siswa tidak mampu memahami cara membaca teks dan menemukan kosakata yang ada di dalamnya</t>
  </si>
  <si>
    <t>Siswa sangat mampu menerangkan arti kosakata yang ada dalam teks bacaan untuk membantu dalam penyajian</t>
  </si>
  <si>
    <t>Siswa mampu menerangkan arti kosakata yang ada dalam teks bacaan untuk membantu dalam penyajian</t>
  </si>
  <si>
    <t>Siswa cukup mampu menerangkan arti kosakata yang ada dalam teks bacaan untuk membantu dalam penyajian</t>
  </si>
  <si>
    <t>Siswa tidak mampu menerangkan arti kosakata yang ada dalam teks bacaan untuk membantu dalam penyajian</t>
  </si>
  <si>
    <t>Siswa sangat mampu memahami penggunaan struktur bahasa yang benar dalam “Present Progressive”, serta bentuk dasar dan bentuk lampau.</t>
  </si>
  <si>
    <t>Siswa mampu memahami penggunaan struktur bahasa yang benar dalam “Present Progressive”, serta bentuk dasar dan bentuk lampau.</t>
  </si>
  <si>
    <t>Siswa cukup mampu memahami penggunaan struktur bahasa yang benar dalam “Present Progressive”, serta bentuk dasar dan bentuk lampau.</t>
  </si>
  <si>
    <t>Siswa tidak mampu memahami penggunaan struktur bahasa yang benar dalam “Present Progressive”, serta bentuk dasar dan bentuk lampau.</t>
  </si>
  <si>
    <t>Siswa sangat mampu mengungkapkan permintaan dan saran-saram dengan baik dan benar dalam rangkaian kata yang majemuk untuk membantu penyajian.</t>
  </si>
  <si>
    <t>Siswa mampu mengungkapkan permintaan dan saran-saram dengan baik dan benar dalam rangkaian kata yang majemuk untuk membantu penyajian.</t>
  </si>
  <si>
    <t>Siswa cukup mampu mengungkapkan permintaan dan saran-saram dengan baik dan benar dalam rangkaian kata yang majemuk untuk membantu penyajian.</t>
  </si>
  <si>
    <t>Siswa tidak mampu mengungkapkan permintaan dan saran-saram dengan baik dan benar dalam rangkaian kata yang majemuk untuk membantu penyajian.</t>
  </si>
  <si>
    <t xml:space="preserve">Siswa sangat mampu memahami teknik vanishing point effects dan packaging design yang ada pada program aplikasi adobe photoshop </t>
  </si>
  <si>
    <t xml:space="preserve">Siswa mampu memahami teknik vanishing point effects dan packaging design yang ada pada program aplikasi adobe photoshop </t>
  </si>
  <si>
    <t xml:space="preserve">Siswa cukup mampu memahami teknik vanishing point effects dan packaging design yang ada pada program aplikasi adobe photoshop </t>
  </si>
  <si>
    <t xml:space="preserve">Siswa tidak mampu memahami teknik vanishing point effects dan packaging design yang ada pada program aplikasi adobe photoshop </t>
  </si>
  <si>
    <t>Siswa sangat mampu mengaplikasikan teknik vanishing point dan packaging design pada objek yang dibuat di aplikasi adobe photoshop</t>
  </si>
  <si>
    <t>Siswa mampu mengaplikasikan teknik vanishing point dan packaging design pada objek yang dibuat di aplikasi adobe photoshop</t>
  </si>
  <si>
    <t>Siswa cukup mampu mengaplikasikan teknik vanishing point dan packaging design pada objek yang dibuat di aplikasi adobe photoshop</t>
  </si>
  <si>
    <t>Siswa tidak mampu mengaplikasikan teknik vanishing point dan packaging design pada objek yang dibuat di aplikasi adobe photoshop</t>
  </si>
  <si>
    <t>Rifqy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</si>
</sst>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409]d\-mmm\-yy;@"/>
    <numFmt numFmtId="166" formatCode="[$-421]dd\ mmmm\ yyyy;@"/>
    <numFmt numFmtId="167" formatCode="[$-409]dd\-mmm\-yy;@"/>
  </numFmts>
  <fonts count="18" x14ac:knownFonts="1">
    <font>
      <sz val="11"/>
      <color theme="1"/>
      <name val="Calibri"/>
      <family val="2"/>
      <scheme val="minor"/>
    </font>
    <font>
      <b/>
      <sz val="11"/>
      <color theme="1"/>
      <name val="Calibri"/>
      <family val="2"/>
      <scheme val="minor"/>
    </font>
    <font>
      <sz val="11"/>
      <color theme="1"/>
      <name val="Calibri"/>
      <family val="2"/>
      <charset val="1"/>
      <scheme val="minor"/>
    </font>
    <font>
      <b/>
      <sz val="15"/>
      <color theme="1"/>
      <name val="Calibri"/>
      <family val="2"/>
      <scheme val="minor"/>
    </font>
    <font>
      <sz val="10"/>
      <name val="Arial"/>
      <family val="2"/>
    </font>
    <font>
      <sz val="10"/>
      <color indexed="8"/>
      <name val="Arial"/>
      <family val="2"/>
    </font>
    <font>
      <sz val="12"/>
      <color theme="1"/>
      <name val="Calibri"/>
      <family val="2"/>
      <scheme val="minor"/>
    </font>
    <font>
      <b/>
      <sz val="12"/>
      <color theme="1"/>
      <name val="Calibri"/>
      <family val="2"/>
      <scheme val="minor"/>
    </font>
    <font>
      <sz val="15"/>
      <color theme="1"/>
      <name val="Calibri"/>
      <family val="2"/>
      <scheme val="minor"/>
    </font>
    <font>
      <b/>
      <i/>
      <sz val="9"/>
      <color theme="1"/>
      <name val="Times New Roman"/>
      <family val="1"/>
    </font>
    <font>
      <b/>
      <i/>
      <sz val="10"/>
      <color theme="1"/>
      <name val="Times New Roman"/>
      <family val="1"/>
    </font>
    <font>
      <sz val="10"/>
      <color theme="1"/>
      <name val="Arial"/>
      <family val="2"/>
    </font>
    <font>
      <b/>
      <sz val="12"/>
      <color theme="1"/>
      <name val="Bookman Old Style"/>
      <family val="1"/>
    </font>
    <font>
      <sz val="11"/>
      <color theme="1"/>
      <name val="Bookman Old Style"/>
      <family val="1"/>
    </font>
    <font>
      <sz val="12"/>
      <color theme="1"/>
      <name val="Bookman Old Style"/>
      <family val="1"/>
    </font>
    <font>
      <sz val="12"/>
      <name val="Bookman Old Style"/>
      <family val="1"/>
    </font>
    <font>
      <sz val="12"/>
      <color indexed="8"/>
      <name val="Bookman Old Style"/>
      <family val="1"/>
    </font>
    <font>
      <sz val="11"/>
      <color theme="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45">
    <xf numFmtId="0" fontId="0" fillId="0" borderId="0" xfId="0"/>
    <xf numFmtId="0" fontId="1" fillId="0" borderId="0" xfId="0" applyFont="1"/>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164"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4" fillId="0" borderId="1" xfId="1" applyFont="1" applyFill="1" applyBorder="1" applyAlignment="1">
      <alignment vertical="center"/>
    </xf>
    <xf numFmtId="0" fontId="5" fillId="0" borderId="1" xfId="1" applyFont="1" applyFill="1" applyBorder="1" applyAlignment="1">
      <alignment vertical="center"/>
    </xf>
    <xf numFmtId="0" fontId="2" fillId="0" borderId="1" xfId="1" applyFont="1" applyFill="1" applyBorder="1" applyAlignment="1">
      <alignment vertical="center"/>
    </xf>
    <xf numFmtId="0" fontId="4" fillId="0" borderId="1" xfId="1" applyFont="1" applyBorder="1" applyAlignment="1">
      <alignment vertical="center"/>
    </xf>
    <xf numFmtId="0" fontId="5" fillId="4" borderId="1" xfId="1" applyFont="1" applyFill="1" applyBorder="1" applyAlignment="1">
      <alignment vertical="center"/>
    </xf>
    <xf numFmtId="164" fontId="1" fillId="5" borderId="1" xfId="0" applyNumberFormat="1" applyFont="1" applyFill="1" applyBorder="1" applyAlignment="1">
      <alignment horizontal="center" vertical="center"/>
    </xf>
    <xf numFmtId="0" fontId="3" fillId="0" borderId="0" xfId="0" applyFont="1" applyAlignment="1">
      <alignment horizontal="center" vertical="center"/>
    </xf>
    <xf numFmtId="0" fontId="1" fillId="6" borderId="1" xfId="0" applyFont="1" applyFill="1" applyBorder="1" applyAlignment="1">
      <alignment horizontal="center" vertical="center"/>
    </xf>
    <xf numFmtId="0" fontId="1" fillId="0" borderId="0" xfId="0" applyFont="1" applyAlignment="1">
      <alignment horizontal="left"/>
    </xf>
    <xf numFmtId="0" fontId="6" fillId="0" borderId="0" xfId="0" applyFont="1" applyAlignment="1">
      <alignment vertical="center"/>
    </xf>
    <xf numFmtId="0" fontId="3" fillId="0" borderId="0" xfId="0" applyFont="1" applyAlignment="1">
      <alignment horizontal="center" vertical="center"/>
    </xf>
    <xf numFmtId="0" fontId="1" fillId="2" borderId="1" xfId="0" applyFont="1" applyFill="1" applyBorder="1" applyAlignment="1">
      <alignment horizontal="center" vertical="center"/>
    </xf>
    <xf numFmtId="0" fontId="8" fillId="0" borderId="0" xfId="0" applyFont="1"/>
    <xf numFmtId="0" fontId="3" fillId="0" borderId="0" xfId="0" applyFont="1"/>
    <xf numFmtId="0" fontId="3" fillId="0" borderId="0" xfId="0" applyFont="1" applyBorder="1" applyAlignment="1">
      <alignment horizontal="center" vertical="center"/>
    </xf>
    <xf numFmtId="0" fontId="6" fillId="0" borderId="0" xfId="0" applyFont="1" applyBorder="1" applyAlignment="1">
      <alignment horizontal="left" vertical="center"/>
    </xf>
    <xf numFmtId="0" fontId="6" fillId="0" borderId="0" xfId="0" applyFont="1" applyBorder="1" applyAlignment="1">
      <alignment horizontal="right" vertical="center"/>
    </xf>
    <xf numFmtId="0" fontId="0" fillId="5"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166" fontId="6" fillId="0" borderId="1" xfId="0" applyNumberFormat="1" applyFont="1" applyBorder="1" applyAlignment="1" applyProtection="1">
      <alignment horizontal="left" vertical="center"/>
      <protection locked="0"/>
    </xf>
    <xf numFmtId="0" fontId="0" fillId="0" borderId="0" xfId="0" applyFill="1" applyProtection="1"/>
    <xf numFmtId="0" fontId="3" fillId="0" borderId="0" xfId="0" applyFont="1" applyFill="1" applyAlignment="1" applyProtection="1">
      <alignment horizontal="center" vertical="center"/>
    </xf>
    <xf numFmtId="0" fontId="0" fillId="0" borderId="0" xfId="0" applyFont="1" applyFill="1" applyProtection="1"/>
    <xf numFmtId="0" fontId="0" fillId="0" borderId="0" xfId="0" applyFont="1" applyFill="1" applyAlignment="1" applyProtection="1">
      <alignment horizontal="right"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horizontal="left" vertical="top" wrapText="1"/>
    </xf>
    <xf numFmtId="0" fontId="1" fillId="0" borderId="0" xfId="0" applyFont="1" applyFill="1" applyAlignment="1" applyProtection="1">
      <alignment horizontal="left" vertical="top"/>
    </xf>
    <xf numFmtId="0" fontId="0" fillId="0" borderId="0" xfId="0" applyFont="1" applyFill="1" applyBorder="1" applyAlignment="1" applyProtection="1">
      <alignment horizontal="left"/>
    </xf>
    <xf numFmtId="0" fontId="0" fillId="0" borderId="0" xfId="0" applyFont="1" applyFill="1" applyBorder="1" applyAlignment="1" applyProtection="1">
      <alignment horizontal="center" vertical="top" wrapText="1"/>
    </xf>
    <xf numFmtId="0" fontId="1" fillId="0" borderId="0" xfId="0" applyFont="1" applyFill="1" applyBorder="1" applyAlignment="1" applyProtection="1">
      <alignment horizontal="left"/>
    </xf>
    <xf numFmtId="0" fontId="1" fillId="0" borderId="0" xfId="0" applyFont="1" applyFill="1" applyBorder="1" applyAlignment="1" applyProtection="1">
      <alignment horizontal="center" vertical="top" wrapText="1"/>
    </xf>
    <xf numFmtId="0" fontId="0" fillId="0" borderId="0" xfId="0" applyFont="1" applyFill="1" applyAlignment="1" applyProtection="1">
      <alignment horizontal="left"/>
    </xf>
    <xf numFmtId="1" fontId="1" fillId="0" borderId="1" xfId="0" applyNumberFormat="1" applyFont="1" applyFill="1" applyBorder="1" applyAlignment="1" applyProtection="1">
      <alignment horizontal="center" vertical="center"/>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vertical="center" wrapText="1"/>
    </xf>
    <xf numFmtId="0" fontId="0" fillId="0" borderId="7" xfId="0" applyFont="1" applyFill="1" applyBorder="1" applyAlignment="1" applyProtection="1">
      <alignment horizontal="center" vertical="center" wrapText="1"/>
    </xf>
    <xf numFmtId="1" fontId="0" fillId="0" borderId="1" xfId="0" applyNumberFormat="1" applyFont="1" applyFill="1" applyBorder="1" applyAlignment="1" applyProtection="1">
      <alignment horizontal="left" vertical="center" wrapText="1"/>
    </xf>
    <xf numFmtId="0" fontId="0" fillId="0" borderId="1" xfId="0" applyFont="1" applyFill="1" applyBorder="1" applyAlignment="1" applyProtection="1">
      <alignment horizontal="center" vertical="center"/>
    </xf>
    <xf numFmtId="0" fontId="1" fillId="0" borderId="1" xfId="0" applyFont="1" applyFill="1" applyBorder="1" applyAlignment="1" applyProtection="1">
      <alignment horizontal="center" vertical="center"/>
    </xf>
    <xf numFmtId="0" fontId="1" fillId="0" borderId="1" xfId="0" applyFont="1" applyFill="1" applyBorder="1" applyAlignment="1" applyProtection="1">
      <alignment vertical="center"/>
    </xf>
    <xf numFmtId="0" fontId="7" fillId="0" borderId="0" xfId="0" applyFont="1" applyFill="1" applyAlignment="1" applyProtection="1">
      <alignment horizontal="left" vertical="top"/>
    </xf>
    <xf numFmtId="0" fontId="6" fillId="0" borderId="0" xfId="0" applyFont="1" applyFill="1" applyAlignment="1" applyProtection="1">
      <alignment horizontal="right" vertical="center"/>
    </xf>
    <xf numFmtId="0" fontId="6" fillId="0" borderId="0" xfId="0" applyFont="1" applyFill="1" applyAlignment="1" applyProtection="1">
      <alignment horizontal="left" vertical="top" wrapText="1"/>
    </xf>
    <xf numFmtId="0" fontId="6" fillId="0" borderId="0" xfId="0" applyFont="1" applyFill="1" applyAlignment="1" applyProtection="1">
      <alignment horizontal="left" vertical="center"/>
    </xf>
    <xf numFmtId="0" fontId="0" fillId="0" borderId="0" xfId="0" applyFill="1" applyAlignment="1" applyProtection="1">
      <alignment horizontal="center" vertical="center"/>
    </xf>
    <xf numFmtId="0" fontId="1" fillId="0" borderId="0" xfId="0" applyFont="1" applyFill="1" applyAlignment="1" applyProtection="1">
      <alignment horizontal="center" vertical="center"/>
    </xf>
    <xf numFmtId="0" fontId="0" fillId="0" borderId="1" xfId="0" applyBorder="1" applyAlignment="1" applyProtection="1">
      <alignment vertical="center" wrapText="1"/>
      <protection locked="0"/>
    </xf>
    <xf numFmtId="0" fontId="0" fillId="0" borderId="1" xfId="0" applyFont="1" applyBorder="1" applyAlignment="1" applyProtection="1">
      <alignment horizontal="left" vertical="center" wrapText="1"/>
    </xf>
    <xf numFmtId="166" fontId="0" fillId="0" borderId="0" xfId="0" applyNumberFormat="1" applyFill="1" applyProtection="1"/>
    <xf numFmtId="166" fontId="0" fillId="0" borderId="0" xfId="0" applyNumberFormat="1" applyFill="1" applyAlignment="1" applyProtection="1">
      <alignment horizontal="right"/>
    </xf>
    <xf numFmtId="166" fontId="0" fillId="0" borderId="0" xfId="0" applyNumberFormat="1" applyFill="1" applyAlignment="1" applyProtection="1">
      <alignment horizontal="left"/>
    </xf>
    <xf numFmtId="0" fontId="9" fillId="0" borderId="0" xfId="0" applyFont="1"/>
    <xf numFmtId="0" fontId="10" fillId="0" borderId="0" xfId="0" applyFont="1"/>
    <xf numFmtId="0" fontId="11" fillId="0" borderId="1" xfId="0" applyFont="1" applyFill="1" applyBorder="1"/>
    <xf numFmtId="0" fontId="4" fillId="0" borderId="1" xfId="0" applyFont="1" applyFill="1" applyBorder="1"/>
    <xf numFmtId="0" fontId="0" fillId="0" borderId="1" xfId="0" applyFill="1" applyBorder="1"/>
    <xf numFmtId="167" fontId="11" fillId="0" borderId="1" xfId="0" applyNumberFormat="1" applyFont="1" applyFill="1" applyBorder="1"/>
    <xf numFmtId="0" fontId="6" fillId="0" borderId="1" xfId="0" applyFont="1" applyBorder="1" applyAlignment="1" applyProtection="1">
      <alignment horizontal="left" vertical="center"/>
      <protection locked="0"/>
    </xf>
    <xf numFmtId="0" fontId="1" fillId="0" borderId="1" xfId="0" applyFont="1" applyFill="1" applyBorder="1" applyAlignment="1" applyProtection="1">
      <alignment horizontal="center" vertical="center"/>
    </xf>
    <xf numFmtId="0" fontId="0" fillId="0" borderId="1" xfId="0" applyFont="1" applyBorder="1"/>
    <xf numFmtId="0" fontId="13" fillId="0" borderId="0" xfId="0" applyFont="1"/>
    <xf numFmtId="0" fontId="12" fillId="0" borderId="1" xfId="0" applyFont="1" applyBorder="1" applyAlignment="1">
      <alignment horizontal="center" vertical="center"/>
    </xf>
    <xf numFmtId="0" fontId="14" fillId="0" borderId="1" xfId="0" applyFont="1" applyBorder="1" applyAlignment="1">
      <alignment horizontal="center" vertical="center"/>
    </xf>
    <xf numFmtId="0" fontId="15" fillId="0" borderId="1" xfId="1" applyFont="1" applyFill="1" applyBorder="1" applyAlignment="1">
      <alignment vertical="center" wrapText="1"/>
    </xf>
    <xf numFmtId="0" fontId="14" fillId="0" borderId="1" xfId="0" applyFont="1" applyBorder="1" applyAlignment="1">
      <alignment horizontal="left" vertical="center" wrapText="1"/>
    </xf>
    <xf numFmtId="0" fontId="16" fillId="0" borderId="1" xfId="1" applyFont="1" applyFill="1" applyBorder="1" applyAlignment="1">
      <alignment vertical="center" wrapText="1"/>
    </xf>
    <xf numFmtId="0" fontId="14" fillId="0" borderId="1" xfId="1" applyFont="1" applyFill="1" applyBorder="1" applyAlignment="1">
      <alignment vertical="center" wrapText="1"/>
    </xf>
    <xf numFmtId="0" fontId="15" fillId="0" borderId="1" xfId="1" applyFont="1" applyBorder="1" applyAlignment="1">
      <alignment vertical="center" wrapText="1"/>
    </xf>
    <xf numFmtId="0" fontId="3" fillId="0" borderId="0" xfId="0" applyFont="1" applyAlignment="1">
      <alignment horizontal="center"/>
    </xf>
    <xf numFmtId="0" fontId="1" fillId="0" borderId="0" xfId="0" applyFont="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7" borderId="3" xfId="0" applyFont="1" applyFill="1" applyBorder="1" applyAlignment="1">
      <alignment horizontal="center" vertical="center"/>
    </xf>
    <xf numFmtId="0" fontId="6" fillId="0" borderId="2"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6" fillId="0" borderId="1" xfId="0" applyFont="1" applyBorder="1" applyAlignment="1" applyProtection="1">
      <alignment horizontal="left" vertical="center"/>
      <protection locked="0"/>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164" fontId="1" fillId="2" borderId="1" xfId="0" applyNumberFormat="1" applyFont="1" applyFill="1" applyBorder="1" applyAlignment="1">
      <alignment horizontal="center" vertical="center"/>
    </xf>
    <xf numFmtId="165"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0" fillId="0" borderId="1" xfId="0" applyFill="1" applyBorder="1" applyAlignment="1" applyProtection="1">
      <alignment horizontal="left"/>
    </xf>
    <xf numFmtId="0" fontId="1" fillId="0" borderId="0" xfId="0" applyFont="1" applyFill="1" applyAlignment="1" applyProtection="1">
      <alignment horizontal="center" vertical="center"/>
    </xf>
    <xf numFmtId="0" fontId="0" fillId="0" borderId="0" xfId="0" applyFill="1" applyAlignment="1" applyProtection="1">
      <alignment horizontal="center" vertical="center"/>
    </xf>
    <xf numFmtId="0" fontId="0" fillId="0" borderId="1" xfId="0" applyFill="1" applyBorder="1" applyAlignment="1" applyProtection="1">
      <alignment horizontal="center"/>
    </xf>
    <xf numFmtId="0" fontId="1" fillId="0" borderId="1" xfId="0" applyFont="1" applyFill="1" applyBorder="1" applyAlignment="1" applyProtection="1">
      <alignment horizontal="center" vertical="center"/>
    </xf>
    <xf numFmtId="0" fontId="0" fillId="0" borderId="1" xfId="0" applyFont="1" applyFill="1" applyBorder="1" applyAlignment="1" applyProtection="1">
      <alignment horizontal="left"/>
    </xf>
    <xf numFmtId="0" fontId="0" fillId="0" borderId="1" xfId="0" applyFont="1" applyFill="1" applyBorder="1" applyAlignment="1" applyProtection="1">
      <alignment horizontal="center"/>
    </xf>
    <xf numFmtId="0" fontId="0" fillId="0" borderId="9" xfId="0" applyFont="1" applyFill="1" applyBorder="1" applyAlignment="1" applyProtection="1">
      <alignment horizontal="left" vertical="center"/>
    </xf>
    <xf numFmtId="0" fontId="0" fillId="0" borderId="10" xfId="0" applyFont="1" applyFill="1" applyBorder="1" applyAlignment="1" applyProtection="1">
      <alignment horizontal="left" vertical="center"/>
    </xf>
    <xf numFmtId="0" fontId="0" fillId="0" borderId="11" xfId="0" applyFont="1" applyFill="1" applyBorder="1" applyAlignment="1" applyProtection="1">
      <alignment horizontal="left" vertical="center"/>
    </xf>
    <xf numFmtId="0" fontId="0" fillId="0" borderId="12" xfId="0" applyFont="1" applyFill="1" applyBorder="1" applyAlignment="1" applyProtection="1">
      <alignment horizontal="left" vertical="center"/>
    </xf>
    <xf numFmtId="0" fontId="0" fillId="0" borderId="5" xfId="0" applyFont="1" applyFill="1" applyBorder="1" applyAlignment="1" applyProtection="1">
      <alignment horizontal="left" vertical="center"/>
    </xf>
    <xf numFmtId="0" fontId="0" fillId="0" borderId="13" xfId="0" applyFont="1" applyFill="1" applyBorder="1" applyAlignment="1" applyProtection="1">
      <alignment horizontal="left" vertical="center"/>
    </xf>
    <xf numFmtId="0" fontId="1" fillId="0" borderId="2"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wrapText="1"/>
    </xf>
    <xf numFmtId="1" fontId="1" fillId="0" borderId="1" xfId="0" applyNumberFormat="1" applyFont="1" applyFill="1" applyBorder="1" applyAlignment="1" applyProtection="1">
      <alignment horizontal="center" vertical="center"/>
    </xf>
    <xf numFmtId="1" fontId="1" fillId="0" borderId="2" xfId="0" applyNumberFormat="1" applyFont="1" applyFill="1" applyBorder="1" applyAlignment="1" applyProtection="1">
      <alignment horizontal="center" vertical="center"/>
    </xf>
    <xf numFmtId="1" fontId="1" fillId="0" borderId="3" xfId="0" applyNumberFormat="1" applyFont="1" applyFill="1" applyBorder="1" applyAlignment="1" applyProtection="1">
      <alignment horizontal="center" vertical="center"/>
    </xf>
    <xf numFmtId="1" fontId="1" fillId="0" borderId="4"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0" fontId="3" fillId="0" borderId="0" xfId="0" applyFont="1" applyFill="1" applyAlignment="1" applyProtection="1">
      <alignment horizontal="center" vertical="center"/>
    </xf>
    <xf numFmtId="0" fontId="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ill="1" applyAlignment="1" applyProtection="1">
      <alignment horizontal="left" vertical="center"/>
      <protection locked="0"/>
    </xf>
    <xf numFmtId="0" fontId="0" fillId="0" borderId="0" xfId="0" applyFont="1" applyFill="1" applyAlignment="1" applyProtection="1">
      <alignment horizontal="left" vertical="center"/>
      <protection locked="0"/>
    </xf>
    <xf numFmtId="0" fontId="0" fillId="0" borderId="0" xfId="0" applyFont="1" applyFill="1" applyAlignment="1" applyProtection="1">
      <alignment horizontal="left" vertical="top" wrapText="1"/>
    </xf>
    <xf numFmtId="0" fontId="0" fillId="0" borderId="2" xfId="0" applyFont="1" applyFill="1" applyBorder="1" applyAlignment="1" applyProtection="1">
      <alignment horizontal="left" vertical="center"/>
    </xf>
    <xf numFmtId="0" fontId="0" fillId="0" borderId="4" xfId="0" applyFont="1" applyFill="1" applyBorder="1" applyAlignment="1" applyProtection="1">
      <alignment horizontal="left" vertical="center"/>
    </xf>
    <xf numFmtId="0" fontId="0" fillId="0" borderId="2" xfId="0" applyFont="1" applyFill="1" applyBorder="1" applyAlignment="1" applyProtection="1">
      <alignment horizontal="left" vertical="center" wrapText="1"/>
    </xf>
    <xf numFmtId="0" fontId="0" fillId="0" borderId="3" xfId="0" applyFont="1" applyFill="1" applyBorder="1" applyAlignment="1" applyProtection="1">
      <alignment horizontal="left" vertical="center" wrapText="1"/>
    </xf>
    <xf numFmtId="0" fontId="0" fillId="0" borderId="4" xfId="0" applyFont="1" applyFill="1" applyBorder="1" applyAlignment="1" applyProtection="1">
      <alignment horizontal="left" vertical="center" wrapText="1"/>
    </xf>
    <xf numFmtId="0" fontId="12" fillId="0" borderId="0" xfId="0" applyFont="1" applyBorder="1" applyAlignment="1">
      <alignment horizontal="left" vertical="center"/>
    </xf>
    <xf numFmtId="0" fontId="12" fillId="0" borderId="1" xfId="0" applyFont="1" applyBorder="1" applyAlignment="1">
      <alignment horizontal="center" vertical="center"/>
    </xf>
    <xf numFmtId="1" fontId="0" fillId="0" borderId="1" xfId="0" applyNumberFormat="1" applyFont="1" applyFill="1" applyBorder="1" applyAlignment="1" applyProtection="1">
      <alignment horizontal="center" vertical="center" wrapText="1"/>
    </xf>
    <xf numFmtId="1" fontId="0" fillId="0" borderId="1" xfId="0" applyNumberFormat="1" applyFont="1" applyFill="1" applyBorder="1" applyAlignment="1" applyProtection="1">
      <alignment horizontal="center" vertical="center"/>
    </xf>
    <xf numFmtId="0" fontId="17" fillId="0" borderId="0" xfId="0" applyFont="1" applyFill="1" applyAlignment="1" applyProtection="1">
      <alignment horizontal="left" vertical="top"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Master Subject'!A1"/><Relationship Id="rId7" Type="http://schemas.openxmlformats.org/officeDocument/2006/relationships/hyperlink" Target="#'Final Report'!A1"/><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Master Student'!A1"/><Relationship Id="rId6" Type="http://schemas.openxmlformats.org/officeDocument/2006/relationships/image" Target="../media/image3.png"/><Relationship Id="rId11" Type="http://schemas.openxmlformats.org/officeDocument/2006/relationships/hyperlink" Target="#'Master Data'!A1"/><Relationship Id="rId5" Type="http://schemas.openxmlformats.org/officeDocument/2006/relationships/hyperlink" Target="#'Master Grade'!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User%20Guide%20Rapor%20K13.mp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hyperlink" Target="#'Master Subject'!A1"/><Relationship Id="rId7" Type="http://schemas.openxmlformats.org/officeDocument/2006/relationships/hyperlink" Target="#'Master Grade'!A1"/><Relationship Id="rId12"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png"/><Relationship Id="rId11" Type="http://schemas.openxmlformats.org/officeDocument/2006/relationships/hyperlink" Target="#'Master Data'!A1"/><Relationship Id="rId5" Type="http://schemas.openxmlformats.org/officeDocument/2006/relationships/hyperlink" Target="#'Master Student'!A1"/><Relationship Id="rId10" Type="http://schemas.openxmlformats.org/officeDocument/2006/relationships/image" Target="../media/image11.png"/><Relationship Id="rId4" Type="http://schemas.openxmlformats.org/officeDocument/2006/relationships/image" Target="../media/image8.png"/><Relationship Id="rId9" Type="http://schemas.openxmlformats.org/officeDocument/2006/relationships/hyperlink" Target="#'Final Repor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xdr:rowOff>
    </xdr:from>
    <xdr:to>
      <xdr:col>17</xdr:col>
      <xdr:colOff>276225</xdr:colOff>
      <xdr:row>21</xdr:row>
      <xdr:rowOff>47625</xdr:rowOff>
    </xdr:to>
    <xdr:sp macro="" textlink="">
      <xdr:nvSpPr>
        <xdr:cNvPr id="2" name="Rounded Rectangle 1"/>
        <xdr:cNvSpPr/>
      </xdr:nvSpPr>
      <xdr:spPr>
        <a:xfrm>
          <a:off x="1504950" y="190501"/>
          <a:ext cx="9134475" cy="3857624"/>
        </a:xfrm>
        <a:prstGeom prst="round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solidFill>
              <a:schemeClr val="bg1">
                <a:lumMod val="95000"/>
              </a:schemeClr>
            </a:solidFill>
          </a:endParaRPr>
        </a:p>
      </xdr:txBody>
    </xdr:sp>
    <xdr:clientData/>
  </xdr:twoCellAnchor>
  <xdr:twoCellAnchor>
    <xdr:from>
      <xdr:col>3</xdr:col>
      <xdr:colOff>514350</xdr:colOff>
      <xdr:row>2</xdr:row>
      <xdr:rowOff>73800</xdr:rowOff>
    </xdr:from>
    <xdr:to>
      <xdr:col>6</xdr:col>
      <xdr:colOff>323850</xdr:colOff>
      <xdr:row>10</xdr:row>
      <xdr:rowOff>95250</xdr:rowOff>
    </xdr:to>
    <xdr:grpSp>
      <xdr:nvGrpSpPr>
        <xdr:cNvPr id="8" name="Group 7"/>
        <xdr:cNvGrpSpPr/>
      </xdr:nvGrpSpPr>
      <xdr:grpSpPr>
        <a:xfrm>
          <a:off x="2353089" y="454800"/>
          <a:ext cx="1648239" cy="1545450"/>
          <a:chOff x="2095500" y="1407300"/>
          <a:chExt cx="1638300" cy="1545450"/>
        </a:xfrm>
      </xdr:grpSpPr>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8151" y="1407300"/>
            <a:ext cx="1227304" cy="1227304"/>
          </a:xfrm>
          <a:prstGeom prst="rect">
            <a:avLst/>
          </a:prstGeom>
        </xdr:spPr>
      </xdr:pic>
      <xdr:sp macro="" textlink="">
        <xdr:nvSpPr>
          <xdr:cNvPr id="7" name="Rectangle 6"/>
          <xdr:cNvSpPr/>
        </xdr:nvSpPr>
        <xdr:spPr>
          <a:xfrm>
            <a:off x="2095500" y="25812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STUDENT MASTER</a:t>
            </a:r>
          </a:p>
        </xdr:txBody>
      </xdr:sp>
    </xdr:grpSp>
    <xdr:clientData/>
  </xdr:twoCellAnchor>
  <xdr:twoCellAnchor>
    <xdr:from>
      <xdr:col>6</xdr:col>
      <xdr:colOff>590550</xdr:colOff>
      <xdr:row>2</xdr:row>
      <xdr:rowOff>89121</xdr:rowOff>
    </xdr:from>
    <xdr:to>
      <xdr:col>9</xdr:col>
      <xdr:colOff>400050</xdr:colOff>
      <xdr:row>10</xdr:row>
      <xdr:rowOff>102375</xdr:rowOff>
    </xdr:to>
    <xdr:grpSp>
      <xdr:nvGrpSpPr>
        <xdr:cNvPr id="16" name="Group 15"/>
        <xdr:cNvGrpSpPr/>
      </xdr:nvGrpSpPr>
      <xdr:grpSpPr>
        <a:xfrm>
          <a:off x="4268028" y="470121"/>
          <a:ext cx="1648239" cy="1537254"/>
          <a:chOff x="4000500" y="813021"/>
          <a:chExt cx="1638300" cy="1537254"/>
        </a:xfrm>
      </xdr:grpSpPr>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72747" y="813021"/>
            <a:ext cx="1212590" cy="1212590"/>
          </a:xfrm>
          <a:prstGeom prst="rect">
            <a:avLst/>
          </a:prstGeom>
        </xdr:spPr>
      </xdr:pic>
      <xdr:sp macro="" textlink="">
        <xdr:nvSpPr>
          <xdr:cNvPr id="9" name="Rectangle 8"/>
          <xdr:cNvSpPr/>
        </xdr:nvSpPr>
        <xdr:spPr>
          <a:xfrm>
            <a:off x="400050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SUBJECT MASTER</a:t>
            </a:r>
          </a:p>
        </xdr:txBody>
      </xdr:sp>
    </xdr:grpSp>
    <xdr:clientData/>
  </xdr:twoCellAnchor>
  <xdr:twoCellAnchor>
    <xdr:from>
      <xdr:col>9</xdr:col>
      <xdr:colOff>495300</xdr:colOff>
      <xdr:row>2</xdr:row>
      <xdr:rowOff>91821</xdr:rowOff>
    </xdr:from>
    <xdr:to>
      <xdr:col>12</xdr:col>
      <xdr:colOff>304800</xdr:colOff>
      <xdr:row>10</xdr:row>
      <xdr:rowOff>102375</xdr:rowOff>
    </xdr:to>
    <xdr:grpSp>
      <xdr:nvGrpSpPr>
        <xdr:cNvPr id="17" name="Group 16"/>
        <xdr:cNvGrpSpPr/>
      </xdr:nvGrpSpPr>
      <xdr:grpSpPr>
        <a:xfrm>
          <a:off x="6011517" y="472821"/>
          <a:ext cx="1648240" cy="1534554"/>
          <a:chOff x="5734050" y="815721"/>
          <a:chExt cx="1638300" cy="1534554"/>
        </a:xfrm>
      </xdr:grpSpPr>
      <xdr:pic>
        <xdr:nvPicPr>
          <xdr:cNvPr id="3" name="Picture 2">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9132" y="815721"/>
            <a:ext cx="1203579" cy="1203579"/>
          </a:xfrm>
          <a:prstGeom prst="rect">
            <a:avLst/>
          </a:prstGeom>
        </xdr:spPr>
      </xdr:pic>
      <xdr:sp macro="" textlink="">
        <xdr:nvSpPr>
          <xdr:cNvPr id="10" name="Rectangle 9"/>
          <xdr:cNvSpPr/>
        </xdr:nvSpPr>
        <xdr:spPr>
          <a:xfrm>
            <a:off x="5734050" y="19788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INPUT GRADE</a:t>
            </a:r>
          </a:p>
        </xdr:txBody>
      </xdr:sp>
    </xdr:grpSp>
    <xdr:clientData/>
  </xdr:twoCellAnchor>
  <xdr:twoCellAnchor>
    <xdr:from>
      <xdr:col>13</xdr:col>
      <xdr:colOff>219075</xdr:colOff>
      <xdr:row>1</xdr:row>
      <xdr:rowOff>161925</xdr:rowOff>
    </xdr:from>
    <xdr:to>
      <xdr:col>16</xdr:col>
      <xdr:colOff>28575</xdr:colOff>
      <xdr:row>10</xdr:row>
      <xdr:rowOff>102375</xdr:rowOff>
    </xdr:to>
    <xdr:grpSp>
      <xdr:nvGrpSpPr>
        <xdr:cNvPr id="18" name="Group 17"/>
        <xdr:cNvGrpSpPr/>
      </xdr:nvGrpSpPr>
      <xdr:grpSpPr>
        <a:xfrm>
          <a:off x="8186945" y="352425"/>
          <a:ext cx="1648239" cy="1654950"/>
          <a:chOff x="8143875" y="352425"/>
          <a:chExt cx="1638300" cy="1654950"/>
        </a:xfrm>
      </xdr:grpSpPr>
      <xdr:pic>
        <xdr:nvPicPr>
          <xdr:cNvPr id="4" name="Picture 3">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72450" y="352425"/>
            <a:ext cx="1552574" cy="1552574"/>
          </a:xfrm>
          <a:prstGeom prst="rect">
            <a:avLst/>
          </a:prstGeom>
        </xdr:spPr>
      </xdr:pic>
      <xdr:sp macro="" textlink="">
        <xdr:nvSpPr>
          <xdr:cNvPr id="11" name="Rectangle 10"/>
          <xdr:cNvSpPr/>
        </xdr:nvSpPr>
        <xdr:spPr>
          <a:xfrm>
            <a:off x="8143875" y="1635900"/>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1100" b="1">
                <a:solidFill>
                  <a:schemeClr val="accent6">
                    <a:lumMod val="75000"/>
                  </a:schemeClr>
                </a:solidFill>
              </a:rPr>
              <a:t>FINAL</a:t>
            </a:r>
            <a:r>
              <a:rPr lang="id-ID" sz="1100" b="1" baseline="0">
                <a:solidFill>
                  <a:schemeClr val="accent6">
                    <a:lumMod val="75000"/>
                  </a:schemeClr>
                </a:solidFill>
              </a:rPr>
              <a:t> REPORT</a:t>
            </a:r>
            <a:endParaRPr lang="id-ID" sz="1100" b="1">
              <a:solidFill>
                <a:schemeClr val="accent6">
                  <a:lumMod val="75000"/>
                </a:schemeClr>
              </a:solidFill>
            </a:endParaRPr>
          </a:p>
        </xdr:txBody>
      </xdr:sp>
    </xdr:grpSp>
    <xdr:clientData/>
  </xdr:twoCellAnchor>
  <xdr:twoCellAnchor>
    <xdr:from>
      <xdr:col>10</xdr:col>
      <xdr:colOff>419100</xdr:colOff>
      <xdr:row>12</xdr:row>
      <xdr:rowOff>76200</xdr:rowOff>
    </xdr:from>
    <xdr:to>
      <xdr:col>13</xdr:col>
      <xdr:colOff>228600</xdr:colOff>
      <xdr:row>20</xdr:row>
      <xdr:rowOff>73800</xdr:rowOff>
    </xdr:to>
    <xdr:grpSp>
      <xdr:nvGrpSpPr>
        <xdr:cNvPr id="21" name="Group 20">
          <a:hlinkClick xmlns:r="http://schemas.openxmlformats.org/officeDocument/2006/relationships" r:id="rId9"/>
        </xdr:cNvPr>
        <xdr:cNvGrpSpPr/>
      </xdr:nvGrpSpPr>
      <xdr:grpSpPr>
        <a:xfrm>
          <a:off x="6548230" y="2362200"/>
          <a:ext cx="1648240" cy="1521600"/>
          <a:chOff x="6515100" y="2362200"/>
          <a:chExt cx="1638300" cy="1521600"/>
        </a:xfrm>
      </xdr:grpSpPr>
      <xdr:pic>
        <xdr:nvPicPr>
          <xdr:cNvPr id="12" name="Picture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715125" y="2362200"/>
            <a:ext cx="1190625" cy="1190625"/>
          </a:xfrm>
          <a:prstGeom prst="rect">
            <a:avLst/>
          </a:prstGeom>
        </xdr:spPr>
      </xdr:pic>
      <xdr:sp macro="" textlink="">
        <xdr:nvSpPr>
          <xdr:cNvPr id="14" name="Rectangle 13"/>
          <xdr:cNvSpPr/>
        </xdr:nvSpPr>
        <xdr:spPr>
          <a:xfrm>
            <a:off x="6515100" y="351232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USER</a:t>
            </a:r>
            <a:r>
              <a:rPr lang="en-US" sz="1100" b="1" baseline="0">
                <a:solidFill>
                  <a:schemeClr val="accent6">
                    <a:lumMod val="75000"/>
                  </a:schemeClr>
                </a:solidFill>
              </a:rPr>
              <a:t> GUIDE</a:t>
            </a:r>
            <a:endParaRPr lang="id-ID" sz="1100" b="1">
              <a:solidFill>
                <a:schemeClr val="accent6">
                  <a:lumMod val="75000"/>
                </a:schemeClr>
              </a:solidFill>
            </a:endParaRPr>
          </a:p>
        </xdr:txBody>
      </xdr:sp>
    </xdr:grpSp>
    <xdr:clientData/>
  </xdr:twoCellAnchor>
  <xdr:twoCellAnchor>
    <xdr:from>
      <xdr:col>6</xdr:col>
      <xdr:colOff>219075</xdr:colOff>
      <xdr:row>12</xdr:row>
      <xdr:rowOff>92850</xdr:rowOff>
    </xdr:from>
    <xdr:to>
      <xdr:col>9</xdr:col>
      <xdr:colOff>28575</xdr:colOff>
      <xdr:row>20</xdr:row>
      <xdr:rowOff>92850</xdr:rowOff>
    </xdr:to>
    <xdr:grpSp>
      <xdr:nvGrpSpPr>
        <xdr:cNvPr id="20" name="Group 19">
          <a:hlinkClick xmlns:r="http://schemas.openxmlformats.org/officeDocument/2006/relationships" r:id="rId11"/>
        </xdr:cNvPr>
        <xdr:cNvGrpSpPr/>
      </xdr:nvGrpSpPr>
      <xdr:grpSpPr>
        <a:xfrm>
          <a:off x="3896553" y="2378850"/>
          <a:ext cx="1648239" cy="1524000"/>
          <a:chOff x="3876675" y="2378850"/>
          <a:chExt cx="1638300" cy="1524000"/>
        </a:xfrm>
      </xdr:grpSpPr>
      <xdr:pic>
        <xdr:nvPicPr>
          <xdr:cNvPr id="13" name="Picture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112400" y="2378850"/>
            <a:ext cx="1183500" cy="1183500"/>
          </a:xfrm>
          <a:prstGeom prst="rect">
            <a:avLst/>
          </a:prstGeom>
        </xdr:spPr>
      </xdr:pic>
      <xdr:sp macro="" textlink="">
        <xdr:nvSpPr>
          <xdr:cNvPr id="19" name="Rectangle 18"/>
          <xdr:cNvSpPr/>
        </xdr:nvSpPr>
        <xdr:spPr>
          <a:xfrm>
            <a:off x="3876675" y="3531375"/>
            <a:ext cx="163830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6">
                    <a:lumMod val="75000"/>
                  </a:schemeClr>
                </a:solidFill>
              </a:rPr>
              <a:t>MASTER</a:t>
            </a:r>
            <a:r>
              <a:rPr lang="en-US" sz="1100" b="1" baseline="0">
                <a:solidFill>
                  <a:schemeClr val="accent6">
                    <a:lumMod val="75000"/>
                  </a:schemeClr>
                </a:solidFill>
              </a:rPr>
              <a:t> DATA</a:t>
            </a:r>
            <a:endParaRPr lang="id-ID" sz="1100" b="1">
              <a:solidFill>
                <a:schemeClr val="accent6">
                  <a:lumMod val="75000"/>
                </a:schemeClr>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354825</xdr:colOff>
      <xdr:row>0</xdr:row>
      <xdr:rowOff>180975</xdr:rowOff>
    </xdr:from>
    <xdr:to>
      <xdr:col>2</xdr:col>
      <xdr:colOff>128700</xdr:colOff>
      <xdr:row>5</xdr:row>
      <xdr:rowOff>42205</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4825" y="180975"/>
          <a:ext cx="993075" cy="870880"/>
        </a:xfrm>
        <a:prstGeom prst="rect">
          <a:avLst/>
        </a:prstGeom>
      </xdr:spPr>
    </xdr:pic>
    <xdr:clientData/>
  </xdr:twoCellAnchor>
  <xdr:twoCellAnchor editAs="oneCell">
    <xdr:from>
      <xdr:col>0</xdr:col>
      <xdr:colOff>323850</xdr:colOff>
      <xdr:row>6</xdr:row>
      <xdr:rowOff>111900</xdr:rowOff>
    </xdr:from>
    <xdr:to>
      <xdr:col>2</xdr:col>
      <xdr:colOff>97725</xdr:colOff>
      <xdr:row>10</xdr:row>
      <xdr:rowOff>30280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3850" y="1312050"/>
          <a:ext cx="993075" cy="870880"/>
        </a:xfrm>
        <a:prstGeom prst="rect">
          <a:avLst/>
        </a:prstGeom>
      </xdr:spPr>
    </xdr:pic>
    <xdr:clientData/>
  </xdr:twoCellAnchor>
  <xdr:twoCellAnchor editAs="oneCell">
    <xdr:from>
      <xdr:col>2</xdr:col>
      <xdr:colOff>569100</xdr:colOff>
      <xdr:row>0</xdr:row>
      <xdr:rowOff>185700</xdr:rowOff>
    </xdr:from>
    <xdr:to>
      <xdr:col>4</xdr:col>
      <xdr:colOff>342975</xdr:colOff>
      <xdr:row>5</xdr:row>
      <xdr:rowOff>46930</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8300" y="185700"/>
          <a:ext cx="993075" cy="870880"/>
        </a:xfrm>
        <a:prstGeom prst="rect">
          <a:avLst/>
        </a:prstGeom>
      </xdr:spPr>
    </xdr:pic>
    <xdr:clientData/>
  </xdr:twoCellAnchor>
  <xdr:twoCellAnchor editAs="oneCell">
    <xdr:from>
      <xdr:col>2</xdr:col>
      <xdr:colOff>538125</xdr:colOff>
      <xdr:row>6</xdr:row>
      <xdr:rowOff>107100</xdr:rowOff>
    </xdr:from>
    <xdr:to>
      <xdr:col>4</xdr:col>
      <xdr:colOff>312000</xdr:colOff>
      <xdr:row>10</xdr:row>
      <xdr:rowOff>25480</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57325" y="1307250"/>
          <a:ext cx="993075" cy="870880"/>
        </a:xfrm>
        <a:prstGeom prst="rect">
          <a:avLst/>
        </a:prstGeom>
      </xdr:spPr>
    </xdr:pic>
    <xdr:clientData/>
  </xdr:twoCellAnchor>
  <xdr:twoCellAnchor editAs="oneCell">
    <xdr:from>
      <xdr:col>2</xdr:col>
      <xdr:colOff>497625</xdr:colOff>
      <xdr:row>11</xdr:row>
      <xdr:rowOff>9450</xdr:rowOff>
    </xdr:from>
    <xdr:to>
      <xdr:col>4</xdr:col>
      <xdr:colOff>271500</xdr:colOff>
      <xdr:row>14</xdr:row>
      <xdr:rowOff>165955</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716825" y="2400225"/>
          <a:ext cx="993075" cy="870880"/>
        </a:xfrm>
        <a:prstGeom prst="rect">
          <a:avLst/>
        </a:prstGeom>
      </xdr:spPr>
    </xdr:pic>
    <xdr:clientData/>
  </xdr:twoCellAnchor>
  <xdr:twoCellAnchor editAs="oneCell">
    <xdr:from>
      <xdr:col>0</xdr:col>
      <xdr:colOff>304725</xdr:colOff>
      <xdr:row>10</xdr:row>
      <xdr:rowOff>235650</xdr:rowOff>
    </xdr:from>
    <xdr:to>
      <xdr:col>2</xdr:col>
      <xdr:colOff>78600</xdr:colOff>
      <xdr:row>14</xdr:row>
      <xdr:rowOff>154030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04725" y="2388300"/>
          <a:ext cx="993075" cy="8708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431100</xdr:colOff>
      <xdr:row>1</xdr:row>
      <xdr:rowOff>38100</xdr:rowOff>
    </xdr:from>
    <xdr:to>
      <xdr:col>2</xdr:col>
      <xdr:colOff>204975</xdr:colOff>
      <xdr:row>5</xdr:row>
      <xdr:rowOff>89830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100" y="228600"/>
          <a:ext cx="993075" cy="870880"/>
        </a:xfrm>
        <a:prstGeom prst="rect">
          <a:avLst/>
        </a:prstGeom>
      </xdr:spPr>
    </xdr:pic>
    <xdr:clientData/>
  </xdr:twoCellAnchor>
  <xdr:twoCellAnchor editAs="oneCell">
    <xdr:from>
      <xdr:col>0</xdr:col>
      <xdr:colOff>400125</xdr:colOff>
      <xdr:row>6</xdr:row>
      <xdr:rowOff>159525</xdr:rowOff>
    </xdr:from>
    <xdr:to>
      <xdr:col>2</xdr:col>
      <xdr:colOff>174000</xdr:colOff>
      <xdr:row>10</xdr:row>
      <xdr:rowOff>77905</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0125" y="1359675"/>
          <a:ext cx="993075" cy="870880"/>
        </a:xfrm>
        <a:prstGeom prst="rect">
          <a:avLst/>
        </a:prstGeom>
      </xdr:spPr>
    </xdr:pic>
    <xdr:clientData/>
  </xdr:twoCellAnchor>
  <xdr:twoCellAnchor editAs="oneCell">
    <xdr:from>
      <xdr:col>3</xdr:col>
      <xdr:colOff>35775</xdr:colOff>
      <xdr:row>1</xdr:row>
      <xdr:rowOff>42825</xdr:rowOff>
    </xdr:from>
    <xdr:to>
      <xdr:col>4</xdr:col>
      <xdr:colOff>419250</xdr:colOff>
      <xdr:row>5</xdr:row>
      <xdr:rowOff>94555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64575" y="233325"/>
          <a:ext cx="993075" cy="870880"/>
        </a:xfrm>
        <a:prstGeom prst="rect">
          <a:avLst/>
        </a:prstGeom>
      </xdr:spPr>
    </xdr:pic>
    <xdr:clientData/>
  </xdr:twoCellAnchor>
  <xdr:twoCellAnchor editAs="oneCell">
    <xdr:from>
      <xdr:col>3</xdr:col>
      <xdr:colOff>4800</xdr:colOff>
      <xdr:row>6</xdr:row>
      <xdr:rowOff>154725</xdr:rowOff>
    </xdr:from>
    <xdr:to>
      <xdr:col>4</xdr:col>
      <xdr:colOff>388275</xdr:colOff>
      <xdr:row>10</xdr:row>
      <xdr:rowOff>73105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3600" y="1354875"/>
          <a:ext cx="993075" cy="870880"/>
        </a:xfrm>
        <a:prstGeom prst="rect">
          <a:avLst/>
        </a:prstGeom>
      </xdr:spPr>
    </xdr:pic>
    <xdr:clientData/>
  </xdr:twoCellAnchor>
  <xdr:twoCellAnchor editAs="oneCell">
    <xdr:from>
      <xdr:col>3</xdr:col>
      <xdr:colOff>11925</xdr:colOff>
      <xdr:row>11</xdr:row>
      <xdr:rowOff>38025</xdr:rowOff>
    </xdr:from>
    <xdr:to>
      <xdr:col>4</xdr:col>
      <xdr:colOff>395400</xdr:colOff>
      <xdr:row>14</xdr:row>
      <xdr:rowOff>194530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725" y="2428800"/>
          <a:ext cx="993075" cy="870880"/>
        </a:xfrm>
        <a:prstGeom prst="rect">
          <a:avLst/>
        </a:prstGeom>
      </xdr:spPr>
    </xdr:pic>
    <xdr:clientData/>
  </xdr:twoCellAnchor>
  <xdr:twoCellAnchor editAs="oneCell">
    <xdr:from>
      <xdr:col>0</xdr:col>
      <xdr:colOff>381000</xdr:colOff>
      <xdr:row>11</xdr:row>
      <xdr:rowOff>45150</xdr:rowOff>
    </xdr:from>
    <xdr:to>
      <xdr:col>2</xdr:col>
      <xdr:colOff>154875</xdr:colOff>
      <xdr:row>14</xdr:row>
      <xdr:rowOff>201655</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81000" y="2435925"/>
          <a:ext cx="993075" cy="870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152400</xdr:colOff>
      <xdr:row>1</xdr:row>
      <xdr:rowOff>95250</xdr:rowOff>
    </xdr:from>
    <xdr:to>
      <xdr:col>6</xdr:col>
      <xdr:colOff>114300</xdr:colOff>
      <xdr:row>4</xdr:row>
      <xdr:rowOff>47625</xdr:rowOff>
    </xdr:to>
    <xdr:sp macro="" textlink="">
      <xdr:nvSpPr>
        <xdr:cNvPr id="6145" name="CommandButton1" hidden="1">
          <a:extLst>
            <a:ext uri="{63B3BB69-23CF-44E3-9099-C40C66FF867C}">
              <a14:compatExt xmlns:a14="http://schemas.microsoft.com/office/drawing/2010/main" spid="_x0000_s614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10</xdr:col>
      <xdr:colOff>193389</xdr:colOff>
      <xdr:row>0</xdr:row>
      <xdr:rowOff>61705</xdr:rowOff>
    </xdr:from>
    <xdr:to>
      <xdr:col>13</xdr:col>
      <xdr:colOff>43464</xdr:colOff>
      <xdr:row>5</xdr:row>
      <xdr:rowOff>47174</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2789" y="61705"/>
          <a:ext cx="993075" cy="871294"/>
        </a:xfrm>
        <a:prstGeom prst="rect">
          <a:avLst/>
        </a:prstGeom>
      </xdr:spPr>
    </xdr:pic>
    <xdr:clientData/>
  </xdr:twoCellAnchor>
  <xdr:twoCellAnchor editAs="oneCell">
    <xdr:from>
      <xdr:col>10</xdr:col>
      <xdr:colOff>162414</xdr:colOff>
      <xdr:row>6</xdr:row>
      <xdr:rowOff>66345</xdr:rowOff>
    </xdr:from>
    <xdr:to>
      <xdr:col>13</xdr:col>
      <xdr:colOff>12489</xdr:colOff>
      <xdr:row>10</xdr:row>
      <xdr:rowOff>175225</xdr:rowOff>
    </xdr:to>
    <xdr:pic>
      <xdr:nvPicPr>
        <xdr:cNvPr id="6" name="Picture 5">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91814" y="1190295"/>
          <a:ext cx="993075" cy="870880"/>
        </a:xfrm>
        <a:prstGeom prst="rect">
          <a:avLst/>
        </a:prstGeom>
      </xdr:spPr>
    </xdr:pic>
    <xdr:clientData/>
  </xdr:twoCellAnchor>
  <xdr:twoCellAnchor editAs="oneCell">
    <xdr:from>
      <xdr:col>14</xdr:col>
      <xdr:colOff>102864</xdr:colOff>
      <xdr:row>0</xdr:row>
      <xdr:rowOff>66430</xdr:rowOff>
    </xdr:from>
    <xdr:to>
      <xdr:col>16</xdr:col>
      <xdr:colOff>333939</xdr:colOff>
      <xdr:row>5</xdr:row>
      <xdr:rowOff>51899</xdr:rowOff>
    </xdr:to>
    <xdr:pic>
      <xdr:nvPicPr>
        <xdr:cNvPr id="7" name="Picture 6">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56264" y="66430"/>
          <a:ext cx="993075" cy="871294"/>
        </a:xfrm>
        <a:prstGeom prst="rect">
          <a:avLst/>
        </a:prstGeom>
      </xdr:spPr>
    </xdr:pic>
    <xdr:clientData/>
  </xdr:twoCellAnchor>
  <xdr:twoCellAnchor editAs="oneCell">
    <xdr:from>
      <xdr:col>14</xdr:col>
      <xdr:colOff>71889</xdr:colOff>
      <xdr:row>6</xdr:row>
      <xdr:rowOff>61545</xdr:rowOff>
    </xdr:from>
    <xdr:to>
      <xdr:col>16</xdr:col>
      <xdr:colOff>302964</xdr:colOff>
      <xdr:row>10</xdr:row>
      <xdr:rowOff>170425</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225289" y="1185495"/>
          <a:ext cx="993075" cy="870880"/>
        </a:xfrm>
        <a:prstGeom prst="rect">
          <a:avLst/>
        </a:prstGeom>
      </xdr:spPr>
    </xdr:pic>
    <xdr:clientData/>
  </xdr:twoCellAnchor>
  <xdr:twoCellAnchor editAs="oneCell">
    <xdr:from>
      <xdr:col>14</xdr:col>
      <xdr:colOff>98064</xdr:colOff>
      <xdr:row>12</xdr:row>
      <xdr:rowOff>11520</xdr:rowOff>
    </xdr:from>
    <xdr:to>
      <xdr:col>16</xdr:col>
      <xdr:colOff>329139</xdr:colOff>
      <xdr:row>16</xdr:row>
      <xdr:rowOff>120400</xdr:rowOff>
    </xdr:to>
    <xdr:pic>
      <xdr:nvPicPr>
        <xdr:cNvPr id="9" name="Picture 8">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251464" y="1764120"/>
          <a:ext cx="993075" cy="870880"/>
        </a:xfrm>
        <a:prstGeom prst="rect">
          <a:avLst/>
        </a:prstGeom>
      </xdr:spPr>
    </xdr:pic>
    <xdr:clientData/>
  </xdr:twoCellAnchor>
  <xdr:twoCellAnchor editAs="oneCell">
    <xdr:from>
      <xdr:col>10</xdr:col>
      <xdr:colOff>143289</xdr:colOff>
      <xdr:row>11</xdr:row>
      <xdr:rowOff>190095</xdr:rowOff>
    </xdr:from>
    <xdr:to>
      <xdr:col>12</xdr:col>
      <xdr:colOff>374364</xdr:colOff>
      <xdr:row>16</xdr:row>
      <xdr:rowOff>108475</xdr:rowOff>
    </xdr:to>
    <xdr:pic>
      <xdr:nvPicPr>
        <xdr:cNvPr id="10" name="Picture 9">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772689" y="1752195"/>
          <a:ext cx="993075" cy="87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152400</xdr:colOff>
          <xdr:row>1</xdr:row>
          <xdr:rowOff>95250</xdr:rowOff>
        </xdr:from>
        <xdr:to>
          <xdr:col>5</xdr:col>
          <xdr:colOff>161925</xdr:colOff>
          <xdr:row>1</xdr:row>
          <xdr:rowOff>104775</xdr:rowOff>
        </xdr:to>
        <xdr:sp macro="" textlink="">
          <xdr:nvSpPr>
            <xdr:cNvPr id="2" name="CommandButton1" hidden="1">
              <a:extLst>
                <a:ext uri="{63B3BB69-23CF-44E3-9099-C40C66FF867C}">
                  <a14:compatExt spid="_x0000_s61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50100</xdr:colOff>
      <xdr:row>0</xdr:row>
      <xdr:rowOff>0</xdr:rowOff>
    </xdr:from>
    <xdr:to>
      <xdr:col>2</xdr:col>
      <xdr:colOff>490725</xdr:colOff>
      <xdr:row>4</xdr:row>
      <xdr:rowOff>108880</xdr:rowOff>
    </xdr:to>
    <xdr:pic>
      <xdr:nvPicPr>
        <xdr:cNvPr id="3" name="Picture 2">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100" y="0"/>
          <a:ext cx="993075" cy="870880"/>
        </a:xfrm>
        <a:prstGeom prst="rect">
          <a:avLst/>
        </a:prstGeom>
      </xdr:spPr>
    </xdr:pic>
    <xdr:clientData/>
  </xdr:twoCellAnchor>
  <xdr:twoCellAnchor editAs="oneCell">
    <xdr:from>
      <xdr:col>3</xdr:col>
      <xdr:colOff>1362150</xdr:colOff>
      <xdr:row>0</xdr:row>
      <xdr:rowOff>0</xdr:rowOff>
    </xdr:from>
    <xdr:to>
      <xdr:col>3</xdr:col>
      <xdr:colOff>2355225</xdr:colOff>
      <xdr:row>4</xdr:row>
      <xdr:rowOff>108880</xdr:rowOff>
    </xdr:to>
    <xdr:pic>
      <xdr:nvPicPr>
        <xdr:cNvPr id="4" name="Picture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905200" y="0"/>
          <a:ext cx="993075" cy="870880"/>
        </a:xfrm>
        <a:prstGeom prst="rect">
          <a:avLst/>
        </a:prstGeom>
      </xdr:spPr>
    </xdr:pic>
    <xdr:clientData/>
  </xdr:twoCellAnchor>
  <xdr:twoCellAnchor editAs="oneCell">
    <xdr:from>
      <xdr:col>2</xdr:col>
      <xdr:colOff>931125</xdr:colOff>
      <xdr:row>0</xdr:row>
      <xdr:rowOff>4725</xdr:rowOff>
    </xdr:from>
    <xdr:to>
      <xdr:col>3</xdr:col>
      <xdr:colOff>838350</xdr:colOff>
      <xdr:row>4</xdr:row>
      <xdr:rowOff>113605</xdr:rowOff>
    </xdr:to>
    <xdr:pic>
      <xdr:nvPicPr>
        <xdr:cNvPr id="5" name="Picture 4">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83575" y="4725"/>
          <a:ext cx="993075" cy="870880"/>
        </a:xfrm>
        <a:prstGeom prst="rect">
          <a:avLst/>
        </a:prstGeom>
      </xdr:spPr>
    </xdr:pic>
    <xdr:clientData/>
  </xdr:twoCellAnchor>
  <xdr:twoCellAnchor editAs="oneCell">
    <xdr:from>
      <xdr:col>5</xdr:col>
      <xdr:colOff>271500</xdr:colOff>
      <xdr:row>0</xdr:row>
      <xdr:rowOff>2325</xdr:rowOff>
    </xdr:from>
    <xdr:to>
      <xdr:col>8</xdr:col>
      <xdr:colOff>121575</xdr:colOff>
      <xdr:row>4</xdr:row>
      <xdr:rowOff>111205</xdr:rowOff>
    </xdr:to>
    <xdr:pic>
      <xdr:nvPicPr>
        <xdr:cNvPr id="6" name="Picture 5">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10100" y="2325"/>
          <a:ext cx="993075" cy="870880"/>
        </a:xfrm>
        <a:prstGeom prst="rect">
          <a:avLst/>
        </a:prstGeom>
      </xdr:spPr>
    </xdr:pic>
    <xdr:clientData/>
  </xdr:twoCellAnchor>
  <xdr:twoCellAnchor editAs="oneCell">
    <xdr:from>
      <xdr:col>13</xdr:col>
      <xdr:colOff>316725</xdr:colOff>
      <xdr:row>0</xdr:row>
      <xdr:rowOff>0</xdr:rowOff>
    </xdr:from>
    <xdr:to>
      <xdr:col>16</xdr:col>
      <xdr:colOff>166800</xdr:colOff>
      <xdr:row>4</xdr:row>
      <xdr:rowOff>108880</xdr:rowOff>
    </xdr:to>
    <xdr:pic>
      <xdr:nvPicPr>
        <xdr:cNvPr id="7" name="Picture 6">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012925" y="0"/>
          <a:ext cx="993075" cy="870880"/>
        </a:xfrm>
        <a:prstGeom prst="rect">
          <a:avLst/>
        </a:prstGeom>
      </xdr:spPr>
    </xdr:pic>
    <xdr:clientData/>
  </xdr:twoCellAnchor>
  <xdr:twoCellAnchor editAs="oneCell">
    <xdr:from>
      <xdr:col>9</xdr:col>
      <xdr:colOff>304800</xdr:colOff>
      <xdr:row>0</xdr:row>
      <xdr:rowOff>0</xdr:rowOff>
    </xdr:from>
    <xdr:to>
      <xdr:col>12</xdr:col>
      <xdr:colOff>154875</xdr:colOff>
      <xdr:row>4</xdr:row>
      <xdr:rowOff>108880</xdr:rowOff>
    </xdr:to>
    <xdr:pic>
      <xdr:nvPicPr>
        <xdr:cNvPr id="8" name="Picture 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77000" y="0"/>
          <a:ext cx="993075" cy="870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3.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E22:P22"/>
  <sheetViews>
    <sheetView showGridLines="0" topLeftCell="C1" zoomScale="115" zoomScaleNormal="115" zoomScaleSheetLayoutView="100" workbookViewId="0">
      <selection activeCell="G23" sqref="G23"/>
    </sheetView>
  </sheetViews>
  <sheetFormatPr defaultRowHeight="15" x14ac:dyDescent="0.25"/>
  <sheetData>
    <row r="22" spans="5:16" x14ac:dyDescent="0.25">
      <c r="E22" s="62" t="s">
        <v>127</v>
      </c>
      <c r="P22" s="61"/>
    </row>
  </sheetData>
  <sheetProtection sheet="1" objects="1" scenarios="1" selectLockedCells="1" selectUnlockedCells="1"/>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C000"/>
  </sheetPr>
  <dimension ref="G5:J74"/>
  <sheetViews>
    <sheetView showGridLines="0" workbookViewId="0">
      <selection activeCell="I14" sqref="I14"/>
    </sheetView>
  </sheetViews>
  <sheetFormatPr defaultRowHeight="15" x14ac:dyDescent="0.25"/>
  <cols>
    <col min="1" max="5" width="9.140625" style="1"/>
    <col min="6" max="6" width="9" style="1" customWidth="1"/>
    <col min="7" max="7" width="6" style="1" customWidth="1"/>
    <col min="8" max="8" width="23.42578125" style="1" customWidth="1"/>
    <col min="9" max="9" width="48.42578125" style="1" customWidth="1"/>
    <col min="10" max="10" width="24.140625" style="1" customWidth="1"/>
    <col min="11" max="16384" width="9.140625" style="1"/>
  </cols>
  <sheetData>
    <row r="5" spans="7:10" ht="19.5" x14ac:dyDescent="0.3">
      <c r="G5" s="78" t="s">
        <v>2</v>
      </c>
      <c r="H5" s="78"/>
      <c r="I5" s="78"/>
    </row>
    <row r="7" spans="7:10" ht="18.75" customHeight="1" x14ac:dyDescent="0.25">
      <c r="G7" s="2" t="s">
        <v>1</v>
      </c>
      <c r="H7" s="2" t="s">
        <v>37</v>
      </c>
      <c r="I7" s="2" t="s">
        <v>0</v>
      </c>
      <c r="J7" s="2" t="s">
        <v>133</v>
      </c>
    </row>
    <row r="8" spans="7:10" ht="18.75" customHeight="1" x14ac:dyDescent="0.25">
      <c r="G8" s="7">
        <v>1</v>
      </c>
      <c r="H8" s="6">
        <v>1234</v>
      </c>
      <c r="I8" s="63" t="s">
        <v>123</v>
      </c>
      <c r="J8" s="4" t="s">
        <v>128</v>
      </c>
    </row>
    <row r="9" spans="7:10" ht="18.75" customHeight="1" x14ac:dyDescent="0.25">
      <c r="G9" s="7">
        <v>2</v>
      </c>
      <c r="H9" s="6">
        <v>1235</v>
      </c>
      <c r="I9" s="63" t="s">
        <v>262</v>
      </c>
      <c r="J9" s="4" t="s">
        <v>131</v>
      </c>
    </row>
    <row r="10" spans="7:10" ht="18.75" customHeight="1" x14ac:dyDescent="0.25">
      <c r="G10" s="7">
        <v>3</v>
      </c>
      <c r="H10" s="6"/>
      <c r="I10" s="64"/>
      <c r="J10" s="4"/>
    </row>
    <row r="11" spans="7:10" ht="18.75" customHeight="1" x14ac:dyDescent="0.25">
      <c r="G11" s="7">
        <v>4</v>
      </c>
      <c r="H11" s="6"/>
      <c r="I11" s="64"/>
      <c r="J11" s="69"/>
    </row>
    <row r="12" spans="7:10" ht="18.75" customHeight="1" x14ac:dyDescent="0.25">
      <c r="G12" s="7">
        <v>5</v>
      </c>
      <c r="H12" s="6"/>
      <c r="I12" s="64"/>
      <c r="J12" s="69"/>
    </row>
    <row r="13" spans="7:10" ht="18.75" customHeight="1" x14ac:dyDescent="0.25">
      <c r="G13" s="7">
        <v>6</v>
      </c>
      <c r="H13" s="6"/>
      <c r="I13" s="64"/>
      <c r="J13" s="69"/>
    </row>
    <row r="14" spans="7:10" ht="18.75" customHeight="1" x14ac:dyDescent="0.25">
      <c r="G14" s="7">
        <v>7</v>
      </c>
      <c r="H14" s="6"/>
      <c r="I14" s="64"/>
      <c r="J14" s="69"/>
    </row>
    <row r="15" spans="7:10" ht="18.75" customHeight="1" x14ac:dyDescent="0.25">
      <c r="G15" s="7">
        <v>8</v>
      </c>
      <c r="H15" s="6"/>
      <c r="I15" s="64"/>
      <c r="J15" s="69"/>
    </row>
    <row r="16" spans="7:10" ht="18.75" customHeight="1" x14ac:dyDescent="0.25">
      <c r="G16" s="7">
        <v>9</v>
      </c>
      <c r="H16" s="6"/>
      <c r="I16" s="63"/>
      <c r="J16" s="69"/>
    </row>
    <row r="17" spans="7:10" ht="18.75" customHeight="1" x14ac:dyDescent="0.25">
      <c r="G17" s="7">
        <v>10</v>
      </c>
      <c r="H17" s="6"/>
      <c r="I17" s="64"/>
      <c r="J17" s="69"/>
    </row>
    <row r="18" spans="7:10" ht="18.75" customHeight="1" x14ac:dyDescent="0.25">
      <c r="G18" s="7">
        <v>11</v>
      </c>
      <c r="H18" s="6"/>
      <c r="I18" s="63"/>
      <c r="J18" s="69"/>
    </row>
    <row r="19" spans="7:10" ht="18.75" customHeight="1" x14ac:dyDescent="0.25">
      <c r="G19" s="7">
        <v>12</v>
      </c>
      <c r="H19" s="6"/>
      <c r="I19" s="63"/>
      <c r="J19" s="69"/>
    </row>
    <row r="20" spans="7:10" ht="18.75" customHeight="1" x14ac:dyDescent="0.25">
      <c r="G20" s="7">
        <v>13</v>
      </c>
      <c r="H20" s="6"/>
      <c r="I20" s="64"/>
      <c r="J20" s="69"/>
    </row>
    <row r="21" spans="7:10" ht="18.75" customHeight="1" x14ac:dyDescent="0.25">
      <c r="G21" s="7">
        <v>14</v>
      </c>
      <c r="H21" s="6"/>
      <c r="I21" s="64"/>
      <c r="J21" s="69"/>
    </row>
    <row r="22" spans="7:10" ht="18.75" customHeight="1" x14ac:dyDescent="0.25">
      <c r="G22" s="7">
        <v>15</v>
      </c>
      <c r="H22" s="6"/>
      <c r="I22" s="63"/>
      <c r="J22" s="69"/>
    </row>
    <row r="23" spans="7:10" ht="18.75" customHeight="1" x14ac:dyDescent="0.25">
      <c r="G23" s="7">
        <v>16</v>
      </c>
      <c r="H23" s="6"/>
      <c r="I23" s="65"/>
      <c r="J23" s="69"/>
    </row>
    <row r="24" spans="7:10" ht="18.75" customHeight="1" x14ac:dyDescent="0.25">
      <c r="G24" s="7">
        <v>17</v>
      </c>
      <c r="H24" s="6"/>
      <c r="I24" s="64"/>
      <c r="J24" s="69"/>
    </row>
    <row r="25" spans="7:10" ht="18.75" customHeight="1" x14ac:dyDescent="0.25">
      <c r="G25" s="7">
        <v>18</v>
      </c>
      <c r="H25" s="6"/>
      <c r="I25" s="66"/>
      <c r="J25" s="69"/>
    </row>
    <row r="26" spans="7:10" ht="18.75" customHeight="1" x14ac:dyDescent="0.25">
      <c r="G26" s="7">
        <v>19</v>
      </c>
      <c r="H26" s="6"/>
      <c r="I26" s="10"/>
      <c r="J26" s="69"/>
    </row>
    <row r="27" spans="7:10" ht="18.75" customHeight="1" x14ac:dyDescent="0.25">
      <c r="G27" s="7">
        <v>20</v>
      </c>
      <c r="H27" s="6"/>
      <c r="I27" s="10"/>
      <c r="J27" s="69"/>
    </row>
    <row r="28" spans="7:10" ht="18.75" customHeight="1" x14ac:dyDescent="0.25">
      <c r="G28" s="7">
        <v>21</v>
      </c>
      <c r="H28" s="6"/>
      <c r="I28" s="12"/>
      <c r="J28" s="69"/>
    </row>
    <row r="29" spans="7:10" ht="18.75" customHeight="1" x14ac:dyDescent="0.25">
      <c r="G29" s="7">
        <v>22</v>
      </c>
      <c r="H29" s="6"/>
      <c r="I29" s="10"/>
      <c r="J29" s="69"/>
    </row>
    <row r="30" spans="7:10" ht="18.75" customHeight="1" x14ac:dyDescent="0.25">
      <c r="G30" s="7">
        <v>23</v>
      </c>
      <c r="H30" s="6"/>
      <c r="I30" s="69"/>
      <c r="J30" s="69"/>
    </row>
    <row r="31" spans="7:10" ht="18.75" customHeight="1" x14ac:dyDescent="0.25">
      <c r="G31" s="7">
        <v>24</v>
      </c>
      <c r="H31" s="6"/>
      <c r="I31" s="69"/>
      <c r="J31" s="69"/>
    </row>
    <row r="32" spans="7:10" ht="18.75" customHeight="1" x14ac:dyDescent="0.25">
      <c r="G32" s="7">
        <v>25</v>
      </c>
      <c r="H32" s="6"/>
      <c r="I32" s="69"/>
      <c r="J32" s="69"/>
    </row>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sheetData>
  <sheetProtection formatCells="0" formatColumns="0" formatRows="0" insertColumns="0" insertRows="0" insertHyperlinks="0" deleteColumns="0" deleteRows="0" sort="0" autoFilter="0" pivotTables="0"/>
  <mergeCells count="1">
    <mergeCell ref="G5:I5"/>
  </mergeCells>
  <pageMargins left="0.7" right="0.7" top="0.75" bottom="0.75" header="0.3" footer="0.3"/>
  <pageSetup orientation="portrait"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Error" error="Klik dropdown untuk memilih agama" promptTitle="Petunjuk." prompt="Klik button dropdown untuk memilih agama">
          <x14:formula1>
            <xm:f>'Master Data'!$C$8:$C$12</xm:f>
          </x14:formula1>
          <xm:sqref>J8:J32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tint="0.39997558519241921"/>
  </sheetPr>
  <dimension ref="G5:H63"/>
  <sheetViews>
    <sheetView showGridLines="0" workbookViewId="0">
      <selection activeCell="J12" sqref="J12"/>
    </sheetView>
  </sheetViews>
  <sheetFormatPr defaultRowHeight="15" x14ac:dyDescent="0.25"/>
  <cols>
    <col min="1" max="5" width="9.140625" style="1"/>
    <col min="6" max="6" width="9" style="1" customWidth="1"/>
    <col min="7" max="7" width="7.42578125" style="1" customWidth="1"/>
    <col min="8" max="8" width="67.28515625" style="1" customWidth="1"/>
    <col min="9" max="16384" width="9.140625" style="1"/>
  </cols>
  <sheetData>
    <row r="5" spans="7:8" ht="19.5" x14ac:dyDescent="0.3">
      <c r="G5" s="78" t="s">
        <v>25</v>
      </c>
      <c r="H5" s="78"/>
    </row>
    <row r="7" spans="7:8" ht="18.75" customHeight="1" x14ac:dyDescent="0.25">
      <c r="G7" s="2" t="s">
        <v>1</v>
      </c>
      <c r="H7" s="2" t="s">
        <v>26</v>
      </c>
    </row>
    <row r="8" spans="7:8" ht="18.75" customHeight="1" x14ac:dyDescent="0.25">
      <c r="G8" s="6">
        <v>1</v>
      </c>
      <c r="H8" s="8" t="s">
        <v>124</v>
      </c>
    </row>
    <row r="9" spans="7:8" ht="18.75" customHeight="1" x14ac:dyDescent="0.25">
      <c r="G9" s="6">
        <v>2</v>
      </c>
      <c r="H9" s="9" t="s">
        <v>60</v>
      </c>
    </row>
    <row r="10" spans="7:8" ht="18.75" customHeight="1" x14ac:dyDescent="0.25">
      <c r="G10" s="6">
        <v>3</v>
      </c>
      <c r="H10" s="10" t="s">
        <v>27</v>
      </c>
    </row>
    <row r="11" spans="7:8" ht="18.75" customHeight="1" x14ac:dyDescent="0.25">
      <c r="G11" s="6">
        <v>4</v>
      </c>
      <c r="H11" s="10" t="s">
        <v>28</v>
      </c>
    </row>
    <row r="12" spans="7:8" ht="18.75" customHeight="1" x14ac:dyDescent="0.25">
      <c r="G12" s="6">
        <v>5</v>
      </c>
      <c r="H12" s="10" t="s">
        <v>29</v>
      </c>
    </row>
    <row r="13" spans="7:8" ht="18.75" customHeight="1" x14ac:dyDescent="0.25">
      <c r="G13" s="6">
        <v>6</v>
      </c>
      <c r="H13" s="10" t="s">
        <v>30</v>
      </c>
    </row>
    <row r="14" spans="7:8" ht="18.75" customHeight="1" x14ac:dyDescent="0.25">
      <c r="G14" s="6">
        <v>7</v>
      </c>
      <c r="H14" s="8" t="s">
        <v>31</v>
      </c>
    </row>
    <row r="15" spans="7:8" ht="18.75" customHeight="1" x14ac:dyDescent="0.25">
      <c r="G15" s="6">
        <v>8</v>
      </c>
      <c r="H15" s="10" t="s">
        <v>134</v>
      </c>
    </row>
    <row r="16" spans="7:8" ht="18.75" customHeight="1" x14ac:dyDescent="0.25">
      <c r="G16" s="6">
        <v>9</v>
      </c>
      <c r="H16" s="8" t="s">
        <v>33</v>
      </c>
    </row>
    <row r="17" spans="7:8" ht="18.75" customHeight="1" x14ac:dyDescent="0.25">
      <c r="G17" s="6">
        <v>10</v>
      </c>
      <c r="H17" s="10" t="s">
        <v>34</v>
      </c>
    </row>
    <row r="18" spans="7:8" ht="18.75" customHeight="1" x14ac:dyDescent="0.25">
      <c r="G18" s="6">
        <v>11</v>
      </c>
      <c r="H18" s="11" t="s">
        <v>100</v>
      </c>
    </row>
    <row r="19" spans="7:8" ht="18.75" customHeight="1" x14ac:dyDescent="0.25"/>
    <row r="20" spans="7:8" ht="18.75" customHeight="1" x14ac:dyDescent="0.25"/>
    <row r="21" spans="7:8" ht="18.75" customHeight="1" x14ac:dyDescent="0.25"/>
    <row r="22" spans="7:8" ht="18.75" customHeight="1" x14ac:dyDescent="0.25"/>
    <row r="23" spans="7:8" ht="18.75" customHeight="1" x14ac:dyDescent="0.25"/>
    <row r="24" spans="7:8" ht="18.75" customHeight="1" x14ac:dyDescent="0.25"/>
    <row r="25" spans="7:8" ht="18.75" customHeight="1" x14ac:dyDescent="0.25"/>
    <row r="26" spans="7:8" ht="18.75" customHeight="1" x14ac:dyDescent="0.25"/>
    <row r="27" spans="7:8" ht="18.75" customHeight="1" x14ac:dyDescent="0.25"/>
    <row r="28" spans="7:8" ht="18.75" customHeight="1" x14ac:dyDescent="0.25"/>
    <row r="29" spans="7:8" ht="18.75" customHeight="1" x14ac:dyDescent="0.25"/>
    <row r="30" spans="7:8" ht="18.75" customHeight="1" x14ac:dyDescent="0.25"/>
    <row r="31" spans="7:8" ht="18.75" customHeight="1" x14ac:dyDescent="0.25"/>
    <row r="32" spans="7:8"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sheetData>
  <sheetProtection sheet="1" objects="1" scenarios="1" selectLockedCells="1" selectUnlockedCells="1"/>
  <mergeCells count="1">
    <mergeCell ref="G5:H5"/>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B3:I17"/>
  <sheetViews>
    <sheetView showGridLines="0" workbookViewId="0">
      <selection activeCell="G18" sqref="G18"/>
    </sheetView>
  </sheetViews>
  <sheetFormatPr defaultRowHeight="15" x14ac:dyDescent="0.25"/>
  <cols>
    <col min="1" max="1" width="2.28515625" customWidth="1"/>
    <col min="2" max="2" width="8.28515625" customWidth="1"/>
    <col min="3" max="3" width="18.28515625" customWidth="1"/>
    <col min="4" max="5" width="5.7109375" customWidth="1"/>
    <col min="6" max="6" width="18" customWidth="1"/>
    <col min="7" max="8" width="5.7109375" customWidth="1"/>
    <col min="9" max="9" width="24" customWidth="1"/>
    <col min="10" max="26" width="5.7109375" customWidth="1"/>
  </cols>
  <sheetData>
    <row r="3" spans="2:9" ht="19.5" x14ac:dyDescent="0.3">
      <c r="B3" s="21" t="s">
        <v>99</v>
      </c>
      <c r="C3" s="20"/>
      <c r="D3" s="20"/>
      <c r="E3" s="20"/>
    </row>
    <row r="5" spans="2:9" ht="5.25" customHeight="1" x14ac:dyDescent="0.25"/>
    <row r="6" spans="2:9" ht="23.25" customHeight="1" x14ac:dyDescent="0.25">
      <c r="B6" s="79" t="s">
        <v>3</v>
      </c>
      <c r="C6" s="79"/>
      <c r="E6" s="79" t="s">
        <v>48</v>
      </c>
      <c r="F6" s="79"/>
      <c r="H6" s="16" t="s">
        <v>50</v>
      </c>
    </row>
    <row r="7" spans="2:9" x14ac:dyDescent="0.25">
      <c r="B7" s="15" t="s">
        <v>46</v>
      </c>
      <c r="C7" s="15" t="s">
        <v>3</v>
      </c>
      <c r="E7" s="15" t="s">
        <v>46</v>
      </c>
      <c r="F7" s="15" t="s">
        <v>49</v>
      </c>
      <c r="H7" s="15" t="s">
        <v>46</v>
      </c>
      <c r="I7" s="15" t="s">
        <v>51</v>
      </c>
    </row>
    <row r="8" spans="2:9" x14ac:dyDescent="0.25">
      <c r="B8" s="3">
        <v>1</v>
      </c>
      <c r="C8" s="4" t="s">
        <v>128</v>
      </c>
      <c r="E8" s="3">
        <v>1</v>
      </c>
      <c r="F8" s="4" t="s">
        <v>121</v>
      </c>
      <c r="H8" s="3">
        <v>1</v>
      </c>
      <c r="I8" s="4" t="s">
        <v>45</v>
      </c>
    </row>
    <row r="9" spans="2:9" x14ac:dyDescent="0.25">
      <c r="B9" s="3">
        <v>2</v>
      </c>
      <c r="C9" s="4" t="s">
        <v>129</v>
      </c>
      <c r="E9" s="3">
        <v>2</v>
      </c>
      <c r="F9" s="4" t="s">
        <v>122</v>
      </c>
      <c r="H9" s="3">
        <v>2</v>
      </c>
      <c r="I9" s="4" t="s">
        <v>52</v>
      </c>
    </row>
    <row r="10" spans="2:9" x14ac:dyDescent="0.25">
      <c r="B10" s="3">
        <v>3</v>
      </c>
      <c r="C10" s="4" t="s">
        <v>130</v>
      </c>
      <c r="H10" s="3">
        <v>3</v>
      </c>
      <c r="I10" s="4" t="s">
        <v>53</v>
      </c>
    </row>
    <row r="11" spans="2:9" x14ac:dyDescent="0.25">
      <c r="B11" s="3">
        <v>4</v>
      </c>
      <c r="C11" s="65" t="s">
        <v>131</v>
      </c>
      <c r="H11" s="3">
        <v>4</v>
      </c>
      <c r="I11" s="4" t="s">
        <v>54</v>
      </c>
    </row>
    <row r="12" spans="2:9" x14ac:dyDescent="0.25">
      <c r="B12" s="3">
        <v>5</v>
      </c>
      <c r="C12" s="65" t="s">
        <v>132</v>
      </c>
      <c r="H12" s="3">
        <v>5</v>
      </c>
      <c r="I12" s="4" t="s">
        <v>55</v>
      </c>
    </row>
    <row r="13" spans="2:9" x14ac:dyDescent="0.25">
      <c r="H13" s="3">
        <v>6</v>
      </c>
      <c r="I13" s="4" t="s">
        <v>56</v>
      </c>
    </row>
    <row r="14" spans="2:9" x14ac:dyDescent="0.25">
      <c r="H14" s="3">
        <v>7</v>
      </c>
      <c r="I14" s="4" t="s">
        <v>57</v>
      </c>
    </row>
    <row r="15" spans="2:9" x14ac:dyDescent="0.25">
      <c r="H15" s="3">
        <v>8</v>
      </c>
      <c r="I15" s="4" t="s">
        <v>58</v>
      </c>
    </row>
    <row r="16" spans="2:9" x14ac:dyDescent="0.25">
      <c r="H16" s="3">
        <v>9</v>
      </c>
      <c r="I16" s="4" t="s">
        <v>59</v>
      </c>
    </row>
    <row r="17" spans="8:9" x14ac:dyDescent="0.25">
      <c r="H17" s="3">
        <v>10</v>
      </c>
      <c r="I17" s="4" t="s">
        <v>118</v>
      </c>
    </row>
  </sheetData>
  <sheetProtection selectLockedCells="1" selectUnlockedCells="1"/>
  <mergeCells count="2">
    <mergeCell ref="B6:C6"/>
    <mergeCell ref="E6:F6"/>
  </mergeCells>
  <pageMargins left="0.7" right="0.7" top="0.75" bottom="0.75" header="0.3" footer="0.3"/>
  <pageSetup orientation="portrait" horizontalDpi="0" verticalDpi="0" r:id="rId1"/>
  <drawing r:id="rId2"/>
  <legacyDrawing r:id="rId3"/>
  <controls>
    <mc:AlternateContent xmlns:mc="http://schemas.openxmlformats.org/markup-compatibility/2006">
      <mc:Choice Requires="x14">
        <control shapeId="2" r:id="rId4" name="CommandButton1">
          <controlPr defaultSize="0" autoLine="0" r:id="rId5">
            <anchor moveWithCells="1">
              <from>
                <xdr:col>5</xdr:col>
                <xdr:colOff>152400</xdr:colOff>
                <xdr:row>1</xdr:row>
                <xdr:rowOff>95250</xdr:rowOff>
              </from>
              <to>
                <xdr:col>5</xdr:col>
                <xdr:colOff>161925</xdr:colOff>
                <xdr:row>1</xdr:row>
                <xdr:rowOff>104775</xdr:rowOff>
              </to>
            </anchor>
          </controlPr>
        </control>
      </mc:Choice>
      <mc:Fallback>
        <control shapeId="6145"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R42"/>
  <sheetViews>
    <sheetView showGridLines="0" workbookViewId="0">
      <pane xSplit="4" topLeftCell="E1" activePane="topRight" state="frozen"/>
      <selection pane="topRight" activeCell="I27" sqref="I27"/>
    </sheetView>
  </sheetViews>
  <sheetFormatPr defaultRowHeight="15" x14ac:dyDescent="0.25"/>
  <cols>
    <col min="1" max="1" width="2.28515625" customWidth="1"/>
    <col min="2" max="2" width="6" customWidth="1"/>
    <col min="3" max="3" width="16.28515625" customWidth="1"/>
    <col min="4" max="4" width="40.85546875" customWidth="1"/>
    <col min="5" max="26" width="5.7109375" customWidth="1"/>
    <col min="27" max="27" width="41.42578125" customWidth="1"/>
    <col min="28" max="28" width="38.85546875" customWidth="1"/>
    <col min="29" max="29" width="31.140625" customWidth="1"/>
    <col min="30" max="30" width="36.28515625" customWidth="1"/>
    <col min="31" max="31" width="23.28515625" customWidth="1"/>
    <col min="32" max="32" width="38.140625" customWidth="1"/>
    <col min="33" max="33" width="46.85546875" customWidth="1"/>
    <col min="34" max="34" width="10.5703125" bestFit="1" customWidth="1"/>
    <col min="35" max="35" width="11.85546875" bestFit="1" customWidth="1"/>
    <col min="36" max="36" width="27.85546875" customWidth="1"/>
    <col min="37" max="37" width="26.85546875" customWidth="1"/>
    <col min="38" max="38" width="26.42578125" customWidth="1"/>
    <col min="39" max="39" width="26.5703125" customWidth="1"/>
    <col min="40" max="40" width="28.7109375" customWidth="1"/>
    <col min="41" max="41" width="25.5703125" customWidth="1"/>
    <col min="44" max="44" width="9.140625" customWidth="1"/>
  </cols>
  <sheetData>
    <row r="1" spans="1:44" x14ac:dyDescent="0.25">
      <c r="A1" s="1"/>
    </row>
    <row r="7" spans="1:44" ht="30.75" customHeight="1" x14ac:dyDescent="0.25">
      <c r="B7" s="101" t="s">
        <v>16</v>
      </c>
      <c r="C7" s="101"/>
      <c r="D7" s="101"/>
      <c r="E7" s="101"/>
      <c r="F7" s="101"/>
      <c r="G7" s="101"/>
      <c r="H7" s="101"/>
      <c r="I7" s="101"/>
      <c r="J7" s="101"/>
      <c r="K7" s="101"/>
      <c r="L7" s="101"/>
      <c r="M7" s="101"/>
      <c r="N7" s="101"/>
      <c r="O7" s="101"/>
      <c r="P7" s="101"/>
      <c r="Q7" s="101"/>
      <c r="R7" s="101"/>
      <c r="S7" s="101"/>
      <c r="T7" s="101"/>
      <c r="U7" s="101"/>
      <c r="V7" s="101"/>
      <c r="W7" s="101"/>
      <c r="X7" s="101"/>
      <c r="Y7" s="101"/>
      <c r="Z7" s="101"/>
    </row>
    <row r="8" spans="1:44" ht="14.25" customHeight="1" x14ac:dyDescent="0.25">
      <c r="B8" s="14"/>
      <c r="C8" s="14"/>
      <c r="D8" s="14"/>
      <c r="E8" s="14"/>
      <c r="F8" s="14"/>
      <c r="G8" s="14"/>
      <c r="H8" s="14"/>
      <c r="I8" s="14"/>
      <c r="J8" s="14"/>
      <c r="K8" s="14"/>
      <c r="L8" s="14"/>
      <c r="M8" s="14"/>
      <c r="N8" s="14"/>
      <c r="O8" s="14"/>
      <c r="P8" s="14"/>
      <c r="Q8" s="14"/>
      <c r="R8" s="14"/>
      <c r="S8" s="14"/>
      <c r="T8" s="14"/>
      <c r="U8" s="14"/>
      <c r="V8" s="14"/>
      <c r="W8" s="14"/>
      <c r="X8" s="14"/>
      <c r="Y8" s="14"/>
      <c r="Z8" s="14"/>
    </row>
    <row r="9" spans="1:44" ht="15" customHeight="1" x14ac:dyDescent="0.25">
      <c r="B9" s="97" t="s">
        <v>120</v>
      </c>
      <c r="C9" s="97"/>
      <c r="D9" s="27" t="s">
        <v>47</v>
      </c>
      <c r="E9" s="17"/>
      <c r="F9" s="104"/>
      <c r="G9" s="104"/>
      <c r="H9" s="104"/>
      <c r="I9" s="103"/>
      <c r="J9" s="103"/>
      <c r="K9" s="103"/>
      <c r="L9" s="103"/>
      <c r="M9" s="22"/>
      <c r="N9" s="14"/>
      <c r="O9" s="14"/>
      <c r="P9" s="14"/>
      <c r="Q9" s="14"/>
      <c r="R9" s="14"/>
      <c r="S9" s="14"/>
      <c r="T9" s="14"/>
      <c r="U9" s="14"/>
      <c r="V9" s="14"/>
      <c r="W9" s="14"/>
      <c r="X9" s="14"/>
      <c r="Y9" s="14"/>
      <c r="Z9" s="14"/>
    </row>
    <row r="10" spans="1:44" ht="15" customHeight="1" x14ac:dyDescent="0.25">
      <c r="B10" s="97" t="s">
        <v>43</v>
      </c>
      <c r="C10" s="97"/>
      <c r="D10" s="27" t="s">
        <v>86</v>
      </c>
      <c r="E10" s="17"/>
      <c r="F10" s="23"/>
      <c r="G10" s="23"/>
      <c r="H10" s="23"/>
      <c r="I10" s="104"/>
      <c r="J10" s="104"/>
      <c r="K10" s="104"/>
      <c r="L10" s="104"/>
      <c r="M10" s="22"/>
      <c r="N10" s="14"/>
      <c r="O10" s="14"/>
      <c r="P10" s="14"/>
      <c r="Q10" s="14"/>
      <c r="R10" s="14"/>
      <c r="S10" s="14"/>
      <c r="T10" s="14"/>
      <c r="U10" s="14"/>
      <c r="V10" s="14"/>
      <c r="W10" s="14"/>
      <c r="X10" s="14"/>
      <c r="Y10" s="14"/>
      <c r="Z10" s="14"/>
    </row>
    <row r="11" spans="1:44" ht="15" customHeight="1" x14ac:dyDescent="0.25">
      <c r="B11" s="97" t="s">
        <v>44</v>
      </c>
      <c r="C11" s="97"/>
      <c r="D11" s="27" t="s">
        <v>45</v>
      </c>
      <c r="E11" s="14"/>
      <c r="F11" s="14"/>
      <c r="G11" s="14"/>
      <c r="H11" s="14"/>
      <c r="I11" s="14"/>
      <c r="J11" s="14"/>
      <c r="K11" s="14"/>
      <c r="L11" s="14"/>
      <c r="M11" s="14"/>
      <c r="N11" s="14"/>
      <c r="O11" s="14"/>
      <c r="P11" s="14"/>
      <c r="Q11" s="14"/>
      <c r="R11" s="14"/>
      <c r="S11" s="14"/>
      <c r="T11" s="14"/>
      <c r="U11" s="14"/>
      <c r="V11" s="14"/>
      <c r="W11" s="14"/>
      <c r="X11" s="14"/>
      <c r="Y11" s="14"/>
      <c r="Z11" s="14"/>
    </row>
    <row r="12" spans="1:44" ht="15" customHeight="1" x14ac:dyDescent="0.25">
      <c r="B12" s="93" t="s">
        <v>97</v>
      </c>
      <c r="C12" s="94"/>
      <c r="D12" s="28"/>
      <c r="E12" s="18"/>
      <c r="F12" s="18"/>
      <c r="G12" s="18"/>
      <c r="H12" s="18"/>
      <c r="I12" s="18"/>
      <c r="J12" s="18"/>
      <c r="K12" s="18"/>
      <c r="L12" s="18"/>
      <c r="M12" s="18"/>
      <c r="N12" s="18"/>
      <c r="O12" s="18"/>
      <c r="P12" s="18"/>
      <c r="Q12" s="18"/>
      <c r="R12" s="18"/>
      <c r="S12" s="18"/>
      <c r="T12" s="18"/>
      <c r="U12" s="18"/>
      <c r="V12" s="18"/>
      <c r="W12" s="18"/>
      <c r="X12" s="18"/>
      <c r="Y12" s="18"/>
      <c r="Z12" s="18"/>
    </row>
    <row r="13" spans="1:44" ht="15" customHeight="1" x14ac:dyDescent="0.25">
      <c r="B13" s="93" t="s">
        <v>98</v>
      </c>
      <c r="C13" s="94"/>
      <c r="D13" s="67"/>
      <c r="E13" s="18"/>
      <c r="F13" s="18"/>
      <c r="G13" s="18"/>
      <c r="H13" s="18"/>
      <c r="I13" s="18"/>
      <c r="J13" s="18"/>
      <c r="K13" s="18"/>
      <c r="L13" s="18"/>
      <c r="M13" s="18"/>
      <c r="N13" s="18"/>
      <c r="O13" s="18"/>
      <c r="P13" s="18"/>
      <c r="Q13" s="18"/>
      <c r="R13" s="18"/>
      <c r="S13" s="18"/>
      <c r="T13" s="18"/>
      <c r="U13" s="18"/>
      <c r="V13" s="18"/>
      <c r="W13" s="18"/>
      <c r="X13" s="18"/>
      <c r="Y13" s="18"/>
      <c r="Z13" s="18"/>
    </row>
    <row r="14" spans="1:44" ht="15" customHeight="1" x14ac:dyDescent="0.25">
      <c r="B14" s="23"/>
      <c r="C14" s="23"/>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row>
    <row r="15" spans="1:44" ht="12.75" customHeight="1" x14ac:dyDescent="0.25">
      <c r="B15" s="98" t="s">
        <v>1</v>
      </c>
      <c r="C15" s="98" t="s">
        <v>37</v>
      </c>
      <c r="D15" s="98" t="s">
        <v>0</v>
      </c>
      <c r="E15" s="88" t="s">
        <v>67</v>
      </c>
      <c r="F15" s="92"/>
      <c r="G15" s="92"/>
      <c r="H15" s="92"/>
      <c r="I15" s="92"/>
      <c r="J15" s="92"/>
      <c r="K15" s="92"/>
      <c r="L15" s="92"/>
      <c r="M15" s="92"/>
      <c r="N15" s="92"/>
      <c r="O15" s="92"/>
      <c r="P15" s="92"/>
      <c r="Q15" s="92"/>
      <c r="R15" s="92"/>
      <c r="S15" s="92"/>
      <c r="T15" s="92"/>
      <c r="U15" s="92"/>
      <c r="V15" s="92"/>
      <c r="W15" s="92"/>
      <c r="X15" s="92"/>
      <c r="Y15" s="92"/>
      <c r="Z15" s="89"/>
      <c r="AA15" s="88" t="s">
        <v>63</v>
      </c>
      <c r="AB15" s="89"/>
      <c r="AC15" s="88" t="s">
        <v>89</v>
      </c>
      <c r="AD15" s="92"/>
      <c r="AE15" s="92"/>
      <c r="AF15" s="89"/>
      <c r="AG15" s="82" t="s">
        <v>87</v>
      </c>
      <c r="AH15" s="88" t="s">
        <v>108</v>
      </c>
      <c r="AI15" s="89"/>
      <c r="AJ15" s="88" t="s">
        <v>90</v>
      </c>
      <c r="AK15" s="89"/>
      <c r="AL15" s="88" t="s">
        <v>115</v>
      </c>
      <c r="AM15" s="89"/>
      <c r="AN15" s="88" t="s">
        <v>116</v>
      </c>
      <c r="AO15" s="89"/>
      <c r="AP15" s="85" t="s">
        <v>77</v>
      </c>
      <c r="AQ15" s="85"/>
      <c r="AR15" s="85"/>
    </row>
    <row r="16" spans="1:44" x14ac:dyDescent="0.25">
      <c r="B16" s="99"/>
      <c r="C16" s="99"/>
      <c r="D16" s="99"/>
      <c r="E16" s="102" t="s">
        <v>3</v>
      </c>
      <c r="F16" s="102"/>
      <c r="G16" s="86" t="s">
        <v>4</v>
      </c>
      <c r="H16" s="86"/>
      <c r="I16" s="102" t="s">
        <v>5</v>
      </c>
      <c r="J16" s="102"/>
      <c r="K16" s="102" t="s">
        <v>6</v>
      </c>
      <c r="L16" s="102"/>
      <c r="M16" s="102" t="s">
        <v>7</v>
      </c>
      <c r="N16" s="102"/>
      <c r="O16" s="102" t="s">
        <v>8</v>
      </c>
      <c r="P16" s="102"/>
      <c r="Q16" s="102" t="s">
        <v>9</v>
      </c>
      <c r="R16" s="102"/>
      <c r="S16" s="102" t="s">
        <v>10</v>
      </c>
      <c r="T16" s="102"/>
      <c r="U16" s="102" t="s">
        <v>11</v>
      </c>
      <c r="V16" s="102"/>
      <c r="W16" s="102" t="s">
        <v>12</v>
      </c>
      <c r="X16" s="102"/>
      <c r="Y16" s="102" t="s">
        <v>13</v>
      </c>
      <c r="Z16" s="102"/>
      <c r="AA16" s="80" t="s">
        <v>101</v>
      </c>
      <c r="AB16" s="80" t="s">
        <v>102</v>
      </c>
      <c r="AC16" s="95" t="s">
        <v>103</v>
      </c>
      <c r="AD16" s="96"/>
      <c r="AE16" s="95" t="s">
        <v>104</v>
      </c>
      <c r="AF16" s="96"/>
      <c r="AG16" s="83"/>
      <c r="AH16" s="80" t="s">
        <v>107</v>
      </c>
      <c r="AI16" s="80" t="s">
        <v>119</v>
      </c>
      <c r="AJ16" s="80" t="s">
        <v>113</v>
      </c>
      <c r="AK16" s="80" t="s">
        <v>114</v>
      </c>
      <c r="AL16" s="90" t="s">
        <v>109</v>
      </c>
      <c r="AM16" s="80" t="s">
        <v>106</v>
      </c>
      <c r="AN16" s="90" t="s">
        <v>109</v>
      </c>
      <c r="AO16" s="80" t="s">
        <v>106</v>
      </c>
      <c r="AP16" s="86" t="s">
        <v>110</v>
      </c>
      <c r="AQ16" s="86" t="s">
        <v>111</v>
      </c>
      <c r="AR16" s="87" t="s">
        <v>112</v>
      </c>
    </row>
    <row r="17" spans="2:44" x14ac:dyDescent="0.25">
      <c r="B17" s="100"/>
      <c r="C17" s="100"/>
      <c r="D17" s="100"/>
      <c r="E17" s="13" t="s">
        <v>14</v>
      </c>
      <c r="F17" s="5" t="s">
        <v>15</v>
      </c>
      <c r="G17" s="13" t="s">
        <v>14</v>
      </c>
      <c r="H17" s="5" t="s">
        <v>15</v>
      </c>
      <c r="I17" s="13" t="s">
        <v>14</v>
      </c>
      <c r="J17" s="5" t="s">
        <v>15</v>
      </c>
      <c r="K17" s="13" t="s">
        <v>14</v>
      </c>
      <c r="L17" s="5" t="s">
        <v>15</v>
      </c>
      <c r="M17" s="13" t="s">
        <v>14</v>
      </c>
      <c r="N17" s="5" t="s">
        <v>15</v>
      </c>
      <c r="O17" s="13" t="s">
        <v>14</v>
      </c>
      <c r="P17" s="5" t="s">
        <v>15</v>
      </c>
      <c r="Q17" s="13" t="s">
        <v>14</v>
      </c>
      <c r="R17" s="5" t="s">
        <v>15</v>
      </c>
      <c r="S17" s="13" t="s">
        <v>14</v>
      </c>
      <c r="T17" s="5" t="s">
        <v>15</v>
      </c>
      <c r="U17" s="13" t="s">
        <v>14</v>
      </c>
      <c r="V17" s="5" t="s">
        <v>15</v>
      </c>
      <c r="W17" s="13" t="s">
        <v>14</v>
      </c>
      <c r="X17" s="5" t="s">
        <v>15</v>
      </c>
      <c r="Y17" s="13" t="s">
        <v>14</v>
      </c>
      <c r="Z17" s="5" t="s">
        <v>15</v>
      </c>
      <c r="AA17" s="81"/>
      <c r="AB17" s="81"/>
      <c r="AC17" s="19" t="s">
        <v>105</v>
      </c>
      <c r="AD17" s="19" t="s">
        <v>106</v>
      </c>
      <c r="AE17" s="19" t="s">
        <v>105</v>
      </c>
      <c r="AF17" s="19" t="s">
        <v>106</v>
      </c>
      <c r="AG17" s="84"/>
      <c r="AH17" s="81"/>
      <c r="AI17" s="81"/>
      <c r="AJ17" s="81"/>
      <c r="AK17" s="81"/>
      <c r="AL17" s="91"/>
      <c r="AM17" s="81"/>
      <c r="AN17" s="91"/>
      <c r="AO17" s="81"/>
      <c r="AP17" s="86"/>
      <c r="AQ17" s="86"/>
      <c r="AR17" s="87"/>
    </row>
    <row r="18" spans="2:44" ht="26.25" customHeight="1" x14ac:dyDescent="0.25">
      <c r="B18" s="3">
        <v>1</v>
      </c>
      <c r="C18" s="3">
        <f>'Master Student'!H8</f>
        <v>1234</v>
      </c>
      <c r="D18" s="57" t="str">
        <f>IFERROR(VLOOKUP(C18,'Master Student'!H8:I29,2,FALSE),"Data Siswa di Student Master Masih Kosong")</f>
        <v>Lexy</v>
      </c>
      <c r="E18" s="25">
        <v>90</v>
      </c>
      <c r="F18" s="26">
        <v>90</v>
      </c>
      <c r="G18" s="25">
        <v>90</v>
      </c>
      <c r="H18" s="26">
        <v>90</v>
      </c>
      <c r="I18" s="25">
        <v>90</v>
      </c>
      <c r="J18" s="26">
        <v>90</v>
      </c>
      <c r="K18" s="25">
        <v>90</v>
      </c>
      <c r="L18" s="26">
        <v>90</v>
      </c>
      <c r="M18" s="25">
        <v>90</v>
      </c>
      <c r="N18" s="26">
        <v>90</v>
      </c>
      <c r="O18" s="25">
        <v>90</v>
      </c>
      <c r="P18" s="26">
        <v>90</v>
      </c>
      <c r="Q18" s="25">
        <v>90</v>
      </c>
      <c r="R18" s="26">
        <v>90</v>
      </c>
      <c r="S18" s="25">
        <v>90</v>
      </c>
      <c r="T18" s="26">
        <v>90</v>
      </c>
      <c r="U18" s="25">
        <v>90</v>
      </c>
      <c r="V18" s="26">
        <v>90</v>
      </c>
      <c r="W18" s="25">
        <v>90</v>
      </c>
      <c r="X18" s="26">
        <v>90</v>
      </c>
      <c r="Y18" s="25">
        <v>90</v>
      </c>
      <c r="Z18" s="26">
        <v>90</v>
      </c>
      <c r="AA18" s="56" t="s">
        <v>135</v>
      </c>
      <c r="AB18" s="56" t="s">
        <v>136</v>
      </c>
      <c r="AC18" s="56"/>
      <c r="AD18" s="56"/>
      <c r="AE18" s="56"/>
      <c r="AF18" s="56"/>
      <c r="AG18" s="56"/>
      <c r="AH18" s="56"/>
      <c r="AI18" s="56"/>
      <c r="AJ18" s="56"/>
      <c r="AK18" s="56"/>
      <c r="AL18" s="56"/>
      <c r="AM18" s="56"/>
      <c r="AN18" s="56"/>
      <c r="AO18" s="56"/>
      <c r="AP18" s="56"/>
      <c r="AQ18" s="56"/>
      <c r="AR18" s="56"/>
    </row>
    <row r="19" spans="2:44" ht="26.25" customHeight="1" x14ac:dyDescent="0.25">
      <c r="B19" s="3">
        <v>2</v>
      </c>
      <c r="C19" s="3">
        <f>'Master Student'!H9</f>
        <v>1235</v>
      </c>
      <c r="D19" s="57" t="str">
        <f>IFERROR(VLOOKUP(C19,'Master Student'!H9:I30,2,FALSE),"Data Siswa di Student Master Masih Kosong")</f>
        <v>Rifqy</v>
      </c>
      <c r="E19" s="25">
        <v>90</v>
      </c>
      <c r="F19" s="26">
        <v>90</v>
      </c>
      <c r="G19" s="25">
        <v>90</v>
      </c>
      <c r="H19" s="26">
        <v>90</v>
      </c>
      <c r="I19" s="25">
        <v>90</v>
      </c>
      <c r="J19" s="26">
        <v>90</v>
      </c>
      <c r="K19" s="25">
        <v>90</v>
      </c>
      <c r="L19" s="26">
        <v>90</v>
      </c>
      <c r="M19" s="25">
        <v>90</v>
      </c>
      <c r="N19" s="26">
        <v>90</v>
      </c>
      <c r="O19" s="25">
        <v>90</v>
      </c>
      <c r="P19" s="26">
        <v>90</v>
      </c>
      <c r="Q19" s="25">
        <v>90</v>
      </c>
      <c r="R19" s="26">
        <v>90</v>
      </c>
      <c r="S19" s="25">
        <v>90</v>
      </c>
      <c r="T19" s="26">
        <v>90</v>
      </c>
      <c r="U19" s="25">
        <v>90</v>
      </c>
      <c r="V19" s="26">
        <v>90</v>
      </c>
      <c r="W19" s="25">
        <v>90</v>
      </c>
      <c r="X19" s="26">
        <v>90</v>
      </c>
      <c r="Y19" s="25">
        <v>90</v>
      </c>
      <c r="Z19" s="26">
        <v>90</v>
      </c>
      <c r="AA19" s="56" t="s">
        <v>135</v>
      </c>
      <c r="AB19" s="56" t="s">
        <v>136</v>
      </c>
      <c r="AC19" s="56"/>
      <c r="AD19" s="56"/>
      <c r="AE19" s="56"/>
      <c r="AF19" s="56"/>
      <c r="AG19" s="56"/>
      <c r="AH19" s="56"/>
      <c r="AI19" s="56"/>
      <c r="AJ19" s="56"/>
      <c r="AK19" s="56"/>
      <c r="AL19" s="56"/>
      <c r="AM19" s="56"/>
      <c r="AN19" s="56"/>
      <c r="AO19" s="56"/>
      <c r="AP19" s="56"/>
      <c r="AQ19" s="56"/>
      <c r="AR19" s="56"/>
    </row>
    <row r="20" spans="2:44" ht="26.25" customHeight="1" x14ac:dyDescent="0.25">
      <c r="B20" s="3">
        <v>3</v>
      </c>
      <c r="C20" s="3">
        <f>'Master Student'!H10</f>
        <v>0</v>
      </c>
      <c r="D20" s="57" t="str">
        <f>IFERROR(VLOOKUP(C20,'Master Student'!H10:I31,2,FALSE),"Data Siswa di Student Master Masih Kosong")</f>
        <v>Data Siswa di Student Master Masih Kosong</v>
      </c>
      <c r="E20" s="25">
        <v>90</v>
      </c>
      <c r="F20" s="26">
        <v>90</v>
      </c>
      <c r="G20" s="25">
        <v>90</v>
      </c>
      <c r="H20" s="26">
        <v>90</v>
      </c>
      <c r="I20" s="25">
        <v>90</v>
      </c>
      <c r="J20" s="26">
        <v>90</v>
      </c>
      <c r="K20" s="25">
        <v>90</v>
      </c>
      <c r="L20" s="26">
        <v>90</v>
      </c>
      <c r="M20" s="25">
        <v>90</v>
      </c>
      <c r="N20" s="26">
        <v>90</v>
      </c>
      <c r="O20" s="25">
        <v>90</v>
      </c>
      <c r="P20" s="26">
        <v>90</v>
      </c>
      <c r="Q20" s="25">
        <v>90</v>
      </c>
      <c r="R20" s="26">
        <v>90</v>
      </c>
      <c r="S20" s="25">
        <v>90</v>
      </c>
      <c r="T20" s="26">
        <v>90</v>
      </c>
      <c r="U20" s="25">
        <v>90</v>
      </c>
      <c r="V20" s="26">
        <v>90</v>
      </c>
      <c r="W20" s="25">
        <v>90</v>
      </c>
      <c r="X20" s="26">
        <v>90</v>
      </c>
      <c r="Y20" s="25">
        <v>90</v>
      </c>
      <c r="Z20" s="26">
        <v>90</v>
      </c>
      <c r="AA20" s="56" t="s">
        <v>135</v>
      </c>
      <c r="AB20" s="56" t="s">
        <v>136</v>
      </c>
      <c r="AC20" s="56"/>
      <c r="AD20" s="56"/>
      <c r="AE20" s="56"/>
      <c r="AF20" s="56"/>
      <c r="AG20" s="56"/>
      <c r="AH20" s="56"/>
      <c r="AI20" s="56"/>
      <c r="AJ20" s="56"/>
      <c r="AK20" s="56"/>
      <c r="AL20" s="56"/>
      <c r="AM20" s="56"/>
      <c r="AN20" s="56"/>
      <c r="AO20" s="56"/>
      <c r="AP20" s="56"/>
      <c r="AQ20" s="56"/>
      <c r="AR20" s="56"/>
    </row>
    <row r="21" spans="2:44" ht="26.25" customHeight="1" x14ac:dyDescent="0.25">
      <c r="B21" s="3">
        <v>4</v>
      </c>
      <c r="C21" s="3">
        <f>'Master Student'!H11</f>
        <v>0</v>
      </c>
      <c r="D21" s="57" t="str">
        <f>IFERROR(VLOOKUP(C21,'Master Student'!H11:I32,2,FALSE),"Data Siswa di Student Master Masih Kosong")</f>
        <v>Data Siswa di Student Master Masih Kosong</v>
      </c>
      <c r="E21" s="25">
        <v>90</v>
      </c>
      <c r="F21" s="26">
        <v>90</v>
      </c>
      <c r="G21" s="25">
        <v>90</v>
      </c>
      <c r="H21" s="26">
        <v>90</v>
      </c>
      <c r="I21" s="25">
        <v>90</v>
      </c>
      <c r="J21" s="26">
        <v>90</v>
      </c>
      <c r="K21" s="25">
        <v>90</v>
      </c>
      <c r="L21" s="26">
        <v>90</v>
      </c>
      <c r="M21" s="25">
        <v>90</v>
      </c>
      <c r="N21" s="26">
        <v>90</v>
      </c>
      <c r="O21" s="25">
        <v>90</v>
      </c>
      <c r="P21" s="26">
        <v>90</v>
      </c>
      <c r="Q21" s="25">
        <v>90</v>
      </c>
      <c r="R21" s="26">
        <v>90</v>
      </c>
      <c r="S21" s="25">
        <v>90</v>
      </c>
      <c r="T21" s="26">
        <v>90</v>
      </c>
      <c r="U21" s="25">
        <v>90</v>
      </c>
      <c r="V21" s="26">
        <v>90</v>
      </c>
      <c r="W21" s="25">
        <v>90</v>
      </c>
      <c r="X21" s="26">
        <v>90</v>
      </c>
      <c r="Y21" s="25">
        <v>90</v>
      </c>
      <c r="Z21" s="26">
        <v>90</v>
      </c>
      <c r="AA21" s="56" t="s">
        <v>135</v>
      </c>
      <c r="AB21" s="56" t="s">
        <v>136</v>
      </c>
      <c r="AC21" s="56"/>
      <c r="AD21" s="56"/>
      <c r="AE21" s="56"/>
      <c r="AF21" s="56"/>
      <c r="AG21" s="56"/>
      <c r="AH21" s="56"/>
      <c r="AI21" s="56"/>
      <c r="AJ21" s="56"/>
      <c r="AK21" s="56"/>
      <c r="AL21" s="56"/>
      <c r="AM21" s="56"/>
      <c r="AN21" s="56"/>
      <c r="AO21" s="56"/>
      <c r="AP21" s="56"/>
      <c r="AQ21" s="56"/>
      <c r="AR21" s="56"/>
    </row>
    <row r="22" spans="2:44" ht="26.25" customHeight="1" x14ac:dyDescent="0.25">
      <c r="B22" s="3">
        <v>5</v>
      </c>
      <c r="C22" s="3">
        <f>'Master Student'!H12</f>
        <v>0</v>
      </c>
      <c r="D22" s="57" t="str">
        <f>IFERROR(VLOOKUP(C22,'Master Student'!H12:I33,2,FALSE),"Data Siswa di Student Master Masih Kosong")</f>
        <v>Data Siswa di Student Master Masih Kosong</v>
      </c>
      <c r="E22" s="25">
        <v>90</v>
      </c>
      <c r="F22" s="26">
        <v>90</v>
      </c>
      <c r="G22" s="25">
        <v>90</v>
      </c>
      <c r="H22" s="26">
        <v>90</v>
      </c>
      <c r="I22" s="25">
        <v>90</v>
      </c>
      <c r="J22" s="26">
        <v>90</v>
      </c>
      <c r="K22" s="25">
        <v>90</v>
      </c>
      <c r="L22" s="26">
        <v>90</v>
      </c>
      <c r="M22" s="25">
        <v>90</v>
      </c>
      <c r="N22" s="26">
        <v>90</v>
      </c>
      <c r="O22" s="25">
        <v>90</v>
      </c>
      <c r="P22" s="26">
        <v>90</v>
      </c>
      <c r="Q22" s="25">
        <v>90</v>
      </c>
      <c r="R22" s="26">
        <v>90</v>
      </c>
      <c r="S22" s="25">
        <v>90</v>
      </c>
      <c r="T22" s="26">
        <v>90</v>
      </c>
      <c r="U22" s="25">
        <v>90</v>
      </c>
      <c r="V22" s="26">
        <v>90</v>
      </c>
      <c r="W22" s="25">
        <v>90</v>
      </c>
      <c r="X22" s="26">
        <v>90</v>
      </c>
      <c r="Y22" s="25">
        <v>90</v>
      </c>
      <c r="Z22" s="26">
        <v>90</v>
      </c>
      <c r="AA22" s="56" t="s">
        <v>135</v>
      </c>
      <c r="AB22" s="56" t="s">
        <v>136</v>
      </c>
      <c r="AC22" s="56"/>
      <c r="AD22" s="56"/>
      <c r="AE22" s="56"/>
      <c r="AF22" s="56"/>
      <c r="AG22" s="56"/>
      <c r="AH22" s="56"/>
      <c r="AI22" s="56"/>
      <c r="AJ22" s="56"/>
      <c r="AK22" s="56"/>
      <c r="AL22" s="56"/>
      <c r="AM22" s="56"/>
      <c r="AN22" s="56"/>
      <c r="AO22" s="56"/>
      <c r="AP22" s="56"/>
      <c r="AQ22" s="56"/>
      <c r="AR22" s="56"/>
    </row>
    <row r="23" spans="2:44" ht="26.25" customHeight="1" x14ac:dyDescent="0.25">
      <c r="B23" s="3">
        <v>6</v>
      </c>
      <c r="C23" s="3">
        <f>'Master Student'!H13</f>
        <v>0</v>
      </c>
      <c r="D23" s="57" t="str">
        <f>IFERROR(VLOOKUP(C23,'Master Student'!H13:I34,2,FALSE),"Data Siswa di Student Master Masih Kosong")</f>
        <v>Data Siswa di Student Master Masih Kosong</v>
      </c>
      <c r="E23" s="25">
        <v>90</v>
      </c>
      <c r="F23" s="26">
        <v>90</v>
      </c>
      <c r="G23" s="25">
        <v>90</v>
      </c>
      <c r="H23" s="26">
        <v>90</v>
      </c>
      <c r="I23" s="25">
        <v>90</v>
      </c>
      <c r="J23" s="26">
        <v>90</v>
      </c>
      <c r="K23" s="25">
        <v>90</v>
      </c>
      <c r="L23" s="26">
        <v>90</v>
      </c>
      <c r="M23" s="25">
        <v>90</v>
      </c>
      <c r="N23" s="26">
        <v>90</v>
      </c>
      <c r="O23" s="25">
        <v>90</v>
      </c>
      <c r="P23" s="26">
        <v>90</v>
      </c>
      <c r="Q23" s="25">
        <v>90</v>
      </c>
      <c r="R23" s="26">
        <v>90</v>
      </c>
      <c r="S23" s="25">
        <v>90</v>
      </c>
      <c r="T23" s="26">
        <v>90</v>
      </c>
      <c r="U23" s="25">
        <v>90</v>
      </c>
      <c r="V23" s="26">
        <v>90</v>
      </c>
      <c r="W23" s="25">
        <v>90</v>
      </c>
      <c r="X23" s="26">
        <v>90</v>
      </c>
      <c r="Y23" s="25">
        <v>90</v>
      </c>
      <c r="Z23" s="26">
        <v>90</v>
      </c>
      <c r="AA23" s="56" t="s">
        <v>135</v>
      </c>
      <c r="AB23" s="56" t="s">
        <v>136</v>
      </c>
      <c r="AC23" s="56"/>
      <c r="AD23" s="56"/>
      <c r="AE23" s="56"/>
      <c r="AF23" s="56"/>
      <c r="AG23" s="56"/>
      <c r="AH23" s="56"/>
      <c r="AI23" s="56"/>
      <c r="AJ23" s="56"/>
      <c r="AK23" s="56"/>
      <c r="AL23" s="56"/>
      <c r="AM23" s="56"/>
      <c r="AN23" s="56"/>
      <c r="AO23" s="56"/>
      <c r="AP23" s="56"/>
      <c r="AQ23" s="56"/>
      <c r="AR23" s="56"/>
    </row>
    <row r="24" spans="2:44" ht="26.25" customHeight="1" x14ac:dyDescent="0.25">
      <c r="B24" s="3">
        <v>7</v>
      </c>
      <c r="C24" s="3">
        <f>'Master Student'!H14</f>
        <v>0</v>
      </c>
      <c r="D24" s="57" t="str">
        <f>IFERROR(VLOOKUP(C24,'Master Student'!H14:I35,2,FALSE),"Data Siswa di Student Master Masih Kosong")</f>
        <v>Data Siswa di Student Master Masih Kosong</v>
      </c>
      <c r="E24" s="25">
        <v>90</v>
      </c>
      <c r="F24" s="26">
        <v>90</v>
      </c>
      <c r="G24" s="25">
        <v>90</v>
      </c>
      <c r="H24" s="26">
        <v>90</v>
      </c>
      <c r="I24" s="25">
        <v>90</v>
      </c>
      <c r="J24" s="26">
        <v>90</v>
      </c>
      <c r="K24" s="25">
        <v>90</v>
      </c>
      <c r="L24" s="26">
        <v>90</v>
      </c>
      <c r="M24" s="25">
        <v>90</v>
      </c>
      <c r="N24" s="26">
        <v>90</v>
      </c>
      <c r="O24" s="25">
        <v>90</v>
      </c>
      <c r="P24" s="26">
        <v>90</v>
      </c>
      <c r="Q24" s="25">
        <v>90</v>
      </c>
      <c r="R24" s="26">
        <v>90</v>
      </c>
      <c r="S24" s="25">
        <v>90</v>
      </c>
      <c r="T24" s="26">
        <v>90</v>
      </c>
      <c r="U24" s="25">
        <v>90</v>
      </c>
      <c r="V24" s="26">
        <v>90</v>
      </c>
      <c r="W24" s="25">
        <v>90</v>
      </c>
      <c r="X24" s="26">
        <v>90</v>
      </c>
      <c r="Y24" s="25">
        <v>90</v>
      </c>
      <c r="Z24" s="26">
        <v>90</v>
      </c>
      <c r="AA24" s="56" t="s">
        <v>135</v>
      </c>
      <c r="AB24" s="56" t="s">
        <v>136</v>
      </c>
      <c r="AC24" s="56"/>
      <c r="AD24" s="56"/>
      <c r="AE24" s="56"/>
      <c r="AF24" s="56"/>
      <c r="AG24" s="56"/>
      <c r="AH24" s="56"/>
      <c r="AI24" s="56"/>
      <c r="AJ24" s="56"/>
      <c r="AK24" s="56"/>
      <c r="AL24" s="56"/>
      <c r="AM24" s="56"/>
      <c r="AN24" s="56"/>
      <c r="AO24" s="56"/>
      <c r="AP24" s="56"/>
      <c r="AQ24" s="56"/>
      <c r="AR24" s="56"/>
    </row>
    <row r="25" spans="2:44" ht="26.25" customHeight="1" x14ac:dyDescent="0.25">
      <c r="B25" s="3">
        <v>8</v>
      </c>
      <c r="C25" s="3">
        <f>'Master Student'!H15</f>
        <v>0</v>
      </c>
      <c r="D25" s="57" t="str">
        <f>IFERROR(VLOOKUP(C25,'Master Student'!H15:I36,2,FALSE),"Data Siswa di Student Master Masih Kosong")</f>
        <v>Data Siswa di Student Master Masih Kosong</v>
      </c>
      <c r="E25" s="25">
        <v>90</v>
      </c>
      <c r="F25" s="26">
        <v>90</v>
      </c>
      <c r="G25" s="25">
        <v>90</v>
      </c>
      <c r="H25" s="26">
        <v>90</v>
      </c>
      <c r="I25" s="25">
        <v>90</v>
      </c>
      <c r="J25" s="26">
        <v>90</v>
      </c>
      <c r="K25" s="25">
        <v>90</v>
      </c>
      <c r="L25" s="26">
        <v>90</v>
      </c>
      <c r="M25" s="25">
        <v>90</v>
      </c>
      <c r="N25" s="26">
        <v>90</v>
      </c>
      <c r="O25" s="25">
        <v>90</v>
      </c>
      <c r="P25" s="26">
        <v>90</v>
      </c>
      <c r="Q25" s="25">
        <v>90</v>
      </c>
      <c r="R25" s="26">
        <v>90</v>
      </c>
      <c r="S25" s="25">
        <v>90</v>
      </c>
      <c r="T25" s="26">
        <v>90</v>
      </c>
      <c r="U25" s="25">
        <v>90</v>
      </c>
      <c r="V25" s="26">
        <v>90</v>
      </c>
      <c r="W25" s="25">
        <v>90</v>
      </c>
      <c r="X25" s="26">
        <v>90</v>
      </c>
      <c r="Y25" s="25">
        <v>90</v>
      </c>
      <c r="Z25" s="26">
        <v>90</v>
      </c>
      <c r="AA25" s="56" t="s">
        <v>135</v>
      </c>
      <c r="AB25" s="56" t="s">
        <v>136</v>
      </c>
      <c r="AC25" s="56"/>
      <c r="AD25" s="56"/>
      <c r="AE25" s="56"/>
      <c r="AF25" s="56"/>
      <c r="AG25" s="56"/>
      <c r="AH25" s="56"/>
      <c r="AI25" s="56"/>
      <c r="AJ25" s="56"/>
      <c r="AK25" s="56"/>
      <c r="AL25" s="56"/>
      <c r="AM25" s="56"/>
      <c r="AN25" s="56"/>
      <c r="AO25" s="56"/>
      <c r="AP25" s="56"/>
      <c r="AQ25" s="56"/>
      <c r="AR25" s="56"/>
    </row>
    <row r="26" spans="2:44" ht="26.25" customHeight="1" x14ac:dyDescent="0.25">
      <c r="B26" s="3">
        <v>9</v>
      </c>
      <c r="C26" s="3">
        <f>'Master Student'!H16</f>
        <v>0</v>
      </c>
      <c r="D26" s="57" t="str">
        <f>IFERROR(VLOOKUP(C26,'Master Student'!H16:I37,2,FALSE),"Data Siswa di Student Master Masih Kosong")</f>
        <v>Data Siswa di Student Master Masih Kosong</v>
      </c>
      <c r="E26" s="25">
        <v>90</v>
      </c>
      <c r="F26" s="26">
        <v>90</v>
      </c>
      <c r="G26" s="25">
        <v>90</v>
      </c>
      <c r="H26" s="26">
        <v>90</v>
      </c>
      <c r="I26" s="25">
        <v>90</v>
      </c>
      <c r="J26" s="26">
        <v>90</v>
      </c>
      <c r="K26" s="25">
        <v>90</v>
      </c>
      <c r="L26" s="26">
        <v>90</v>
      </c>
      <c r="M26" s="25">
        <v>90</v>
      </c>
      <c r="N26" s="26">
        <v>90</v>
      </c>
      <c r="O26" s="25">
        <v>90</v>
      </c>
      <c r="P26" s="26">
        <v>90</v>
      </c>
      <c r="Q26" s="25">
        <v>90</v>
      </c>
      <c r="R26" s="26">
        <v>90</v>
      </c>
      <c r="S26" s="25">
        <v>90</v>
      </c>
      <c r="T26" s="26">
        <v>90</v>
      </c>
      <c r="U26" s="25">
        <v>90</v>
      </c>
      <c r="V26" s="26">
        <v>90</v>
      </c>
      <c r="W26" s="25">
        <v>90</v>
      </c>
      <c r="X26" s="26">
        <v>90</v>
      </c>
      <c r="Y26" s="25">
        <v>90</v>
      </c>
      <c r="Z26" s="26">
        <v>90</v>
      </c>
      <c r="AA26" s="56" t="s">
        <v>135</v>
      </c>
      <c r="AB26" s="56" t="s">
        <v>136</v>
      </c>
      <c r="AC26" s="56"/>
      <c r="AD26" s="56"/>
      <c r="AE26" s="56"/>
      <c r="AF26" s="56"/>
      <c r="AG26" s="56"/>
      <c r="AH26" s="56"/>
      <c r="AI26" s="56"/>
      <c r="AJ26" s="56"/>
      <c r="AK26" s="56"/>
      <c r="AL26" s="56"/>
      <c r="AM26" s="56"/>
      <c r="AN26" s="56"/>
      <c r="AO26" s="56"/>
      <c r="AP26" s="56"/>
      <c r="AQ26" s="56"/>
      <c r="AR26" s="56"/>
    </row>
    <row r="27" spans="2:44" ht="26.25" customHeight="1" x14ac:dyDescent="0.25">
      <c r="B27" s="3">
        <v>10</v>
      </c>
      <c r="C27" s="3">
        <f>'Master Student'!H17</f>
        <v>0</v>
      </c>
      <c r="D27" s="57" t="str">
        <f>IFERROR(VLOOKUP(C27,'Master Student'!H17:I38,2,FALSE),"Data Siswa di Student Master Masih Kosong")</f>
        <v>Data Siswa di Student Master Masih Kosong</v>
      </c>
      <c r="E27" s="25">
        <v>90</v>
      </c>
      <c r="F27" s="26">
        <v>90</v>
      </c>
      <c r="G27" s="25">
        <v>90</v>
      </c>
      <c r="H27" s="26">
        <v>90</v>
      </c>
      <c r="I27" s="25">
        <v>90</v>
      </c>
      <c r="J27" s="26">
        <v>90</v>
      </c>
      <c r="K27" s="25">
        <v>90</v>
      </c>
      <c r="L27" s="26">
        <v>90</v>
      </c>
      <c r="M27" s="25">
        <v>90</v>
      </c>
      <c r="N27" s="26">
        <v>90</v>
      </c>
      <c r="O27" s="25">
        <v>90</v>
      </c>
      <c r="P27" s="26">
        <v>90</v>
      </c>
      <c r="Q27" s="25">
        <v>90</v>
      </c>
      <c r="R27" s="26">
        <v>90</v>
      </c>
      <c r="S27" s="25">
        <v>90</v>
      </c>
      <c r="T27" s="26">
        <v>90</v>
      </c>
      <c r="U27" s="25">
        <v>90</v>
      </c>
      <c r="V27" s="26">
        <v>90</v>
      </c>
      <c r="W27" s="25">
        <v>90</v>
      </c>
      <c r="X27" s="26">
        <v>90</v>
      </c>
      <c r="Y27" s="25">
        <v>90</v>
      </c>
      <c r="Z27" s="26">
        <v>90</v>
      </c>
      <c r="AA27" s="56" t="s">
        <v>135</v>
      </c>
      <c r="AB27" s="56" t="s">
        <v>136</v>
      </c>
      <c r="AC27" s="56"/>
      <c r="AD27" s="56"/>
      <c r="AE27" s="56"/>
      <c r="AF27" s="56"/>
      <c r="AG27" s="56"/>
      <c r="AH27" s="56"/>
      <c r="AI27" s="56"/>
      <c r="AJ27" s="56"/>
      <c r="AK27" s="56"/>
      <c r="AL27" s="56"/>
      <c r="AM27" s="56"/>
      <c r="AN27" s="56"/>
      <c r="AO27" s="56"/>
      <c r="AP27" s="56"/>
      <c r="AQ27" s="56"/>
      <c r="AR27" s="56"/>
    </row>
    <row r="28" spans="2:44" ht="26.25" customHeight="1" x14ac:dyDescent="0.25">
      <c r="B28" s="3">
        <v>11</v>
      </c>
      <c r="C28" s="3">
        <f>'Master Student'!H18</f>
        <v>0</v>
      </c>
      <c r="D28" s="57" t="str">
        <f>IFERROR(VLOOKUP(C28,'Master Student'!H18:I39,2,FALSE),"Data Siswa di Student Master Masih Kosong")</f>
        <v>Data Siswa di Student Master Masih Kosong</v>
      </c>
      <c r="E28" s="25">
        <v>90</v>
      </c>
      <c r="F28" s="26">
        <v>90</v>
      </c>
      <c r="G28" s="25">
        <v>90</v>
      </c>
      <c r="H28" s="26">
        <v>90</v>
      </c>
      <c r="I28" s="25">
        <v>90</v>
      </c>
      <c r="J28" s="26">
        <v>90</v>
      </c>
      <c r="K28" s="25">
        <v>90</v>
      </c>
      <c r="L28" s="26">
        <v>90</v>
      </c>
      <c r="M28" s="25">
        <v>90</v>
      </c>
      <c r="N28" s="26">
        <v>90</v>
      </c>
      <c r="O28" s="25">
        <v>90</v>
      </c>
      <c r="P28" s="26">
        <v>90</v>
      </c>
      <c r="Q28" s="25">
        <v>90</v>
      </c>
      <c r="R28" s="26">
        <v>90</v>
      </c>
      <c r="S28" s="25">
        <v>90</v>
      </c>
      <c r="T28" s="26">
        <v>90</v>
      </c>
      <c r="U28" s="25">
        <v>90</v>
      </c>
      <c r="V28" s="26">
        <v>90</v>
      </c>
      <c r="W28" s="25">
        <v>90</v>
      </c>
      <c r="X28" s="26">
        <v>90</v>
      </c>
      <c r="Y28" s="25">
        <v>90</v>
      </c>
      <c r="Z28" s="26">
        <v>90</v>
      </c>
      <c r="AA28" s="56" t="s">
        <v>135</v>
      </c>
      <c r="AB28" s="56" t="s">
        <v>136</v>
      </c>
      <c r="AC28" s="56"/>
      <c r="AD28" s="56"/>
      <c r="AE28" s="56"/>
      <c r="AF28" s="56"/>
      <c r="AG28" s="56"/>
      <c r="AH28" s="56"/>
      <c r="AI28" s="56"/>
      <c r="AJ28" s="56"/>
      <c r="AK28" s="56"/>
      <c r="AL28" s="56"/>
      <c r="AM28" s="56"/>
      <c r="AN28" s="56"/>
      <c r="AO28" s="56"/>
      <c r="AP28" s="56"/>
      <c r="AQ28" s="56"/>
      <c r="AR28" s="56"/>
    </row>
    <row r="29" spans="2:44" ht="26.25" customHeight="1" x14ac:dyDescent="0.25">
      <c r="B29" s="3">
        <v>12</v>
      </c>
      <c r="C29" s="3">
        <f>'Master Student'!H19</f>
        <v>0</v>
      </c>
      <c r="D29" s="57" t="str">
        <f>IFERROR(VLOOKUP(C29,'Master Student'!H19:I40,2,FALSE),"Data Siswa di Student Master Masih Kosong")</f>
        <v>Data Siswa di Student Master Masih Kosong</v>
      </c>
      <c r="E29" s="25">
        <v>90</v>
      </c>
      <c r="F29" s="26">
        <v>90</v>
      </c>
      <c r="G29" s="25">
        <v>90</v>
      </c>
      <c r="H29" s="26">
        <v>90</v>
      </c>
      <c r="I29" s="25">
        <v>90</v>
      </c>
      <c r="J29" s="26">
        <v>90</v>
      </c>
      <c r="K29" s="25">
        <v>90</v>
      </c>
      <c r="L29" s="26">
        <v>90</v>
      </c>
      <c r="M29" s="25">
        <v>90</v>
      </c>
      <c r="N29" s="26">
        <v>90</v>
      </c>
      <c r="O29" s="25">
        <v>90</v>
      </c>
      <c r="P29" s="26">
        <v>90</v>
      </c>
      <c r="Q29" s="25">
        <v>90</v>
      </c>
      <c r="R29" s="26">
        <v>90</v>
      </c>
      <c r="S29" s="25">
        <v>90</v>
      </c>
      <c r="T29" s="26">
        <v>90</v>
      </c>
      <c r="U29" s="25">
        <v>90</v>
      </c>
      <c r="V29" s="26">
        <v>90</v>
      </c>
      <c r="W29" s="25">
        <v>90</v>
      </c>
      <c r="X29" s="26">
        <v>90</v>
      </c>
      <c r="Y29" s="25">
        <v>90</v>
      </c>
      <c r="Z29" s="26">
        <v>90</v>
      </c>
      <c r="AA29" s="56" t="s">
        <v>135</v>
      </c>
      <c r="AB29" s="56" t="s">
        <v>136</v>
      </c>
      <c r="AC29" s="56"/>
      <c r="AD29" s="56"/>
      <c r="AE29" s="56"/>
      <c r="AF29" s="56"/>
      <c r="AG29" s="56"/>
      <c r="AH29" s="56"/>
      <c r="AI29" s="56"/>
      <c r="AJ29" s="56"/>
      <c r="AK29" s="56"/>
      <c r="AL29" s="56"/>
      <c r="AM29" s="56"/>
      <c r="AN29" s="56"/>
      <c r="AO29" s="56"/>
      <c r="AP29" s="56"/>
      <c r="AQ29" s="56"/>
      <c r="AR29" s="56"/>
    </row>
    <row r="30" spans="2:44" ht="26.25" customHeight="1" x14ac:dyDescent="0.25">
      <c r="B30" s="3">
        <v>13</v>
      </c>
      <c r="C30" s="3">
        <f>'Master Student'!H20</f>
        <v>0</v>
      </c>
      <c r="D30" s="57" t="str">
        <f>IFERROR(VLOOKUP(C30,'Master Student'!H20:I41,2,FALSE),"Data Siswa di Student Master Masih Kosong")</f>
        <v>Data Siswa di Student Master Masih Kosong</v>
      </c>
      <c r="E30" s="25">
        <v>90</v>
      </c>
      <c r="F30" s="26">
        <v>90</v>
      </c>
      <c r="G30" s="25">
        <v>90</v>
      </c>
      <c r="H30" s="26">
        <v>90</v>
      </c>
      <c r="I30" s="25">
        <v>90</v>
      </c>
      <c r="J30" s="26">
        <v>90</v>
      </c>
      <c r="K30" s="25">
        <v>90</v>
      </c>
      <c r="L30" s="26">
        <v>90</v>
      </c>
      <c r="M30" s="25">
        <v>90</v>
      </c>
      <c r="N30" s="26">
        <v>90</v>
      </c>
      <c r="O30" s="25">
        <v>90</v>
      </c>
      <c r="P30" s="26">
        <v>90</v>
      </c>
      <c r="Q30" s="25">
        <v>90</v>
      </c>
      <c r="R30" s="26">
        <v>90</v>
      </c>
      <c r="S30" s="25">
        <v>90</v>
      </c>
      <c r="T30" s="26">
        <v>90</v>
      </c>
      <c r="U30" s="25">
        <v>90</v>
      </c>
      <c r="V30" s="26">
        <v>90</v>
      </c>
      <c r="W30" s="25">
        <v>90</v>
      </c>
      <c r="X30" s="26">
        <v>90</v>
      </c>
      <c r="Y30" s="25">
        <v>90</v>
      </c>
      <c r="Z30" s="26">
        <v>90</v>
      </c>
      <c r="AA30" s="56" t="s">
        <v>135</v>
      </c>
      <c r="AB30" s="56" t="s">
        <v>136</v>
      </c>
      <c r="AC30" s="56"/>
      <c r="AD30" s="56"/>
      <c r="AE30" s="56"/>
      <c r="AF30" s="56"/>
      <c r="AG30" s="56"/>
      <c r="AH30" s="56"/>
      <c r="AI30" s="56"/>
      <c r="AJ30" s="56"/>
      <c r="AK30" s="56"/>
      <c r="AL30" s="56"/>
      <c r="AM30" s="56"/>
      <c r="AN30" s="56"/>
      <c r="AO30" s="56"/>
      <c r="AP30" s="56"/>
      <c r="AQ30" s="56"/>
      <c r="AR30" s="56"/>
    </row>
    <row r="31" spans="2:44" ht="26.25" customHeight="1" x14ac:dyDescent="0.25">
      <c r="B31" s="3">
        <v>14</v>
      </c>
      <c r="C31" s="3">
        <f>'Master Student'!H21</f>
        <v>0</v>
      </c>
      <c r="D31" s="57" t="str">
        <f>IFERROR(VLOOKUP(C31,'Master Student'!H21:I42,2,FALSE),"Data Siswa di Student Master Masih Kosong")</f>
        <v>Data Siswa di Student Master Masih Kosong</v>
      </c>
      <c r="E31" s="25">
        <v>90</v>
      </c>
      <c r="F31" s="26">
        <v>90</v>
      </c>
      <c r="G31" s="25">
        <v>90</v>
      </c>
      <c r="H31" s="26">
        <v>90</v>
      </c>
      <c r="I31" s="25">
        <v>90</v>
      </c>
      <c r="J31" s="26">
        <v>90</v>
      </c>
      <c r="K31" s="25">
        <v>90</v>
      </c>
      <c r="L31" s="26">
        <v>90</v>
      </c>
      <c r="M31" s="25">
        <v>90</v>
      </c>
      <c r="N31" s="26">
        <v>90</v>
      </c>
      <c r="O31" s="25">
        <v>90</v>
      </c>
      <c r="P31" s="26">
        <v>90</v>
      </c>
      <c r="Q31" s="25">
        <v>90</v>
      </c>
      <c r="R31" s="26">
        <v>90</v>
      </c>
      <c r="S31" s="25">
        <v>90</v>
      </c>
      <c r="T31" s="26">
        <v>90</v>
      </c>
      <c r="U31" s="25">
        <v>90</v>
      </c>
      <c r="V31" s="26">
        <v>90</v>
      </c>
      <c r="W31" s="25">
        <v>90</v>
      </c>
      <c r="X31" s="26">
        <v>90</v>
      </c>
      <c r="Y31" s="25">
        <v>90</v>
      </c>
      <c r="Z31" s="26">
        <v>90</v>
      </c>
      <c r="AA31" s="56" t="s">
        <v>135</v>
      </c>
      <c r="AB31" s="56" t="s">
        <v>136</v>
      </c>
      <c r="AC31" s="56"/>
      <c r="AD31" s="56"/>
      <c r="AE31" s="56"/>
      <c r="AF31" s="56"/>
      <c r="AG31" s="56"/>
      <c r="AH31" s="56"/>
      <c r="AI31" s="56"/>
      <c r="AJ31" s="56"/>
      <c r="AK31" s="56"/>
      <c r="AL31" s="56"/>
      <c r="AM31" s="56"/>
      <c r="AN31" s="56"/>
      <c r="AO31" s="56"/>
      <c r="AP31" s="56"/>
      <c r="AQ31" s="56"/>
      <c r="AR31" s="56"/>
    </row>
    <row r="32" spans="2:44" ht="26.25" customHeight="1" x14ac:dyDescent="0.25">
      <c r="B32" s="3">
        <v>15</v>
      </c>
      <c r="C32" s="3">
        <f>'Master Student'!H22</f>
        <v>0</v>
      </c>
      <c r="D32" s="57" t="str">
        <f>IFERROR(VLOOKUP(C32,'Master Student'!H22:I43,2,FALSE),"Data Siswa di Student Master Masih Kosong")</f>
        <v>Data Siswa di Student Master Masih Kosong</v>
      </c>
      <c r="E32" s="25">
        <v>90</v>
      </c>
      <c r="F32" s="26">
        <v>90</v>
      </c>
      <c r="G32" s="25">
        <v>90</v>
      </c>
      <c r="H32" s="26">
        <v>90</v>
      </c>
      <c r="I32" s="25">
        <v>90</v>
      </c>
      <c r="J32" s="26">
        <v>90</v>
      </c>
      <c r="K32" s="25">
        <v>90</v>
      </c>
      <c r="L32" s="26">
        <v>90</v>
      </c>
      <c r="M32" s="25">
        <v>90</v>
      </c>
      <c r="N32" s="26">
        <v>90</v>
      </c>
      <c r="O32" s="25">
        <v>90</v>
      </c>
      <c r="P32" s="26">
        <v>90</v>
      </c>
      <c r="Q32" s="25">
        <v>90</v>
      </c>
      <c r="R32" s="26">
        <v>90</v>
      </c>
      <c r="S32" s="25">
        <v>90</v>
      </c>
      <c r="T32" s="26">
        <v>90</v>
      </c>
      <c r="U32" s="25">
        <v>90</v>
      </c>
      <c r="V32" s="26">
        <v>90</v>
      </c>
      <c r="W32" s="25">
        <v>90</v>
      </c>
      <c r="X32" s="26">
        <v>90</v>
      </c>
      <c r="Y32" s="25">
        <v>90</v>
      </c>
      <c r="Z32" s="26">
        <v>90</v>
      </c>
      <c r="AA32" s="56" t="s">
        <v>135</v>
      </c>
      <c r="AB32" s="56" t="s">
        <v>136</v>
      </c>
      <c r="AC32" s="56"/>
      <c r="AD32" s="56"/>
      <c r="AE32" s="56"/>
      <c r="AF32" s="56"/>
      <c r="AG32" s="56"/>
      <c r="AH32" s="56"/>
      <c r="AI32" s="56"/>
      <c r="AJ32" s="56"/>
      <c r="AK32" s="56"/>
      <c r="AL32" s="56"/>
      <c r="AM32" s="56"/>
      <c r="AN32" s="56"/>
      <c r="AO32" s="56"/>
      <c r="AP32" s="56"/>
      <c r="AQ32" s="56"/>
      <c r="AR32" s="56"/>
    </row>
    <row r="33" spans="2:44" ht="26.25" customHeight="1" x14ac:dyDescent="0.25">
      <c r="B33" s="3">
        <v>16</v>
      </c>
      <c r="C33" s="3">
        <f>'Master Student'!H23</f>
        <v>0</v>
      </c>
      <c r="D33" s="57" t="str">
        <f>IFERROR(VLOOKUP(C33,'Master Student'!H23:I44,2,FALSE),"Data Siswa di Student Master Masih Kosong")</f>
        <v>Data Siswa di Student Master Masih Kosong</v>
      </c>
      <c r="E33" s="25">
        <v>90</v>
      </c>
      <c r="F33" s="26">
        <v>90</v>
      </c>
      <c r="G33" s="25">
        <v>90</v>
      </c>
      <c r="H33" s="26">
        <v>90</v>
      </c>
      <c r="I33" s="25">
        <v>90</v>
      </c>
      <c r="J33" s="26">
        <v>90</v>
      </c>
      <c r="K33" s="25">
        <v>90</v>
      </c>
      <c r="L33" s="26">
        <v>90</v>
      </c>
      <c r="M33" s="25">
        <v>90</v>
      </c>
      <c r="N33" s="26">
        <v>90</v>
      </c>
      <c r="O33" s="25">
        <v>90</v>
      </c>
      <c r="P33" s="26">
        <v>90</v>
      </c>
      <c r="Q33" s="25">
        <v>90</v>
      </c>
      <c r="R33" s="26">
        <v>90</v>
      </c>
      <c r="S33" s="25">
        <v>90</v>
      </c>
      <c r="T33" s="26">
        <v>90</v>
      </c>
      <c r="U33" s="25">
        <v>90</v>
      </c>
      <c r="V33" s="26">
        <v>90</v>
      </c>
      <c r="W33" s="25">
        <v>90</v>
      </c>
      <c r="X33" s="26">
        <v>90</v>
      </c>
      <c r="Y33" s="25">
        <v>90</v>
      </c>
      <c r="Z33" s="26">
        <v>90</v>
      </c>
      <c r="AA33" s="56" t="s">
        <v>135</v>
      </c>
      <c r="AB33" s="56" t="s">
        <v>136</v>
      </c>
      <c r="AC33" s="56"/>
      <c r="AD33" s="56"/>
      <c r="AE33" s="56"/>
      <c r="AF33" s="56"/>
      <c r="AG33" s="56"/>
      <c r="AH33" s="56"/>
      <c r="AI33" s="56"/>
      <c r="AJ33" s="56"/>
      <c r="AK33" s="56"/>
      <c r="AL33" s="56"/>
      <c r="AM33" s="56"/>
      <c r="AN33" s="56"/>
      <c r="AO33" s="56"/>
      <c r="AP33" s="56"/>
      <c r="AQ33" s="56"/>
      <c r="AR33" s="56"/>
    </row>
    <row r="34" spans="2:44" ht="26.25" customHeight="1" x14ac:dyDescent="0.25">
      <c r="B34" s="3">
        <v>17</v>
      </c>
      <c r="C34" s="3">
        <f>'Master Student'!H24</f>
        <v>0</v>
      </c>
      <c r="D34" s="57" t="str">
        <f>IFERROR(VLOOKUP(C34,'Master Student'!H24:I45,2,FALSE),"Data Siswa di Student Master Masih Kosong")</f>
        <v>Data Siswa di Student Master Masih Kosong</v>
      </c>
      <c r="E34" s="25">
        <v>90</v>
      </c>
      <c r="F34" s="26">
        <v>90</v>
      </c>
      <c r="G34" s="25">
        <v>90</v>
      </c>
      <c r="H34" s="26">
        <v>90</v>
      </c>
      <c r="I34" s="25">
        <v>90</v>
      </c>
      <c r="J34" s="26">
        <v>90</v>
      </c>
      <c r="K34" s="25">
        <v>90</v>
      </c>
      <c r="L34" s="26">
        <v>90</v>
      </c>
      <c r="M34" s="25">
        <v>90</v>
      </c>
      <c r="N34" s="26">
        <v>90</v>
      </c>
      <c r="O34" s="25">
        <v>90</v>
      </c>
      <c r="P34" s="26">
        <v>90</v>
      </c>
      <c r="Q34" s="25">
        <v>90</v>
      </c>
      <c r="R34" s="26">
        <v>90</v>
      </c>
      <c r="S34" s="25">
        <v>90</v>
      </c>
      <c r="T34" s="26">
        <v>90</v>
      </c>
      <c r="U34" s="25">
        <v>90</v>
      </c>
      <c r="V34" s="26">
        <v>90</v>
      </c>
      <c r="W34" s="25">
        <v>90</v>
      </c>
      <c r="X34" s="26">
        <v>90</v>
      </c>
      <c r="Y34" s="25">
        <v>90</v>
      </c>
      <c r="Z34" s="26">
        <v>90</v>
      </c>
      <c r="AA34" s="56" t="s">
        <v>135</v>
      </c>
      <c r="AB34" s="56" t="s">
        <v>136</v>
      </c>
      <c r="AC34" s="56"/>
      <c r="AD34" s="56"/>
      <c r="AE34" s="56"/>
      <c r="AF34" s="56"/>
      <c r="AG34" s="56"/>
      <c r="AH34" s="56"/>
      <c r="AI34" s="56"/>
      <c r="AJ34" s="56"/>
      <c r="AK34" s="56"/>
      <c r="AL34" s="56"/>
      <c r="AM34" s="56"/>
      <c r="AN34" s="56"/>
      <c r="AO34" s="56"/>
      <c r="AP34" s="56"/>
      <c r="AQ34" s="56"/>
      <c r="AR34" s="56"/>
    </row>
    <row r="35" spans="2:44" ht="26.25" customHeight="1" x14ac:dyDescent="0.25">
      <c r="B35" s="3">
        <v>18</v>
      </c>
      <c r="C35" s="3">
        <f>'Master Student'!H25</f>
        <v>0</v>
      </c>
      <c r="D35" s="57" t="str">
        <f>IFERROR(VLOOKUP(C35,'Master Student'!H25:I46,2,FALSE),"Data Siswa di Student Master Masih Kosong")</f>
        <v>Data Siswa di Student Master Masih Kosong</v>
      </c>
      <c r="E35" s="25">
        <v>90</v>
      </c>
      <c r="F35" s="26">
        <v>90</v>
      </c>
      <c r="G35" s="25">
        <v>90</v>
      </c>
      <c r="H35" s="26">
        <v>90</v>
      </c>
      <c r="I35" s="25">
        <v>90</v>
      </c>
      <c r="J35" s="26">
        <v>90</v>
      </c>
      <c r="K35" s="25">
        <v>90</v>
      </c>
      <c r="L35" s="26">
        <v>90</v>
      </c>
      <c r="M35" s="25">
        <v>90</v>
      </c>
      <c r="N35" s="26">
        <v>90</v>
      </c>
      <c r="O35" s="25">
        <v>90</v>
      </c>
      <c r="P35" s="26">
        <v>90</v>
      </c>
      <c r="Q35" s="25">
        <v>90</v>
      </c>
      <c r="R35" s="26">
        <v>90</v>
      </c>
      <c r="S35" s="25">
        <v>90</v>
      </c>
      <c r="T35" s="26">
        <v>90</v>
      </c>
      <c r="U35" s="25">
        <v>90</v>
      </c>
      <c r="V35" s="26">
        <v>90</v>
      </c>
      <c r="W35" s="25">
        <v>90</v>
      </c>
      <c r="X35" s="26">
        <v>90</v>
      </c>
      <c r="Y35" s="25">
        <v>90</v>
      </c>
      <c r="Z35" s="26">
        <v>90</v>
      </c>
      <c r="AA35" s="56" t="s">
        <v>135</v>
      </c>
      <c r="AB35" s="56" t="s">
        <v>136</v>
      </c>
      <c r="AC35" s="56"/>
      <c r="AD35" s="56"/>
      <c r="AE35" s="56"/>
      <c r="AF35" s="56"/>
      <c r="AG35" s="56"/>
      <c r="AH35" s="56"/>
      <c r="AI35" s="56"/>
      <c r="AJ35" s="56"/>
      <c r="AK35" s="56"/>
      <c r="AL35" s="56"/>
      <c r="AM35" s="56"/>
      <c r="AN35" s="56"/>
      <c r="AO35" s="56"/>
      <c r="AP35" s="56"/>
      <c r="AQ35" s="56"/>
      <c r="AR35" s="56"/>
    </row>
    <row r="36" spans="2:44" ht="26.25" customHeight="1" x14ac:dyDescent="0.25">
      <c r="B36" s="3">
        <v>19</v>
      </c>
      <c r="C36" s="3">
        <f>'Master Student'!H26</f>
        <v>0</v>
      </c>
      <c r="D36" s="57" t="str">
        <f>IFERROR(VLOOKUP(C36,'Master Student'!H26:I47,2,FALSE),"Data Siswa di Student Master Masih Kosong")</f>
        <v>Data Siswa di Student Master Masih Kosong</v>
      </c>
      <c r="E36" s="25">
        <v>90</v>
      </c>
      <c r="F36" s="26">
        <v>90</v>
      </c>
      <c r="G36" s="25">
        <v>90</v>
      </c>
      <c r="H36" s="26">
        <v>90</v>
      </c>
      <c r="I36" s="25">
        <v>90</v>
      </c>
      <c r="J36" s="26">
        <v>90</v>
      </c>
      <c r="K36" s="25">
        <v>90</v>
      </c>
      <c r="L36" s="26">
        <v>90</v>
      </c>
      <c r="M36" s="25">
        <v>90</v>
      </c>
      <c r="N36" s="26">
        <v>90</v>
      </c>
      <c r="O36" s="25">
        <v>90</v>
      </c>
      <c r="P36" s="26">
        <v>90</v>
      </c>
      <c r="Q36" s="25">
        <v>90</v>
      </c>
      <c r="R36" s="26">
        <v>90</v>
      </c>
      <c r="S36" s="25">
        <v>90</v>
      </c>
      <c r="T36" s="26">
        <v>90</v>
      </c>
      <c r="U36" s="25">
        <v>90</v>
      </c>
      <c r="V36" s="26">
        <v>90</v>
      </c>
      <c r="W36" s="25">
        <v>90</v>
      </c>
      <c r="X36" s="26">
        <v>90</v>
      </c>
      <c r="Y36" s="25">
        <v>90</v>
      </c>
      <c r="Z36" s="26">
        <v>90</v>
      </c>
      <c r="AA36" s="56" t="s">
        <v>135</v>
      </c>
      <c r="AB36" s="56" t="s">
        <v>136</v>
      </c>
      <c r="AC36" s="56"/>
      <c r="AD36" s="56"/>
      <c r="AE36" s="56"/>
      <c r="AF36" s="56"/>
      <c r="AG36" s="56"/>
      <c r="AH36" s="56"/>
      <c r="AI36" s="56"/>
      <c r="AJ36" s="56"/>
      <c r="AK36" s="56"/>
      <c r="AL36" s="56"/>
      <c r="AM36" s="56"/>
      <c r="AN36" s="56"/>
      <c r="AO36" s="56"/>
      <c r="AP36" s="56"/>
      <c r="AQ36" s="56"/>
      <c r="AR36" s="56"/>
    </row>
    <row r="37" spans="2:44" ht="26.25" customHeight="1" x14ac:dyDescent="0.25">
      <c r="B37" s="3">
        <v>20</v>
      </c>
      <c r="C37" s="3">
        <f>'Master Student'!H27</f>
        <v>0</v>
      </c>
      <c r="D37" s="57" t="str">
        <f>IFERROR(VLOOKUP(C37,'Master Student'!H27:I48,2,FALSE),"Data Siswa di Student Master Masih Kosong")</f>
        <v>Data Siswa di Student Master Masih Kosong</v>
      </c>
      <c r="E37" s="25">
        <v>90</v>
      </c>
      <c r="F37" s="26">
        <v>90</v>
      </c>
      <c r="G37" s="25">
        <v>90</v>
      </c>
      <c r="H37" s="26">
        <v>90</v>
      </c>
      <c r="I37" s="25">
        <v>90</v>
      </c>
      <c r="J37" s="26">
        <v>90</v>
      </c>
      <c r="K37" s="25">
        <v>90</v>
      </c>
      <c r="L37" s="26">
        <v>90</v>
      </c>
      <c r="M37" s="25">
        <v>90</v>
      </c>
      <c r="N37" s="26">
        <v>90</v>
      </c>
      <c r="O37" s="25">
        <v>90</v>
      </c>
      <c r="P37" s="26">
        <v>90</v>
      </c>
      <c r="Q37" s="25">
        <v>90</v>
      </c>
      <c r="R37" s="26">
        <v>90</v>
      </c>
      <c r="S37" s="25">
        <v>90</v>
      </c>
      <c r="T37" s="26">
        <v>90</v>
      </c>
      <c r="U37" s="25">
        <v>90</v>
      </c>
      <c r="V37" s="26">
        <v>90</v>
      </c>
      <c r="W37" s="25">
        <v>90</v>
      </c>
      <c r="X37" s="26">
        <v>90</v>
      </c>
      <c r="Y37" s="25">
        <v>90</v>
      </c>
      <c r="Z37" s="26">
        <v>90</v>
      </c>
      <c r="AA37" s="56" t="s">
        <v>135</v>
      </c>
      <c r="AB37" s="56" t="s">
        <v>136</v>
      </c>
      <c r="AC37" s="56"/>
      <c r="AD37" s="56"/>
      <c r="AE37" s="56"/>
      <c r="AF37" s="56"/>
      <c r="AG37" s="56"/>
      <c r="AH37" s="56"/>
      <c r="AI37" s="56"/>
      <c r="AJ37" s="56"/>
      <c r="AK37" s="56"/>
      <c r="AL37" s="56"/>
      <c r="AM37" s="56"/>
      <c r="AN37" s="56"/>
      <c r="AO37" s="56"/>
      <c r="AP37" s="56"/>
      <c r="AQ37" s="56"/>
      <c r="AR37" s="56"/>
    </row>
    <row r="38" spans="2:44" ht="26.25" customHeight="1" x14ac:dyDescent="0.25">
      <c r="B38" s="3">
        <v>21</v>
      </c>
      <c r="C38" s="3">
        <f>'Master Student'!H28</f>
        <v>0</v>
      </c>
      <c r="D38" s="57" t="str">
        <f>IFERROR(VLOOKUP(C38,'Master Student'!H28:I49,2,FALSE),"Data Siswa di Student Master Masih Kosong")</f>
        <v>Data Siswa di Student Master Masih Kosong</v>
      </c>
      <c r="E38" s="25">
        <v>90</v>
      </c>
      <c r="F38" s="26">
        <v>90</v>
      </c>
      <c r="G38" s="25">
        <v>90</v>
      </c>
      <c r="H38" s="26">
        <v>90</v>
      </c>
      <c r="I38" s="25">
        <v>90</v>
      </c>
      <c r="J38" s="26">
        <v>90</v>
      </c>
      <c r="K38" s="25">
        <v>90</v>
      </c>
      <c r="L38" s="26">
        <v>90</v>
      </c>
      <c r="M38" s="25">
        <v>90</v>
      </c>
      <c r="N38" s="26">
        <v>90</v>
      </c>
      <c r="O38" s="25">
        <v>90</v>
      </c>
      <c r="P38" s="26">
        <v>90</v>
      </c>
      <c r="Q38" s="25">
        <v>90</v>
      </c>
      <c r="R38" s="26">
        <v>90</v>
      </c>
      <c r="S38" s="25">
        <v>90</v>
      </c>
      <c r="T38" s="26">
        <v>90</v>
      </c>
      <c r="U38" s="25">
        <v>90</v>
      </c>
      <c r="V38" s="26">
        <v>90</v>
      </c>
      <c r="W38" s="25">
        <v>90</v>
      </c>
      <c r="X38" s="26">
        <v>90</v>
      </c>
      <c r="Y38" s="25">
        <v>90</v>
      </c>
      <c r="Z38" s="26">
        <v>90</v>
      </c>
      <c r="AA38" s="56" t="s">
        <v>135</v>
      </c>
      <c r="AB38" s="56" t="s">
        <v>136</v>
      </c>
      <c r="AC38" s="56"/>
      <c r="AD38" s="56"/>
      <c r="AE38" s="56"/>
      <c r="AF38" s="56"/>
      <c r="AG38" s="56"/>
      <c r="AH38" s="56"/>
      <c r="AI38" s="56"/>
      <c r="AJ38" s="56"/>
      <c r="AK38" s="56"/>
      <c r="AL38" s="56"/>
      <c r="AM38" s="56"/>
      <c r="AN38" s="56"/>
      <c r="AO38" s="56"/>
      <c r="AP38" s="56"/>
      <c r="AQ38" s="56"/>
      <c r="AR38" s="56"/>
    </row>
    <row r="39" spans="2:44" ht="26.25" customHeight="1" x14ac:dyDescent="0.25">
      <c r="B39" s="3">
        <v>22</v>
      </c>
      <c r="C39" s="3">
        <f>'Master Student'!H29</f>
        <v>0</v>
      </c>
      <c r="D39" s="57" t="str">
        <f>IFERROR(VLOOKUP(C39,'Master Student'!H29:I50,2,FALSE),"Data Siswa di Student Master Masih Kosong")</f>
        <v>Data Siswa di Student Master Masih Kosong</v>
      </c>
      <c r="E39" s="25">
        <v>90</v>
      </c>
      <c r="F39" s="26">
        <v>90</v>
      </c>
      <c r="G39" s="25">
        <v>90</v>
      </c>
      <c r="H39" s="26">
        <v>90</v>
      </c>
      <c r="I39" s="25">
        <v>90</v>
      </c>
      <c r="J39" s="26">
        <v>90</v>
      </c>
      <c r="K39" s="25">
        <v>90</v>
      </c>
      <c r="L39" s="26">
        <v>90</v>
      </c>
      <c r="M39" s="25">
        <v>90</v>
      </c>
      <c r="N39" s="26">
        <v>90</v>
      </c>
      <c r="O39" s="25">
        <v>90</v>
      </c>
      <c r="P39" s="26">
        <v>90</v>
      </c>
      <c r="Q39" s="25">
        <v>90</v>
      </c>
      <c r="R39" s="26">
        <v>90</v>
      </c>
      <c r="S39" s="25">
        <v>90</v>
      </c>
      <c r="T39" s="26">
        <v>90</v>
      </c>
      <c r="U39" s="25">
        <v>90</v>
      </c>
      <c r="V39" s="26">
        <v>90</v>
      </c>
      <c r="W39" s="25">
        <v>90</v>
      </c>
      <c r="X39" s="26">
        <v>90</v>
      </c>
      <c r="Y39" s="25">
        <v>90</v>
      </c>
      <c r="Z39" s="26">
        <v>90</v>
      </c>
      <c r="AA39" s="56" t="s">
        <v>135</v>
      </c>
      <c r="AB39" s="56" t="s">
        <v>136</v>
      </c>
      <c r="AC39" s="56"/>
      <c r="AD39" s="56"/>
      <c r="AE39" s="56"/>
      <c r="AF39" s="56"/>
      <c r="AG39" s="56"/>
      <c r="AH39" s="56"/>
      <c r="AI39" s="56"/>
      <c r="AJ39" s="56"/>
      <c r="AK39" s="56"/>
      <c r="AL39" s="56"/>
      <c r="AM39" s="56"/>
      <c r="AN39" s="56"/>
      <c r="AO39" s="56"/>
      <c r="AP39" s="56"/>
      <c r="AQ39" s="56"/>
      <c r="AR39" s="56"/>
    </row>
    <row r="40" spans="2:44" ht="26.25" customHeight="1" x14ac:dyDescent="0.25">
      <c r="B40" s="3">
        <v>23</v>
      </c>
      <c r="C40" s="3">
        <f>'Master Student'!H30</f>
        <v>0</v>
      </c>
      <c r="D40" s="57" t="str">
        <f>IFERROR(VLOOKUP(C40,'Master Student'!H30:I51,2,FALSE),"Data Siswa di Student Master Masih Kosong")</f>
        <v>Data Siswa di Student Master Masih Kosong</v>
      </c>
      <c r="E40" s="25">
        <v>90</v>
      </c>
      <c r="F40" s="26">
        <v>90</v>
      </c>
      <c r="G40" s="25">
        <v>90</v>
      </c>
      <c r="H40" s="26">
        <v>90</v>
      </c>
      <c r="I40" s="25">
        <v>90</v>
      </c>
      <c r="J40" s="26">
        <v>90</v>
      </c>
      <c r="K40" s="25">
        <v>90</v>
      </c>
      <c r="L40" s="26">
        <v>90</v>
      </c>
      <c r="M40" s="25">
        <v>90</v>
      </c>
      <c r="N40" s="26">
        <v>90</v>
      </c>
      <c r="O40" s="25">
        <v>90</v>
      </c>
      <c r="P40" s="26">
        <v>90</v>
      </c>
      <c r="Q40" s="25">
        <v>90</v>
      </c>
      <c r="R40" s="26">
        <v>90</v>
      </c>
      <c r="S40" s="25">
        <v>90</v>
      </c>
      <c r="T40" s="26">
        <v>90</v>
      </c>
      <c r="U40" s="25">
        <v>90</v>
      </c>
      <c r="V40" s="26">
        <v>90</v>
      </c>
      <c r="W40" s="25">
        <v>90</v>
      </c>
      <c r="X40" s="26">
        <v>90</v>
      </c>
      <c r="Y40" s="25">
        <v>90</v>
      </c>
      <c r="Z40" s="26">
        <v>90</v>
      </c>
      <c r="AA40" s="56" t="s">
        <v>135</v>
      </c>
      <c r="AB40" s="56" t="s">
        <v>136</v>
      </c>
      <c r="AC40" s="56"/>
      <c r="AD40" s="56"/>
      <c r="AE40" s="56"/>
      <c r="AF40" s="56"/>
      <c r="AG40" s="56"/>
      <c r="AH40" s="56"/>
      <c r="AI40" s="56"/>
      <c r="AJ40" s="56"/>
      <c r="AK40" s="56"/>
      <c r="AL40" s="56"/>
      <c r="AM40" s="56"/>
      <c r="AN40" s="56"/>
      <c r="AO40" s="56"/>
      <c r="AP40" s="56"/>
      <c r="AQ40" s="56"/>
      <c r="AR40" s="56"/>
    </row>
    <row r="41" spans="2:44" ht="26.25" customHeight="1" x14ac:dyDescent="0.25">
      <c r="B41" s="3">
        <v>24</v>
      </c>
      <c r="C41" s="3">
        <f>'Master Student'!H31</f>
        <v>0</v>
      </c>
      <c r="D41" s="57" t="str">
        <f>IFERROR(VLOOKUP(C41,'Master Student'!H31:I52,2,FALSE),"Data Siswa di Student Master Masih Kosong")</f>
        <v>Data Siswa di Student Master Masih Kosong</v>
      </c>
      <c r="E41" s="25">
        <v>90</v>
      </c>
      <c r="F41" s="26">
        <v>90</v>
      </c>
      <c r="G41" s="25">
        <v>90</v>
      </c>
      <c r="H41" s="26">
        <v>90</v>
      </c>
      <c r="I41" s="25">
        <v>90</v>
      </c>
      <c r="J41" s="26">
        <v>90</v>
      </c>
      <c r="K41" s="25">
        <v>90</v>
      </c>
      <c r="L41" s="26">
        <v>90</v>
      </c>
      <c r="M41" s="25">
        <v>90</v>
      </c>
      <c r="N41" s="26">
        <v>90</v>
      </c>
      <c r="O41" s="25">
        <v>90</v>
      </c>
      <c r="P41" s="26">
        <v>90</v>
      </c>
      <c r="Q41" s="25">
        <v>90</v>
      </c>
      <c r="R41" s="26">
        <v>90</v>
      </c>
      <c r="S41" s="25">
        <v>90</v>
      </c>
      <c r="T41" s="26">
        <v>90</v>
      </c>
      <c r="U41" s="25">
        <v>90</v>
      </c>
      <c r="V41" s="26">
        <v>90</v>
      </c>
      <c r="W41" s="25">
        <v>90</v>
      </c>
      <c r="X41" s="26">
        <v>90</v>
      </c>
      <c r="Y41" s="25">
        <v>90</v>
      </c>
      <c r="Z41" s="26">
        <v>90</v>
      </c>
      <c r="AA41" s="56" t="s">
        <v>135</v>
      </c>
      <c r="AB41" s="56" t="s">
        <v>136</v>
      </c>
      <c r="AC41" s="56"/>
      <c r="AD41" s="56"/>
      <c r="AE41" s="56"/>
      <c r="AF41" s="56"/>
      <c r="AG41" s="56"/>
      <c r="AH41" s="56"/>
      <c r="AI41" s="56"/>
      <c r="AJ41" s="56"/>
      <c r="AK41" s="56"/>
      <c r="AL41" s="56"/>
      <c r="AM41" s="56"/>
      <c r="AN41" s="56"/>
      <c r="AO41" s="56"/>
      <c r="AP41" s="56"/>
      <c r="AQ41" s="56"/>
      <c r="AR41" s="56"/>
    </row>
    <row r="42" spans="2:44" ht="26.25" customHeight="1" x14ac:dyDescent="0.25">
      <c r="B42" s="3">
        <v>25</v>
      </c>
      <c r="C42" s="3">
        <f>'Master Student'!H32</f>
        <v>0</v>
      </c>
      <c r="D42" s="57" t="str">
        <f>IFERROR(VLOOKUP(C42,'Master Student'!H32:I53,2,FALSE),"Data Siswa di Student Master Masih Kosong")</f>
        <v>Data Siswa di Student Master Masih Kosong</v>
      </c>
      <c r="E42" s="25">
        <v>90</v>
      </c>
      <c r="F42" s="26">
        <v>90</v>
      </c>
      <c r="G42" s="25">
        <v>90</v>
      </c>
      <c r="H42" s="26">
        <v>90</v>
      </c>
      <c r="I42" s="25">
        <v>90</v>
      </c>
      <c r="J42" s="26">
        <v>90</v>
      </c>
      <c r="K42" s="25">
        <v>90</v>
      </c>
      <c r="L42" s="26">
        <v>90</v>
      </c>
      <c r="M42" s="25">
        <v>90</v>
      </c>
      <c r="N42" s="26">
        <v>90</v>
      </c>
      <c r="O42" s="25">
        <v>90</v>
      </c>
      <c r="P42" s="26">
        <v>90</v>
      </c>
      <c r="Q42" s="25">
        <v>90</v>
      </c>
      <c r="R42" s="26">
        <v>90</v>
      </c>
      <c r="S42" s="25">
        <v>90</v>
      </c>
      <c r="T42" s="26">
        <v>90</v>
      </c>
      <c r="U42" s="25">
        <v>90</v>
      </c>
      <c r="V42" s="26">
        <v>90</v>
      </c>
      <c r="W42" s="25">
        <v>90</v>
      </c>
      <c r="X42" s="26">
        <v>90</v>
      </c>
      <c r="Y42" s="25">
        <v>90</v>
      </c>
      <c r="Z42" s="26">
        <v>90</v>
      </c>
      <c r="AA42" s="56" t="s">
        <v>135</v>
      </c>
      <c r="AB42" s="56" t="s">
        <v>136</v>
      </c>
      <c r="AC42" s="56"/>
      <c r="AD42" s="56"/>
      <c r="AE42" s="56"/>
      <c r="AF42" s="56"/>
      <c r="AG42" s="56"/>
      <c r="AH42" s="56"/>
      <c r="AI42" s="56"/>
      <c r="AJ42" s="56"/>
      <c r="AK42" s="56"/>
      <c r="AL42" s="56"/>
      <c r="AM42" s="56"/>
      <c r="AN42" s="56"/>
      <c r="AO42" s="56"/>
      <c r="AP42" s="56"/>
      <c r="AQ42" s="56"/>
      <c r="AR42" s="56"/>
    </row>
  </sheetData>
  <sheetProtection sheet="1" scenarios="1" selectLockedCells="1"/>
  <mergeCells count="47">
    <mergeCell ref="B7:Z7"/>
    <mergeCell ref="E16:F16"/>
    <mergeCell ref="G16:H16"/>
    <mergeCell ref="I16:J16"/>
    <mergeCell ref="Y16:Z16"/>
    <mergeCell ref="M16:N16"/>
    <mergeCell ref="O16:P16"/>
    <mergeCell ref="Q16:R16"/>
    <mergeCell ref="S16:T16"/>
    <mergeCell ref="U16:V16"/>
    <mergeCell ref="W16:X16"/>
    <mergeCell ref="K16:L16"/>
    <mergeCell ref="B9:C9"/>
    <mergeCell ref="I9:L9"/>
    <mergeCell ref="I10:L10"/>
    <mergeCell ref="F9:H9"/>
    <mergeCell ref="B10:C10"/>
    <mergeCell ref="B11:C11"/>
    <mergeCell ref="B15:B17"/>
    <mergeCell ref="C15:C17"/>
    <mergeCell ref="D15:D17"/>
    <mergeCell ref="E15:Z15"/>
    <mergeCell ref="B12:C12"/>
    <mergeCell ref="B13:C13"/>
    <mergeCell ref="AN16:AN17"/>
    <mergeCell ref="AA15:AB15"/>
    <mergeCell ref="AA16:AA17"/>
    <mergeCell ref="AB16:AB17"/>
    <mergeCell ref="AC16:AD16"/>
    <mergeCell ref="AE16:AF16"/>
    <mergeCell ref="AC15:AF15"/>
    <mergeCell ref="AO16:AO17"/>
    <mergeCell ref="AG15:AG17"/>
    <mergeCell ref="AH16:AH17"/>
    <mergeCell ref="AP15:AR15"/>
    <mergeCell ref="AP16:AP17"/>
    <mergeCell ref="AQ16:AQ17"/>
    <mergeCell ref="AR16:AR17"/>
    <mergeCell ref="AI16:AI17"/>
    <mergeCell ref="AH15:AI15"/>
    <mergeCell ref="AJ15:AK15"/>
    <mergeCell ref="AJ16:AJ17"/>
    <mergeCell ref="AK16:AK17"/>
    <mergeCell ref="AL15:AM15"/>
    <mergeCell ref="AL16:AL17"/>
    <mergeCell ref="AM16:AM17"/>
    <mergeCell ref="AN15:AO15"/>
  </mergeCells>
  <conditionalFormatting sqref="D18:D42">
    <cfRule type="expression" priority="1">
      <formula>ISERROR(reference)</formula>
    </cfRule>
  </conditionalFormatting>
  <pageMargins left="0.7" right="0.7" top="0.75" bottom="0.75" header="0.3" footer="0.3"/>
  <pageSetup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Terjadi Kesalahan Mr/Ms." error="Silahkan pilih data semester dengan drop down yang sudah disediakan.">
          <x14:formula1>
            <xm:f>'Master Data'!$F$8:$F$9</xm:f>
          </x14:formula1>
          <xm:sqref>D10</xm:sqref>
        </x14:dataValidation>
        <x14:dataValidation type="list" allowBlank="1" showInputMessage="1" showErrorMessage="1">
          <x14:formula1>
            <xm:f>'Master Data'!$I$8:$I$17</xm:f>
          </x14:formula1>
          <xm:sqref>D11</xm:sqref>
        </x14:dataValidation>
        <x14:dataValidation type="list" allowBlank="1" showInputMessage="1" showErrorMessage="1" errorTitle="Terjadi Kesalahan Mr/Ms." error="Silahkan pilih data kelas dari drop down yang sudah disediakan">
          <x14:formula1>
            <xm:f>'Master Data'!$C$8:$C$10</xm:f>
          </x14:formula1>
          <xm:sqref>D9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H88"/>
  <sheetViews>
    <sheetView showGridLines="0" showZeros="0" view="pageLayout" topLeftCell="A34" zoomScale="70" zoomScaleNormal="85" zoomScalePageLayoutView="70" workbookViewId="0">
      <selection activeCell="E35" sqref="E35"/>
    </sheetView>
  </sheetViews>
  <sheetFormatPr defaultRowHeight="15" x14ac:dyDescent="0.25"/>
  <cols>
    <col min="1" max="1" width="3.85546875" style="29" bestFit="1" customWidth="1"/>
    <col min="2" max="2" width="17.28515625" style="29" customWidth="1"/>
    <col min="3" max="3" width="6.140625" style="29" customWidth="1"/>
    <col min="4" max="4" width="8.5703125" style="29" customWidth="1"/>
    <col min="5" max="5" width="22.42578125" style="29" customWidth="1"/>
    <col min="6" max="6" width="6.28515625" style="29" customWidth="1"/>
    <col min="7" max="7" width="8.42578125" style="29" customWidth="1"/>
    <col min="8" max="8" width="22.28515625" style="29" customWidth="1"/>
    <col min="9" max="16384" width="9.140625" style="29"/>
  </cols>
  <sheetData>
    <row r="2" spans="1:8" ht="19.5" x14ac:dyDescent="0.25">
      <c r="A2" s="129" t="s">
        <v>24</v>
      </c>
      <c r="B2" s="129"/>
      <c r="C2" s="129"/>
      <c r="D2" s="129"/>
      <c r="E2" s="129"/>
      <c r="F2" s="129"/>
      <c r="G2" s="129"/>
      <c r="H2" s="129"/>
    </row>
    <row r="3" spans="1:8" ht="15" customHeight="1" x14ac:dyDescent="0.25">
      <c r="A3" s="30"/>
      <c r="B3" s="30"/>
      <c r="C3" s="30"/>
      <c r="D3" s="30"/>
      <c r="E3" s="30"/>
      <c r="F3" s="30"/>
      <c r="G3" s="30"/>
      <c r="H3" s="30"/>
    </row>
    <row r="4" spans="1:8" ht="15" customHeight="1" x14ac:dyDescent="0.25">
      <c r="A4" s="130" t="s">
        <v>35</v>
      </c>
      <c r="B4" s="130"/>
      <c r="C4" s="32" t="s">
        <v>36</v>
      </c>
      <c r="D4" s="132" t="s">
        <v>262</v>
      </c>
      <c r="E4" s="133"/>
      <c r="F4" s="130" t="s">
        <v>42</v>
      </c>
      <c r="G4" s="130"/>
      <c r="H4" s="33" t="str">
        <f>'Master Grade'!D9</f>
        <v>4 (Empat)</v>
      </c>
    </row>
    <row r="5" spans="1:8" ht="15" customHeight="1" x14ac:dyDescent="0.25">
      <c r="A5" s="130" t="s">
        <v>37</v>
      </c>
      <c r="B5" s="130"/>
      <c r="C5" s="32" t="s">
        <v>36</v>
      </c>
      <c r="D5" s="130">
        <f>INDEX('Master Student'!H8:H32,MATCH('Final Report'!D4:E4,'Master Student'!I8:I32))</f>
        <v>1235</v>
      </c>
      <c r="E5" s="130"/>
      <c r="F5" s="130" t="s">
        <v>43</v>
      </c>
      <c r="G5" s="130"/>
      <c r="H5" s="33" t="str">
        <f>'Master Grade'!D10</f>
        <v>Semester 1</v>
      </c>
    </row>
    <row r="6" spans="1:8" ht="15" customHeight="1" x14ac:dyDescent="0.25">
      <c r="A6" s="130" t="s">
        <v>38</v>
      </c>
      <c r="B6" s="130"/>
      <c r="C6" s="32" t="s">
        <v>36</v>
      </c>
      <c r="D6" s="130" t="s">
        <v>40</v>
      </c>
      <c r="E6" s="130"/>
      <c r="F6" s="130" t="s">
        <v>44</v>
      </c>
      <c r="G6" s="130"/>
      <c r="H6" s="33" t="str">
        <f>'Master Grade'!D11</f>
        <v>2019/2020</v>
      </c>
    </row>
    <row r="7" spans="1:8" ht="15" customHeight="1" x14ac:dyDescent="0.25">
      <c r="A7" s="131" t="s">
        <v>39</v>
      </c>
      <c r="B7" s="131"/>
      <c r="C7" s="32" t="s">
        <v>36</v>
      </c>
      <c r="D7" s="134" t="s">
        <v>41</v>
      </c>
      <c r="E7" s="134"/>
      <c r="F7" s="33"/>
      <c r="G7" s="33"/>
      <c r="H7" s="31"/>
    </row>
    <row r="8" spans="1:8" ht="15" customHeight="1" x14ac:dyDescent="0.25">
      <c r="A8" s="34"/>
      <c r="B8" s="34"/>
      <c r="C8" s="32"/>
      <c r="D8" s="134"/>
      <c r="E8" s="134"/>
      <c r="F8" s="33"/>
      <c r="G8" s="33"/>
      <c r="H8" s="31"/>
    </row>
    <row r="9" spans="1:8" ht="15" customHeight="1" x14ac:dyDescent="0.25">
      <c r="A9" s="34"/>
      <c r="B9" s="34"/>
      <c r="C9" s="32"/>
      <c r="D9" s="144" t="str">
        <f>INDEX('Master Student'!J8:J32,MATCH('Final Report'!D4:E4,'Master Student'!I8:I32))</f>
        <v>Buddha</v>
      </c>
      <c r="E9" s="35"/>
      <c r="F9" s="33"/>
      <c r="G9" s="33"/>
      <c r="H9" s="31"/>
    </row>
    <row r="10" spans="1:8" ht="15" customHeight="1" x14ac:dyDescent="0.25">
      <c r="A10" s="34"/>
      <c r="B10" s="34"/>
      <c r="C10" s="32"/>
      <c r="D10" s="35"/>
      <c r="E10" s="35"/>
      <c r="F10" s="33"/>
      <c r="G10" s="33"/>
      <c r="H10" s="31"/>
    </row>
    <row r="11" spans="1:8" ht="15" customHeight="1" x14ac:dyDescent="0.25">
      <c r="A11" s="36" t="s">
        <v>62</v>
      </c>
      <c r="B11" s="36" t="s">
        <v>63</v>
      </c>
      <c r="C11" s="32"/>
      <c r="D11" s="35"/>
      <c r="E11" s="35"/>
      <c r="F11" s="33"/>
      <c r="G11" s="33"/>
      <c r="H11" s="31"/>
    </row>
    <row r="12" spans="1:8" ht="10.5" customHeight="1" x14ac:dyDescent="0.25">
      <c r="A12" s="36"/>
      <c r="B12" s="36"/>
      <c r="C12" s="32"/>
      <c r="D12" s="35"/>
      <c r="E12" s="35"/>
      <c r="F12" s="33"/>
      <c r="G12" s="33"/>
      <c r="H12" s="31"/>
    </row>
    <row r="13" spans="1:8" ht="15" customHeight="1" x14ac:dyDescent="0.25">
      <c r="A13" s="109" t="s">
        <v>23</v>
      </c>
      <c r="B13" s="109"/>
      <c r="C13" s="109"/>
      <c r="D13" s="109"/>
      <c r="E13" s="109"/>
      <c r="F13" s="109"/>
      <c r="G13" s="109"/>
      <c r="H13" s="109"/>
    </row>
    <row r="14" spans="1:8" ht="78.75" customHeight="1" x14ac:dyDescent="0.25">
      <c r="A14" s="135" t="s">
        <v>64</v>
      </c>
      <c r="B14" s="136"/>
      <c r="C14" s="137" t="str">
        <f>VLOOKUP(D4,'Master Grade'!D18:AR42,24,FALSE)</f>
        <v>menghargai kebhinneka-tunggalikaan dan keragaman agama, suku bangsa, pakaian tradisional, bahasa, rumah adat, makanan khas, upacara adat, sosial, dan ekonomi di lingkungan rumah, sekolah dan masyarakat sekitar</v>
      </c>
      <c r="D14" s="138"/>
      <c r="E14" s="138"/>
      <c r="F14" s="138"/>
      <c r="G14" s="138"/>
      <c r="H14" s="139"/>
    </row>
    <row r="15" spans="1:8" ht="78.75" customHeight="1" x14ac:dyDescent="0.25">
      <c r="A15" s="135" t="s">
        <v>65</v>
      </c>
      <c r="B15" s="136"/>
      <c r="C15" s="137" t="str">
        <f>VLOOKUP(D4,'Master Grade'!D18:AR42,25,FALSE)</f>
        <v>menunjukkan perilaku, disiplin, tanggung jawab, percaya diri, berani mengakui kesalahan, meminta maaf dan memberi maaf sebagaimana dicontohkan tokoh penting yang berperan dalam perjuangan menentang penjajah hingga kemerdekaan Republik Indonesia sebagai perwujudan nilai dan moral Pancasila</v>
      </c>
      <c r="D15" s="138"/>
      <c r="E15" s="138"/>
      <c r="F15" s="138"/>
      <c r="G15" s="138"/>
      <c r="H15" s="139"/>
    </row>
    <row r="16" spans="1:8" ht="15" customHeight="1" x14ac:dyDescent="0.25">
      <c r="A16" s="37"/>
      <c r="B16" s="37"/>
      <c r="C16" s="37"/>
      <c r="D16" s="38"/>
      <c r="E16" s="38"/>
      <c r="F16" s="38"/>
      <c r="G16" s="38"/>
      <c r="H16" s="38"/>
    </row>
    <row r="17" spans="1:8" ht="15" customHeight="1" x14ac:dyDescent="0.25">
      <c r="A17" s="37"/>
      <c r="B17" s="37"/>
      <c r="C17" s="37"/>
      <c r="D17" s="38"/>
      <c r="E17" s="38"/>
      <c r="F17" s="38"/>
      <c r="G17" s="38"/>
      <c r="H17" s="38"/>
    </row>
    <row r="18" spans="1:8" ht="15" customHeight="1" x14ac:dyDescent="0.25">
      <c r="A18" s="39" t="s">
        <v>66</v>
      </c>
      <c r="B18" s="39" t="s">
        <v>67</v>
      </c>
      <c r="C18" s="39"/>
      <c r="D18" s="40"/>
      <c r="E18" s="38"/>
      <c r="F18" s="38"/>
      <c r="G18" s="38"/>
      <c r="H18" s="38"/>
    </row>
    <row r="19" spans="1:8" ht="10.5" customHeight="1" x14ac:dyDescent="0.25">
      <c r="A19" s="41"/>
      <c r="B19" s="41"/>
      <c r="C19" s="41"/>
      <c r="D19" s="41"/>
      <c r="E19" s="41"/>
      <c r="F19" s="41"/>
      <c r="G19" s="41"/>
      <c r="H19" s="41"/>
    </row>
    <row r="20" spans="1:8" x14ac:dyDescent="0.25">
      <c r="A20" s="122" t="s">
        <v>17</v>
      </c>
      <c r="B20" s="121" t="s">
        <v>18</v>
      </c>
      <c r="C20" s="122" t="s">
        <v>19</v>
      </c>
      <c r="D20" s="122"/>
      <c r="E20" s="122"/>
      <c r="F20" s="123" t="s">
        <v>20</v>
      </c>
      <c r="G20" s="124"/>
      <c r="H20" s="125"/>
    </row>
    <row r="21" spans="1:8" x14ac:dyDescent="0.25">
      <c r="A21" s="122"/>
      <c r="B21" s="121"/>
      <c r="C21" s="42" t="s">
        <v>21</v>
      </c>
      <c r="D21" s="42" t="s">
        <v>22</v>
      </c>
      <c r="E21" s="42" t="s">
        <v>23</v>
      </c>
      <c r="F21" s="42" t="s">
        <v>21</v>
      </c>
      <c r="G21" s="42" t="s">
        <v>22</v>
      </c>
      <c r="H21" s="42" t="s">
        <v>23</v>
      </c>
    </row>
    <row r="22" spans="1:8" ht="179.25" customHeight="1" x14ac:dyDescent="0.25">
      <c r="A22" s="43">
        <v>1</v>
      </c>
      <c r="B22" s="44" t="str">
        <f>'Master Subject'!H8</f>
        <v>Pendidikan Agama dan Budi Pekerti</v>
      </c>
      <c r="C22" s="142">
        <f>VLOOKUP(D4,'Master Grade'!D18:Z42,2,FALSE)</f>
        <v>90</v>
      </c>
      <c r="D22" s="43" t="str">
        <f>IF(C22&gt;=87.5,"A",IF(C22&gt;=73.5,"B",IF(C22&gt;=59.5,"C","D")))</f>
        <v>A</v>
      </c>
      <c r="E22" s="44" t="str">
        <f>IF(AND(D9="Islam",C22&gt;=87.5),'Kompetensi Dasar'!C4,
IF(AND(D9="Islam",C22&gt;=73.5),'Kompetensi Dasar'!D4,
IF(AND(D9="Islam",C22&gt;=59.5),'Kompetensi Dasar'!E4,
IF(AND(D9="Islam",C22&gt;=0),'Kompetensi Dasar'!F4,
IF(AND(D9="Kristen",C22&gt;=87.5),'Kompetensi Dasar'!C5,
IF(AND(D9="Kristen",C22&gt;=73.5),'Kompetensi Dasar'!D5,
IF(AND(D9="Kristen",C22&gt;=59.5),'Kompetensi Dasar'!E5,
IF(AND(D9="Kristen",C22&gt;=0),'Kompetensi Dasar'!F5,
IF(AND(D9="Katolik",C22&gt;=87.5),'Kompetensi Dasar'!C6,
IF(AND(D9="Katolik",C22&gt;=73.5),'Kompetensi Dasar'!D6,
IF(AND(D9="Katolik",C22&gt;=59.5),'Kompetensi Dasar'!E6,
IF(AND(D9="Katolik",C22&gt;=0),'Kompetensi Dasar'!F6,
IF(AND(D9="Buddha",C22&gt;=87.5),'Kompetensi Dasar'!C7,
IF(AND(D9="Buddha",C22&gt;=73.5),'Kompetensi Dasar'!D7,
IF(AND(D9="Buddha",C22&gt;=59.5),'Kompetensi Dasar'!E7,
IF(AND(D9="Buddha",C22&gt;=0),'Kompetensi Dasar'!F7,
IF(AND(D9="Hindu",C22&gt;=87.5),'Kompetensi Dasar'!C8,
IF(AND(D9="Hindu",C22&gt;=73.5),'Kompetensi Dasar'!D8,
IF(AND(D9="Hindu",C22&gt;=59.5),'Kompetensi Dasar'!E8,
IF(AND(D9="Hindu",C22&gt;=0),'Kompetensi Dasar'!F8,))))))))))))))))))))</f>
        <v>Siswa sangat mampu memahami prilaku menolong tanpa pamrih dan tahu berterima kasih</v>
      </c>
      <c r="F22" s="142">
        <f>VLOOKUP(D4,'Master Grade'!D18:Z42,3,FALSE)</f>
        <v>90</v>
      </c>
      <c r="G22" s="43" t="str">
        <f>IF(F22&gt;=87.5,"A",IF(F22&gt;=73.5,"B",IF(F22&gt;=59.5,"C","D")))</f>
        <v>A</v>
      </c>
      <c r="H22" s="44" t="str">
        <f>IF(AND(D9="Islam",F22&gt;=87.5),'Kompetensi Dasar'!G4,
IF(AND(D9="Islam",F22&gt;=73.5),'Kompetensi Dasar'!H4,
IF(AND(D9="Islam",F22&gt;=59.5),'Kompetensi Dasar'!I4,
IF(AND(D9="Islam",F22&gt;=0),'Kompetensi Dasar'!J4,
IF(AND(D9="Kristen",F22&gt;=87.5),'Kompetensi Dasar'!G5,
IF(AND(D9="Kristen",F22&gt;=73.5),'Kompetensi Dasar'!H5,
IF(AND(D9="Kristen",F22&gt;=59.5),'Kompetensi Dasar'!I5,
IF(AND(D9="Kristen",F22&gt;=0),'Kompetensi Dasar'!J5,
IF(AND(D9="Katolik",F22&gt;=87.5),'Kompetensi Dasar'!G6,
IF(AND(D9="Katolik",F22&gt;=73.5),'Kompetensi Dasar'!H6,
IF(AND(D9="Katolik",F22&gt;=59.5),'Kompetensi Dasar'!I6,
IF(AND(D9="Katolik",F22&gt;=0),'Kompetensi Dasar'!J6,
IF(AND(D9="Buddha",F22&gt;=87.5),'Kompetensi Dasar'!G7,
IF(AND(D9="Buddha",F22&gt;=73.5),'Kompetensi Dasar'!H7,
IF(AND(D9="Buddha",F22&gt;=59.5),'Kompetensi Dasar'!I7,
IF(AND(D9="Buddha",F22&gt;=0),'Kompetensi Dasar'!J7,
IF(AND(D9="Hindu",F22&gt;=87.5),'Kompetensi Dasar'!G8,
IF(AND(D9="Hindu",F22&gt;=73.5),'Kompetensi Dasar'!H8,
IF(AND(D9="Hindu",F22&gt;=59.5),'Kompetensi Dasar'!I8,
IF(AND(D9="Hindu",F22&gt;=0),'Kompetensi Dasar'!J8,))))))))))))))))))))</f>
        <v>Siswa sangat mampu melakukan pertolongan tanpa pamrih dan tahu berterima kasih</v>
      </c>
    </row>
    <row r="23" spans="1:8" ht="220.5" customHeight="1" x14ac:dyDescent="0.25">
      <c r="A23" s="43">
        <v>2</v>
      </c>
      <c r="B23" s="44" t="str">
        <f>'Master Subject'!H9</f>
        <v>Pendidikan Pancasila dan Kewarganegaraan</v>
      </c>
      <c r="C23" s="142">
        <f>VLOOKUP(D4,'Master Grade'!D18:Z42,4,FALSE)</f>
        <v>90</v>
      </c>
      <c r="D23" s="43" t="str">
        <f>IF(C23&gt;=87.5,"A",IF(C23&gt;=73.5,"B",IF(C23&gt;=59.5,"C","D")))</f>
        <v>A</v>
      </c>
      <c r="E23" s="44" t="str">
        <f>IF(C23&gt;=87.5,'Kompetensi Dasar'!C9,
IF(C23&gt;=73.5,'Kompetensi Dasar'!D9,
IF(C23&gt;=59.5,'Kompetensi Dasar'!E9,'Kompetensi Dasar'!F9
)))</f>
        <v>Siswa sangat mampu memahami hak dan kewajiban sebagai warga dalam kehidupan sehari-hari di rumah, sekolah
dan masyarakat</v>
      </c>
      <c r="F23" s="142">
        <f>VLOOKUP(D4,'Master Grade'!D18:Z42,5,FALSE)</f>
        <v>90</v>
      </c>
      <c r="G23" s="43" t="str">
        <f t="shared" ref="G23:G29" si="0">IF(F23&gt;=87.5,"A",IF(F23&gt;=73.5,"B",IF(F23&gt;=59.5,"C","D")))</f>
        <v>A</v>
      </c>
      <c r="H23" s="44" t="str">
        <f>IF(F23&gt;=87.5,'Kompetensi Dasar'!G9,
IF(F23&gt;=73.5,'Kompetensi Dasar'!H9,
IF(F23&gt;=59.5,'Kompetensi Dasar'!I9,'Kompetensi Dasar'!J9
)))</f>
        <v>Siswa sangat mampu mengelompokkan kesamaan identitas suku bangsa (pakaian tradisional, bahasa, rumah adat,
makanan khas, dan upacara adat), sosial ekonomi (jenis pekerjaan orang tua) di lingkungan rumah, sekolah dan masyarakat sekitar</v>
      </c>
    </row>
    <row r="24" spans="1:8" ht="226.5" customHeight="1" x14ac:dyDescent="0.25">
      <c r="A24" s="43">
        <v>3</v>
      </c>
      <c r="B24" s="44" t="str">
        <f>'Master Subject'!H10</f>
        <v>Bahasa Indonesia</v>
      </c>
      <c r="C24" s="43">
        <f>VLOOKUP(D4,'Master Grade'!D18:Z42,6,FALSE)</f>
        <v>90</v>
      </c>
      <c r="D24" s="43" t="str">
        <f t="shared" ref="D24:D29" si="1">IF(C24&gt;=87.5,"A",IF(C24&gt;=73.5,"B",IF(C24&gt;=59.5,"C","D")))</f>
        <v>A</v>
      </c>
      <c r="E24" s="44" t="str">
        <f>IF(C24&gt;=87.5,'Kompetensi Dasar'!C10,
IF(C24&gt;=73.5,'Kompetensi Dasar'!D10,
IF(C24&gt;=59.5,'Kompetensi Dasar'!E10,'Kompetensi Dasar'!F10
)))</f>
        <v xml:space="preserve">Siswa sangat mampu menggali informasi dari teks cerita petualangan tentang lingkungan dan sumber daya alam dengan bantuan guru dan teman dalam bahasa Indonesia lisan dan tulis dengan memilih dan memilah kosakata baku
</v>
      </c>
      <c r="F24" s="142">
        <f>VLOOKUP(D4,'Master Grade'!D18:Z42,7,FALSE)</f>
        <v>90</v>
      </c>
      <c r="G24" s="43" t="str">
        <f t="shared" si="0"/>
        <v>A</v>
      </c>
      <c r="H24" s="44" t="str">
        <f>IF(F24&gt;=87.5,'Kompetensi Dasar'!G10,
IF(F24&gt;=73.5,'Kompetensi Dasar'!H10,
IF(F24&gt;=59.5,'Kompetensi Dasar'!I10,'Kompetensi Dasar'!J10
)))</f>
        <v>Siswa sangat mampu menguraikan teks instruksi tentang pemeliharaan pancaindera serta penggunaan alat teknologi modern dan tradisional dengan bantuan guru dan teman dalam bahasa Indonesia lisan dan tulis dengan memilih dan memilah kosakata baku</v>
      </c>
    </row>
    <row r="25" spans="1:8" ht="308.25" customHeight="1" x14ac:dyDescent="0.25">
      <c r="A25" s="43">
        <v>4</v>
      </c>
      <c r="B25" s="44" t="str">
        <f>'Master Subject'!H11</f>
        <v>Matematika</v>
      </c>
      <c r="C25" s="43">
        <f>VLOOKUP(D4,'Master Grade'!D18:Z42,8,FALSE)</f>
        <v>90</v>
      </c>
      <c r="D25" s="43" t="str">
        <f t="shared" si="1"/>
        <v>A</v>
      </c>
      <c r="E25" s="44" t="str">
        <f>IF(C25&gt;=87.5,'Kompetensi Dasar'!C11,
IF(C25&gt;=73.5,'Kompetensi Dasar'!D11,
IF(C25&gt;=59.5,'Kompetensi Dasar'!E11,'Kompetensi Dasar'!F11
)))</f>
        <v xml:space="preserve">Siswa sangat mampu mengenal konsep pecahan; memahami dan menentukan operasi hitung bilangan cacah, kelipatan persekutuan terkecil (KPK), faktor persekutuan terbesar (FPB), pembulatan dan penaksiran pada operasi hitung. </v>
      </c>
      <c r="F25" s="142">
        <f>VLOOKUP(D4,'Master Grade'!D18:Z42,9,FALSE)</f>
        <v>90</v>
      </c>
      <c r="G25" s="43" t="str">
        <f t="shared" si="0"/>
        <v>A</v>
      </c>
      <c r="H25" s="44" t="str">
        <f>IF(F25&gt;=87.5,'Kompetensi Dasar'!G11,
IF(F25&gt;=73.5,'Kompetensi Dasar'!H11,
IF(F25&gt;=59.5,'Kompetensi Dasar'!I11,'Kompetensi Dasar'!J11
)))</f>
        <v xml:space="preserve">Siswa sangat mampu menyajikan hasil pecahan dalam bentuk gambar, menyatakan kalimat matematika dan memecahkan masalah dengan efektif permasalahan yang berkaitan dengan KPK dan FPB serta pengukuran panjang atau berat berdasarkan pembulatan yang disajikan dalam bentuk tabel sederhana </v>
      </c>
    </row>
    <row r="26" spans="1:8" ht="180.75" customHeight="1" x14ac:dyDescent="0.25">
      <c r="A26" s="43">
        <v>5</v>
      </c>
      <c r="B26" s="44" t="str">
        <f>'Master Subject'!H12</f>
        <v>Ilmu Pengetahuan Alam</v>
      </c>
      <c r="C26" s="43">
        <f>VLOOKUP(D4,'Master Grade'!D18:Z42,10,FALSE)</f>
        <v>90</v>
      </c>
      <c r="D26" s="43" t="str">
        <f t="shared" si="1"/>
        <v>A</v>
      </c>
      <c r="E26" s="44" t="str">
        <f>IF(C26&gt;=87.5,'Kompetensi Dasar'!C12,
IF(C26&gt;=73.5,'Kompetensi Dasar'!D12,
IF(C26&gt;=59.5,'Kompetensi Dasar'!E12,'Kompetensi Dasar'!F12
)))</f>
        <v>Siswa sangat mampu memahami daur hidup beberapa jenis makhluk hidup, hubungan antara gaya, gerak dan energi melalui pengamatan, serta mendeskripsikan penerapanya dalam kehidupan sehari-hari.</v>
      </c>
      <c r="F26" s="142">
        <f>VLOOKUP(D4,'Master Grade'!D18:Z42,11,FALSE)</f>
        <v>90</v>
      </c>
      <c r="G26" s="43" t="str">
        <f t="shared" si="0"/>
        <v>A</v>
      </c>
      <c r="H26" s="44" t="str">
        <f>IF(F26&gt;=87.5,'Kompetensi Dasar'!G12,
IF(F26&gt;=73.5,'Kompetensi Dasar'!H12,
IF(F26&gt;=59.5,'Kompetensi Dasar'!I12,'Kompetensi Dasar'!J12
)))</f>
        <v>Siswa sangat mampu menyajikan secara tertulis hasil pengamatan daur hidup tumbuhan dan laporan hasil percobaan gaya dan gerak menggunakan table.</v>
      </c>
    </row>
    <row r="27" spans="1:8" ht="211.5" customHeight="1" x14ac:dyDescent="0.25">
      <c r="A27" s="43">
        <v>6</v>
      </c>
      <c r="B27" s="44" t="str">
        <f>'Master Subject'!H13</f>
        <v>Ilmu Pengetahuan Sosial</v>
      </c>
      <c r="C27" s="43">
        <f>VLOOKUP(D4,'Master Grade'!D18:Z42,12,FALSE)</f>
        <v>90</v>
      </c>
      <c r="D27" s="43" t="str">
        <f t="shared" si="1"/>
        <v>A</v>
      </c>
      <c r="E27" s="44" t="str">
        <f>IF(C27&gt;=87.5,'Kompetensi Dasar'!C13,
IF(C27&gt;=73.5,'Kompetensi Dasar'!D13,
IF(C27&gt;=59.5,'Kompetensi Dasar'!E13,'Kompetensi Dasar'!F13
)))</f>
        <v>Siswa sangat mampu mengidentifikasi karakteristik ruang dan pemanfaatan sumber daya alam untuk kesejahteraan masyarakat dari tingkat kota/kabupaten sampai tingkat provinsi</v>
      </c>
      <c r="F27" s="142">
        <f>VLOOKUP(D4,'Master Grade'!D18:Z42,13,FALSE)</f>
        <v>90</v>
      </c>
      <c r="G27" s="43" t="str">
        <f t="shared" si="0"/>
        <v>A</v>
      </c>
      <c r="H27" s="44" t="str">
        <f>IF(F27&gt;=87.5,'Kompetensi Dasar'!G13,
IF(F27&gt;=73.5,'Kompetensi Dasar'!H13,
IF(F27&gt;=59.5,'Kompetensi Dasar'!I13,'Kompetensi Dasar'!J13
)))</f>
        <v>Siswa sangat mampu menyajikan hasil identifikasi mengenai keragaman sosial, ekonomi, budaya, etnis, dan agama di provinsi setempat sebagai identitas banga Indonesia; serta hubungannya dengan karakteristik ruang</v>
      </c>
    </row>
    <row r="28" spans="1:8" ht="159.75" customHeight="1" x14ac:dyDescent="0.25">
      <c r="A28" s="43">
        <v>7</v>
      </c>
      <c r="B28" s="44" t="str">
        <f>'Master Subject'!H14</f>
        <v>Seni Budaya dan Prakarya</v>
      </c>
      <c r="C28" s="43">
        <f>VLOOKUP(D4,'Master Grade'!D18:Z42,14,FALSE)</f>
        <v>90</v>
      </c>
      <c r="D28" s="43" t="str">
        <f t="shared" si="1"/>
        <v>A</v>
      </c>
      <c r="E28" s="44" t="str">
        <f>IF(C28&gt;=87.5,'Kompetensi Dasar'!C14,
IF(C28&gt;=73.5,'Kompetensi Dasar'!D14,
IF(C28&gt;=59.5,'Kompetensi Dasar'!E14,'Kompetensi Dasar'!F14
)))</f>
        <v>Siswa sangat mampu mengenal gambar alam benda, dan kolase</v>
      </c>
      <c r="F28" s="142">
        <f>VLOOKUP(D4,'Master Grade'!D18:Z42,15,FALSE)</f>
        <v>90</v>
      </c>
      <c r="G28" s="43" t="str">
        <f t="shared" si="0"/>
        <v>A</v>
      </c>
      <c r="H28" s="44" t="str">
        <f>IF(F28&gt;=87.5,'Kompetensi Dasar'!G14,
IF(F28&gt;=73.5,'Kompetensi Dasar'!H14,
IF(F28&gt;=59.5,'Kompetensi Dasar'!I14,'Kompetensi Dasar'!J14
)))</f>
        <v>Siswa sangat mampu menggambar model benda kesukaan berdasarkan pengamatan langsung</v>
      </c>
    </row>
    <row r="29" spans="1:8" ht="191.25" customHeight="1" x14ac:dyDescent="0.25">
      <c r="A29" s="43">
        <v>8</v>
      </c>
      <c r="B29" s="44" t="str">
        <f>'Master Subject'!H15</f>
        <v>Pendidikan Jasmani, Olahraga dan Kesehatan</v>
      </c>
      <c r="C29" s="142">
        <f>VLOOKUP(D4,'Master Grade'!D18:Z42,16,FALSE)</f>
        <v>90</v>
      </c>
      <c r="D29" s="43" t="str">
        <f>IF(C29&gt;=87.5,"A",IF(C29&gt;=73.5,"B",IF(C29&gt;=59.5,"C","D")))</f>
        <v>A</v>
      </c>
      <c r="E29" s="44" t="str">
        <f>IF(C29&gt;=87.5,'Kompetensi Dasar'!C15,
IF(C29&gt;=73.5,'Kompetensi Dasar'!D15,
IF(C29&gt;=59.5,'Kompetensi Dasar'!E15,'Kompetensi Dasar'!F15
)))</f>
        <v>Siswa sangat mampu memahami pengaruh aktivitas fisik dan istirahat terhadap pertumbuhan dan perkembangan tubuh</v>
      </c>
      <c r="F29" s="142">
        <f>VLOOKUP(D4,'Master Grade'!D18:Z42,17,FALSE)</f>
        <v>90</v>
      </c>
      <c r="G29" s="43" t="str">
        <f>IF(F29&gt;=87.5,"A",IF(F29&gt;=73.5,"B",IF(F29&gt;=59.5,"C","D")))</f>
        <v>A</v>
      </c>
      <c r="H29" s="44" t="str">
        <f>IF(F29&gt;=87.5,'Kompetensi Dasar'!G15,
IF(F29&gt;=73.5,'Kompetensi Dasar'!H15,
IF(F29&gt;=59.5,'Kompetensi Dasar'!I15,'Kompetensi Dasar'!J15
)))</f>
        <v>Siswa sangat mampu mempraktikkan kombinasi gerak dasar untuk membentuk gerakan dasar atletik jalan dan lari yang dilandasi konsep gerak melalui permainan dan atau tradisional</v>
      </c>
    </row>
    <row r="30" spans="1:8" x14ac:dyDescent="0.25">
      <c r="A30" s="126" t="s">
        <v>17</v>
      </c>
      <c r="B30" s="118" t="s">
        <v>61</v>
      </c>
      <c r="C30" s="119"/>
      <c r="D30" s="119"/>
      <c r="E30" s="119"/>
      <c r="F30" s="119"/>
      <c r="G30" s="119"/>
      <c r="H30" s="120"/>
    </row>
    <row r="31" spans="1:8" ht="15.75" customHeight="1" x14ac:dyDescent="0.25">
      <c r="A31" s="127"/>
      <c r="B31" s="121" t="s">
        <v>18</v>
      </c>
      <c r="C31" s="122" t="s">
        <v>19</v>
      </c>
      <c r="D31" s="122"/>
      <c r="E31" s="122"/>
      <c r="F31" s="123" t="s">
        <v>20</v>
      </c>
      <c r="G31" s="124"/>
      <c r="H31" s="125"/>
    </row>
    <row r="32" spans="1:8" x14ac:dyDescent="0.25">
      <c r="A32" s="128"/>
      <c r="B32" s="121"/>
      <c r="C32" s="42" t="s">
        <v>21</v>
      </c>
      <c r="D32" s="42" t="s">
        <v>22</v>
      </c>
      <c r="E32" s="42" t="s">
        <v>23</v>
      </c>
      <c r="F32" s="42" t="s">
        <v>21</v>
      </c>
      <c r="G32" s="42" t="s">
        <v>22</v>
      </c>
      <c r="H32" s="42" t="s">
        <v>23</v>
      </c>
    </row>
    <row r="33" spans="1:8" ht="133.5" customHeight="1" x14ac:dyDescent="0.25">
      <c r="A33" s="45">
        <v>9</v>
      </c>
      <c r="B33" s="46" t="str">
        <f>'Master Subject'!H16</f>
        <v>Bahasa Mandarin</v>
      </c>
      <c r="C33" s="143">
        <f>VLOOKUP(D4,'Master Grade'!D18:Z42,18,FALSE)</f>
        <v>90</v>
      </c>
      <c r="D33" s="43" t="str">
        <f>IF(C33&gt;=87.5,"A",IF(C33&gt;=73.5,"B",IF(C33&gt;=59.5,"C","D")))</f>
        <v>A</v>
      </c>
      <c r="E33" s="44" t="str">
        <f>IF(C33&gt;=87.5,'Kompetensi Dasar'!C16,
IF(C33&gt;=73.5,'Kompetensi Dasar'!D16,
IF(C33&gt;=59.5,'Kompetensi Dasar'!E16,'Kompetensi Dasar'!F16
)))</f>
        <v>Siswa sangat mampu memahami cara membaca teks dan menemukan kosakata yang ada di dalamnya</v>
      </c>
      <c r="F33" s="143">
        <f>VLOOKUP(D4,'Master Grade'!D18:Z42,19,FALSE)</f>
        <v>90</v>
      </c>
      <c r="G33" s="43" t="str">
        <f>IF(F33&gt;=87.5,"A",IF(F33&gt;=73.5,"B",IF(F33&gt;=59.5,"C","D")))</f>
        <v>A</v>
      </c>
      <c r="H33" s="44" t="str">
        <f>IF(F33&gt;=87.5,'Kompetensi Dasar'!G16,
IF(F33&gt;=73.5,'Kompetensi Dasar'!H16,
IF(F33&gt;=59.5,'Kompetensi Dasar'!I16,'Kompetensi Dasar'!J16
)))</f>
        <v>Siswa sangat mampu menerangkan arti kosakata yang ada dalam teks bacaan untuk membantu dalam penyajian</v>
      </c>
    </row>
    <row r="34" spans="1:8" ht="155.25" customHeight="1" x14ac:dyDescent="0.25">
      <c r="A34" s="43">
        <v>10</v>
      </c>
      <c r="B34" s="44" t="str">
        <f>'Master Subject'!H17</f>
        <v>Bahasa Inggris</v>
      </c>
      <c r="C34" s="43">
        <f>VLOOKUP(D4,'Master Grade'!D18:Z42,20,FALSE)</f>
        <v>90</v>
      </c>
      <c r="D34" s="43" t="str">
        <f t="shared" ref="D34:D35" si="2">IF(C34&gt;=87.5,"A",IF(C34&gt;=73.5,"B",IF(C34&gt;=59.5,"C","D")))</f>
        <v>A</v>
      </c>
      <c r="E34" s="44" t="str">
        <f>IF(C34&gt;=87.5,'Kompetensi Dasar'!C17,
IF(C34&gt;=73.5,'Kompetensi Dasar'!D17,
IF(C34&gt;=59.5,'Kompetensi Dasar'!E17,'Kompetensi Dasar'!F17
)))</f>
        <v>Siswa sangat mampu memahami penggunaan struktur bahasa yang benar dalam “Present Progressive”, serta bentuk dasar dan bentuk lampau.</v>
      </c>
      <c r="F34" s="43">
        <f>VLOOKUP(D4,'Master Grade'!D18:Z42,21,FALSE)</f>
        <v>90</v>
      </c>
      <c r="G34" s="43" t="str">
        <f t="shared" ref="G34:G35" si="3">IF(F34&gt;=87.5,"A",IF(F34&gt;=73.5,"B",IF(F34&gt;=59.5,"C","D")))</f>
        <v>A</v>
      </c>
      <c r="H34" s="44" t="str">
        <f>IF(F34&gt;=87.5,'Kompetensi Dasar'!G17,
IF(F34&gt;=73.5,'Kompetensi Dasar'!H17,
IF(F34&gt;=59.5,'Kompetensi Dasar'!I17,'Kompetensi Dasar'!J17
)))</f>
        <v>Siswa sangat mampu mengungkapkan permintaan dan saran-saram dengan baik dan benar dalam rangkaian kata yang majemuk untuk membantu penyajian.</v>
      </c>
    </row>
    <row r="35" spans="1:8" ht="185.25" customHeight="1" x14ac:dyDescent="0.25">
      <c r="A35" s="43">
        <v>11</v>
      </c>
      <c r="B35" s="44" t="str">
        <f>'Master Subject'!H18</f>
        <v>Komputer</v>
      </c>
      <c r="C35" s="142">
        <f>VLOOKUP(D4,'Master Grade'!D18:Z42,22,FALSE)</f>
        <v>90</v>
      </c>
      <c r="D35" s="43" t="str">
        <f t="shared" si="2"/>
        <v>A</v>
      </c>
      <c r="E35" s="44" t="str">
        <f>IF(C35&gt;=87.5,'Kompetensi Dasar'!C18,
IF(C35&gt;=73.5,'Kompetensi Dasar'!D18,
IF(C35&gt;=59.5,'Kompetensi Dasar'!E18,'Kompetensi Dasar'!F18
)))</f>
        <v xml:space="preserve">Siswa sangat mampu memahami teknik vanishing point effects dan packaging design yang ada pada program aplikasi adobe photoshop </v>
      </c>
      <c r="F35" s="142">
        <f>VLOOKUP(D4,'Master Grade'!D18:Z42,23,FALSE)</f>
        <v>90</v>
      </c>
      <c r="G35" s="43" t="str">
        <f t="shared" si="3"/>
        <v>A</v>
      </c>
      <c r="H35" s="44" t="str">
        <f>IF(F35&gt;=87.5,'Kompetensi Dasar'!G18,
IF(F35&gt;=73.5,'Kompetensi Dasar'!H18,
IF(F35&gt;=59.5,'Kompetensi Dasar'!I18,'Kompetensi Dasar'!J18
)))</f>
        <v>Siswa sangat mampu mengaplikasikan teknik vanishing point dan packaging design pada objek yang dibuat di aplikasi adobe photoshop</v>
      </c>
    </row>
    <row r="36" spans="1:8" x14ac:dyDescent="0.25">
      <c r="A36" s="31"/>
      <c r="B36" s="31"/>
      <c r="C36" s="31"/>
      <c r="D36" s="31"/>
      <c r="E36" s="31"/>
      <c r="F36" s="31"/>
      <c r="G36" s="31"/>
      <c r="H36" s="31"/>
    </row>
    <row r="37" spans="1:8" x14ac:dyDescent="0.25">
      <c r="A37" s="31"/>
      <c r="B37" s="31"/>
      <c r="C37" s="31"/>
      <c r="D37" s="31"/>
      <c r="E37" s="31"/>
      <c r="F37" s="31"/>
      <c r="G37" s="31"/>
      <c r="H37" s="31"/>
    </row>
    <row r="38" spans="1:8" x14ac:dyDescent="0.25">
      <c r="A38" s="31"/>
      <c r="B38" s="31"/>
      <c r="C38" s="31"/>
      <c r="D38" s="31"/>
      <c r="E38" s="31"/>
      <c r="F38" s="31"/>
      <c r="G38" s="31"/>
      <c r="H38" s="31"/>
    </row>
    <row r="39" spans="1:8" x14ac:dyDescent="0.25">
      <c r="A39" s="36" t="s">
        <v>69</v>
      </c>
      <c r="B39" s="36" t="s">
        <v>125</v>
      </c>
      <c r="C39" s="32"/>
      <c r="D39" s="35"/>
      <c r="E39" s="35"/>
      <c r="F39" s="33"/>
      <c r="G39" s="33"/>
      <c r="H39" s="31"/>
    </row>
    <row r="40" spans="1:8" x14ac:dyDescent="0.25">
      <c r="A40" s="36"/>
      <c r="B40" s="36"/>
      <c r="C40" s="32"/>
      <c r="D40" s="35"/>
      <c r="E40" s="35"/>
      <c r="F40" s="33"/>
      <c r="G40" s="33"/>
      <c r="H40" s="31"/>
    </row>
    <row r="41" spans="1:8" x14ac:dyDescent="0.25">
      <c r="A41" s="68" t="s">
        <v>17</v>
      </c>
      <c r="B41" s="109" t="s">
        <v>126</v>
      </c>
      <c r="C41" s="109"/>
      <c r="D41" s="109"/>
      <c r="E41" s="109" t="s">
        <v>68</v>
      </c>
      <c r="F41" s="109"/>
      <c r="G41" s="109"/>
      <c r="H41" s="109"/>
    </row>
    <row r="42" spans="1:8" ht="15.75" customHeight="1" x14ac:dyDescent="0.25">
      <c r="A42" s="47">
        <v>1</v>
      </c>
      <c r="B42" s="110">
        <f>VLOOKUP(D4,'Master Grade'!D18:AR42,26,FALSE)</f>
        <v>0</v>
      </c>
      <c r="C42" s="110"/>
      <c r="D42" s="110"/>
      <c r="E42" s="110">
        <f>VLOOKUP(D4,'Master Grade'!D18:AR42,27,FALSE)</f>
        <v>0</v>
      </c>
      <c r="F42" s="110"/>
      <c r="G42" s="110"/>
      <c r="H42" s="110"/>
    </row>
    <row r="43" spans="1:8" ht="15.75" customHeight="1" x14ac:dyDescent="0.25">
      <c r="A43" s="47">
        <v>2</v>
      </c>
      <c r="B43" s="110">
        <f>VLOOKUP(D4,'Master Grade'!D18:AR42,28,FALSE)</f>
        <v>0</v>
      </c>
      <c r="C43" s="110"/>
      <c r="D43" s="110"/>
      <c r="E43" s="110">
        <f>VLOOKUP(D4,'Master Grade'!D18:AR42,29,FALSE)</f>
        <v>0</v>
      </c>
      <c r="F43" s="110"/>
      <c r="G43" s="110"/>
      <c r="H43" s="110"/>
    </row>
    <row r="44" spans="1:8" x14ac:dyDescent="0.25">
      <c r="A44" s="31"/>
      <c r="B44" s="31"/>
      <c r="C44" s="31"/>
      <c r="D44" s="31"/>
      <c r="E44" s="31"/>
      <c r="F44" s="31"/>
      <c r="G44" s="31"/>
      <c r="H44" s="31"/>
    </row>
    <row r="45" spans="1:8" x14ac:dyDescent="0.25">
      <c r="A45" s="31"/>
      <c r="B45" s="31"/>
      <c r="C45" s="31"/>
      <c r="D45" s="31"/>
      <c r="E45" s="31"/>
      <c r="F45" s="31"/>
      <c r="G45" s="31"/>
      <c r="H45" s="31"/>
    </row>
    <row r="46" spans="1:8" x14ac:dyDescent="0.25">
      <c r="A46" s="36" t="s">
        <v>70</v>
      </c>
      <c r="B46" s="36" t="s">
        <v>87</v>
      </c>
      <c r="C46" s="32"/>
      <c r="D46" s="35"/>
      <c r="E46" s="35"/>
      <c r="F46" s="33"/>
      <c r="G46" s="33"/>
      <c r="H46" s="31"/>
    </row>
    <row r="47" spans="1:8" x14ac:dyDescent="0.25">
      <c r="A47" s="36"/>
      <c r="B47" s="36"/>
      <c r="C47" s="32"/>
      <c r="D47" s="35"/>
      <c r="E47" s="35"/>
      <c r="F47" s="33"/>
      <c r="G47" s="33"/>
      <c r="H47" s="31"/>
    </row>
    <row r="48" spans="1:8" ht="18" customHeight="1" x14ac:dyDescent="0.25">
      <c r="A48" s="112">
        <f>VLOOKUP(D4,'Master Grade'!D18:AR42,30,FALSE)</f>
        <v>0</v>
      </c>
      <c r="B48" s="113"/>
      <c r="C48" s="113"/>
      <c r="D48" s="113"/>
      <c r="E48" s="113"/>
      <c r="F48" s="113"/>
      <c r="G48" s="113"/>
      <c r="H48" s="114"/>
    </row>
    <row r="49" spans="1:8" ht="18" customHeight="1" x14ac:dyDescent="0.25">
      <c r="A49" s="115"/>
      <c r="B49" s="116"/>
      <c r="C49" s="116"/>
      <c r="D49" s="116"/>
      <c r="E49" s="116"/>
      <c r="F49" s="116"/>
      <c r="G49" s="116"/>
      <c r="H49" s="117"/>
    </row>
    <row r="50" spans="1:8" x14ac:dyDescent="0.25">
      <c r="A50" s="31"/>
      <c r="B50" s="31"/>
      <c r="C50" s="31"/>
      <c r="D50" s="31"/>
      <c r="E50" s="31"/>
      <c r="F50" s="31"/>
      <c r="G50" s="31"/>
      <c r="H50" s="31"/>
    </row>
    <row r="51" spans="1:8" x14ac:dyDescent="0.25">
      <c r="A51" s="31"/>
      <c r="B51" s="31"/>
      <c r="C51" s="31"/>
      <c r="D51" s="31"/>
      <c r="E51" s="31"/>
      <c r="F51" s="31"/>
      <c r="G51" s="31"/>
      <c r="H51" s="31"/>
    </row>
    <row r="52" spans="1:8" x14ac:dyDescent="0.25">
      <c r="A52" s="36" t="s">
        <v>92</v>
      </c>
      <c r="B52" s="36" t="s">
        <v>88</v>
      </c>
      <c r="C52" s="32"/>
      <c r="D52" s="35"/>
      <c r="E52" s="35"/>
      <c r="F52" s="33"/>
      <c r="G52" s="33"/>
      <c r="H52" s="31"/>
    </row>
    <row r="53" spans="1:8" x14ac:dyDescent="0.25">
      <c r="A53" s="36"/>
      <c r="B53" s="36"/>
      <c r="C53" s="32"/>
      <c r="D53" s="35"/>
      <c r="E53" s="35"/>
      <c r="F53" s="33"/>
      <c r="G53" s="33"/>
      <c r="H53" s="31"/>
    </row>
    <row r="54" spans="1:8" x14ac:dyDescent="0.25">
      <c r="A54" s="48" t="s">
        <v>17</v>
      </c>
      <c r="B54" s="109" t="s">
        <v>71</v>
      </c>
      <c r="C54" s="109"/>
      <c r="D54" s="109"/>
      <c r="E54" s="109" t="s">
        <v>68</v>
      </c>
      <c r="F54" s="109"/>
      <c r="G54" s="109"/>
      <c r="H54" s="109"/>
    </row>
    <row r="55" spans="1:8" x14ac:dyDescent="0.25">
      <c r="A55" s="47">
        <v>1</v>
      </c>
      <c r="B55" s="110" t="s">
        <v>72</v>
      </c>
      <c r="C55" s="110"/>
      <c r="D55" s="110"/>
      <c r="E55" s="111" t="str">
        <f>VLOOKUP(D4,'Master Grade'!D18:AR42,31,FALSE) &amp;" " &amp; "Kg"</f>
        <v xml:space="preserve"> Kg</v>
      </c>
      <c r="F55" s="111"/>
      <c r="G55" s="111"/>
      <c r="H55" s="111"/>
    </row>
    <row r="56" spans="1:8" x14ac:dyDescent="0.25">
      <c r="A56" s="47">
        <v>2</v>
      </c>
      <c r="B56" s="110" t="s">
        <v>73</v>
      </c>
      <c r="C56" s="110"/>
      <c r="D56" s="110"/>
      <c r="E56" s="111" t="str">
        <f>VLOOKUP(D4,'Master Grade'!D18:AR42,32,FALSE)&amp; " " &amp; "Cm"</f>
        <v xml:space="preserve"> Cm</v>
      </c>
      <c r="F56" s="111"/>
      <c r="G56" s="111"/>
      <c r="H56" s="111"/>
    </row>
    <row r="57" spans="1:8" x14ac:dyDescent="0.25">
      <c r="A57" s="31"/>
      <c r="B57" s="31"/>
      <c r="C57" s="31"/>
      <c r="D57" s="31"/>
      <c r="E57" s="31"/>
      <c r="F57" s="31"/>
      <c r="G57" s="31"/>
      <c r="H57" s="31"/>
    </row>
    <row r="58" spans="1:8" x14ac:dyDescent="0.25">
      <c r="A58" s="31"/>
      <c r="B58" s="31"/>
      <c r="C58" s="31"/>
      <c r="D58" s="31"/>
      <c r="E58" s="31"/>
      <c r="F58" s="31"/>
      <c r="G58" s="31"/>
      <c r="H58" s="31"/>
    </row>
    <row r="59" spans="1:8" x14ac:dyDescent="0.25">
      <c r="A59" s="36" t="s">
        <v>91</v>
      </c>
      <c r="B59" s="36" t="s">
        <v>90</v>
      </c>
      <c r="C59" s="32"/>
      <c r="D59" s="35"/>
      <c r="E59" s="35"/>
      <c r="F59" s="33"/>
      <c r="G59" s="33"/>
      <c r="H59" s="31"/>
    </row>
    <row r="60" spans="1:8" x14ac:dyDescent="0.25">
      <c r="A60" s="36"/>
      <c r="B60" s="36"/>
      <c r="C60" s="32"/>
      <c r="D60" s="35"/>
      <c r="E60" s="35"/>
      <c r="F60" s="33"/>
      <c r="G60" s="33"/>
      <c r="H60" s="31"/>
    </row>
    <row r="61" spans="1:8" x14ac:dyDescent="0.25">
      <c r="A61" s="49" t="s">
        <v>17</v>
      </c>
      <c r="B61" s="109" t="s">
        <v>95</v>
      </c>
      <c r="C61" s="109"/>
      <c r="D61" s="109"/>
      <c r="E61" s="109" t="s">
        <v>68</v>
      </c>
      <c r="F61" s="109"/>
      <c r="G61" s="109"/>
      <c r="H61" s="109"/>
    </row>
    <row r="62" spans="1:8" x14ac:dyDescent="0.25">
      <c r="A62" s="47">
        <v>1</v>
      </c>
      <c r="B62" s="110" t="s">
        <v>74</v>
      </c>
      <c r="C62" s="110"/>
      <c r="D62" s="110"/>
      <c r="E62" s="110">
        <f>VLOOKUP(D4,'Master Grade'!D18:AR42,33,FALSE)</f>
        <v>0</v>
      </c>
      <c r="F62" s="110"/>
      <c r="G62" s="110"/>
      <c r="H62" s="110"/>
    </row>
    <row r="63" spans="1:8" x14ac:dyDescent="0.25">
      <c r="A63" s="47">
        <v>2</v>
      </c>
      <c r="B63" s="110" t="s">
        <v>75</v>
      </c>
      <c r="C63" s="110"/>
      <c r="D63" s="110"/>
      <c r="E63" s="110">
        <f>VLOOKUP(D4,'Master Grade'!D18:AR42,34,FALSE)</f>
        <v>0</v>
      </c>
      <c r="F63" s="110"/>
      <c r="G63" s="110"/>
      <c r="H63" s="110"/>
    </row>
    <row r="64" spans="1:8" x14ac:dyDescent="0.25">
      <c r="A64" s="31"/>
      <c r="B64" s="31"/>
      <c r="C64" s="31"/>
      <c r="D64" s="31"/>
      <c r="E64" s="31"/>
      <c r="F64" s="31"/>
      <c r="G64" s="31"/>
      <c r="H64" s="31"/>
    </row>
    <row r="65" spans="1:8" x14ac:dyDescent="0.25">
      <c r="A65" s="31"/>
      <c r="B65" s="31"/>
      <c r="C65" s="31"/>
      <c r="D65" s="31"/>
      <c r="E65" s="31"/>
      <c r="F65" s="31"/>
      <c r="G65" s="31"/>
      <c r="H65" s="31"/>
    </row>
    <row r="66" spans="1:8" x14ac:dyDescent="0.25">
      <c r="A66" s="36" t="s">
        <v>93</v>
      </c>
      <c r="B66" s="36" t="s">
        <v>76</v>
      </c>
      <c r="C66" s="32"/>
      <c r="D66" s="35"/>
      <c r="E66" s="35"/>
      <c r="F66" s="33"/>
      <c r="G66" s="33"/>
      <c r="H66" s="31"/>
    </row>
    <row r="67" spans="1:8" x14ac:dyDescent="0.25">
      <c r="A67" s="36"/>
      <c r="B67" s="36"/>
      <c r="C67" s="32"/>
      <c r="D67" s="35"/>
      <c r="E67" s="35"/>
      <c r="F67" s="33"/>
      <c r="G67" s="33"/>
      <c r="H67" s="31"/>
    </row>
    <row r="68" spans="1:8" x14ac:dyDescent="0.25">
      <c r="A68" s="49" t="s">
        <v>17</v>
      </c>
      <c r="B68" s="109" t="s">
        <v>96</v>
      </c>
      <c r="C68" s="109"/>
      <c r="D68" s="109"/>
      <c r="E68" s="109" t="s">
        <v>68</v>
      </c>
      <c r="F68" s="109"/>
      <c r="G68" s="109"/>
      <c r="H68" s="109"/>
    </row>
    <row r="69" spans="1:8" x14ac:dyDescent="0.25">
      <c r="A69" s="47">
        <v>1</v>
      </c>
      <c r="B69" s="110">
        <f>VLOOKUP(D4,'Master Grade'!D18:AR42,35,FALSE)</f>
        <v>0</v>
      </c>
      <c r="C69" s="110"/>
      <c r="D69" s="110"/>
      <c r="E69" s="110">
        <f>VLOOKUP(D4,'Master Grade'!D18:AR42,36,FALSE)</f>
        <v>0</v>
      </c>
      <c r="F69" s="110"/>
      <c r="G69" s="110"/>
      <c r="H69" s="110"/>
    </row>
    <row r="70" spans="1:8" x14ac:dyDescent="0.25">
      <c r="A70" s="47">
        <v>2</v>
      </c>
      <c r="B70" s="110">
        <f>VLOOKUP(D4,'Master Grade'!D18:AR42,37,FALSE)</f>
        <v>0</v>
      </c>
      <c r="C70" s="110"/>
      <c r="D70" s="110"/>
      <c r="E70" s="110">
        <f>VLOOKUP(D4,'Master Grade'!D18:AR42,38,FALSE)</f>
        <v>0</v>
      </c>
      <c r="F70" s="110"/>
      <c r="G70" s="110"/>
      <c r="H70" s="110"/>
    </row>
    <row r="71" spans="1:8" x14ac:dyDescent="0.25">
      <c r="A71" s="31"/>
      <c r="B71" s="31"/>
      <c r="C71" s="31"/>
      <c r="D71" s="31"/>
      <c r="E71" s="31"/>
      <c r="F71" s="31"/>
      <c r="G71" s="31"/>
      <c r="H71" s="31"/>
    </row>
    <row r="72" spans="1:8" x14ac:dyDescent="0.25">
      <c r="A72" s="31"/>
      <c r="B72" s="31"/>
      <c r="C72" s="31"/>
      <c r="D72" s="31"/>
      <c r="E72" s="31"/>
      <c r="F72" s="31"/>
      <c r="G72" s="31"/>
      <c r="H72" s="31"/>
    </row>
    <row r="73" spans="1:8" x14ac:dyDescent="0.25">
      <c r="A73" s="31"/>
      <c r="B73" s="31"/>
      <c r="C73" s="31"/>
      <c r="D73" s="31"/>
      <c r="E73" s="31"/>
      <c r="F73" s="31"/>
      <c r="G73" s="31"/>
      <c r="H73" s="31"/>
    </row>
    <row r="74" spans="1:8" ht="15.75" x14ac:dyDescent="0.25">
      <c r="A74" s="36" t="s">
        <v>94</v>
      </c>
      <c r="B74" s="36" t="s">
        <v>77</v>
      </c>
      <c r="C74" s="51"/>
      <c r="D74" s="52"/>
      <c r="E74" s="52"/>
      <c r="F74" s="53"/>
      <c r="G74" s="53"/>
    </row>
    <row r="75" spans="1:8" ht="15.75" x14ac:dyDescent="0.25">
      <c r="A75" s="50"/>
      <c r="B75" s="50"/>
      <c r="C75" s="51"/>
      <c r="D75" s="52"/>
      <c r="E75" s="52"/>
      <c r="F75" s="53"/>
      <c r="G75" s="53"/>
    </row>
    <row r="76" spans="1:8" x14ac:dyDescent="0.25">
      <c r="A76" s="105" t="s">
        <v>80</v>
      </c>
      <c r="B76" s="105"/>
      <c r="C76" s="105"/>
      <c r="D76" s="105"/>
      <c r="E76" s="108" t="str">
        <f>VLOOKUP(D4,'Master Grade'!D18:AR42,39,FALSE) &amp; " " &amp; "Hari"</f>
        <v xml:space="preserve"> Hari</v>
      </c>
      <c r="F76" s="108"/>
      <c r="G76" s="108"/>
      <c r="H76" s="108"/>
    </row>
    <row r="77" spans="1:8" x14ac:dyDescent="0.25">
      <c r="A77" s="105" t="s">
        <v>79</v>
      </c>
      <c r="B77" s="105"/>
      <c r="C77" s="105"/>
      <c r="D77" s="105"/>
      <c r="E77" s="108" t="str">
        <f>VLOOKUP(D4,'Master Grade'!D18:AR42,40,FALSE) &amp; " " &amp; "Hari"</f>
        <v xml:space="preserve"> Hari</v>
      </c>
      <c r="F77" s="108"/>
      <c r="G77" s="108"/>
      <c r="H77" s="108"/>
    </row>
    <row r="78" spans="1:8" x14ac:dyDescent="0.25">
      <c r="A78" s="105" t="s">
        <v>78</v>
      </c>
      <c r="B78" s="105"/>
      <c r="C78" s="105"/>
      <c r="D78" s="105"/>
      <c r="E78" s="108" t="str">
        <f>VLOOKUP(D4,'Master Grade'!D18:AR42,41,FALSE) &amp; " " &amp; "Hari"</f>
        <v xml:space="preserve"> Hari</v>
      </c>
      <c r="F78" s="108"/>
      <c r="G78" s="108"/>
      <c r="H78" s="108"/>
    </row>
    <row r="79" spans="1:8" x14ac:dyDescent="0.25">
      <c r="H79" s="58"/>
    </row>
    <row r="81" spans="2:8" x14ac:dyDescent="0.25">
      <c r="G81" s="59" t="s">
        <v>117</v>
      </c>
      <c r="H81" s="60">
        <f>'Master Grade'!D12</f>
        <v>0</v>
      </c>
    </row>
    <row r="82" spans="2:8" ht="6" customHeight="1" x14ac:dyDescent="0.25"/>
    <row r="83" spans="2:8" x14ac:dyDescent="0.25">
      <c r="B83" s="54" t="s">
        <v>81</v>
      </c>
      <c r="C83" s="54"/>
      <c r="D83" s="54"/>
      <c r="E83" s="54" t="s">
        <v>83</v>
      </c>
      <c r="F83" s="54"/>
      <c r="G83" s="107" t="s">
        <v>84</v>
      </c>
      <c r="H83" s="107"/>
    </row>
    <row r="84" spans="2:8" x14ac:dyDescent="0.25">
      <c r="B84" s="54"/>
      <c r="C84" s="54"/>
      <c r="D84" s="54"/>
      <c r="E84" s="54"/>
      <c r="F84" s="54"/>
      <c r="G84" s="54"/>
      <c r="H84" s="54"/>
    </row>
    <row r="85" spans="2:8" x14ac:dyDescent="0.25">
      <c r="B85" s="54"/>
      <c r="C85" s="54"/>
      <c r="D85" s="54"/>
      <c r="E85" s="54"/>
      <c r="F85" s="54"/>
      <c r="G85" s="54"/>
      <c r="H85" s="54"/>
    </row>
    <row r="86" spans="2:8" x14ac:dyDescent="0.25">
      <c r="B86" s="54"/>
      <c r="C86" s="54"/>
      <c r="D86" s="54"/>
      <c r="E86" s="54"/>
      <c r="F86" s="54"/>
      <c r="G86" s="54"/>
      <c r="H86" s="54"/>
    </row>
    <row r="87" spans="2:8" x14ac:dyDescent="0.25">
      <c r="B87" s="54"/>
      <c r="C87" s="54"/>
      <c r="D87" s="54"/>
      <c r="E87" s="54"/>
      <c r="F87" s="54"/>
      <c r="G87" s="54"/>
      <c r="H87" s="54"/>
    </row>
    <row r="88" spans="2:8" x14ac:dyDescent="0.25">
      <c r="B88" s="54" t="s">
        <v>82</v>
      </c>
      <c r="C88" s="54"/>
      <c r="D88" s="54"/>
      <c r="E88" s="55" t="s">
        <v>85</v>
      </c>
      <c r="F88" s="55"/>
      <c r="G88" s="106">
        <f>'Master Grade'!D13</f>
        <v>0</v>
      </c>
      <c r="H88" s="106"/>
    </row>
  </sheetData>
  <sheetProtection selectLockedCells="1"/>
  <dataConsolidate/>
  <mergeCells count="59">
    <mergeCell ref="A20:A21"/>
    <mergeCell ref="B20:B21"/>
    <mergeCell ref="C20:E20"/>
    <mergeCell ref="F20:H20"/>
    <mergeCell ref="F4:G4"/>
    <mergeCell ref="F5:G5"/>
    <mergeCell ref="F6:G6"/>
    <mergeCell ref="A13:H13"/>
    <mergeCell ref="A14:B14"/>
    <mergeCell ref="C14:H14"/>
    <mergeCell ref="A15:B15"/>
    <mergeCell ref="C15:H15"/>
    <mergeCell ref="A2:H2"/>
    <mergeCell ref="A4:B4"/>
    <mergeCell ref="A5:B5"/>
    <mergeCell ref="A6:B6"/>
    <mergeCell ref="A7:B7"/>
    <mergeCell ref="D4:E4"/>
    <mergeCell ref="D5:E5"/>
    <mergeCell ref="D6:E6"/>
    <mergeCell ref="D7:E8"/>
    <mergeCell ref="B30:H30"/>
    <mergeCell ref="B31:B32"/>
    <mergeCell ref="C31:E31"/>
    <mergeCell ref="F31:H31"/>
    <mergeCell ref="A30:A32"/>
    <mergeCell ref="A48:H49"/>
    <mergeCell ref="E41:H41"/>
    <mergeCell ref="B41:D41"/>
    <mergeCell ref="B42:D42"/>
    <mergeCell ref="B43:D43"/>
    <mergeCell ref="E42:H42"/>
    <mergeCell ref="E43:H43"/>
    <mergeCell ref="B54:D54"/>
    <mergeCell ref="E54:H54"/>
    <mergeCell ref="B55:D55"/>
    <mergeCell ref="E55:H55"/>
    <mergeCell ref="B56:D56"/>
    <mergeCell ref="E56:H56"/>
    <mergeCell ref="B61:D61"/>
    <mergeCell ref="E61:H61"/>
    <mergeCell ref="B62:D62"/>
    <mergeCell ref="E62:H62"/>
    <mergeCell ref="B63:D63"/>
    <mergeCell ref="E63:H63"/>
    <mergeCell ref="B68:D68"/>
    <mergeCell ref="E68:H68"/>
    <mergeCell ref="B69:D69"/>
    <mergeCell ref="E69:H69"/>
    <mergeCell ref="B70:D70"/>
    <mergeCell ref="E70:H70"/>
    <mergeCell ref="A78:D78"/>
    <mergeCell ref="G88:H88"/>
    <mergeCell ref="G83:H83"/>
    <mergeCell ref="E76:H76"/>
    <mergeCell ref="E77:H77"/>
    <mergeCell ref="A76:D76"/>
    <mergeCell ref="A77:D77"/>
    <mergeCell ref="E78:H78"/>
  </mergeCells>
  <dataValidations count="1">
    <dataValidation type="list" allowBlank="1" showInputMessage="1" showErrorMessage="1" sqref="D4:E4">
      <formula1>siswa</formula1>
    </dataValidation>
  </dataValidations>
  <pageMargins left="0.20866141699999999" right="0.20866141699999999" top="0.74803149606299202" bottom="0.74803149606299202" header="0.31496062992126" footer="0.31496062992126"/>
  <pageSetup paperSize="9" orientation="portrait" verticalDpi="300" r:id="rId1"/>
  <headerFooter>
    <oddHeader>&amp;C&amp;G</oddHeader>
    <oddFooter>&amp;L&amp;10Nama Siswa/Kelas/Tahun Ajaran&amp;R&amp;P</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errorTitle="Kesalahan!" error="Silahkan pilih siswa dengan dropdown" promptTitle="Choose Student" prompt="Choose Student">
          <x14:formula1>
            <xm:f>'Master Student'!$I$8:$I$29</xm:f>
          </x14:formula1>
          <xm:sqref>D4:E4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D5" sqref="D5"/>
    </sheetView>
  </sheetViews>
  <sheetFormatPr defaultRowHeight="15" x14ac:dyDescent="0.25"/>
  <cols>
    <col min="1" max="1" width="5.42578125" style="70" customWidth="1"/>
    <col min="2" max="2" width="35.85546875" style="70" customWidth="1"/>
    <col min="3" max="10" width="39" style="70" customWidth="1"/>
    <col min="11" max="16384" width="9.140625" style="70"/>
  </cols>
  <sheetData>
    <row r="1" spans="1:10" ht="15.75" x14ac:dyDescent="0.25">
      <c r="A1" s="140" t="s">
        <v>137</v>
      </c>
      <c r="B1" s="140"/>
      <c r="C1" s="140"/>
      <c r="D1" s="140"/>
      <c r="E1" s="140"/>
      <c r="F1" s="140"/>
      <c r="G1" s="140"/>
    </row>
    <row r="2" spans="1:10" ht="15.75" x14ac:dyDescent="0.25">
      <c r="A2" s="141" t="s">
        <v>17</v>
      </c>
      <c r="B2" s="141" t="s">
        <v>138</v>
      </c>
      <c r="C2" s="141" t="s">
        <v>139</v>
      </c>
      <c r="D2" s="141"/>
      <c r="E2" s="141"/>
      <c r="F2" s="141"/>
      <c r="G2" s="141" t="s">
        <v>140</v>
      </c>
      <c r="H2" s="141"/>
      <c r="I2" s="141"/>
      <c r="J2" s="141"/>
    </row>
    <row r="3" spans="1:10" ht="15.75" x14ac:dyDescent="0.25">
      <c r="A3" s="141"/>
      <c r="B3" s="141"/>
      <c r="C3" s="71" t="s">
        <v>141</v>
      </c>
      <c r="D3" s="71" t="s">
        <v>142</v>
      </c>
      <c r="E3" s="71" t="s">
        <v>143</v>
      </c>
      <c r="F3" s="71" t="s">
        <v>144</v>
      </c>
      <c r="G3" s="71" t="s">
        <v>141</v>
      </c>
      <c r="H3" s="71" t="s">
        <v>142</v>
      </c>
      <c r="I3" s="71" t="s">
        <v>143</v>
      </c>
      <c r="J3" s="71" t="s">
        <v>144</v>
      </c>
    </row>
    <row r="4" spans="1:10" ht="110.25" x14ac:dyDescent="0.25">
      <c r="A4" s="72">
        <v>1</v>
      </c>
      <c r="B4" s="73" t="s">
        <v>145</v>
      </c>
      <c r="C4" s="74" t="s">
        <v>146</v>
      </c>
      <c r="D4" s="74" t="s">
        <v>147</v>
      </c>
      <c r="E4" s="74" t="s">
        <v>148</v>
      </c>
      <c r="F4" s="74" t="s">
        <v>149</v>
      </c>
      <c r="G4" s="74" t="s">
        <v>150</v>
      </c>
      <c r="H4" s="74" t="s">
        <v>151</v>
      </c>
      <c r="I4" s="74" t="s">
        <v>152</v>
      </c>
      <c r="J4" s="74" t="s">
        <v>153</v>
      </c>
    </row>
    <row r="5" spans="1:10" ht="94.5" x14ac:dyDescent="0.25">
      <c r="A5" s="72">
        <v>2</v>
      </c>
      <c r="B5" s="73" t="s">
        <v>154</v>
      </c>
      <c r="C5" s="74" t="s">
        <v>155</v>
      </c>
      <c r="D5" s="74" t="s">
        <v>156</v>
      </c>
      <c r="E5" s="74" t="s">
        <v>157</v>
      </c>
      <c r="F5" s="74" t="s">
        <v>158</v>
      </c>
      <c r="G5" s="74" t="s">
        <v>159</v>
      </c>
      <c r="H5" s="74" t="s">
        <v>160</v>
      </c>
      <c r="I5" s="74" t="s">
        <v>161</v>
      </c>
      <c r="J5" s="74" t="s">
        <v>162</v>
      </c>
    </row>
    <row r="6" spans="1:10" ht="78.75" x14ac:dyDescent="0.25">
      <c r="A6" s="72">
        <v>3</v>
      </c>
      <c r="B6" s="73" t="s">
        <v>163</v>
      </c>
      <c r="C6" s="74" t="s">
        <v>164</v>
      </c>
      <c r="D6" s="74" t="s">
        <v>165</v>
      </c>
      <c r="E6" s="74" t="s">
        <v>166</v>
      </c>
      <c r="F6" s="74" t="s">
        <v>167</v>
      </c>
      <c r="G6" s="74" t="s">
        <v>168</v>
      </c>
      <c r="H6" s="74" t="s">
        <v>169</v>
      </c>
      <c r="I6" s="74" t="s">
        <v>170</v>
      </c>
      <c r="J6" s="74" t="s">
        <v>171</v>
      </c>
    </row>
    <row r="7" spans="1:10" ht="63" x14ac:dyDescent="0.25">
      <c r="A7" s="72">
        <v>4</v>
      </c>
      <c r="B7" s="73" t="s">
        <v>172</v>
      </c>
      <c r="C7" s="74" t="s">
        <v>173</v>
      </c>
      <c r="D7" s="74" t="s">
        <v>174</v>
      </c>
      <c r="E7" s="74" t="s">
        <v>175</v>
      </c>
      <c r="F7" s="74" t="s">
        <v>176</v>
      </c>
      <c r="G7" s="74" t="s">
        <v>177</v>
      </c>
      <c r="H7" s="74" t="s">
        <v>178</v>
      </c>
      <c r="I7" s="74" t="s">
        <v>179</v>
      </c>
      <c r="J7" s="74" t="s">
        <v>180</v>
      </c>
    </row>
    <row r="8" spans="1:10" ht="31.5" x14ac:dyDescent="0.25">
      <c r="A8" s="72">
        <v>5</v>
      </c>
      <c r="B8" s="73" t="s">
        <v>181</v>
      </c>
      <c r="C8" s="74"/>
      <c r="D8" s="74"/>
      <c r="E8" s="74"/>
      <c r="F8" s="74"/>
      <c r="G8" s="74"/>
      <c r="H8" s="74"/>
      <c r="I8" s="74"/>
      <c r="J8" s="74"/>
    </row>
    <row r="9" spans="1:10" ht="141.75" x14ac:dyDescent="0.25">
      <c r="A9" s="72">
        <v>6</v>
      </c>
      <c r="B9" s="75" t="s">
        <v>60</v>
      </c>
      <c r="C9" s="74" t="s">
        <v>182</v>
      </c>
      <c r="D9" s="74" t="s">
        <v>183</v>
      </c>
      <c r="E9" s="74" t="s">
        <v>184</v>
      </c>
      <c r="F9" s="74" t="s">
        <v>185</v>
      </c>
      <c r="G9" s="74" t="s">
        <v>186</v>
      </c>
      <c r="H9" s="74" t="s">
        <v>187</v>
      </c>
      <c r="I9" s="74" t="s">
        <v>188</v>
      </c>
      <c r="J9" s="74" t="s">
        <v>189</v>
      </c>
    </row>
    <row r="10" spans="1:10" ht="157.5" x14ac:dyDescent="0.25">
      <c r="A10" s="72">
        <v>7</v>
      </c>
      <c r="B10" s="76" t="s">
        <v>27</v>
      </c>
      <c r="C10" s="74" t="s">
        <v>190</v>
      </c>
      <c r="D10" s="74" t="s">
        <v>191</v>
      </c>
      <c r="E10" s="74" t="s">
        <v>192</v>
      </c>
      <c r="F10" s="74" t="s">
        <v>193</v>
      </c>
      <c r="G10" s="74" t="s">
        <v>194</v>
      </c>
      <c r="H10" s="74" t="s">
        <v>195</v>
      </c>
      <c r="I10" s="74" t="s">
        <v>196</v>
      </c>
      <c r="J10" s="74" t="s">
        <v>197</v>
      </c>
    </row>
    <row r="11" spans="1:10" ht="189" x14ac:dyDescent="0.25">
      <c r="A11" s="72">
        <v>8</v>
      </c>
      <c r="B11" s="76" t="s">
        <v>28</v>
      </c>
      <c r="C11" s="74" t="s">
        <v>198</v>
      </c>
      <c r="D11" s="74" t="s">
        <v>199</v>
      </c>
      <c r="E11" s="74" t="s">
        <v>200</v>
      </c>
      <c r="F11" s="74" t="s">
        <v>201</v>
      </c>
      <c r="G11" s="74" t="s">
        <v>202</v>
      </c>
      <c r="H11" s="74" t="s">
        <v>203</v>
      </c>
      <c r="I11" s="74" t="s">
        <v>204</v>
      </c>
      <c r="J11" s="74" t="s">
        <v>205</v>
      </c>
    </row>
    <row r="12" spans="1:10" ht="126" x14ac:dyDescent="0.25">
      <c r="A12" s="72">
        <v>9</v>
      </c>
      <c r="B12" s="76" t="s">
        <v>29</v>
      </c>
      <c r="C12" s="74" t="s">
        <v>206</v>
      </c>
      <c r="D12" s="74" t="s">
        <v>207</v>
      </c>
      <c r="E12" s="74" t="s">
        <v>208</v>
      </c>
      <c r="F12" s="74" t="s">
        <v>209</v>
      </c>
      <c r="G12" s="74" t="s">
        <v>210</v>
      </c>
      <c r="H12" s="74" t="s">
        <v>211</v>
      </c>
      <c r="I12" s="74" t="s">
        <v>212</v>
      </c>
      <c r="J12" s="74" t="s">
        <v>213</v>
      </c>
    </row>
    <row r="13" spans="1:10" ht="126" x14ac:dyDescent="0.25">
      <c r="A13" s="72">
        <v>10</v>
      </c>
      <c r="B13" s="76" t="s">
        <v>30</v>
      </c>
      <c r="C13" s="74" t="s">
        <v>214</v>
      </c>
      <c r="D13" s="74" t="s">
        <v>215</v>
      </c>
      <c r="E13" s="74" t="s">
        <v>216</v>
      </c>
      <c r="F13" s="74" t="s">
        <v>217</v>
      </c>
      <c r="G13" s="74" t="s">
        <v>218</v>
      </c>
      <c r="H13" s="74" t="s">
        <v>219</v>
      </c>
      <c r="I13" s="74" t="s">
        <v>220</v>
      </c>
      <c r="J13" s="74" t="s">
        <v>221</v>
      </c>
    </row>
    <row r="14" spans="1:10" ht="63" x14ac:dyDescent="0.25">
      <c r="A14" s="72">
        <v>11</v>
      </c>
      <c r="B14" s="73" t="s">
        <v>31</v>
      </c>
      <c r="C14" s="74" t="s">
        <v>222</v>
      </c>
      <c r="D14" s="74" t="s">
        <v>223</v>
      </c>
      <c r="E14" s="74" t="s">
        <v>224</v>
      </c>
      <c r="F14" s="74" t="s">
        <v>225</v>
      </c>
      <c r="G14" s="74" t="s">
        <v>226</v>
      </c>
      <c r="H14" s="74" t="s">
        <v>227</v>
      </c>
      <c r="I14" s="74" t="s">
        <v>228</v>
      </c>
      <c r="J14" s="74" t="s">
        <v>229</v>
      </c>
    </row>
    <row r="15" spans="1:10" ht="110.25" x14ac:dyDescent="0.25">
      <c r="A15" s="72">
        <v>12</v>
      </c>
      <c r="B15" s="76" t="s">
        <v>32</v>
      </c>
      <c r="C15" s="74" t="s">
        <v>230</v>
      </c>
      <c r="D15" s="74" t="s">
        <v>231</v>
      </c>
      <c r="E15" s="74" t="s">
        <v>232</v>
      </c>
      <c r="F15" s="74" t="s">
        <v>233</v>
      </c>
      <c r="G15" s="74" t="s">
        <v>234</v>
      </c>
      <c r="H15" s="74" t="s">
        <v>235</v>
      </c>
      <c r="I15" s="74" t="s">
        <v>236</v>
      </c>
      <c r="J15" s="74" t="s">
        <v>237</v>
      </c>
    </row>
    <row r="16" spans="1:10" ht="78.75" x14ac:dyDescent="0.25">
      <c r="A16" s="72">
        <v>13</v>
      </c>
      <c r="B16" s="73" t="s">
        <v>33</v>
      </c>
      <c r="C16" s="74" t="s">
        <v>238</v>
      </c>
      <c r="D16" s="74" t="s">
        <v>239</v>
      </c>
      <c r="E16" s="74" t="s">
        <v>240</v>
      </c>
      <c r="F16" s="74" t="s">
        <v>241</v>
      </c>
      <c r="G16" s="74" t="s">
        <v>242</v>
      </c>
      <c r="H16" s="74" t="s">
        <v>243</v>
      </c>
      <c r="I16" s="74" t="s">
        <v>244</v>
      </c>
      <c r="J16" s="74" t="s">
        <v>245</v>
      </c>
    </row>
    <row r="17" spans="1:10" ht="94.5" x14ac:dyDescent="0.25">
      <c r="A17" s="72">
        <v>14</v>
      </c>
      <c r="B17" s="76" t="s">
        <v>34</v>
      </c>
      <c r="C17" s="74" t="s">
        <v>246</v>
      </c>
      <c r="D17" s="74" t="s">
        <v>247</v>
      </c>
      <c r="E17" s="74" t="s">
        <v>248</v>
      </c>
      <c r="F17" s="74" t="s">
        <v>249</v>
      </c>
      <c r="G17" s="74" t="s">
        <v>250</v>
      </c>
      <c r="H17" s="74" t="s">
        <v>251</v>
      </c>
      <c r="I17" s="74" t="s">
        <v>252</v>
      </c>
      <c r="J17" s="74" t="s">
        <v>253</v>
      </c>
    </row>
    <row r="18" spans="1:10" ht="78.75" x14ac:dyDescent="0.25">
      <c r="A18" s="72">
        <v>15</v>
      </c>
      <c r="B18" s="77" t="s">
        <v>100</v>
      </c>
      <c r="C18" s="74" t="s">
        <v>254</v>
      </c>
      <c r="D18" s="74" t="s">
        <v>255</v>
      </c>
      <c r="E18" s="74" t="s">
        <v>256</v>
      </c>
      <c r="F18" s="74" t="s">
        <v>257</v>
      </c>
      <c r="G18" s="74" t="s">
        <v>258</v>
      </c>
      <c r="H18" s="74" t="s">
        <v>259</v>
      </c>
      <c r="I18" s="74" t="s">
        <v>260</v>
      </c>
      <c r="J18" s="74" t="s">
        <v>261</v>
      </c>
    </row>
  </sheetData>
  <mergeCells count="5">
    <mergeCell ref="A1:G1"/>
    <mergeCell ref="A2:A3"/>
    <mergeCell ref="B2:B3"/>
    <mergeCell ref="C2:F2"/>
    <mergeCell ref="G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Master Student</vt:lpstr>
      <vt:lpstr>Master Subject</vt:lpstr>
      <vt:lpstr>Master Data</vt:lpstr>
      <vt:lpstr>Master Grade</vt:lpstr>
      <vt:lpstr>Final Report</vt:lpstr>
      <vt:lpstr>Kompetensi Dasar</vt:lpstr>
      <vt:lpstr>Kg</vt:lpstr>
      <vt:lpstr>siswa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2020-12-17T14:04:44Z</cp:lastPrinted>
  <dcterms:created xsi:type="dcterms:W3CDTF">2019-12-18T01:28:00Z</dcterms:created>
  <dcterms:modified xsi:type="dcterms:W3CDTF">2020-12-17T15:34:35Z</dcterms:modified>
</cp:coreProperties>
</file>