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G:\PBS_K13_Report_Version_1_1\"/>
    </mc:Choice>
  </mc:AlternateContent>
  <bookViews>
    <workbookView xWindow="0" yWindow="0" windowWidth="20490" windowHeight="8340" firstSheet="2" activeTab="5"/>
  </bookViews>
  <sheets>
    <sheet name="Dashboard" sheetId="7" r:id="rId1"/>
    <sheet name="Master Student" sheetId="3" r:id="rId2"/>
    <sheet name="Master Subject" sheetId="6" r:id="rId3"/>
    <sheet name="Master Data" sheetId="8" r:id="rId4"/>
    <sheet name="Master Grade" sheetId="4" r:id="rId5"/>
    <sheet name="Final Report" sheetId="2" r:id="rId6"/>
    <sheet name="Kompetensi Dasar" sheetId="9" r:id="rId7"/>
  </sheets>
  <definedNames>
    <definedName name="Kg">'Final Report'!$E$55</definedName>
    <definedName name="siswa">'Master Student'!$I$8:$I$32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 i="2" l="1"/>
  <c r="D5" i="2" l="1"/>
  <c r="H81" i="2"/>
  <c r="C40" i="4" l="1"/>
  <c r="D40" i="4" s="1"/>
  <c r="C41" i="4"/>
  <c r="D41" i="4" s="1"/>
  <c r="C42" i="4"/>
  <c r="D42" i="4" s="1"/>
  <c r="G88" i="2"/>
  <c r="B33" i="2"/>
  <c r="H6" i="2" l="1"/>
  <c r="H5" i="2"/>
  <c r="H4" i="2"/>
  <c r="B23" i="2" l="1"/>
  <c r="B24" i="2"/>
  <c r="B25" i="2"/>
  <c r="B26" i="2"/>
  <c r="B27" i="2"/>
  <c r="B28" i="2"/>
  <c r="B29" i="2"/>
  <c r="B34" i="2"/>
  <c r="B35" i="2"/>
  <c r="B22" i="2"/>
  <c r="C39" i="4" l="1"/>
  <c r="D39" i="4" s="1"/>
  <c r="C38" i="4"/>
  <c r="D38" i="4" s="1"/>
  <c r="C37" i="4"/>
  <c r="D37" i="4" s="1"/>
  <c r="C36" i="4"/>
  <c r="D36" i="4" s="1"/>
  <c r="C35" i="4"/>
  <c r="D35" i="4" s="1"/>
  <c r="C34" i="4"/>
  <c r="D34" i="4" s="1"/>
  <c r="C33" i="4"/>
  <c r="D33" i="4" s="1"/>
  <c r="C32" i="4"/>
  <c r="D32" i="4" s="1"/>
  <c r="C31" i="4"/>
  <c r="D31" i="4" s="1"/>
  <c r="C30" i="4"/>
  <c r="D30" i="4" s="1"/>
  <c r="C29" i="4"/>
  <c r="D29" i="4" s="1"/>
  <c r="C28" i="4"/>
  <c r="D28" i="4" s="1"/>
  <c r="C27" i="4"/>
  <c r="D27" i="4" s="1"/>
  <c r="C26" i="4"/>
  <c r="D26" i="4" s="1"/>
  <c r="C25" i="4"/>
  <c r="D25" i="4" s="1"/>
  <c r="C24" i="4"/>
  <c r="D24" i="4" s="1"/>
  <c r="C23" i="4"/>
  <c r="D23" i="4" s="1"/>
  <c r="C22" i="4"/>
  <c r="D22" i="4" s="1"/>
  <c r="C21" i="4"/>
  <c r="D21" i="4" s="1"/>
  <c r="C20" i="4"/>
  <c r="D20" i="4" s="1"/>
  <c r="C19" i="4"/>
  <c r="D19" i="4" s="1"/>
  <c r="C18" i="4"/>
  <c r="D18" i="4" s="1"/>
  <c r="C34" i="2" l="1"/>
  <c r="C29" i="2"/>
  <c r="C27" i="2"/>
  <c r="C25" i="2"/>
  <c r="C23" i="2"/>
  <c r="F29" i="2"/>
  <c r="F25" i="2"/>
  <c r="F34" i="2"/>
  <c r="C35" i="2"/>
  <c r="C26" i="2"/>
  <c r="F35" i="2"/>
  <c r="F33" i="2"/>
  <c r="F28" i="2"/>
  <c r="F26" i="2"/>
  <c r="F24" i="2"/>
  <c r="F22" i="2"/>
  <c r="F27" i="2"/>
  <c r="F23" i="2"/>
  <c r="C33" i="2"/>
  <c r="C28" i="2"/>
  <c r="C24" i="2"/>
  <c r="C22" i="2"/>
  <c r="E78" i="2"/>
  <c r="E76" i="2"/>
  <c r="E56" i="2"/>
  <c r="C14" i="2"/>
  <c r="E62" i="2"/>
  <c r="B70" i="2"/>
  <c r="E77" i="2"/>
  <c r="E55" i="2"/>
  <c r="E63" i="2"/>
  <c r="B69" i="2"/>
  <c r="E70" i="2"/>
  <c r="E69" i="2"/>
  <c r="A48" i="2"/>
  <c r="B43" i="2"/>
  <c r="B42" i="2"/>
  <c r="C15" i="2"/>
  <c r="E43" i="2"/>
  <c r="E42" i="2"/>
  <c r="D25" i="2" l="1"/>
  <c r="E25" i="2"/>
  <c r="G24" i="2"/>
  <c r="H24" i="2"/>
  <c r="G23" i="2"/>
  <c r="H23" i="2"/>
  <c r="G26" i="2"/>
  <c r="H26" i="2"/>
  <c r="D26" i="2"/>
  <c r="E26" i="2"/>
  <c r="G29" i="2"/>
  <c r="H29" i="2"/>
  <c r="E29" i="2"/>
  <c r="D29" i="2"/>
  <c r="D28" i="2"/>
  <c r="E28" i="2"/>
  <c r="H33" i="2"/>
  <c r="G33" i="2"/>
  <c r="G34" i="2"/>
  <c r="H34" i="2"/>
  <c r="E33" i="2"/>
  <c r="D33" i="2"/>
  <c r="H35" i="2"/>
  <c r="G35" i="2"/>
  <c r="G25" i="2"/>
  <c r="H25" i="2"/>
  <c r="D27" i="2"/>
  <c r="E27" i="2"/>
  <c r="D24" i="2"/>
  <c r="E24" i="2"/>
  <c r="G27" i="2"/>
  <c r="H27" i="2"/>
  <c r="G28" i="2"/>
  <c r="H28" i="2"/>
  <c r="E35" i="2"/>
  <c r="D35" i="2"/>
  <c r="D23" i="2"/>
  <c r="E23" i="2"/>
  <c r="E34" i="2"/>
  <c r="D34" i="2"/>
  <c r="G22" i="2"/>
  <c r="H22" i="2"/>
  <c r="D22" i="2"/>
  <c r="E22" i="2"/>
</calcChain>
</file>

<file path=xl/sharedStrings.xml><?xml version="1.0" encoding="utf-8"?>
<sst xmlns="http://schemas.openxmlformats.org/spreadsheetml/2006/main" count="394" uniqueCount="263">
  <si>
    <t>STUDENT'S NAME</t>
  </si>
  <si>
    <t>#</t>
  </si>
  <si>
    <t>MASTER STUDENT</t>
  </si>
  <si>
    <t>AGAMA</t>
  </si>
  <si>
    <t>PPKN</t>
  </si>
  <si>
    <t>B.INDO</t>
  </si>
  <si>
    <t>MATH</t>
  </si>
  <si>
    <t>IPA</t>
  </si>
  <si>
    <t>IPS</t>
  </si>
  <si>
    <t>ART</t>
  </si>
  <si>
    <t>HE</t>
  </si>
  <si>
    <t>MANDARIN</t>
  </si>
  <si>
    <t>ENGLISH</t>
  </si>
  <si>
    <t>ICT</t>
  </si>
  <si>
    <t>Con</t>
  </si>
  <si>
    <t>Pra</t>
  </si>
  <si>
    <t>MASTER GRADE</t>
  </si>
  <si>
    <t>No</t>
  </si>
  <si>
    <t>Muatan Pelajaran</t>
  </si>
  <si>
    <t>Pengetahuan</t>
  </si>
  <si>
    <t>Keterampilan</t>
  </si>
  <si>
    <t>Nilai</t>
  </si>
  <si>
    <t>Predikat</t>
  </si>
  <si>
    <t>Deskripsi</t>
  </si>
  <si>
    <t>RAPOR PESERTA DIDIK DAN PROFIL PESERTA DIDIK</t>
  </si>
  <si>
    <t>MASTER SUBJECT</t>
  </si>
  <si>
    <t>SUBJECT</t>
  </si>
  <si>
    <t>Bahasa Indonesia</t>
  </si>
  <si>
    <t>Matematika</t>
  </si>
  <si>
    <t>Ilmu Pengetahuan Alam</t>
  </si>
  <si>
    <t>Ilmu Pengetahuan Sosial</t>
  </si>
  <si>
    <t>Seni Budaya dan Prakarya</t>
  </si>
  <si>
    <t>Pendidikan Jasmani, Olahraga, dan Kesehatan</t>
  </si>
  <si>
    <t>Bahasa Mandarin</t>
  </si>
  <si>
    <t>Bahasa Inggris</t>
  </si>
  <si>
    <t>Nama Peserta Didik</t>
  </si>
  <si>
    <t>:</t>
  </si>
  <si>
    <t>NISN/NIS</t>
  </si>
  <si>
    <t>Nama Sekolah</t>
  </si>
  <si>
    <t>Alamat Sekolah</t>
  </si>
  <si>
    <t>SDS Peachblossoms</t>
  </si>
  <si>
    <t xml:space="preserve">Kota Harapan Indah RV 2 No.9, Tarumajaya - Bekasi
</t>
  </si>
  <si>
    <t>Kelas</t>
  </si>
  <si>
    <t>Semester</t>
  </si>
  <si>
    <t>Tahun Ajaran</t>
  </si>
  <si>
    <t>2019/2020</t>
  </si>
  <si>
    <t>NO</t>
  </si>
  <si>
    <t>4 (Empat)</t>
  </si>
  <si>
    <t>MASTER SEMESTER</t>
  </si>
  <si>
    <t>SEMESTER</t>
  </si>
  <si>
    <t>MASTER TAHUN AJARAN</t>
  </si>
  <si>
    <t>TAHUN AJARAN</t>
  </si>
  <si>
    <t>2020/2021</t>
  </si>
  <si>
    <t>2021/2022</t>
  </si>
  <si>
    <t>2022/2023</t>
  </si>
  <si>
    <t>2023/2024</t>
  </si>
  <si>
    <t>2024/2025</t>
  </si>
  <si>
    <t>2025/2026</t>
  </si>
  <si>
    <t>2026/2027</t>
  </si>
  <si>
    <t>2027/2028</t>
  </si>
  <si>
    <t>Pendidikan Pancasila dan Kewarganegaraan</t>
  </si>
  <si>
    <t>Muatan Lokal</t>
  </si>
  <si>
    <t>A.</t>
  </si>
  <si>
    <t>SIKAP</t>
  </si>
  <si>
    <t>1. Sikap Spiritual</t>
  </si>
  <si>
    <t>2. Sikap Sosial</t>
  </si>
  <si>
    <t>B.</t>
  </si>
  <si>
    <t>PENGETAHUAN DAN KETERAMPILAN</t>
  </si>
  <si>
    <t>Keterangan</t>
  </si>
  <si>
    <t>C.</t>
  </si>
  <si>
    <t>D.</t>
  </si>
  <si>
    <t>Aspek yang dinilai</t>
  </si>
  <si>
    <t>Berat Badan</t>
  </si>
  <si>
    <t>Tinggi Badan</t>
  </si>
  <si>
    <t>Pendengaran</t>
  </si>
  <si>
    <t>Penglihatan</t>
  </si>
  <si>
    <t>PRESTASI</t>
  </si>
  <si>
    <t>KETIDAKHADIRAN</t>
  </si>
  <si>
    <t>Tanpa Keterangan</t>
  </si>
  <si>
    <t>Izin</t>
  </si>
  <si>
    <t>Sakit</t>
  </si>
  <si>
    <t>Orangtua Siswa</t>
  </si>
  <si>
    <t>______________</t>
  </si>
  <si>
    <t>Kepala Sekolah</t>
  </si>
  <si>
    <t>Wali Kelas</t>
  </si>
  <si>
    <t>Agus R. Wibowo</t>
  </si>
  <si>
    <t>Semester 1</t>
  </si>
  <si>
    <t>SARAN-SARAN</t>
  </si>
  <si>
    <t>TINGGI DAN BERAT BADAN</t>
  </si>
  <si>
    <t>EKSTRA KURIKULER</t>
  </si>
  <si>
    <t>KONDISI KESEHATAN</t>
  </si>
  <si>
    <t>F.</t>
  </si>
  <si>
    <t>E.</t>
  </si>
  <si>
    <t>G.</t>
  </si>
  <si>
    <t>H.</t>
  </si>
  <si>
    <t>Aspek Fisik</t>
  </si>
  <si>
    <t>Jenis Prestasi</t>
  </si>
  <si>
    <t>Tanggal Input</t>
  </si>
  <si>
    <t>Home Room</t>
  </si>
  <si>
    <t>MASTER DATA</t>
  </si>
  <si>
    <t>Komputer</t>
  </si>
  <si>
    <t>SIKAP SPIRITUAL</t>
  </si>
  <si>
    <t>SIKAP SOSIAL</t>
  </si>
  <si>
    <t>EKSTRA KURIKULER 1</t>
  </si>
  <si>
    <t>EKSTRA KURIKULER 2</t>
  </si>
  <si>
    <t>KEGIATAN</t>
  </si>
  <si>
    <t>KETERANGAN</t>
  </si>
  <si>
    <t>BERAT (Kg)</t>
  </si>
  <si>
    <t>BERAT &amp; TINGGI</t>
  </si>
  <si>
    <t>JENIS PRESTASI</t>
  </si>
  <si>
    <t>SAKIT</t>
  </si>
  <si>
    <t>IZIN</t>
  </si>
  <si>
    <t>TANPA KET.</t>
  </si>
  <si>
    <t>PENDENGARAN</t>
  </si>
  <si>
    <t>PENGLIHATAN</t>
  </si>
  <si>
    <t>PRESTASI 1</t>
  </si>
  <si>
    <t>PRESTASI 2</t>
  </si>
  <si>
    <t xml:space="preserve">Bekasi, </t>
  </si>
  <si>
    <t>2028/2029</t>
  </si>
  <si>
    <t>TINGGI (Cm)</t>
  </si>
  <si>
    <t>Kelas (Upper)</t>
  </si>
  <si>
    <t>I (Satu)</t>
  </si>
  <si>
    <t>II (Dua)</t>
  </si>
  <si>
    <t>Lexy</t>
  </si>
  <si>
    <t>Pendidikan Agama dan Budi Pekerti</t>
  </si>
  <si>
    <t>EKSTRAKURIKULER</t>
  </si>
  <si>
    <t>Kegiatan Ekstrakurikuler</t>
  </si>
  <si>
    <t>Version 2.0/PBS/Upper</t>
  </si>
  <si>
    <t>Islam</t>
  </si>
  <si>
    <t>Kristen</t>
  </si>
  <si>
    <t>Katolik</t>
  </si>
  <si>
    <t>Buddha</t>
  </si>
  <si>
    <t>Hindu</t>
  </si>
  <si>
    <t>RELIGION</t>
  </si>
  <si>
    <t>Pendidikan Jasmani, Olahraga dan Kesehatan</t>
  </si>
  <si>
    <t>Mata Pelajaran</t>
  </si>
  <si>
    <t>KD Pengetahuan</t>
  </si>
  <si>
    <t>KD Keterampilan</t>
  </si>
  <si>
    <t>Sangat Mampu</t>
  </si>
  <si>
    <t>Mampu</t>
  </si>
  <si>
    <t>Cukup Mampu</t>
  </si>
  <si>
    <t>Tidak Mampu</t>
  </si>
  <si>
    <t>Pendidikan Agama Islam dan Budi Pekerti</t>
  </si>
  <si>
    <t>Pendidikan Agama Kristen dan Budi Pekerti</t>
  </si>
  <si>
    <t>Pendidikan Agama Katolik dan Budi Pekerti</t>
  </si>
  <si>
    <t>Pendidikan Agama Buddha dan Budi Pekerti</t>
  </si>
  <si>
    <t>Pendidikan Agama Hindu dan Budi Pekerti</t>
  </si>
  <si>
    <t>Rifqy</t>
  </si>
  <si>
    <t>Kelas IV</t>
  </si>
  <si>
    <t>Siswa sangat mampu memahami hikmah beriman kepada Qadha dan Qadar yang dapat membentuk perilaku akhlak mulia</t>
  </si>
  <si>
    <t>Siswa mampu memahami hikmah beriman kepada Qadha dan Qadar yang dapat membentuk perilaku akhlak mulia</t>
  </si>
  <si>
    <t>Siswa cukup mampu memahami hikmah beriman kepada Qadha dan Qadar yang dapat membentuk perilaku akhlak mulia</t>
  </si>
  <si>
    <t>Siswa tidak mampu memahami hikmah beriman kepada Qadha dan Qadar yang dapat membentuk perilaku akhlak mulia</t>
  </si>
  <si>
    <t>Siswa sangat mampu menunjukkan contoh Qadha dan Qadar dalam kehidupansehari-hari sebagai implementasi dari pemahaman rukun Iman</t>
  </si>
  <si>
    <t>Siswa mampu menunjukkan contoh Qadha dan Qadar dalam kehidupansehari-hari sebagai implementasi dari pemahaman rukun Iman</t>
  </si>
  <si>
    <t>Siswa cukup mampu menunjukkan contoh Qadha dan Qadar dalam kehidupansehari-hari sebagai implementasi dari pemahaman rukun Iman</t>
  </si>
  <si>
    <t>Siswa tidak mampu menunjukkan contoh Qadha dan Qadar dalam kehidupansehari-hari sebagai implementasi dari pemahaman rukun Iman</t>
  </si>
  <si>
    <t>Siswa sangat mampu memahami makna ibadah yang berkenan kepada Allah</t>
  </si>
  <si>
    <t>Siswa mampu memahami makna ibadah yang berkenan kepada Allah</t>
  </si>
  <si>
    <t>Siswa cukup mampu memahami makna ibadah yang berkenan kepada Allah</t>
  </si>
  <si>
    <t>Siswa tidak mampu memahami makna ibadah yang berkenan kepada Allah</t>
  </si>
  <si>
    <t>Siswa sangat mampu menyajikan contoh ibadah yang berkenan kepada Allah</t>
  </si>
  <si>
    <t>Siswa mampu menyajikan contoh ibadah yang berkenan kepada Allah</t>
  </si>
  <si>
    <t>Siswa cukup mampu menyajikan contoh ibadah yang berkenan kepada Allah</t>
  </si>
  <si>
    <t>Siswa tidak mampu menyajikan contoh ibadah yang berkenan kepada Allah</t>
  </si>
  <si>
    <t>Siswa sangat mampu memahami karya keselamatan Allah yang disampaikan melalui para nabi</t>
  </si>
  <si>
    <t>Siswa mampu memahami karya keselamatan Allah yang disampaikan melalui para nabi</t>
  </si>
  <si>
    <t>Siswa cukup mampu memahami karya keselamatan Allah yang disampaikan melalui para nabi</t>
  </si>
  <si>
    <t>Siswa tidak mampu memahami karya keselamatan Allah yang disampaikan melalui para nabi</t>
  </si>
  <si>
    <t xml:space="preserve">Siswa sangat mampu menceritakan karya keselamatan Allah yang diwartakan para nabi serta mengungkapkan bagaimana perwujudan pesan para Nabi dalam kehidupan. </t>
  </si>
  <si>
    <t xml:space="preserve">Siswa mampu menceritakan karya keselamatan Allah yang diwartakan para nabi serta mengungkapkan bagaimana perwujudan pesan para Nabi dalam kehidupan. </t>
  </si>
  <si>
    <t xml:space="preserve">Siswa cukup mampu menceritakan karya keselamatan Allah yang diwartakan para nabi serta mengungkapkan bagaimana perwujudan pesan para Nabi dalam kehidupan. </t>
  </si>
  <si>
    <t xml:space="preserve">Siswa tidak mampu menceritakan karya keselamatan Allah yang diwartakan para nabi serta mengungkapkan bagaimana perwujudan pesan para Nabi dalam kehidupan. </t>
  </si>
  <si>
    <t>Siswa sangat mampu memahami sepuluh kesempurnaan dan kisah perumpamaan populer tentang prilaku bijaksana</t>
  </si>
  <si>
    <t>Siswa mampu memahami sepuluh kesempurnaan dan kisah perumpamaan populer tentang prilaku bijaksana</t>
  </si>
  <si>
    <t>Siswa cukup mampu memahami sepuluh kesempurnaan dan kisah perumpamaan populer tentang prilaku bijaksana</t>
  </si>
  <si>
    <t>Siswa tidak mampu memahami sepuluh kesempurnaan dan kisah perumpamaan populer tentang prilaku bijaksana</t>
  </si>
  <si>
    <t>Siswa sangat mampu menunjukkan prilaku peduli setelah memahami sepuluh kesempurnaan dan kisah perumpamaan populer tentang prilaku bijaksana</t>
  </si>
  <si>
    <t>Siswa mampu menunjukkan prilaku peduli setelah memahami sepuluh kesempurnaan dan kisah perumpamaan populer tentang prilaku bijaksana</t>
  </si>
  <si>
    <t>Siswa cukup mampu menunjukkan prilaku peduli setelah memahami sepuluh kesempurnaan dan kisah perumpamaan populer tentang prilaku bijaksana</t>
  </si>
  <si>
    <t>Siswa tidak mampu menunjukkan prilaku peduli setelah memahami sepuluh kesempurnaan dan kisah perumpamaan populer tentang prilaku bijaksana</t>
  </si>
  <si>
    <t>Siswa sangat mampu memahami hak, kewajiban dan tanggung jawab sebagai warga dalam kehidupan sehari-hari di rumah, sekolah, dan masyarakat sekitar</t>
  </si>
  <si>
    <t>Siswa mampu memahami hak, kewajiban dan tanggung jawab sebagai warga dalam kehidupan sehari-hari di rumah, sekolah, dan masyarakat sekitar</t>
  </si>
  <si>
    <t>Siswa cukup mampu memahami hak, kewajiban dan tanggung jawab sebagai warga dalam kehidupan sehari-hari di rumah, sekolah, dan masyarakat sekitar</t>
  </si>
  <si>
    <t>Siswa tidak mampu memahami hak, kewajiban dan tanggung jawab sebagai warga dalam kehidupan sehari-hari di rumah, sekolah, dan masyarakat sekitar</t>
  </si>
  <si>
    <t xml:space="preserve">Siswa sangat mampu melaksanakan kewajiban menegakkan aturan dan menjaga ketertiban di lingkungan rumah, sekolah dan masyarakat </t>
  </si>
  <si>
    <t xml:space="preserve">Siswa mampu melaksanakan kewajiban menegakkan aturan dan menjaga ketertiban di lingkungan rumah, sekolah dan masyarakat </t>
  </si>
  <si>
    <t xml:space="preserve">Siswa cukup mampu melaksanakan kewajiban menegakkan aturan dan menjaga ketertiban di lingkungan rumah, sekolah dan masyarakat </t>
  </si>
  <si>
    <t xml:space="preserve">Siswa tidak mampu melaksanakan kewajiban menegakkan aturan dan menjaga ketertiban di lingkungan rumah, sekolah dan masyarakat </t>
  </si>
  <si>
    <t>Siswa sangat mampu menguraikan isi teks penjelasan (eksplanasi) ilmiah tentang penyebab perubahan dan sifat benda dengan bantuan guru dan teman dalam bahasa Indonesia lisan dan tulis dengan memilih dan memilah kosakata baku</t>
  </si>
  <si>
    <t>Siswa mampu menguraikan isi teks penjelasan (eksplanasi) ilmiah tentang penyebab perubahan dan sifat benda dengan bantuan guru dan teman dalam bahasa Indonesia lisan dan tulis dengan memilih dan memilah kosakata baku</t>
  </si>
  <si>
    <t>Siswa cukup mampu menguraikan isi teks penjelasan (eksplanasi) ilmiah tentang penyebab perubahan dan sifat benda dengan bantuan guru dan teman dalam bahasa Indonesia lisan dan tulis dengan memilih dan memilah kosakata baku</t>
  </si>
  <si>
    <t>Siswa tidak mampu menguraikan isi teks penjelasan (eksplanasi) ilmiah tentang penyebab perubahan dan sifat benda dengan bantuan guru dan teman dalam bahasa Indonesia lisan dan tulis dengan memilih dan memilah kosakata baku</t>
  </si>
  <si>
    <t xml:space="preserve">Siswa sangat mampu menguraikan isi teks penjelasan (eksplanasi) ilmiah tentang penyebab perubahan dan sifat benda dengan bantuan guru dan teman dalam bahasa Indonesia lisan dan tulis dengan memilih dan memilah kosakata baku
</t>
  </si>
  <si>
    <t xml:space="preserve">Siswa mampu menguraikan isi teks penjelasan (eksplanasi) ilmiah tentang penyebab perubahan dan sifat benda dengan bantuan guru dan teman dalam bahasa Indonesia lisan dan tulis dengan memilih dan memilah kosakata baku
</t>
  </si>
  <si>
    <t xml:space="preserve">Siswa cukup mampu menguraikan isi teks penjelasan (eksplanasi) ilmiah tentang penyebab perubahan dan sifat benda dengan bantuan guru dan teman dalam bahasa Indonesia lisan dan tulis dengan memilih dan memilah kosakata baku
</t>
  </si>
  <si>
    <t xml:space="preserve">Siswa tidak mampu menguraikan isi teks penjelasan (eksplanasi) ilmiah tentang penyebab perubahan dan sifat benda dengan bantuan guru dan teman dalam bahasa Indonesia lisan dan tulis dengan memilih dan memilah kosakata baku
</t>
  </si>
  <si>
    <t xml:space="preserve">Siswa sangat mampu memahami operasi hitung yang melibatkan berbagai bentuk pecahan (pecahan biasa, campuran, desimal dan persen); mengenal unsur-unsur lingkaran, diagonal ruang dan diagonal sisi dalam bangun ruang sederhana. </t>
  </si>
  <si>
    <t xml:space="preserve">Siswa mampu memahami operasi hitung yang melibatkan berbagai bentuk pecahan (pecahan biasa, campuran, desimal dan persen); mengenal unsur-unsur lingkaran, diagonal ruang dan diagonal sisi dalam bangun ruang sederhana. </t>
  </si>
  <si>
    <t xml:space="preserve">Siswa cukup mampu memahami operasi hitung yang melibatkan berbagai bentuk pecahan (pecahan biasa, campuran, desimal dan persen); mengenal unsur-unsur lingkaran, diagonal ruang dan diagonal sisi dalam bangun ruang sederhana. </t>
  </si>
  <si>
    <t xml:space="preserve">Siswa tidak mampu memahami operasi hitung yang melibatkan berbagai bentuk pecahan (pecahan biasa, campuran, desimal dan persen); mengenal unsur-unsur lingkaran, diagonal ruang dan diagonal sisi dalam bangun ruang sederhana. </t>
  </si>
  <si>
    <t xml:space="preserve">Siswa sangat mampu membentuk/menggambar bangun ruang gabungan sederhana serta menghitung luas permukaannya dan volumenya </t>
  </si>
  <si>
    <t xml:space="preserve">Siswa mampu membentuk/menggambar bangun ruang gabungan sederhana serta menghitung luas permukaannya dan volumenya </t>
  </si>
  <si>
    <t xml:space="preserve">Siswa cukup mampu membentuk/menggambar bangun ruang gabungan sederhana serta menghitung luas permukaannya dan volumenya </t>
  </si>
  <si>
    <t xml:space="preserve">Siswa tidak mampu membentuk/menggambar bangun ruang gabungan sederhana serta menghitung luas permukaannya dan volumenya </t>
  </si>
  <si>
    <t>Siswa sangat mampu mengidentifikasi cara perkembangbiakan mahluk hidup dan menyesuaikan diri dengan lingkungan.</t>
  </si>
  <si>
    <t>Siswa mampu mengidentifikasi cara perkembangbiakan mahluk hidup dan menyesuaikan diri dengan lingkungan.</t>
  </si>
  <si>
    <t>Siswa cukup mampu mengidentifikasi cara perkembangbiakan mahluk hidup dan menyesuaikan diri dengan lingkungan.</t>
  </si>
  <si>
    <t>Siswa tidak mampu mengidentifikasi cara perkembangbiakan mahluk hidup dan menyesuaikan diri dengan lingkungan.</t>
  </si>
  <si>
    <t>Siswa sangat mampu menyajikan data tentang perkembangbiakan tumbuhan dan cara menghasilkan energi listrik.</t>
  </si>
  <si>
    <t>Siswa mampu menyajikan data tentang perkembangbiakan tumbuhan dan cara menghasilkan energi listrik.</t>
  </si>
  <si>
    <t>Siswa cukup mampu menyajikan data tentang perkembangbiakan tumbuhan dan cara menghasilkan energi listrik.</t>
  </si>
  <si>
    <t>Siswa tidak mampu menyajikan data tentang perkembangbiakan tumbuhan dan cara menghasilkan energi listrik.</t>
  </si>
  <si>
    <t>Siswa sangat mampu menelaah landasan dari dinamika interaksi manusia dengan lingkungan alam, sosial budaya, dan ekonomi</t>
  </si>
  <si>
    <t>Siswa mampu menelaah landasan dari dinamika interaksi manusia dengan lingkungan alam, sosial budaya, dan ekonomi</t>
  </si>
  <si>
    <t>Siswa cukup mampu menelaah landasan dari dinamika interaksi manusia dengan lingkungan alam, sosial budaya, dan ekonomi</t>
  </si>
  <si>
    <t>Siswa tidak mampu menelaah landasan dari dinamika interaksi manusia dengan lingkungan alam, sosial budaya, dan ekonomi</t>
  </si>
  <si>
    <t>Siswa sangat mampu menyajikan hasil telaah mengenai landasan dari dinamika interaksi manusia dengan lingkungan alam, sosial, budaya, dan ekonomi dalam berbagai bentuk (lisan, tulisan, gambar, dan lainnya)</t>
  </si>
  <si>
    <t>Siswa mampu menyajikan hasil telaah mengenai landasan dari dinamika interaksi manusia dengan lingkungan alam, sosial, budaya, dan ekonomi dalam berbagai bentuk (lisan, tulisan, gambar, dan lainnya)</t>
  </si>
  <si>
    <t>Siswa cukup mampu menyajikan hasil telaah mengenai landasan dari dinamika interaksi manusia dengan lingkungan alam, sosial, budaya, dan ekonomi dalam berbagai bentuk (lisan, tulisan, gambar, dan lainnya)</t>
  </si>
  <si>
    <t>Siswa tidak mampu menyajikan hasil telaah mengenai landasan dari dinamika interaksi manusia dengan lingkungan alam, sosial, budaya, dan ekonomi dalam berbagai bentuk (lisan, tulisan, gambar, dan lainnya)</t>
  </si>
  <si>
    <t>Siswa sangat mampu memahami dan mengenal bahan serta alat berikut teknik dan fungsinya dalam membuat karya seni rupa.</t>
  </si>
  <si>
    <t>Siswa mampu memahami dan mengenal bahan serta alat berikut teknik dan fungsinya dalam membuat karya seni rupa.</t>
  </si>
  <si>
    <t>Siswa cukup mampu memahami dan mengenal bahan serta alat berikut teknik dan fungsinya dalam membuat karya seni rupa.</t>
  </si>
  <si>
    <t>Siswa tidak mampu memahami dan mengenal bahan serta alat berikut teknik dan fungsinya dalam membuat karya seni rupa.</t>
  </si>
  <si>
    <t>Siswa sangat mampu menggambar prespektif sederhana dengan menerapkan proporsi dan komposisi berdasarkan hasil pengamatan.</t>
  </si>
  <si>
    <t>Siswa mampu menggambar prespektif sederhana dengan menerapkan proporsi dan komposisi berdasarkan hasil pengamatan.</t>
  </si>
  <si>
    <t>Siswa cukup mampu menggambar prespektif sederhana dengan menerapkan proporsi dan komposisi berdasarkan hasil pengamatan.</t>
  </si>
  <si>
    <t>Siswa tidak mampu menggambar prespektif sederhana dengan menerapkan proporsi dan komposisi berdasarkan hasil pengamatan.</t>
  </si>
  <si>
    <t>Siswa sangat mampu memahami dan mampu mengukur kebugaran jasmani dengan salah satu jenis tes kebugaran</t>
  </si>
  <si>
    <t>Siswa mampu memahami dan mampu mengukur kebugaran jasmani dengan salah satu jenis tes kebugaran</t>
  </si>
  <si>
    <t>Siswa cukup mampu memahami dan mampu mengukur kebugaran jasmani dengan salah satu jenis tes kebugaran</t>
  </si>
  <si>
    <t>Siswa tidak mampu memahami dan mampu mengukur kebugaran jasmani dengan salah satu jenis tes kebugaran</t>
  </si>
  <si>
    <t>Siswa sangat mampu mempraktikkan variasi dan kombinasi gerak dasar atletik jalan, lari, lompat, dan lempar dengan kontrol yang baik melalui permainan dan olahraga atletik dan atau tradisional</t>
  </si>
  <si>
    <t>Siswa mampu mempraktikkan variasi dan kombinasi gerak dasar atletik jalan, lari, lompat, dan lempar dengan kontrol yang baik melalui permainan dan olahraga atletik dan atau tradisional</t>
  </si>
  <si>
    <t>Siswa cukup mampu mempraktikkan variasi dan kombinasi gerak dasar atletik jalan, lari, lompat, dan lempar dengan kontrol yang baik melalui permainan dan olahraga atletik dan atau tradisional</t>
  </si>
  <si>
    <t>Siswa tidak mampu mempraktikkan variasi dan kombinasi gerak dasar atletik jalan, lari, lompat, dan lempar dengan kontrol yang baik melalui permainan dan olahraga atletik dan atau tradisional</t>
  </si>
  <si>
    <t>Siswa sangat mampu memahami cara membaca dan menganalisa penulisan struktur kalimat perbandingan</t>
  </si>
  <si>
    <t>Siswa mampu memahami cara membaca dan menganalisa penulisan struktur kalimat perbandingan</t>
  </si>
  <si>
    <t>Siswa cukup mampu memahami cara membaca dan menganalisa penulisan struktur kalimat perbandingan</t>
  </si>
  <si>
    <t>Siswa tidak mampu memahami cara membaca dan menganalisa penulisan struktur kalimat perbandingan</t>
  </si>
  <si>
    <t>Siswa sangat mampu mengamati, mengolah dan menyajikan struktur penulisan kalimat perbandingan untuk membantu dalam penyajian</t>
  </si>
  <si>
    <t>Siswa mampu mengamati, mengolah dan menyajikan struktur penulisan kalimat perbandingan untuk membantu dalam penyajian</t>
  </si>
  <si>
    <t>Siswa cukup mampu mengamati, mengolah dan menyajikan struktur penulisan kalimat perbandingan untuk membantu dalam penyajian</t>
  </si>
  <si>
    <t>Siswa tidak mampu mengamati, mengolah dan menyajikan struktur penulisan kalimat perbandingan untuk membantu dalam penyajian</t>
  </si>
  <si>
    <t>Siswa sangat mampu memahami penggunaan struktur kalimat pengandaian dengan baik dan benar.</t>
  </si>
  <si>
    <t>Siswa mampu memahami penggunaan struktur kalimat pengandaian dengan baik dan benar.</t>
  </si>
  <si>
    <t>Siswa cukup mampu memahami penggunaan struktur kalimat pengandaian dengan baik dan benar.</t>
  </si>
  <si>
    <t>Siswa tidak mampu memahami penggunaan struktur kalimat pengandaian dengan baik dan benar.</t>
  </si>
  <si>
    <t>Siswa sangat mampu mengungkapkan kalimat pengandaian secara lisan maupun tulisan dengan kosakata yang majemuk untuk membantu penyajian.</t>
  </si>
  <si>
    <t>Siswa mampu mengungkapkan kalimat pengandaian secara lisan maupun tulisan dengan kosakata yang majemuk untuk membantu penyajian.</t>
  </si>
  <si>
    <t>Siswa cukup mampu mengungkapkan kalimat pengandaian secara lisan maupun tulisan dengan kosakata yang majemuk untuk membantu penyajian.</t>
  </si>
  <si>
    <t>Siswa tidak mampu mengungkapkan kalimat pengandaian secara lisan maupun tulisan dengan kosakata yang majemuk untuk membantu penyajian.</t>
  </si>
  <si>
    <t xml:space="preserve">Siswa sangat mampu mengingat dan memahami teknik manipulasi photo yang ada pada program aplikasi adobe photoshop dan teknik kombinasi objek serta gradiasi warna pada program aplikasi adobe illustrator </t>
  </si>
  <si>
    <t xml:space="preserve">Siswa mampu mengingat dan memahami teknik manipulasi photo yang ada pada program aplikasi adobe photoshop dan teknik kombinasi objek serta gradiasi warna pada program aplikasi adobe illustrator </t>
  </si>
  <si>
    <t xml:space="preserve">Siswa cukup mampu mengingat dan memahami teknik manipulasi photo yang ada pada program aplikasi adobe photoshop dan teknik kombinasi objek serta gradiasi warna pada program aplikasi adobe illustrator </t>
  </si>
  <si>
    <t xml:space="preserve">Siswa tidak mampu mengingat dan memahami teknik manipulasi photo yang ada pada program aplikasi adobe photoshop dan teknik kombinasi objek serta gradiasi warna pada program aplikasi adobe illustrator </t>
  </si>
  <si>
    <t>Siswa sangat mampu mengaplikasikan dan menganalisis teknik manipulasi photo yang ada pada program aplikasi adobe photoshop dan teknik kombinasi objek serta gradiasi warna pada program aplikasi adobe illustrator</t>
  </si>
  <si>
    <t>Siswa mampu mengaplikasikan dan menganalisis teknik manipulasi photo yang ada pada program aplikasi adobe photoshop dan teknik kombinasi objek serta gradiasi warna pada program aplikasi adobe illustrator</t>
  </si>
  <si>
    <t>Siswa cukup mampu mengaplikasikan dan menganalisis teknik manipulasi photo yang ada pada program aplikasi adobe photoshop dan teknik kombinasi objek serta gradiasi warna pada program aplikasi adobe illustrator</t>
  </si>
  <si>
    <t>Siswa tidak mampu mengaplikasikan dan menganalisis teknik manipulasi photo yang ada pada program aplikasi adobe photoshop dan teknik kombinasi objek serta gradiasi warna pada program aplikasi adobe illustrator</t>
  </si>
  <si>
    <t>menunjukkan perilaku bertanggungjawab dan rela berkorban dalam keluarga, sekolah dan lingkungan sebagai perwujudan nilai dan moral Pancasila</t>
  </si>
  <si>
    <t>menghargai semangat kebhinnekatunggalikaan dan keragaman agama, suku bangsa, pakaian tradisional, bahasa, rumah adat, makanan khas, dan upacara adat, sosial, dan ekonomi dalam kehidupan bermasyarakat, berbangsa dan bernegara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</si>
</sst>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Red]0.00"/>
    <numFmt numFmtId="165" formatCode="[$-409]d\-mmm\-yy;@"/>
    <numFmt numFmtId="166" formatCode="[$-421]dd\ mmmm\ yyyy;@"/>
    <numFmt numFmtId="167" formatCode="[$-409]dd\-mmm\-yy;@"/>
  </numFmts>
  <fonts count="19" x14ac:knownFonts="1">
    <font>
      <sz val="11"/>
      <color theme="1"/>
      <name val="Calibri"/>
      <family val="2"/>
      <scheme val="minor"/>
    </font>
    <font>
      <b/>
      <sz val="11"/>
      <color theme="1"/>
      <name val="Calibri"/>
      <family val="2"/>
      <scheme val="minor"/>
    </font>
    <font>
      <sz val="11"/>
      <color theme="1"/>
      <name val="Calibri"/>
      <family val="2"/>
      <charset val="1"/>
      <scheme val="minor"/>
    </font>
    <font>
      <b/>
      <sz val="15"/>
      <color theme="1"/>
      <name val="Calibri"/>
      <family val="2"/>
      <scheme val="minor"/>
    </font>
    <font>
      <sz val="10"/>
      <name val="Arial"/>
      <family val="2"/>
    </font>
    <font>
      <sz val="10"/>
      <color indexed="8"/>
      <name val="Arial"/>
      <family val="2"/>
    </font>
    <font>
      <sz val="12"/>
      <color theme="1"/>
      <name val="Calibri"/>
      <family val="2"/>
      <scheme val="minor"/>
    </font>
    <font>
      <b/>
      <sz val="12"/>
      <color theme="1"/>
      <name val="Calibri"/>
      <family val="2"/>
      <scheme val="minor"/>
    </font>
    <font>
      <sz val="15"/>
      <color theme="1"/>
      <name val="Calibri"/>
      <family val="2"/>
      <scheme val="minor"/>
    </font>
    <font>
      <b/>
      <i/>
      <sz val="9"/>
      <color theme="1"/>
      <name val="Times New Roman"/>
      <family val="1"/>
    </font>
    <font>
      <b/>
      <i/>
      <sz val="10"/>
      <color theme="1"/>
      <name val="Times New Roman"/>
      <family val="1"/>
    </font>
    <font>
      <sz val="10"/>
      <color theme="1"/>
      <name val="Arial"/>
      <family val="2"/>
    </font>
    <font>
      <b/>
      <sz val="12"/>
      <color theme="1"/>
      <name val="Bookman Old Style"/>
      <family val="1"/>
    </font>
    <font>
      <sz val="11"/>
      <color theme="1"/>
      <name val="Bookman Old Style"/>
      <family val="1"/>
    </font>
    <font>
      <sz val="12"/>
      <color theme="1"/>
      <name val="Bookman Old Style"/>
      <family val="1"/>
    </font>
    <font>
      <sz val="12"/>
      <name val="Bookman Old Style"/>
      <family val="1"/>
    </font>
    <font>
      <sz val="12"/>
      <color indexed="8"/>
      <name val="Bookman Old Style"/>
      <family val="1"/>
    </font>
    <font>
      <sz val="11"/>
      <color theme="0"/>
      <name val="Calibri"/>
      <family val="2"/>
      <scheme val="minor"/>
    </font>
    <font>
      <b/>
      <sz val="15"/>
      <color theme="1"/>
      <name val="Bookman Old Style"/>
      <family val="1"/>
    </font>
  </fonts>
  <fills count="8">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5"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cellStyleXfs>
  <cellXfs count="148">
    <xf numFmtId="0" fontId="0" fillId="0" borderId="0" xfId="0"/>
    <xf numFmtId="0" fontId="1" fillId="0" borderId="0" xfId="0" applyFont="1"/>
    <xf numFmtId="0" fontId="1" fillId="3"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xf numFmtId="164" fontId="1" fillId="0" borderId="1" xfId="0" applyNumberFormat="1"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4" fillId="0" borderId="1" xfId="1" applyFont="1" applyFill="1" applyBorder="1" applyAlignment="1">
      <alignment vertical="center"/>
    </xf>
    <xf numFmtId="0" fontId="5" fillId="0" borderId="1" xfId="1" applyFont="1" applyFill="1" applyBorder="1" applyAlignment="1">
      <alignment vertical="center"/>
    </xf>
    <xf numFmtId="0" fontId="2" fillId="0" borderId="1" xfId="1" applyFont="1" applyFill="1" applyBorder="1" applyAlignment="1">
      <alignment vertical="center"/>
    </xf>
    <xf numFmtId="0" fontId="4" fillId="0" borderId="1" xfId="1" applyFont="1" applyBorder="1" applyAlignment="1">
      <alignment vertical="center"/>
    </xf>
    <xf numFmtId="0" fontId="5" fillId="4" borderId="1" xfId="1" applyFont="1" applyFill="1" applyBorder="1" applyAlignment="1">
      <alignment vertical="center"/>
    </xf>
    <xf numFmtId="164" fontId="1" fillId="5" borderId="1" xfId="0" applyNumberFormat="1" applyFont="1" applyFill="1" applyBorder="1" applyAlignment="1">
      <alignment horizontal="center" vertical="center"/>
    </xf>
    <xf numFmtId="0" fontId="3" fillId="0" borderId="0" xfId="0" applyFont="1" applyAlignment="1">
      <alignment horizontal="center" vertical="center"/>
    </xf>
    <xf numFmtId="0" fontId="1" fillId="6" borderId="1" xfId="0" applyFont="1" applyFill="1" applyBorder="1" applyAlignment="1">
      <alignment horizontal="center" vertical="center"/>
    </xf>
    <xf numFmtId="0" fontId="1" fillId="0" borderId="0" xfId="0" applyFont="1" applyAlignment="1">
      <alignment horizontal="left"/>
    </xf>
    <xf numFmtId="0" fontId="6" fillId="0" borderId="0" xfId="0" applyFont="1" applyAlignment="1">
      <alignment vertical="center"/>
    </xf>
    <xf numFmtId="0" fontId="3" fillId="0" borderId="0" xfId="0" applyFont="1" applyAlignment="1">
      <alignment horizontal="center" vertical="center"/>
    </xf>
    <xf numFmtId="0" fontId="1" fillId="2" borderId="1" xfId="0" applyFont="1" applyFill="1" applyBorder="1" applyAlignment="1">
      <alignment horizontal="center" vertical="center"/>
    </xf>
    <xf numFmtId="0" fontId="8" fillId="0" borderId="0" xfId="0" applyFont="1"/>
    <xf numFmtId="0" fontId="3" fillId="0" borderId="0" xfId="0" applyFont="1"/>
    <xf numFmtId="0" fontId="3" fillId="0" borderId="0" xfId="0" applyFont="1" applyBorder="1" applyAlignment="1">
      <alignment horizontal="center" vertical="center"/>
    </xf>
    <xf numFmtId="0" fontId="6" fillId="0" borderId="0" xfId="0" applyFont="1" applyBorder="1" applyAlignment="1">
      <alignment horizontal="left" vertical="center"/>
    </xf>
    <xf numFmtId="0" fontId="6" fillId="0" borderId="0" xfId="0" applyFont="1" applyBorder="1" applyAlignment="1">
      <alignment horizontal="right" vertical="center"/>
    </xf>
    <xf numFmtId="0" fontId="0" fillId="5" borderId="1" xfId="0" applyFill="1"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6" fillId="0" borderId="1" xfId="0" applyFont="1" applyBorder="1" applyAlignment="1" applyProtection="1">
      <alignment horizontal="left" vertical="center"/>
      <protection locked="0"/>
    </xf>
    <xf numFmtId="166" fontId="6" fillId="0" borderId="1" xfId="0" applyNumberFormat="1" applyFont="1" applyBorder="1" applyAlignment="1" applyProtection="1">
      <alignment horizontal="left" vertical="center"/>
      <protection locked="0"/>
    </xf>
    <xf numFmtId="0" fontId="0" fillId="0" borderId="0" xfId="0" applyFill="1" applyProtection="1"/>
    <xf numFmtId="0" fontId="3" fillId="0" borderId="0" xfId="0" applyFont="1" applyFill="1" applyAlignment="1" applyProtection="1">
      <alignment horizontal="center" vertical="center"/>
    </xf>
    <xf numFmtId="0" fontId="0" fillId="0" borderId="0" xfId="0" applyFont="1" applyFill="1" applyProtection="1"/>
    <xf numFmtId="0" fontId="0" fillId="0" borderId="0" xfId="0" applyFont="1" applyFill="1" applyAlignment="1" applyProtection="1">
      <alignment horizontal="right" vertical="center"/>
    </xf>
    <xf numFmtId="0" fontId="0" fillId="0" borderId="0" xfId="0" applyFont="1" applyFill="1" applyAlignment="1" applyProtection="1">
      <alignment horizontal="left" vertical="center"/>
    </xf>
    <xf numFmtId="0" fontId="0" fillId="0" borderId="0" xfId="0" applyFont="1" applyFill="1" applyAlignment="1" applyProtection="1">
      <alignment horizontal="left" vertical="top"/>
    </xf>
    <xf numFmtId="0" fontId="0" fillId="0" borderId="0" xfId="0" applyFont="1" applyFill="1" applyAlignment="1" applyProtection="1">
      <alignment horizontal="left" vertical="top" wrapText="1"/>
    </xf>
    <xf numFmtId="0" fontId="1" fillId="0" borderId="0" xfId="0" applyFont="1" applyFill="1" applyAlignment="1" applyProtection="1">
      <alignment horizontal="left" vertical="top"/>
    </xf>
    <xf numFmtId="0" fontId="0" fillId="0" borderId="0" xfId="0" applyFont="1" applyFill="1" applyBorder="1" applyAlignment="1" applyProtection="1">
      <alignment horizontal="left"/>
    </xf>
    <xf numFmtId="0" fontId="0" fillId="0" borderId="0" xfId="0" applyFont="1" applyFill="1" applyBorder="1" applyAlignment="1" applyProtection="1">
      <alignment horizontal="center" vertical="top" wrapText="1"/>
    </xf>
    <xf numFmtId="0" fontId="1" fillId="0" borderId="0" xfId="0" applyFont="1" applyFill="1" applyBorder="1" applyAlignment="1" applyProtection="1">
      <alignment horizontal="left"/>
    </xf>
    <xf numFmtId="0" fontId="1" fillId="0" borderId="0" xfId="0" applyFont="1" applyFill="1" applyBorder="1" applyAlignment="1" applyProtection="1">
      <alignment horizontal="center" vertical="top" wrapText="1"/>
    </xf>
    <xf numFmtId="0" fontId="0" fillId="0" borderId="0" xfId="0" applyFont="1" applyFill="1" applyAlignment="1" applyProtection="1">
      <alignment horizontal="left"/>
    </xf>
    <xf numFmtId="1" fontId="1" fillId="0" borderId="1" xfId="0" applyNumberFormat="1" applyFont="1" applyFill="1" applyBorder="1" applyAlignment="1" applyProtection="1">
      <alignment horizontal="center" vertical="center"/>
    </xf>
    <xf numFmtId="0" fontId="0" fillId="0" borderId="1" xfId="0" applyFont="1" applyFill="1" applyBorder="1" applyAlignment="1" applyProtection="1">
      <alignment horizontal="center" vertical="center" wrapText="1"/>
    </xf>
    <xf numFmtId="0" fontId="0" fillId="0" borderId="1" xfId="0" applyFont="1" applyFill="1" applyBorder="1" applyAlignment="1" applyProtection="1">
      <alignment vertical="center" wrapText="1"/>
    </xf>
    <xf numFmtId="0" fontId="0" fillId="0" borderId="7" xfId="0" applyFont="1" applyFill="1" applyBorder="1" applyAlignment="1" applyProtection="1">
      <alignment horizontal="center" vertical="center" wrapText="1"/>
    </xf>
    <xf numFmtId="1" fontId="0" fillId="0" borderId="1" xfId="0" applyNumberFormat="1" applyFont="1" applyFill="1" applyBorder="1" applyAlignment="1" applyProtection="1">
      <alignment horizontal="left" vertical="center" wrapText="1"/>
    </xf>
    <xf numFmtId="0" fontId="0" fillId="0" borderId="1" xfId="0" applyFont="1" applyFill="1" applyBorder="1" applyAlignment="1" applyProtection="1">
      <alignment horizontal="center" vertical="center"/>
    </xf>
    <xf numFmtId="0" fontId="1" fillId="0" borderId="1" xfId="0" applyFont="1" applyFill="1" applyBorder="1" applyAlignment="1" applyProtection="1">
      <alignment horizontal="center" vertical="center"/>
    </xf>
    <xf numFmtId="0" fontId="1" fillId="0" borderId="1" xfId="0" applyFont="1" applyFill="1" applyBorder="1" applyAlignment="1" applyProtection="1">
      <alignment vertical="center"/>
    </xf>
    <xf numFmtId="0" fontId="7" fillId="0" borderId="0" xfId="0" applyFont="1" applyFill="1" applyAlignment="1" applyProtection="1">
      <alignment horizontal="left" vertical="top"/>
    </xf>
    <xf numFmtId="0" fontId="6" fillId="0" borderId="0" xfId="0" applyFont="1" applyFill="1" applyAlignment="1" applyProtection="1">
      <alignment horizontal="right" vertical="center"/>
    </xf>
    <xf numFmtId="0" fontId="6" fillId="0" borderId="0" xfId="0" applyFont="1" applyFill="1" applyAlignment="1" applyProtection="1">
      <alignment horizontal="left" vertical="top" wrapText="1"/>
    </xf>
    <xf numFmtId="0" fontId="6" fillId="0" borderId="0" xfId="0" applyFont="1" applyFill="1" applyAlignment="1" applyProtection="1">
      <alignment horizontal="left" vertical="center"/>
    </xf>
    <xf numFmtId="0" fontId="0" fillId="0" borderId="0" xfId="0" applyFill="1" applyAlignment="1" applyProtection="1">
      <alignment horizontal="center" vertical="center"/>
    </xf>
    <xf numFmtId="0" fontId="1" fillId="0" borderId="0" xfId="0" applyFont="1" applyFill="1" applyAlignment="1" applyProtection="1">
      <alignment horizontal="center" vertical="center"/>
    </xf>
    <xf numFmtId="0" fontId="0" fillId="0" borderId="1" xfId="0" applyBorder="1" applyAlignment="1" applyProtection="1">
      <alignment vertical="center" wrapText="1"/>
      <protection locked="0"/>
    </xf>
    <xf numFmtId="0" fontId="0" fillId="0" borderId="1" xfId="0" applyFont="1" applyBorder="1" applyAlignment="1" applyProtection="1">
      <alignment horizontal="left" vertical="center" wrapText="1"/>
    </xf>
    <xf numFmtId="166" fontId="0" fillId="0" borderId="0" xfId="0" applyNumberFormat="1" applyFill="1" applyProtection="1"/>
    <xf numFmtId="166" fontId="0" fillId="0" borderId="0" xfId="0" applyNumberFormat="1" applyFill="1" applyAlignment="1" applyProtection="1">
      <alignment horizontal="right"/>
    </xf>
    <xf numFmtId="166" fontId="0" fillId="0" borderId="0" xfId="0" applyNumberFormat="1" applyFill="1" applyAlignment="1" applyProtection="1">
      <alignment horizontal="left"/>
    </xf>
    <xf numFmtId="0" fontId="9" fillId="0" borderId="0" xfId="0" applyFont="1"/>
    <xf numFmtId="0" fontId="10" fillId="0" borderId="0" xfId="0" applyFont="1"/>
    <xf numFmtId="0" fontId="11" fillId="0" borderId="1" xfId="0" applyFont="1" applyFill="1" applyBorder="1"/>
    <xf numFmtId="0" fontId="4" fillId="0" borderId="1" xfId="0" applyFont="1" applyFill="1" applyBorder="1"/>
    <xf numFmtId="0" fontId="0" fillId="0" borderId="1" xfId="0" applyFill="1" applyBorder="1"/>
    <xf numFmtId="167" fontId="11" fillId="0" borderId="1" xfId="0" applyNumberFormat="1" applyFont="1" applyFill="1" applyBorder="1"/>
    <xf numFmtId="0" fontId="6" fillId="0" borderId="1" xfId="0" applyFont="1" applyBorder="1" applyAlignment="1" applyProtection="1">
      <alignment horizontal="left" vertical="center"/>
      <protection locked="0"/>
    </xf>
    <xf numFmtId="0" fontId="1" fillId="0" borderId="1" xfId="0" applyFont="1" applyFill="1" applyBorder="1" applyAlignment="1" applyProtection="1">
      <alignment horizontal="center" vertical="center"/>
    </xf>
    <xf numFmtId="0" fontId="0" fillId="0" borderId="1" xfId="0" applyFont="1" applyBorder="1"/>
    <xf numFmtId="0" fontId="13" fillId="0" borderId="0" xfId="0" applyFont="1"/>
    <xf numFmtId="0" fontId="14" fillId="0" borderId="1" xfId="0" applyFont="1" applyBorder="1" applyAlignment="1">
      <alignment horizontal="center" vertical="center"/>
    </xf>
    <xf numFmtId="0" fontId="15" fillId="0" borderId="1" xfId="1" applyFont="1" applyFill="1" applyBorder="1" applyAlignment="1">
      <alignment vertical="center" wrapText="1"/>
    </xf>
    <xf numFmtId="0" fontId="14" fillId="0" borderId="1" xfId="0" applyFont="1" applyBorder="1" applyAlignment="1">
      <alignment horizontal="left" vertical="center" wrapText="1"/>
    </xf>
    <xf numFmtId="0" fontId="16" fillId="0" borderId="1" xfId="1" applyFont="1" applyFill="1" applyBorder="1" applyAlignment="1">
      <alignment vertical="center" wrapText="1"/>
    </xf>
    <xf numFmtId="0" fontId="14" fillId="0" borderId="1" xfId="1" applyFont="1" applyFill="1" applyBorder="1" applyAlignment="1">
      <alignment vertical="center" wrapText="1"/>
    </xf>
    <xf numFmtId="0" fontId="15" fillId="0" borderId="1" xfId="1" applyFont="1" applyBorder="1" applyAlignment="1">
      <alignment vertical="center" wrapText="1"/>
    </xf>
    <xf numFmtId="1" fontId="0" fillId="0" borderId="1" xfId="0" applyNumberFormat="1" applyFont="1" applyFill="1" applyBorder="1" applyAlignment="1" applyProtection="1">
      <alignment horizontal="center" vertical="center" wrapText="1"/>
    </xf>
    <xf numFmtId="1" fontId="0" fillId="0" borderId="1" xfId="0" applyNumberFormat="1" applyFont="1" applyFill="1" applyBorder="1" applyAlignment="1" applyProtection="1">
      <alignment horizontal="center" vertical="center"/>
    </xf>
    <xf numFmtId="0" fontId="17" fillId="0" borderId="0" xfId="0" applyFont="1" applyFill="1" applyAlignment="1" applyProtection="1">
      <alignment horizontal="left" vertical="top" wrapText="1"/>
    </xf>
    <xf numFmtId="0" fontId="12" fillId="0" borderId="1" xfId="0" applyFont="1" applyBorder="1" applyAlignment="1">
      <alignment horizontal="center" vertical="center"/>
    </xf>
    <xf numFmtId="0" fontId="3" fillId="0" borderId="0" xfId="0" applyFont="1" applyAlignment="1">
      <alignment horizontal="center"/>
    </xf>
    <xf numFmtId="0" fontId="1" fillId="0" borderId="0" xfId="0" applyFont="1" applyAlignment="1">
      <alignment horizontal="left"/>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7" borderId="6" xfId="0" applyFont="1" applyFill="1" applyBorder="1" applyAlignment="1">
      <alignment horizontal="center" vertical="center"/>
    </xf>
    <xf numFmtId="0" fontId="1" fillId="7" borderId="8" xfId="0" applyFont="1" applyFill="1" applyBorder="1" applyAlignment="1">
      <alignment horizontal="center" vertical="center"/>
    </xf>
    <xf numFmtId="0" fontId="1" fillId="7" borderId="7" xfId="0" applyFont="1" applyFill="1" applyBorder="1" applyAlignment="1">
      <alignment horizontal="center" vertical="center"/>
    </xf>
    <xf numFmtId="0" fontId="1" fillId="7"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7" borderId="2" xfId="0" applyFont="1" applyFill="1" applyBorder="1" applyAlignment="1">
      <alignment horizontal="center" vertical="center"/>
    </xf>
    <xf numFmtId="0" fontId="1" fillId="7" borderId="4"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7" borderId="3" xfId="0" applyFont="1" applyFill="1" applyBorder="1" applyAlignment="1">
      <alignment horizontal="center" vertical="center"/>
    </xf>
    <xf numFmtId="0" fontId="6" fillId="0" borderId="2" xfId="0" applyFont="1" applyBorder="1" applyAlignment="1" applyProtection="1">
      <alignment horizontal="left" vertical="center"/>
      <protection locked="0"/>
    </xf>
    <xf numFmtId="0" fontId="6" fillId="0" borderId="4" xfId="0" applyFont="1" applyBorder="1" applyAlignment="1" applyProtection="1">
      <alignment horizontal="left" vertical="center"/>
      <protection locked="0"/>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6" fillId="0" borderId="1" xfId="0" applyFont="1" applyBorder="1" applyAlignment="1" applyProtection="1">
      <alignment horizontal="left" vertical="center"/>
      <protection locked="0"/>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1" fillId="0" borderId="7" xfId="0" applyFont="1" applyBorder="1" applyAlignment="1">
      <alignment horizontal="center" vertical="center"/>
    </xf>
    <xf numFmtId="0" fontId="3" fillId="0" borderId="0" xfId="0" applyFont="1" applyAlignment="1">
      <alignment horizontal="center" vertical="center"/>
    </xf>
    <xf numFmtId="164" fontId="1" fillId="2" borderId="1" xfId="0" applyNumberFormat="1" applyFont="1" applyFill="1" applyBorder="1" applyAlignment="1">
      <alignment horizontal="center" vertical="center"/>
    </xf>
    <xf numFmtId="165" fontId="6" fillId="0" borderId="0" xfId="0" applyNumberFormat="1" applyFont="1" applyBorder="1" applyAlignment="1">
      <alignment horizontal="left" vertical="center"/>
    </xf>
    <xf numFmtId="0" fontId="6" fillId="0" borderId="0" xfId="0" applyFont="1" applyBorder="1" applyAlignment="1">
      <alignment horizontal="left" vertical="center"/>
    </xf>
    <xf numFmtId="0" fontId="0" fillId="0" borderId="1" xfId="0" applyFill="1" applyBorder="1" applyAlignment="1" applyProtection="1">
      <alignment horizontal="left"/>
    </xf>
    <xf numFmtId="0" fontId="1" fillId="0" borderId="0" xfId="0" applyFont="1" applyFill="1" applyAlignment="1" applyProtection="1">
      <alignment horizontal="center" vertical="center"/>
    </xf>
    <xf numFmtId="0" fontId="0" fillId="0" borderId="0" xfId="0" applyFill="1" applyAlignment="1" applyProtection="1">
      <alignment horizontal="center" vertical="center"/>
    </xf>
    <xf numFmtId="0" fontId="0" fillId="0" borderId="1" xfId="0" applyFill="1" applyBorder="1" applyAlignment="1" applyProtection="1">
      <alignment horizontal="center"/>
    </xf>
    <xf numFmtId="0" fontId="1" fillId="0" borderId="1" xfId="0" applyFont="1" applyFill="1" applyBorder="1" applyAlignment="1" applyProtection="1">
      <alignment horizontal="center" vertical="center"/>
    </xf>
    <xf numFmtId="0" fontId="0" fillId="0" borderId="1" xfId="0" applyFont="1" applyFill="1" applyBorder="1" applyAlignment="1" applyProtection="1">
      <alignment horizontal="left"/>
    </xf>
    <xf numFmtId="0" fontId="0" fillId="0" borderId="1" xfId="0" applyFont="1" applyFill="1" applyBorder="1" applyAlignment="1" applyProtection="1">
      <alignment horizontal="center"/>
    </xf>
    <xf numFmtId="0" fontId="0" fillId="0" borderId="9" xfId="0" applyFont="1" applyFill="1" applyBorder="1" applyAlignment="1" applyProtection="1">
      <alignment horizontal="left" vertical="center"/>
    </xf>
    <xf numFmtId="0" fontId="0" fillId="0" borderId="10" xfId="0" applyFont="1" applyFill="1" applyBorder="1" applyAlignment="1" applyProtection="1">
      <alignment horizontal="left" vertical="center"/>
    </xf>
    <xf numFmtId="0" fontId="0" fillId="0" borderId="11" xfId="0" applyFont="1" applyFill="1" applyBorder="1" applyAlignment="1" applyProtection="1">
      <alignment horizontal="left" vertical="center"/>
    </xf>
    <xf numFmtId="0" fontId="0" fillId="0" borderId="12" xfId="0" applyFont="1" applyFill="1" applyBorder="1" applyAlignment="1" applyProtection="1">
      <alignment horizontal="left" vertical="center"/>
    </xf>
    <xf numFmtId="0" fontId="0" fillId="0" borderId="5" xfId="0" applyFont="1" applyFill="1" applyBorder="1" applyAlignment="1" applyProtection="1">
      <alignment horizontal="left" vertical="center"/>
    </xf>
    <xf numFmtId="0" fontId="0" fillId="0" borderId="13" xfId="0" applyFont="1" applyFill="1" applyBorder="1" applyAlignment="1" applyProtection="1">
      <alignment horizontal="left" vertical="center"/>
    </xf>
    <xf numFmtId="0" fontId="1" fillId="0" borderId="2" xfId="0" applyFont="1" applyFill="1" applyBorder="1" applyAlignment="1" applyProtection="1">
      <alignment horizontal="center" vertical="center" wrapText="1"/>
    </xf>
    <xf numFmtId="0" fontId="1" fillId="0" borderId="3" xfId="0" applyFont="1" applyFill="1" applyBorder="1" applyAlignment="1" applyProtection="1">
      <alignment horizontal="center" vertical="center" wrapText="1"/>
    </xf>
    <xf numFmtId="0" fontId="1" fillId="0" borderId="4" xfId="0" applyFont="1" applyFill="1" applyBorder="1" applyAlignment="1" applyProtection="1">
      <alignment horizontal="center" vertical="center" wrapText="1"/>
    </xf>
    <xf numFmtId="1" fontId="1" fillId="0" borderId="1" xfId="0" applyNumberFormat="1" applyFont="1" applyFill="1" applyBorder="1" applyAlignment="1" applyProtection="1">
      <alignment horizontal="center" vertical="center" wrapText="1"/>
    </xf>
    <xf numFmtId="1" fontId="1" fillId="0" borderId="1" xfId="0" applyNumberFormat="1" applyFont="1" applyFill="1" applyBorder="1" applyAlignment="1" applyProtection="1">
      <alignment horizontal="center" vertical="center"/>
    </xf>
    <xf numFmtId="1" fontId="1" fillId="0" borderId="2" xfId="0" applyNumberFormat="1" applyFont="1" applyFill="1" applyBorder="1" applyAlignment="1" applyProtection="1">
      <alignment horizontal="center" vertical="center"/>
    </xf>
    <xf numFmtId="1" fontId="1" fillId="0" borderId="3" xfId="0" applyNumberFormat="1" applyFont="1" applyFill="1" applyBorder="1" applyAlignment="1" applyProtection="1">
      <alignment horizontal="center" vertical="center"/>
    </xf>
    <xf numFmtId="1" fontId="1" fillId="0" borderId="4" xfId="0" applyNumberFormat="1" applyFont="1" applyFill="1" applyBorder="1" applyAlignment="1" applyProtection="1">
      <alignment horizontal="center" vertical="center"/>
    </xf>
    <xf numFmtId="0" fontId="0" fillId="0" borderId="6" xfId="0" applyFont="1" applyFill="1" applyBorder="1" applyAlignment="1" applyProtection="1">
      <alignment horizontal="center" vertical="center" wrapText="1"/>
    </xf>
    <xf numFmtId="0" fontId="0" fillId="0" borderId="8" xfId="0" applyFont="1" applyFill="1" applyBorder="1" applyAlignment="1" applyProtection="1">
      <alignment horizontal="center" vertical="center" wrapText="1"/>
    </xf>
    <xf numFmtId="0" fontId="0" fillId="0" borderId="7" xfId="0" applyFont="1" applyFill="1" applyBorder="1" applyAlignment="1" applyProtection="1">
      <alignment horizontal="center" vertical="center" wrapText="1"/>
    </xf>
    <xf numFmtId="0" fontId="3" fillId="0" borderId="0" xfId="0" applyFont="1" applyFill="1" applyAlignment="1" applyProtection="1">
      <alignment horizontal="center" vertical="center"/>
    </xf>
    <xf numFmtId="0" fontId="0" fillId="0" borderId="0" xfId="0" applyFont="1" applyFill="1" applyAlignment="1" applyProtection="1">
      <alignment horizontal="left" vertical="center"/>
    </xf>
    <xf numFmtId="0" fontId="0" fillId="0" borderId="0" xfId="0" applyFont="1" applyFill="1" applyAlignment="1" applyProtection="1">
      <alignment horizontal="left" vertical="top"/>
    </xf>
    <xf numFmtId="0" fontId="0" fillId="0" borderId="0" xfId="0" applyFill="1" applyAlignment="1" applyProtection="1">
      <alignment horizontal="left" vertical="center"/>
      <protection locked="0"/>
    </xf>
    <xf numFmtId="0" fontId="0" fillId="0" borderId="0" xfId="0" applyFont="1" applyFill="1" applyAlignment="1" applyProtection="1">
      <alignment horizontal="left" vertical="center"/>
      <protection locked="0"/>
    </xf>
    <xf numFmtId="0" fontId="0" fillId="0" borderId="0" xfId="0" applyFont="1" applyFill="1" applyAlignment="1" applyProtection="1">
      <alignment horizontal="left" vertical="top" wrapText="1"/>
    </xf>
    <xf numFmtId="0" fontId="0" fillId="0" borderId="2" xfId="0" applyFont="1" applyFill="1" applyBorder="1" applyAlignment="1" applyProtection="1">
      <alignment horizontal="left" vertical="center"/>
    </xf>
    <xf numFmtId="0" fontId="0" fillId="0" borderId="4" xfId="0" applyFont="1" applyFill="1" applyBorder="1" applyAlignment="1" applyProtection="1">
      <alignment horizontal="left" vertical="center"/>
    </xf>
    <xf numFmtId="0" fontId="0" fillId="0" borderId="2" xfId="0" applyFont="1" applyFill="1" applyBorder="1" applyAlignment="1" applyProtection="1">
      <alignment horizontal="left" vertical="center" wrapText="1"/>
    </xf>
    <xf numFmtId="0" fontId="0" fillId="0" borderId="3" xfId="0" applyFont="1" applyFill="1" applyBorder="1" applyAlignment="1" applyProtection="1">
      <alignment horizontal="left" vertical="center" wrapText="1"/>
    </xf>
    <xf numFmtId="0" fontId="0" fillId="0" borderId="4" xfId="0" applyFont="1" applyFill="1" applyBorder="1" applyAlignment="1" applyProtection="1">
      <alignment horizontal="left" vertical="center" wrapText="1"/>
    </xf>
    <xf numFmtId="0" fontId="18" fillId="0" borderId="5" xfId="0" applyFont="1" applyBorder="1" applyAlignment="1">
      <alignment horizontal="left" vertical="center"/>
    </xf>
    <xf numFmtId="0" fontId="12" fillId="0" borderId="10" xfId="0" applyFont="1" applyBorder="1" applyAlignment="1">
      <alignment horizontal="center" vertical="center"/>
    </xf>
    <xf numFmtId="0" fontId="18" fillId="0" borderId="3" xfId="0" applyFont="1" applyBorder="1" applyAlignment="1">
      <alignment horizontal="center" vertical="center"/>
    </xf>
    <xf numFmtId="0" fontId="18" fillId="0" borderId="0" xfId="0" applyFont="1" applyBorder="1" applyAlignment="1">
      <alignment horizontal="center" vertical="center"/>
    </xf>
    <xf numFmtId="0" fontId="12" fillId="0" borderId="5" xfId="0" applyFont="1" applyBorder="1" applyAlignment="1">
      <alignment horizontal="center" vertical="center"/>
    </xf>
  </cellXfs>
  <cellStyles count="2">
    <cellStyle name="Normal" xfId="0" builtinId="0"/>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Master Subject'!A1"/><Relationship Id="rId7" Type="http://schemas.openxmlformats.org/officeDocument/2006/relationships/hyperlink" Target="#'Final Report'!A1"/><Relationship Id="rId12"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hyperlink" Target="#'Master Student'!A1"/><Relationship Id="rId6" Type="http://schemas.openxmlformats.org/officeDocument/2006/relationships/image" Target="../media/image3.png"/><Relationship Id="rId11" Type="http://schemas.openxmlformats.org/officeDocument/2006/relationships/hyperlink" Target="#'Master Data'!A1"/><Relationship Id="rId5" Type="http://schemas.openxmlformats.org/officeDocument/2006/relationships/hyperlink" Target="#'Master Grade'!A1"/><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hyperlink" Target="User%20Guide%20Rapor%20K13.mp4"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hyperlink" Target="#'Master Subject'!A1"/><Relationship Id="rId7" Type="http://schemas.openxmlformats.org/officeDocument/2006/relationships/hyperlink" Target="#'Master Grade'!A1"/><Relationship Id="rId12"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png"/><Relationship Id="rId11" Type="http://schemas.openxmlformats.org/officeDocument/2006/relationships/hyperlink" Target="#'Master Data'!A1"/><Relationship Id="rId5" Type="http://schemas.openxmlformats.org/officeDocument/2006/relationships/hyperlink" Target="#'Master Student'!A1"/><Relationship Id="rId10" Type="http://schemas.openxmlformats.org/officeDocument/2006/relationships/image" Target="../media/image11.png"/><Relationship Id="rId4" Type="http://schemas.openxmlformats.org/officeDocument/2006/relationships/image" Target="../media/image8.png"/><Relationship Id="rId9" Type="http://schemas.openxmlformats.org/officeDocument/2006/relationships/hyperlink" Target="#'Final Report'!A1"/></Relationships>
</file>

<file path=xl/drawings/_rels/drawing3.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hyperlink" Target="#'Master Subject'!A1"/><Relationship Id="rId7" Type="http://schemas.openxmlformats.org/officeDocument/2006/relationships/hyperlink" Target="#'Master Grade'!A1"/><Relationship Id="rId12"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png"/><Relationship Id="rId11" Type="http://schemas.openxmlformats.org/officeDocument/2006/relationships/hyperlink" Target="#'Master Data'!A1"/><Relationship Id="rId5" Type="http://schemas.openxmlformats.org/officeDocument/2006/relationships/hyperlink" Target="#'Master Student'!A1"/><Relationship Id="rId10" Type="http://schemas.openxmlformats.org/officeDocument/2006/relationships/image" Target="../media/image11.png"/><Relationship Id="rId4" Type="http://schemas.openxmlformats.org/officeDocument/2006/relationships/image" Target="../media/image8.png"/><Relationship Id="rId9" Type="http://schemas.openxmlformats.org/officeDocument/2006/relationships/hyperlink" Target="#'Final Report'!A1"/></Relationships>
</file>

<file path=xl/drawings/_rels/drawing4.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hyperlink" Target="#'Master Subject'!A1"/><Relationship Id="rId7" Type="http://schemas.openxmlformats.org/officeDocument/2006/relationships/hyperlink" Target="#'Master Grade'!A1"/><Relationship Id="rId12"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png"/><Relationship Id="rId11" Type="http://schemas.openxmlformats.org/officeDocument/2006/relationships/hyperlink" Target="#'Master Data'!A1"/><Relationship Id="rId5" Type="http://schemas.openxmlformats.org/officeDocument/2006/relationships/hyperlink" Target="#'Master Student'!A1"/><Relationship Id="rId10" Type="http://schemas.openxmlformats.org/officeDocument/2006/relationships/image" Target="../media/image11.png"/><Relationship Id="rId4" Type="http://schemas.openxmlformats.org/officeDocument/2006/relationships/image" Target="../media/image8.png"/><Relationship Id="rId9" Type="http://schemas.openxmlformats.org/officeDocument/2006/relationships/hyperlink" Target="#'Final Report'!A1"/></Relationships>
</file>

<file path=xl/drawings/_rels/drawing5.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hyperlink" Target="#'Master Subject'!A1"/><Relationship Id="rId7" Type="http://schemas.openxmlformats.org/officeDocument/2006/relationships/hyperlink" Target="#'Master Grade'!A1"/><Relationship Id="rId12"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png"/><Relationship Id="rId11" Type="http://schemas.openxmlformats.org/officeDocument/2006/relationships/hyperlink" Target="#'Master Data'!A1"/><Relationship Id="rId5" Type="http://schemas.openxmlformats.org/officeDocument/2006/relationships/hyperlink" Target="#'Master Student'!A1"/><Relationship Id="rId10" Type="http://schemas.openxmlformats.org/officeDocument/2006/relationships/image" Target="../media/image11.png"/><Relationship Id="rId4" Type="http://schemas.openxmlformats.org/officeDocument/2006/relationships/image" Target="../media/image8.png"/><Relationship Id="rId9" Type="http://schemas.openxmlformats.org/officeDocument/2006/relationships/hyperlink" Target="#'Final Report'!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2</xdr:col>
      <xdr:colOff>285750</xdr:colOff>
      <xdr:row>1</xdr:row>
      <xdr:rowOff>1</xdr:rowOff>
    </xdr:from>
    <xdr:to>
      <xdr:col>17</xdr:col>
      <xdr:colOff>276225</xdr:colOff>
      <xdr:row>21</xdr:row>
      <xdr:rowOff>47625</xdr:rowOff>
    </xdr:to>
    <xdr:sp macro="" textlink="">
      <xdr:nvSpPr>
        <xdr:cNvPr id="2" name="Rounded Rectangle 1"/>
        <xdr:cNvSpPr/>
      </xdr:nvSpPr>
      <xdr:spPr>
        <a:xfrm>
          <a:off x="1504950" y="190501"/>
          <a:ext cx="9134475" cy="3857624"/>
        </a:xfrm>
        <a:prstGeom prst="round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solidFill>
              <a:schemeClr val="bg1">
                <a:lumMod val="95000"/>
              </a:schemeClr>
            </a:solidFill>
          </a:endParaRPr>
        </a:p>
      </xdr:txBody>
    </xdr:sp>
    <xdr:clientData/>
  </xdr:twoCellAnchor>
  <xdr:twoCellAnchor>
    <xdr:from>
      <xdr:col>3</xdr:col>
      <xdr:colOff>514350</xdr:colOff>
      <xdr:row>2</xdr:row>
      <xdr:rowOff>73800</xdr:rowOff>
    </xdr:from>
    <xdr:to>
      <xdr:col>6</xdr:col>
      <xdr:colOff>323850</xdr:colOff>
      <xdr:row>10</xdr:row>
      <xdr:rowOff>95250</xdr:rowOff>
    </xdr:to>
    <xdr:grpSp>
      <xdr:nvGrpSpPr>
        <xdr:cNvPr id="8" name="Group 7"/>
        <xdr:cNvGrpSpPr/>
      </xdr:nvGrpSpPr>
      <xdr:grpSpPr>
        <a:xfrm>
          <a:off x="2353089" y="454800"/>
          <a:ext cx="1648239" cy="1545450"/>
          <a:chOff x="2095500" y="1407300"/>
          <a:chExt cx="1638300" cy="1545450"/>
        </a:xfrm>
      </xdr:grpSpPr>
      <xdr:pic>
        <xdr:nvPicPr>
          <xdr:cNvPr id="5" name="Picture 4">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38151" y="1407300"/>
            <a:ext cx="1227304" cy="1227304"/>
          </a:xfrm>
          <a:prstGeom prst="rect">
            <a:avLst/>
          </a:prstGeom>
        </xdr:spPr>
      </xdr:pic>
      <xdr:sp macro="" textlink="">
        <xdr:nvSpPr>
          <xdr:cNvPr id="7" name="Rectangle 6"/>
          <xdr:cNvSpPr/>
        </xdr:nvSpPr>
        <xdr:spPr>
          <a:xfrm>
            <a:off x="2095500" y="2581275"/>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d-ID" sz="1100" b="1">
                <a:solidFill>
                  <a:schemeClr val="accent6">
                    <a:lumMod val="75000"/>
                  </a:schemeClr>
                </a:solidFill>
              </a:rPr>
              <a:t>STUDENT MASTER</a:t>
            </a:r>
          </a:p>
        </xdr:txBody>
      </xdr:sp>
    </xdr:grpSp>
    <xdr:clientData/>
  </xdr:twoCellAnchor>
  <xdr:twoCellAnchor>
    <xdr:from>
      <xdr:col>6</xdr:col>
      <xdr:colOff>590550</xdr:colOff>
      <xdr:row>2</xdr:row>
      <xdr:rowOff>89121</xdr:rowOff>
    </xdr:from>
    <xdr:to>
      <xdr:col>9</xdr:col>
      <xdr:colOff>400050</xdr:colOff>
      <xdr:row>10</xdr:row>
      <xdr:rowOff>102375</xdr:rowOff>
    </xdr:to>
    <xdr:grpSp>
      <xdr:nvGrpSpPr>
        <xdr:cNvPr id="16" name="Group 15"/>
        <xdr:cNvGrpSpPr/>
      </xdr:nvGrpSpPr>
      <xdr:grpSpPr>
        <a:xfrm>
          <a:off x="4268028" y="470121"/>
          <a:ext cx="1648239" cy="1537254"/>
          <a:chOff x="4000500" y="813021"/>
          <a:chExt cx="1638300" cy="1537254"/>
        </a:xfrm>
      </xdr:grpSpPr>
      <xdr:pic>
        <xdr:nvPicPr>
          <xdr:cNvPr id="6" name="Picture 5">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172747" y="813021"/>
            <a:ext cx="1212590" cy="1212590"/>
          </a:xfrm>
          <a:prstGeom prst="rect">
            <a:avLst/>
          </a:prstGeom>
        </xdr:spPr>
      </xdr:pic>
      <xdr:sp macro="" textlink="">
        <xdr:nvSpPr>
          <xdr:cNvPr id="9" name="Rectangle 8"/>
          <xdr:cNvSpPr/>
        </xdr:nvSpPr>
        <xdr:spPr>
          <a:xfrm>
            <a:off x="4000500" y="1978800"/>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d-ID" sz="1100" b="1">
                <a:solidFill>
                  <a:schemeClr val="accent6">
                    <a:lumMod val="75000"/>
                  </a:schemeClr>
                </a:solidFill>
              </a:rPr>
              <a:t>SUBJECT MASTER</a:t>
            </a:r>
          </a:p>
        </xdr:txBody>
      </xdr:sp>
    </xdr:grpSp>
    <xdr:clientData/>
  </xdr:twoCellAnchor>
  <xdr:twoCellAnchor>
    <xdr:from>
      <xdr:col>9</xdr:col>
      <xdr:colOff>495300</xdr:colOff>
      <xdr:row>2</xdr:row>
      <xdr:rowOff>91821</xdr:rowOff>
    </xdr:from>
    <xdr:to>
      <xdr:col>12</xdr:col>
      <xdr:colOff>304800</xdr:colOff>
      <xdr:row>10</xdr:row>
      <xdr:rowOff>102375</xdr:rowOff>
    </xdr:to>
    <xdr:grpSp>
      <xdr:nvGrpSpPr>
        <xdr:cNvPr id="17" name="Group 16"/>
        <xdr:cNvGrpSpPr/>
      </xdr:nvGrpSpPr>
      <xdr:grpSpPr>
        <a:xfrm>
          <a:off x="6011517" y="472821"/>
          <a:ext cx="1648240" cy="1534554"/>
          <a:chOff x="5734050" y="815721"/>
          <a:chExt cx="1638300" cy="1534554"/>
        </a:xfrm>
      </xdr:grpSpPr>
      <xdr:pic>
        <xdr:nvPicPr>
          <xdr:cNvPr id="3" name="Picture 2">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989132" y="815721"/>
            <a:ext cx="1203579" cy="1203579"/>
          </a:xfrm>
          <a:prstGeom prst="rect">
            <a:avLst/>
          </a:prstGeom>
        </xdr:spPr>
      </xdr:pic>
      <xdr:sp macro="" textlink="">
        <xdr:nvSpPr>
          <xdr:cNvPr id="10" name="Rectangle 9"/>
          <xdr:cNvSpPr/>
        </xdr:nvSpPr>
        <xdr:spPr>
          <a:xfrm>
            <a:off x="5734050" y="1978800"/>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d-ID" sz="1100" b="1">
                <a:solidFill>
                  <a:schemeClr val="accent6">
                    <a:lumMod val="75000"/>
                  </a:schemeClr>
                </a:solidFill>
              </a:rPr>
              <a:t>INPUT GRADE</a:t>
            </a:r>
          </a:p>
        </xdr:txBody>
      </xdr:sp>
    </xdr:grpSp>
    <xdr:clientData/>
  </xdr:twoCellAnchor>
  <xdr:twoCellAnchor>
    <xdr:from>
      <xdr:col>13</xdr:col>
      <xdr:colOff>219075</xdr:colOff>
      <xdr:row>1</xdr:row>
      <xdr:rowOff>161925</xdr:rowOff>
    </xdr:from>
    <xdr:to>
      <xdr:col>16</xdr:col>
      <xdr:colOff>28575</xdr:colOff>
      <xdr:row>10</xdr:row>
      <xdr:rowOff>102375</xdr:rowOff>
    </xdr:to>
    <xdr:grpSp>
      <xdr:nvGrpSpPr>
        <xdr:cNvPr id="18" name="Group 17"/>
        <xdr:cNvGrpSpPr/>
      </xdr:nvGrpSpPr>
      <xdr:grpSpPr>
        <a:xfrm>
          <a:off x="8186945" y="352425"/>
          <a:ext cx="1648239" cy="1654950"/>
          <a:chOff x="8143875" y="352425"/>
          <a:chExt cx="1638300" cy="1654950"/>
        </a:xfrm>
      </xdr:grpSpPr>
      <xdr:pic>
        <xdr:nvPicPr>
          <xdr:cNvPr id="4" name="Picture 3">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172450" y="352425"/>
            <a:ext cx="1552574" cy="1552574"/>
          </a:xfrm>
          <a:prstGeom prst="rect">
            <a:avLst/>
          </a:prstGeom>
        </xdr:spPr>
      </xdr:pic>
      <xdr:sp macro="" textlink="">
        <xdr:nvSpPr>
          <xdr:cNvPr id="11" name="Rectangle 10"/>
          <xdr:cNvSpPr/>
        </xdr:nvSpPr>
        <xdr:spPr>
          <a:xfrm>
            <a:off x="8143875" y="1635900"/>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d-ID" sz="1100" b="1">
                <a:solidFill>
                  <a:schemeClr val="accent6">
                    <a:lumMod val="75000"/>
                  </a:schemeClr>
                </a:solidFill>
              </a:rPr>
              <a:t>FINAL</a:t>
            </a:r>
            <a:r>
              <a:rPr lang="id-ID" sz="1100" b="1" baseline="0">
                <a:solidFill>
                  <a:schemeClr val="accent6">
                    <a:lumMod val="75000"/>
                  </a:schemeClr>
                </a:solidFill>
              </a:rPr>
              <a:t> REPORT</a:t>
            </a:r>
            <a:endParaRPr lang="id-ID" sz="1100" b="1">
              <a:solidFill>
                <a:schemeClr val="accent6">
                  <a:lumMod val="75000"/>
                </a:schemeClr>
              </a:solidFill>
            </a:endParaRPr>
          </a:p>
        </xdr:txBody>
      </xdr:sp>
    </xdr:grpSp>
    <xdr:clientData/>
  </xdr:twoCellAnchor>
  <xdr:twoCellAnchor>
    <xdr:from>
      <xdr:col>10</xdr:col>
      <xdr:colOff>419100</xdr:colOff>
      <xdr:row>12</xdr:row>
      <xdr:rowOff>76200</xdr:rowOff>
    </xdr:from>
    <xdr:to>
      <xdr:col>13</xdr:col>
      <xdr:colOff>228600</xdr:colOff>
      <xdr:row>20</xdr:row>
      <xdr:rowOff>73800</xdr:rowOff>
    </xdr:to>
    <xdr:grpSp>
      <xdr:nvGrpSpPr>
        <xdr:cNvPr id="21" name="Group 20">
          <a:hlinkClick xmlns:r="http://schemas.openxmlformats.org/officeDocument/2006/relationships" r:id="rId9"/>
        </xdr:cNvPr>
        <xdr:cNvGrpSpPr/>
      </xdr:nvGrpSpPr>
      <xdr:grpSpPr>
        <a:xfrm>
          <a:off x="6548230" y="2362200"/>
          <a:ext cx="1648240" cy="1521600"/>
          <a:chOff x="6515100" y="2362200"/>
          <a:chExt cx="1638300" cy="1521600"/>
        </a:xfrm>
      </xdr:grpSpPr>
      <xdr:pic>
        <xdr:nvPicPr>
          <xdr:cNvPr id="12" name="Picture 11"/>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715125" y="2362200"/>
            <a:ext cx="1190625" cy="1190625"/>
          </a:xfrm>
          <a:prstGeom prst="rect">
            <a:avLst/>
          </a:prstGeom>
        </xdr:spPr>
      </xdr:pic>
      <xdr:sp macro="" textlink="">
        <xdr:nvSpPr>
          <xdr:cNvPr id="14" name="Rectangle 13"/>
          <xdr:cNvSpPr/>
        </xdr:nvSpPr>
        <xdr:spPr>
          <a:xfrm>
            <a:off x="6515100" y="3512325"/>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6">
                    <a:lumMod val="75000"/>
                  </a:schemeClr>
                </a:solidFill>
              </a:rPr>
              <a:t>USER</a:t>
            </a:r>
            <a:r>
              <a:rPr lang="en-US" sz="1100" b="1" baseline="0">
                <a:solidFill>
                  <a:schemeClr val="accent6">
                    <a:lumMod val="75000"/>
                  </a:schemeClr>
                </a:solidFill>
              </a:rPr>
              <a:t> GUIDE</a:t>
            </a:r>
            <a:endParaRPr lang="id-ID" sz="1100" b="1">
              <a:solidFill>
                <a:schemeClr val="accent6">
                  <a:lumMod val="75000"/>
                </a:schemeClr>
              </a:solidFill>
            </a:endParaRPr>
          </a:p>
        </xdr:txBody>
      </xdr:sp>
    </xdr:grpSp>
    <xdr:clientData/>
  </xdr:twoCellAnchor>
  <xdr:twoCellAnchor>
    <xdr:from>
      <xdr:col>6</xdr:col>
      <xdr:colOff>219075</xdr:colOff>
      <xdr:row>12</xdr:row>
      <xdr:rowOff>92850</xdr:rowOff>
    </xdr:from>
    <xdr:to>
      <xdr:col>9</xdr:col>
      <xdr:colOff>28575</xdr:colOff>
      <xdr:row>20</xdr:row>
      <xdr:rowOff>92850</xdr:rowOff>
    </xdr:to>
    <xdr:grpSp>
      <xdr:nvGrpSpPr>
        <xdr:cNvPr id="20" name="Group 19">
          <a:hlinkClick xmlns:r="http://schemas.openxmlformats.org/officeDocument/2006/relationships" r:id="rId11"/>
        </xdr:cNvPr>
        <xdr:cNvGrpSpPr/>
      </xdr:nvGrpSpPr>
      <xdr:grpSpPr>
        <a:xfrm>
          <a:off x="3896553" y="2378850"/>
          <a:ext cx="1648239" cy="1524000"/>
          <a:chOff x="3876675" y="2378850"/>
          <a:chExt cx="1638300" cy="1524000"/>
        </a:xfrm>
      </xdr:grpSpPr>
      <xdr:pic>
        <xdr:nvPicPr>
          <xdr:cNvPr id="13" name="Picture 12"/>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112400" y="2378850"/>
            <a:ext cx="1183500" cy="1183500"/>
          </a:xfrm>
          <a:prstGeom prst="rect">
            <a:avLst/>
          </a:prstGeom>
        </xdr:spPr>
      </xdr:pic>
      <xdr:sp macro="" textlink="">
        <xdr:nvSpPr>
          <xdr:cNvPr id="19" name="Rectangle 18"/>
          <xdr:cNvSpPr/>
        </xdr:nvSpPr>
        <xdr:spPr>
          <a:xfrm>
            <a:off x="3876675" y="3531375"/>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6">
                    <a:lumMod val="75000"/>
                  </a:schemeClr>
                </a:solidFill>
              </a:rPr>
              <a:t>MASTER</a:t>
            </a:r>
            <a:r>
              <a:rPr lang="en-US" sz="1100" b="1" baseline="0">
                <a:solidFill>
                  <a:schemeClr val="accent6">
                    <a:lumMod val="75000"/>
                  </a:schemeClr>
                </a:solidFill>
              </a:rPr>
              <a:t> DATA</a:t>
            </a:r>
            <a:endParaRPr lang="id-ID" sz="1100" b="1">
              <a:solidFill>
                <a:schemeClr val="accent6">
                  <a:lumMod val="75000"/>
                </a:schemeClr>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354825</xdr:colOff>
      <xdr:row>0</xdr:row>
      <xdr:rowOff>180975</xdr:rowOff>
    </xdr:from>
    <xdr:to>
      <xdr:col>2</xdr:col>
      <xdr:colOff>128700</xdr:colOff>
      <xdr:row>5</xdr:row>
      <xdr:rowOff>42205</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4825" y="180975"/>
          <a:ext cx="993075" cy="870880"/>
        </a:xfrm>
        <a:prstGeom prst="rect">
          <a:avLst/>
        </a:prstGeom>
      </xdr:spPr>
    </xdr:pic>
    <xdr:clientData/>
  </xdr:twoCellAnchor>
  <xdr:twoCellAnchor editAs="oneCell">
    <xdr:from>
      <xdr:col>0</xdr:col>
      <xdr:colOff>323850</xdr:colOff>
      <xdr:row>6</xdr:row>
      <xdr:rowOff>111900</xdr:rowOff>
    </xdr:from>
    <xdr:to>
      <xdr:col>2</xdr:col>
      <xdr:colOff>97725</xdr:colOff>
      <xdr:row>10</xdr:row>
      <xdr:rowOff>30280</xdr:rowOff>
    </xdr:to>
    <xdr:pic>
      <xdr:nvPicPr>
        <xdr:cNvPr id="4" name="Picture 3">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23850" y="1312050"/>
          <a:ext cx="993075" cy="870880"/>
        </a:xfrm>
        <a:prstGeom prst="rect">
          <a:avLst/>
        </a:prstGeom>
      </xdr:spPr>
    </xdr:pic>
    <xdr:clientData/>
  </xdr:twoCellAnchor>
  <xdr:twoCellAnchor editAs="oneCell">
    <xdr:from>
      <xdr:col>2</xdr:col>
      <xdr:colOff>569100</xdr:colOff>
      <xdr:row>0</xdr:row>
      <xdr:rowOff>185700</xdr:rowOff>
    </xdr:from>
    <xdr:to>
      <xdr:col>4</xdr:col>
      <xdr:colOff>342975</xdr:colOff>
      <xdr:row>5</xdr:row>
      <xdr:rowOff>46930</xdr:rowOff>
    </xdr:to>
    <xdr:pic>
      <xdr:nvPicPr>
        <xdr:cNvPr id="5" name="Picture 4">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788300" y="185700"/>
          <a:ext cx="993075" cy="870880"/>
        </a:xfrm>
        <a:prstGeom prst="rect">
          <a:avLst/>
        </a:prstGeom>
      </xdr:spPr>
    </xdr:pic>
    <xdr:clientData/>
  </xdr:twoCellAnchor>
  <xdr:twoCellAnchor editAs="oneCell">
    <xdr:from>
      <xdr:col>2</xdr:col>
      <xdr:colOff>538125</xdr:colOff>
      <xdr:row>6</xdr:row>
      <xdr:rowOff>107100</xdr:rowOff>
    </xdr:from>
    <xdr:to>
      <xdr:col>4</xdr:col>
      <xdr:colOff>312000</xdr:colOff>
      <xdr:row>10</xdr:row>
      <xdr:rowOff>25480</xdr:rowOff>
    </xdr:to>
    <xdr:pic>
      <xdr:nvPicPr>
        <xdr:cNvPr id="6" name="Picture 5">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757325" y="1307250"/>
          <a:ext cx="993075" cy="870880"/>
        </a:xfrm>
        <a:prstGeom prst="rect">
          <a:avLst/>
        </a:prstGeom>
      </xdr:spPr>
    </xdr:pic>
    <xdr:clientData/>
  </xdr:twoCellAnchor>
  <xdr:twoCellAnchor editAs="oneCell">
    <xdr:from>
      <xdr:col>2</xdr:col>
      <xdr:colOff>497625</xdr:colOff>
      <xdr:row>11</xdr:row>
      <xdr:rowOff>9450</xdr:rowOff>
    </xdr:from>
    <xdr:to>
      <xdr:col>4</xdr:col>
      <xdr:colOff>271500</xdr:colOff>
      <xdr:row>14</xdr:row>
      <xdr:rowOff>165955</xdr:rowOff>
    </xdr:to>
    <xdr:pic>
      <xdr:nvPicPr>
        <xdr:cNvPr id="7" name="Picture 6">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716825" y="2400225"/>
          <a:ext cx="993075" cy="870880"/>
        </a:xfrm>
        <a:prstGeom prst="rect">
          <a:avLst/>
        </a:prstGeom>
      </xdr:spPr>
    </xdr:pic>
    <xdr:clientData/>
  </xdr:twoCellAnchor>
  <xdr:twoCellAnchor editAs="oneCell">
    <xdr:from>
      <xdr:col>0</xdr:col>
      <xdr:colOff>304725</xdr:colOff>
      <xdr:row>10</xdr:row>
      <xdr:rowOff>235650</xdr:rowOff>
    </xdr:from>
    <xdr:to>
      <xdr:col>2</xdr:col>
      <xdr:colOff>78600</xdr:colOff>
      <xdr:row>14</xdr:row>
      <xdr:rowOff>154030</xdr:rowOff>
    </xdr:to>
    <xdr:pic>
      <xdr:nvPicPr>
        <xdr:cNvPr id="8" name="Picture 7">
          <a:hlinkClick xmlns:r="http://schemas.openxmlformats.org/officeDocument/2006/relationships" r:id="rId11"/>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04725" y="2388300"/>
          <a:ext cx="993075" cy="8708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431100</xdr:colOff>
      <xdr:row>1</xdr:row>
      <xdr:rowOff>38100</xdr:rowOff>
    </xdr:from>
    <xdr:to>
      <xdr:col>2</xdr:col>
      <xdr:colOff>204975</xdr:colOff>
      <xdr:row>5</xdr:row>
      <xdr:rowOff>89830</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1100" y="228600"/>
          <a:ext cx="993075" cy="870880"/>
        </a:xfrm>
        <a:prstGeom prst="rect">
          <a:avLst/>
        </a:prstGeom>
      </xdr:spPr>
    </xdr:pic>
    <xdr:clientData/>
  </xdr:twoCellAnchor>
  <xdr:twoCellAnchor editAs="oneCell">
    <xdr:from>
      <xdr:col>0</xdr:col>
      <xdr:colOff>400125</xdr:colOff>
      <xdr:row>6</xdr:row>
      <xdr:rowOff>159525</xdr:rowOff>
    </xdr:from>
    <xdr:to>
      <xdr:col>2</xdr:col>
      <xdr:colOff>174000</xdr:colOff>
      <xdr:row>10</xdr:row>
      <xdr:rowOff>77905</xdr:rowOff>
    </xdr:to>
    <xdr:pic>
      <xdr:nvPicPr>
        <xdr:cNvPr id="4" name="Picture 3">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00125" y="1359675"/>
          <a:ext cx="993075" cy="870880"/>
        </a:xfrm>
        <a:prstGeom prst="rect">
          <a:avLst/>
        </a:prstGeom>
      </xdr:spPr>
    </xdr:pic>
    <xdr:clientData/>
  </xdr:twoCellAnchor>
  <xdr:twoCellAnchor editAs="oneCell">
    <xdr:from>
      <xdr:col>3</xdr:col>
      <xdr:colOff>35775</xdr:colOff>
      <xdr:row>1</xdr:row>
      <xdr:rowOff>42825</xdr:rowOff>
    </xdr:from>
    <xdr:to>
      <xdr:col>4</xdr:col>
      <xdr:colOff>419250</xdr:colOff>
      <xdr:row>5</xdr:row>
      <xdr:rowOff>94555</xdr:rowOff>
    </xdr:to>
    <xdr:pic>
      <xdr:nvPicPr>
        <xdr:cNvPr id="5" name="Picture 4">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864575" y="233325"/>
          <a:ext cx="993075" cy="870880"/>
        </a:xfrm>
        <a:prstGeom prst="rect">
          <a:avLst/>
        </a:prstGeom>
      </xdr:spPr>
    </xdr:pic>
    <xdr:clientData/>
  </xdr:twoCellAnchor>
  <xdr:twoCellAnchor editAs="oneCell">
    <xdr:from>
      <xdr:col>3</xdr:col>
      <xdr:colOff>4800</xdr:colOff>
      <xdr:row>6</xdr:row>
      <xdr:rowOff>154725</xdr:rowOff>
    </xdr:from>
    <xdr:to>
      <xdr:col>4</xdr:col>
      <xdr:colOff>388275</xdr:colOff>
      <xdr:row>10</xdr:row>
      <xdr:rowOff>73105</xdr:rowOff>
    </xdr:to>
    <xdr:pic>
      <xdr:nvPicPr>
        <xdr:cNvPr id="6" name="Picture 5">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833600" y="1354875"/>
          <a:ext cx="993075" cy="870880"/>
        </a:xfrm>
        <a:prstGeom prst="rect">
          <a:avLst/>
        </a:prstGeom>
      </xdr:spPr>
    </xdr:pic>
    <xdr:clientData/>
  </xdr:twoCellAnchor>
  <xdr:twoCellAnchor editAs="oneCell">
    <xdr:from>
      <xdr:col>3</xdr:col>
      <xdr:colOff>11925</xdr:colOff>
      <xdr:row>11</xdr:row>
      <xdr:rowOff>38025</xdr:rowOff>
    </xdr:from>
    <xdr:to>
      <xdr:col>4</xdr:col>
      <xdr:colOff>395400</xdr:colOff>
      <xdr:row>14</xdr:row>
      <xdr:rowOff>194530</xdr:rowOff>
    </xdr:to>
    <xdr:pic>
      <xdr:nvPicPr>
        <xdr:cNvPr id="7" name="Picture 6">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840725" y="2428800"/>
          <a:ext cx="993075" cy="870880"/>
        </a:xfrm>
        <a:prstGeom prst="rect">
          <a:avLst/>
        </a:prstGeom>
      </xdr:spPr>
    </xdr:pic>
    <xdr:clientData/>
  </xdr:twoCellAnchor>
  <xdr:twoCellAnchor editAs="oneCell">
    <xdr:from>
      <xdr:col>0</xdr:col>
      <xdr:colOff>381000</xdr:colOff>
      <xdr:row>11</xdr:row>
      <xdr:rowOff>45150</xdr:rowOff>
    </xdr:from>
    <xdr:to>
      <xdr:col>2</xdr:col>
      <xdr:colOff>154875</xdr:colOff>
      <xdr:row>14</xdr:row>
      <xdr:rowOff>201655</xdr:rowOff>
    </xdr:to>
    <xdr:pic>
      <xdr:nvPicPr>
        <xdr:cNvPr id="8" name="Picture 7">
          <a:hlinkClick xmlns:r="http://schemas.openxmlformats.org/officeDocument/2006/relationships" r:id="rId11"/>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81000" y="2435925"/>
          <a:ext cx="993075" cy="8708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152400</xdr:colOff>
      <xdr:row>1</xdr:row>
      <xdr:rowOff>95250</xdr:rowOff>
    </xdr:from>
    <xdr:to>
      <xdr:col>6</xdr:col>
      <xdr:colOff>114300</xdr:colOff>
      <xdr:row>4</xdr:row>
      <xdr:rowOff>47625</xdr:rowOff>
    </xdr:to>
    <xdr:sp macro="" textlink="">
      <xdr:nvSpPr>
        <xdr:cNvPr id="6145" name="CommandButton1" hidden="1">
          <a:extLst>
            <a:ext uri="{63B3BB69-23CF-44E3-9099-C40C66FF867C}">
              <a14:compatExt xmlns:a14="http://schemas.microsoft.com/office/drawing/2010/main" spid="_x0000_s6145"/>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10</xdr:col>
      <xdr:colOff>193389</xdr:colOff>
      <xdr:row>0</xdr:row>
      <xdr:rowOff>61705</xdr:rowOff>
    </xdr:from>
    <xdr:to>
      <xdr:col>13</xdr:col>
      <xdr:colOff>43464</xdr:colOff>
      <xdr:row>5</xdr:row>
      <xdr:rowOff>47174</xdr:rowOff>
    </xdr:to>
    <xdr:pic>
      <xdr:nvPicPr>
        <xdr:cNvPr id="5" name="Picture 4">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22789" y="61705"/>
          <a:ext cx="993075" cy="871294"/>
        </a:xfrm>
        <a:prstGeom prst="rect">
          <a:avLst/>
        </a:prstGeom>
      </xdr:spPr>
    </xdr:pic>
    <xdr:clientData/>
  </xdr:twoCellAnchor>
  <xdr:twoCellAnchor editAs="oneCell">
    <xdr:from>
      <xdr:col>10</xdr:col>
      <xdr:colOff>162414</xdr:colOff>
      <xdr:row>6</xdr:row>
      <xdr:rowOff>66345</xdr:rowOff>
    </xdr:from>
    <xdr:to>
      <xdr:col>13</xdr:col>
      <xdr:colOff>12489</xdr:colOff>
      <xdr:row>10</xdr:row>
      <xdr:rowOff>175225</xdr:rowOff>
    </xdr:to>
    <xdr:pic>
      <xdr:nvPicPr>
        <xdr:cNvPr id="6" name="Picture 5">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91814" y="1190295"/>
          <a:ext cx="993075" cy="870880"/>
        </a:xfrm>
        <a:prstGeom prst="rect">
          <a:avLst/>
        </a:prstGeom>
      </xdr:spPr>
    </xdr:pic>
    <xdr:clientData/>
  </xdr:twoCellAnchor>
  <xdr:twoCellAnchor editAs="oneCell">
    <xdr:from>
      <xdr:col>14</xdr:col>
      <xdr:colOff>102864</xdr:colOff>
      <xdr:row>0</xdr:row>
      <xdr:rowOff>66430</xdr:rowOff>
    </xdr:from>
    <xdr:to>
      <xdr:col>16</xdr:col>
      <xdr:colOff>333939</xdr:colOff>
      <xdr:row>5</xdr:row>
      <xdr:rowOff>51899</xdr:rowOff>
    </xdr:to>
    <xdr:pic>
      <xdr:nvPicPr>
        <xdr:cNvPr id="7" name="Picture 6">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256264" y="66430"/>
          <a:ext cx="993075" cy="871294"/>
        </a:xfrm>
        <a:prstGeom prst="rect">
          <a:avLst/>
        </a:prstGeom>
      </xdr:spPr>
    </xdr:pic>
    <xdr:clientData/>
  </xdr:twoCellAnchor>
  <xdr:twoCellAnchor editAs="oneCell">
    <xdr:from>
      <xdr:col>14</xdr:col>
      <xdr:colOff>71889</xdr:colOff>
      <xdr:row>6</xdr:row>
      <xdr:rowOff>61545</xdr:rowOff>
    </xdr:from>
    <xdr:to>
      <xdr:col>16</xdr:col>
      <xdr:colOff>302964</xdr:colOff>
      <xdr:row>10</xdr:row>
      <xdr:rowOff>170425</xdr:rowOff>
    </xdr:to>
    <xdr:pic>
      <xdr:nvPicPr>
        <xdr:cNvPr id="8" name="Picture 7">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225289" y="1185495"/>
          <a:ext cx="993075" cy="870880"/>
        </a:xfrm>
        <a:prstGeom prst="rect">
          <a:avLst/>
        </a:prstGeom>
      </xdr:spPr>
    </xdr:pic>
    <xdr:clientData/>
  </xdr:twoCellAnchor>
  <xdr:twoCellAnchor editAs="oneCell">
    <xdr:from>
      <xdr:col>14</xdr:col>
      <xdr:colOff>98064</xdr:colOff>
      <xdr:row>12</xdr:row>
      <xdr:rowOff>11520</xdr:rowOff>
    </xdr:from>
    <xdr:to>
      <xdr:col>16</xdr:col>
      <xdr:colOff>329139</xdr:colOff>
      <xdr:row>16</xdr:row>
      <xdr:rowOff>120400</xdr:rowOff>
    </xdr:to>
    <xdr:pic>
      <xdr:nvPicPr>
        <xdr:cNvPr id="9" name="Picture 8">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251464" y="1764120"/>
          <a:ext cx="993075" cy="870880"/>
        </a:xfrm>
        <a:prstGeom prst="rect">
          <a:avLst/>
        </a:prstGeom>
      </xdr:spPr>
    </xdr:pic>
    <xdr:clientData/>
  </xdr:twoCellAnchor>
  <xdr:twoCellAnchor editAs="oneCell">
    <xdr:from>
      <xdr:col>10</xdr:col>
      <xdr:colOff>143289</xdr:colOff>
      <xdr:row>11</xdr:row>
      <xdr:rowOff>190095</xdr:rowOff>
    </xdr:from>
    <xdr:to>
      <xdr:col>12</xdr:col>
      <xdr:colOff>374364</xdr:colOff>
      <xdr:row>16</xdr:row>
      <xdr:rowOff>108475</xdr:rowOff>
    </xdr:to>
    <xdr:pic>
      <xdr:nvPicPr>
        <xdr:cNvPr id="10" name="Picture 9">
          <a:hlinkClick xmlns:r="http://schemas.openxmlformats.org/officeDocument/2006/relationships" r:id="rId11"/>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772689" y="1752195"/>
          <a:ext cx="993075" cy="87088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152400</xdr:colOff>
          <xdr:row>1</xdr:row>
          <xdr:rowOff>95250</xdr:rowOff>
        </xdr:from>
        <xdr:to>
          <xdr:col>5</xdr:col>
          <xdr:colOff>161925</xdr:colOff>
          <xdr:row>1</xdr:row>
          <xdr:rowOff>104775</xdr:rowOff>
        </xdr:to>
        <xdr:sp macro="" textlink="">
          <xdr:nvSpPr>
            <xdr:cNvPr id="2" name="CommandButton1" hidden="1">
              <a:extLst>
                <a:ext uri="{63B3BB69-23CF-44E3-9099-C40C66FF867C}">
                  <a14:compatExt spid="_x0000_s61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0</xdr:col>
      <xdr:colOff>50100</xdr:colOff>
      <xdr:row>0</xdr:row>
      <xdr:rowOff>0</xdr:rowOff>
    </xdr:from>
    <xdr:to>
      <xdr:col>2</xdr:col>
      <xdr:colOff>490725</xdr:colOff>
      <xdr:row>4</xdr:row>
      <xdr:rowOff>108880</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100" y="0"/>
          <a:ext cx="993075" cy="870880"/>
        </a:xfrm>
        <a:prstGeom prst="rect">
          <a:avLst/>
        </a:prstGeom>
      </xdr:spPr>
    </xdr:pic>
    <xdr:clientData/>
  </xdr:twoCellAnchor>
  <xdr:twoCellAnchor editAs="oneCell">
    <xdr:from>
      <xdr:col>3</xdr:col>
      <xdr:colOff>1362150</xdr:colOff>
      <xdr:row>0</xdr:row>
      <xdr:rowOff>0</xdr:rowOff>
    </xdr:from>
    <xdr:to>
      <xdr:col>3</xdr:col>
      <xdr:colOff>2355225</xdr:colOff>
      <xdr:row>4</xdr:row>
      <xdr:rowOff>108880</xdr:rowOff>
    </xdr:to>
    <xdr:pic>
      <xdr:nvPicPr>
        <xdr:cNvPr id="4" name="Picture 3">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905200" y="0"/>
          <a:ext cx="993075" cy="870880"/>
        </a:xfrm>
        <a:prstGeom prst="rect">
          <a:avLst/>
        </a:prstGeom>
      </xdr:spPr>
    </xdr:pic>
    <xdr:clientData/>
  </xdr:twoCellAnchor>
  <xdr:twoCellAnchor editAs="oneCell">
    <xdr:from>
      <xdr:col>2</xdr:col>
      <xdr:colOff>931125</xdr:colOff>
      <xdr:row>0</xdr:row>
      <xdr:rowOff>4725</xdr:rowOff>
    </xdr:from>
    <xdr:to>
      <xdr:col>3</xdr:col>
      <xdr:colOff>838350</xdr:colOff>
      <xdr:row>4</xdr:row>
      <xdr:rowOff>113605</xdr:rowOff>
    </xdr:to>
    <xdr:pic>
      <xdr:nvPicPr>
        <xdr:cNvPr id="5" name="Picture 4">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83575" y="4725"/>
          <a:ext cx="993075" cy="870880"/>
        </a:xfrm>
        <a:prstGeom prst="rect">
          <a:avLst/>
        </a:prstGeom>
      </xdr:spPr>
    </xdr:pic>
    <xdr:clientData/>
  </xdr:twoCellAnchor>
  <xdr:twoCellAnchor editAs="oneCell">
    <xdr:from>
      <xdr:col>5</xdr:col>
      <xdr:colOff>271500</xdr:colOff>
      <xdr:row>0</xdr:row>
      <xdr:rowOff>2325</xdr:rowOff>
    </xdr:from>
    <xdr:to>
      <xdr:col>8</xdr:col>
      <xdr:colOff>121575</xdr:colOff>
      <xdr:row>4</xdr:row>
      <xdr:rowOff>111205</xdr:rowOff>
    </xdr:to>
    <xdr:pic>
      <xdr:nvPicPr>
        <xdr:cNvPr id="6" name="Picture 5">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310100" y="2325"/>
          <a:ext cx="993075" cy="870880"/>
        </a:xfrm>
        <a:prstGeom prst="rect">
          <a:avLst/>
        </a:prstGeom>
      </xdr:spPr>
    </xdr:pic>
    <xdr:clientData/>
  </xdr:twoCellAnchor>
  <xdr:twoCellAnchor editAs="oneCell">
    <xdr:from>
      <xdr:col>13</xdr:col>
      <xdr:colOff>316725</xdr:colOff>
      <xdr:row>0</xdr:row>
      <xdr:rowOff>0</xdr:rowOff>
    </xdr:from>
    <xdr:to>
      <xdr:col>16</xdr:col>
      <xdr:colOff>166800</xdr:colOff>
      <xdr:row>4</xdr:row>
      <xdr:rowOff>108880</xdr:rowOff>
    </xdr:to>
    <xdr:pic>
      <xdr:nvPicPr>
        <xdr:cNvPr id="7" name="Picture 6">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012925" y="0"/>
          <a:ext cx="993075" cy="870880"/>
        </a:xfrm>
        <a:prstGeom prst="rect">
          <a:avLst/>
        </a:prstGeom>
      </xdr:spPr>
    </xdr:pic>
    <xdr:clientData/>
  </xdr:twoCellAnchor>
  <xdr:twoCellAnchor editAs="oneCell">
    <xdr:from>
      <xdr:col>9</xdr:col>
      <xdr:colOff>304800</xdr:colOff>
      <xdr:row>0</xdr:row>
      <xdr:rowOff>0</xdr:rowOff>
    </xdr:from>
    <xdr:to>
      <xdr:col>12</xdr:col>
      <xdr:colOff>154875</xdr:colOff>
      <xdr:row>4</xdr:row>
      <xdr:rowOff>108880</xdr:rowOff>
    </xdr:to>
    <xdr:pic>
      <xdr:nvPicPr>
        <xdr:cNvPr id="8" name="Picture 7">
          <a:hlinkClick xmlns:r="http://schemas.openxmlformats.org/officeDocument/2006/relationships" r:id="rId11"/>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477000" y="0"/>
          <a:ext cx="993075" cy="8708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3.emf"/><Relationship Id="rId4" Type="http://schemas.openxmlformats.org/officeDocument/2006/relationships/control" Target="../activeX/activeX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E22:P22"/>
  <sheetViews>
    <sheetView showGridLines="0" topLeftCell="C1" zoomScale="115" zoomScaleNormal="115" zoomScaleSheetLayoutView="100" workbookViewId="0">
      <selection activeCell="G23" sqref="G23"/>
    </sheetView>
  </sheetViews>
  <sheetFormatPr defaultRowHeight="15" x14ac:dyDescent="0.25"/>
  <sheetData>
    <row r="22" spans="5:16" x14ac:dyDescent="0.25">
      <c r="E22" s="62" t="s">
        <v>127</v>
      </c>
      <c r="P22" s="61"/>
    </row>
  </sheetData>
  <sheetProtection sheet="1" objects="1" scenarios="1" selectLockedCells="1" selectUnlockedCells="1"/>
  <pageMargins left="0.7" right="0.7" top="0.75" bottom="0.75" header="0.3" footer="0.3"/>
  <pageSetup paperSize="9"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C000"/>
  </sheetPr>
  <dimension ref="G5:J74"/>
  <sheetViews>
    <sheetView showGridLines="0" workbookViewId="0">
      <selection activeCell="J9" sqref="J9"/>
    </sheetView>
  </sheetViews>
  <sheetFormatPr defaultRowHeight="15" x14ac:dyDescent="0.25"/>
  <cols>
    <col min="1" max="5" width="9.140625" style="1"/>
    <col min="6" max="6" width="9" style="1" customWidth="1"/>
    <col min="7" max="7" width="6" style="1" customWidth="1"/>
    <col min="8" max="8" width="23.42578125" style="1" customWidth="1"/>
    <col min="9" max="9" width="48.42578125" style="1" customWidth="1"/>
    <col min="10" max="10" width="24.140625" style="1" customWidth="1"/>
    <col min="11" max="16384" width="9.140625" style="1"/>
  </cols>
  <sheetData>
    <row r="5" spans="7:10" ht="19.5" x14ac:dyDescent="0.3">
      <c r="G5" s="81" t="s">
        <v>2</v>
      </c>
      <c r="H5" s="81"/>
      <c r="I5" s="81"/>
    </row>
    <row r="7" spans="7:10" ht="18.75" customHeight="1" x14ac:dyDescent="0.25">
      <c r="G7" s="2" t="s">
        <v>1</v>
      </c>
      <c r="H7" s="2" t="s">
        <v>37</v>
      </c>
      <c r="I7" s="2" t="s">
        <v>0</v>
      </c>
      <c r="J7" s="2" t="s">
        <v>133</v>
      </c>
    </row>
    <row r="8" spans="7:10" ht="18.75" customHeight="1" x14ac:dyDescent="0.25">
      <c r="G8" s="7">
        <v>1</v>
      </c>
      <c r="H8" s="6">
        <v>1234</v>
      </c>
      <c r="I8" s="63" t="s">
        <v>123</v>
      </c>
      <c r="J8" s="4" t="s">
        <v>128</v>
      </c>
    </row>
    <row r="9" spans="7:10" ht="18.75" customHeight="1" x14ac:dyDescent="0.25">
      <c r="G9" s="7">
        <v>2</v>
      </c>
      <c r="H9" s="6">
        <v>1235</v>
      </c>
      <c r="I9" s="63" t="s">
        <v>147</v>
      </c>
      <c r="J9" s="4" t="s">
        <v>130</v>
      </c>
    </row>
    <row r="10" spans="7:10" ht="18.75" customHeight="1" x14ac:dyDescent="0.25">
      <c r="G10" s="7">
        <v>3</v>
      </c>
      <c r="H10" s="6"/>
      <c r="I10" s="64"/>
      <c r="J10" s="4"/>
    </row>
    <row r="11" spans="7:10" ht="18.75" customHeight="1" x14ac:dyDescent="0.25">
      <c r="G11" s="7">
        <v>4</v>
      </c>
      <c r="H11" s="6"/>
      <c r="I11" s="64"/>
      <c r="J11" s="69"/>
    </row>
    <row r="12" spans="7:10" ht="18.75" customHeight="1" x14ac:dyDescent="0.25">
      <c r="G12" s="7">
        <v>5</v>
      </c>
      <c r="H12" s="6"/>
      <c r="I12" s="64"/>
      <c r="J12" s="69"/>
    </row>
    <row r="13" spans="7:10" ht="18.75" customHeight="1" x14ac:dyDescent="0.25">
      <c r="G13" s="7">
        <v>6</v>
      </c>
      <c r="H13" s="6"/>
      <c r="I13" s="64"/>
      <c r="J13" s="69"/>
    </row>
    <row r="14" spans="7:10" ht="18.75" customHeight="1" x14ac:dyDescent="0.25">
      <c r="G14" s="7">
        <v>7</v>
      </c>
      <c r="H14" s="6"/>
      <c r="I14" s="64"/>
      <c r="J14" s="69"/>
    </row>
    <row r="15" spans="7:10" ht="18.75" customHeight="1" x14ac:dyDescent="0.25">
      <c r="G15" s="7">
        <v>8</v>
      </c>
      <c r="H15" s="6"/>
      <c r="I15" s="64"/>
      <c r="J15" s="69"/>
    </row>
    <row r="16" spans="7:10" ht="18.75" customHeight="1" x14ac:dyDescent="0.25">
      <c r="G16" s="7">
        <v>9</v>
      </c>
      <c r="H16" s="6"/>
      <c r="I16" s="63"/>
      <c r="J16" s="69"/>
    </row>
    <row r="17" spans="7:10" ht="18.75" customHeight="1" x14ac:dyDescent="0.25">
      <c r="G17" s="7">
        <v>10</v>
      </c>
      <c r="H17" s="6"/>
      <c r="I17" s="64"/>
      <c r="J17" s="69"/>
    </row>
    <row r="18" spans="7:10" ht="18.75" customHeight="1" x14ac:dyDescent="0.25">
      <c r="G18" s="7">
        <v>11</v>
      </c>
      <c r="H18" s="6"/>
      <c r="I18" s="63"/>
      <c r="J18" s="69"/>
    </row>
    <row r="19" spans="7:10" ht="18.75" customHeight="1" x14ac:dyDescent="0.25">
      <c r="G19" s="7">
        <v>12</v>
      </c>
      <c r="H19" s="6"/>
      <c r="I19" s="63"/>
      <c r="J19" s="69"/>
    </row>
    <row r="20" spans="7:10" ht="18.75" customHeight="1" x14ac:dyDescent="0.25">
      <c r="G20" s="7">
        <v>13</v>
      </c>
      <c r="H20" s="6"/>
      <c r="I20" s="64"/>
      <c r="J20" s="69"/>
    </row>
    <row r="21" spans="7:10" ht="18.75" customHeight="1" x14ac:dyDescent="0.25">
      <c r="G21" s="7">
        <v>14</v>
      </c>
      <c r="H21" s="6"/>
      <c r="I21" s="64"/>
      <c r="J21" s="69"/>
    </row>
    <row r="22" spans="7:10" ht="18.75" customHeight="1" x14ac:dyDescent="0.25">
      <c r="G22" s="7">
        <v>15</v>
      </c>
      <c r="H22" s="6"/>
      <c r="I22" s="63"/>
      <c r="J22" s="69"/>
    </row>
    <row r="23" spans="7:10" ht="18.75" customHeight="1" x14ac:dyDescent="0.25">
      <c r="G23" s="7">
        <v>16</v>
      </c>
      <c r="H23" s="6"/>
      <c r="I23" s="65"/>
      <c r="J23" s="69"/>
    </row>
    <row r="24" spans="7:10" ht="18.75" customHeight="1" x14ac:dyDescent="0.25">
      <c r="G24" s="7">
        <v>17</v>
      </c>
      <c r="H24" s="6"/>
      <c r="I24" s="64"/>
      <c r="J24" s="69"/>
    </row>
    <row r="25" spans="7:10" ht="18.75" customHeight="1" x14ac:dyDescent="0.25">
      <c r="G25" s="7">
        <v>18</v>
      </c>
      <c r="H25" s="6"/>
      <c r="I25" s="66"/>
      <c r="J25" s="69"/>
    </row>
    <row r="26" spans="7:10" ht="18.75" customHeight="1" x14ac:dyDescent="0.25">
      <c r="G26" s="7">
        <v>19</v>
      </c>
      <c r="H26" s="6"/>
      <c r="I26" s="10"/>
      <c r="J26" s="69"/>
    </row>
    <row r="27" spans="7:10" ht="18.75" customHeight="1" x14ac:dyDescent="0.25">
      <c r="G27" s="7">
        <v>20</v>
      </c>
      <c r="H27" s="6"/>
      <c r="I27" s="10"/>
      <c r="J27" s="69"/>
    </row>
    <row r="28" spans="7:10" ht="18.75" customHeight="1" x14ac:dyDescent="0.25">
      <c r="G28" s="7">
        <v>21</v>
      </c>
      <c r="H28" s="6"/>
      <c r="I28" s="12"/>
      <c r="J28" s="69"/>
    </row>
    <row r="29" spans="7:10" ht="18.75" customHeight="1" x14ac:dyDescent="0.25">
      <c r="G29" s="7">
        <v>22</v>
      </c>
      <c r="H29" s="6"/>
      <c r="I29" s="10"/>
      <c r="J29" s="69"/>
    </row>
    <row r="30" spans="7:10" ht="18.75" customHeight="1" x14ac:dyDescent="0.25">
      <c r="G30" s="7">
        <v>23</v>
      </c>
      <c r="H30" s="6"/>
      <c r="I30" s="69"/>
      <c r="J30" s="69"/>
    </row>
    <row r="31" spans="7:10" ht="18.75" customHeight="1" x14ac:dyDescent="0.25">
      <c r="G31" s="7">
        <v>24</v>
      </c>
      <c r="H31" s="6"/>
      <c r="I31" s="69"/>
      <c r="J31" s="69"/>
    </row>
    <row r="32" spans="7:10" ht="18.75" customHeight="1" x14ac:dyDescent="0.25">
      <c r="G32" s="7">
        <v>25</v>
      </c>
      <c r="H32" s="6"/>
      <c r="I32" s="69"/>
      <c r="J32" s="69"/>
    </row>
    <row r="33" ht="18.75" customHeight="1" x14ac:dyDescent="0.25"/>
    <row r="34" ht="18.75" customHeight="1" x14ac:dyDescent="0.25"/>
    <row r="35" ht="18.75" customHeight="1" x14ac:dyDescent="0.25"/>
    <row r="36" ht="18.75" customHeight="1" x14ac:dyDescent="0.25"/>
    <row r="37" ht="18.75" customHeight="1" x14ac:dyDescent="0.25"/>
    <row r="38" ht="18.75" customHeight="1" x14ac:dyDescent="0.25"/>
    <row r="39" ht="18.75" customHeight="1" x14ac:dyDescent="0.25"/>
    <row r="40" ht="18.75" customHeight="1" x14ac:dyDescent="0.25"/>
    <row r="41" ht="18.75" customHeight="1" x14ac:dyDescent="0.25"/>
    <row r="42" ht="18.75" customHeight="1" x14ac:dyDescent="0.25"/>
    <row r="43" ht="18.75" customHeight="1" x14ac:dyDescent="0.25"/>
    <row r="44" ht="18.75" customHeight="1" x14ac:dyDescent="0.25"/>
    <row r="45" ht="18.75" customHeight="1" x14ac:dyDescent="0.25"/>
    <row r="46" ht="18.75" customHeight="1" x14ac:dyDescent="0.25"/>
    <row r="47" ht="18.75" customHeight="1" x14ac:dyDescent="0.25"/>
    <row r="48" ht="18.75" customHeight="1" x14ac:dyDescent="0.25"/>
    <row r="49" ht="18.75" customHeight="1" x14ac:dyDescent="0.25"/>
    <row r="50" ht="18.75" customHeight="1" x14ac:dyDescent="0.25"/>
    <row r="51" ht="18.75" customHeight="1" x14ac:dyDescent="0.25"/>
    <row r="52" ht="18.75" customHeight="1" x14ac:dyDescent="0.25"/>
    <row r="53" ht="18.75" customHeight="1" x14ac:dyDescent="0.25"/>
    <row r="54" ht="18.75" customHeight="1" x14ac:dyDescent="0.25"/>
    <row r="55" ht="18.75" customHeight="1" x14ac:dyDescent="0.25"/>
    <row r="56" ht="18.75" customHeight="1" x14ac:dyDescent="0.25"/>
    <row r="57" ht="18.75" customHeight="1" x14ac:dyDescent="0.25"/>
    <row r="58" ht="18.75" customHeight="1" x14ac:dyDescent="0.25"/>
    <row r="59" ht="18.75" customHeight="1" x14ac:dyDescent="0.25"/>
    <row r="60" ht="18.75" customHeight="1" x14ac:dyDescent="0.25"/>
    <row r="61" ht="18.75" customHeight="1" x14ac:dyDescent="0.25"/>
    <row r="62" ht="18.75" customHeight="1" x14ac:dyDescent="0.25"/>
    <row r="63" ht="18.75" customHeight="1" x14ac:dyDescent="0.25"/>
    <row r="64" ht="18.75" customHeight="1" x14ac:dyDescent="0.25"/>
    <row r="65" ht="18.75" customHeight="1" x14ac:dyDescent="0.25"/>
    <row r="66" ht="18.75" customHeight="1" x14ac:dyDescent="0.25"/>
    <row r="67" ht="18.75" customHeight="1" x14ac:dyDescent="0.25"/>
    <row r="68" ht="18.75" customHeight="1" x14ac:dyDescent="0.25"/>
    <row r="69" ht="18.75" customHeight="1" x14ac:dyDescent="0.25"/>
    <row r="70" ht="18.75" customHeight="1" x14ac:dyDescent="0.25"/>
    <row r="71" ht="18.75" customHeight="1" x14ac:dyDescent="0.25"/>
    <row r="72" ht="18.75" customHeight="1" x14ac:dyDescent="0.25"/>
    <row r="73" ht="18.75" customHeight="1" x14ac:dyDescent="0.25"/>
    <row r="74" ht="18.75" customHeight="1" x14ac:dyDescent="0.25"/>
  </sheetData>
  <sheetProtection formatCells="0" formatColumns="0" formatRows="0" insertColumns="0" insertRows="0" insertHyperlinks="0" deleteColumns="0" deleteRows="0" sort="0" autoFilter="0" pivotTables="0"/>
  <mergeCells count="1">
    <mergeCell ref="G5:I5"/>
  </mergeCells>
  <pageMargins left="0.7" right="0.7" top="0.75" bottom="0.75" header="0.3" footer="0.3"/>
  <pageSetup orientation="portrait"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errorTitle="Error" error="Klik dropdown untuk memilih agama" promptTitle="Petunjuk." prompt="Klik button dropdown untuk memilih agama">
          <x14:formula1>
            <xm:f>'Master Data'!$C$8:$C$12</xm:f>
          </x14:formula1>
          <xm:sqref>J8:J32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7" tint="0.39997558519241921"/>
  </sheetPr>
  <dimension ref="G5:H63"/>
  <sheetViews>
    <sheetView showGridLines="0" workbookViewId="0">
      <selection activeCell="J12" sqref="J12"/>
    </sheetView>
  </sheetViews>
  <sheetFormatPr defaultRowHeight="15" x14ac:dyDescent="0.25"/>
  <cols>
    <col min="1" max="5" width="9.140625" style="1"/>
    <col min="6" max="6" width="9" style="1" customWidth="1"/>
    <col min="7" max="7" width="7.42578125" style="1" customWidth="1"/>
    <col min="8" max="8" width="67.28515625" style="1" customWidth="1"/>
    <col min="9" max="16384" width="9.140625" style="1"/>
  </cols>
  <sheetData>
    <row r="5" spans="7:8" ht="19.5" x14ac:dyDescent="0.3">
      <c r="G5" s="81" t="s">
        <v>25</v>
      </c>
      <c r="H5" s="81"/>
    </row>
    <row r="7" spans="7:8" ht="18.75" customHeight="1" x14ac:dyDescent="0.25">
      <c r="G7" s="2" t="s">
        <v>1</v>
      </c>
      <c r="H7" s="2" t="s">
        <v>26</v>
      </c>
    </row>
    <row r="8" spans="7:8" ht="18.75" customHeight="1" x14ac:dyDescent="0.25">
      <c r="G8" s="6">
        <v>1</v>
      </c>
      <c r="H8" s="8" t="s">
        <v>124</v>
      </c>
    </row>
    <row r="9" spans="7:8" ht="18.75" customHeight="1" x14ac:dyDescent="0.25">
      <c r="G9" s="6">
        <v>2</v>
      </c>
      <c r="H9" s="9" t="s">
        <v>60</v>
      </c>
    </row>
    <row r="10" spans="7:8" ht="18.75" customHeight="1" x14ac:dyDescent="0.25">
      <c r="G10" s="6">
        <v>3</v>
      </c>
      <c r="H10" s="10" t="s">
        <v>27</v>
      </c>
    </row>
    <row r="11" spans="7:8" ht="18.75" customHeight="1" x14ac:dyDescent="0.25">
      <c r="G11" s="6">
        <v>4</v>
      </c>
      <c r="H11" s="10" t="s">
        <v>28</v>
      </c>
    </row>
    <row r="12" spans="7:8" ht="18.75" customHeight="1" x14ac:dyDescent="0.25">
      <c r="G12" s="6">
        <v>5</v>
      </c>
      <c r="H12" s="10" t="s">
        <v>29</v>
      </c>
    </row>
    <row r="13" spans="7:8" ht="18.75" customHeight="1" x14ac:dyDescent="0.25">
      <c r="G13" s="6">
        <v>6</v>
      </c>
      <c r="H13" s="10" t="s">
        <v>30</v>
      </c>
    </row>
    <row r="14" spans="7:8" ht="18.75" customHeight="1" x14ac:dyDescent="0.25">
      <c r="G14" s="6">
        <v>7</v>
      </c>
      <c r="H14" s="8" t="s">
        <v>31</v>
      </c>
    </row>
    <row r="15" spans="7:8" ht="18.75" customHeight="1" x14ac:dyDescent="0.25">
      <c r="G15" s="6">
        <v>8</v>
      </c>
      <c r="H15" s="10" t="s">
        <v>134</v>
      </c>
    </row>
    <row r="16" spans="7:8" ht="18.75" customHeight="1" x14ac:dyDescent="0.25">
      <c r="G16" s="6">
        <v>9</v>
      </c>
      <c r="H16" s="8" t="s">
        <v>33</v>
      </c>
    </row>
    <row r="17" spans="7:8" ht="18.75" customHeight="1" x14ac:dyDescent="0.25">
      <c r="G17" s="6">
        <v>10</v>
      </c>
      <c r="H17" s="10" t="s">
        <v>34</v>
      </c>
    </row>
    <row r="18" spans="7:8" ht="18.75" customHeight="1" x14ac:dyDescent="0.25">
      <c r="G18" s="6">
        <v>11</v>
      </c>
      <c r="H18" s="11" t="s">
        <v>100</v>
      </c>
    </row>
    <row r="19" spans="7:8" ht="18.75" customHeight="1" x14ac:dyDescent="0.25"/>
    <row r="20" spans="7:8" ht="18.75" customHeight="1" x14ac:dyDescent="0.25"/>
    <row r="21" spans="7:8" ht="18.75" customHeight="1" x14ac:dyDescent="0.25"/>
    <row r="22" spans="7:8" ht="18.75" customHeight="1" x14ac:dyDescent="0.25"/>
    <row r="23" spans="7:8" ht="18.75" customHeight="1" x14ac:dyDescent="0.25"/>
    <row r="24" spans="7:8" ht="18.75" customHeight="1" x14ac:dyDescent="0.25"/>
    <row r="25" spans="7:8" ht="18.75" customHeight="1" x14ac:dyDescent="0.25"/>
    <row r="26" spans="7:8" ht="18.75" customHeight="1" x14ac:dyDescent="0.25"/>
    <row r="27" spans="7:8" ht="18.75" customHeight="1" x14ac:dyDescent="0.25"/>
    <row r="28" spans="7:8" ht="18.75" customHeight="1" x14ac:dyDescent="0.25"/>
    <row r="29" spans="7:8" ht="18.75" customHeight="1" x14ac:dyDescent="0.25"/>
    <row r="30" spans="7:8" ht="18.75" customHeight="1" x14ac:dyDescent="0.25"/>
    <row r="31" spans="7:8" ht="18.75" customHeight="1" x14ac:dyDescent="0.25"/>
    <row r="32" spans="7:8" ht="18.75" customHeight="1" x14ac:dyDescent="0.25"/>
    <row r="33" ht="18.75" customHeight="1" x14ac:dyDescent="0.25"/>
    <row r="34" ht="18.75" customHeight="1" x14ac:dyDescent="0.25"/>
    <row r="35" ht="18.75" customHeight="1" x14ac:dyDescent="0.25"/>
    <row r="36" ht="18.75" customHeight="1" x14ac:dyDescent="0.25"/>
    <row r="37" ht="18.75" customHeight="1" x14ac:dyDescent="0.25"/>
    <row r="38" ht="18.75" customHeight="1" x14ac:dyDescent="0.25"/>
    <row r="39" ht="18.75" customHeight="1" x14ac:dyDescent="0.25"/>
    <row r="40" ht="18.75" customHeight="1" x14ac:dyDescent="0.25"/>
    <row r="41" ht="18.75" customHeight="1" x14ac:dyDescent="0.25"/>
    <row r="42" ht="18.75" customHeight="1" x14ac:dyDescent="0.25"/>
    <row r="43" ht="18.75" customHeight="1" x14ac:dyDescent="0.25"/>
    <row r="44" ht="18.75" customHeight="1" x14ac:dyDescent="0.25"/>
    <row r="45" ht="18.75" customHeight="1" x14ac:dyDescent="0.25"/>
    <row r="46" ht="18.75" customHeight="1" x14ac:dyDescent="0.25"/>
    <row r="47" ht="18.75" customHeight="1" x14ac:dyDescent="0.25"/>
    <row r="48" ht="18.75" customHeight="1" x14ac:dyDescent="0.25"/>
    <row r="49" ht="18.75" customHeight="1" x14ac:dyDescent="0.25"/>
    <row r="50" ht="18.75" customHeight="1" x14ac:dyDescent="0.25"/>
    <row r="51" ht="18.75" customHeight="1" x14ac:dyDescent="0.25"/>
    <row r="52" ht="18.75" customHeight="1" x14ac:dyDescent="0.25"/>
    <row r="53" ht="18.75" customHeight="1" x14ac:dyDescent="0.25"/>
    <row r="54" ht="18.75" customHeight="1" x14ac:dyDescent="0.25"/>
    <row r="55" ht="18.75" customHeight="1" x14ac:dyDescent="0.25"/>
    <row r="56" ht="18.75" customHeight="1" x14ac:dyDescent="0.25"/>
    <row r="57" ht="18.75" customHeight="1" x14ac:dyDescent="0.25"/>
    <row r="58" ht="18.75" customHeight="1" x14ac:dyDescent="0.25"/>
    <row r="59" ht="18.75" customHeight="1" x14ac:dyDescent="0.25"/>
    <row r="60" ht="18.75" customHeight="1" x14ac:dyDescent="0.25"/>
    <row r="61" ht="18.75" customHeight="1" x14ac:dyDescent="0.25"/>
    <row r="62" ht="18.75" customHeight="1" x14ac:dyDescent="0.25"/>
    <row r="63" ht="18.75" customHeight="1" x14ac:dyDescent="0.25"/>
  </sheetData>
  <sheetProtection sheet="1" objects="1" scenarios="1" selectLockedCells="1" selectUnlockedCells="1"/>
  <mergeCells count="1">
    <mergeCell ref="G5:H5"/>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theme="9" tint="0.59999389629810485"/>
  </sheetPr>
  <dimension ref="B3:I17"/>
  <sheetViews>
    <sheetView showGridLines="0" workbookViewId="0">
      <selection activeCell="G18" sqref="G18"/>
    </sheetView>
  </sheetViews>
  <sheetFormatPr defaultRowHeight="15" x14ac:dyDescent="0.25"/>
  <cols>
    <col min="1" max="1" width="2.28515625" customWidth="1"/>
    <col min="2" max="2" width="8.28515625" customWidth="1"/>
    <col min="3" max="3" width="18.28515625" customWidth="1"/>
    <col min="4" max="5" width="5.7109375" customWidth="1"/>
    <col min="6" max="6" width="18" customWidth="1"/>
    <col min="7" max="8" width="5.7109375" customWidth="1"/>
    <col min="9" max="9" width="24" customWidth="1"/>
    <col min="10" max="26" width="5.7109375" customWidth="1"/>
  </cols>
  <sheetData>
    <row r="3" spans="2:9" ht="19.5" x14ac:dyDescent="0.3">
      <c r="B3" s="21" t="s">
        <v>99</v>
      </c>
      <c r="C3" s="20"/>
      <c r="D3" s="20"/>
      <c r="E3" s="20"/>
    </row>
    <row r="5" spans="2:9" ht="5.25" customHeight="1" x14ac:dyDescent="0.25"/>
    <row r="6" spans="2:9" ht="23.25" customHeight="1" x14ac:dyDescent="0.25">
      <c r="B6" s="82" t="s">
        <v>3</v>
      </c>
      <c r="C6" s="82"/>
      <c r="E6" s="82" t="s">
        <v>48</v>
      </c>
      <c r="F6" s="82"/>
      <c r="H6" s="16" t="s">
        <v>50</v>
      </c>
    </row>
    <row r="7" spans="2:9" x14ac:dyDescent="0.25">
      <c r="B7" s="15" t="s">
        <v>46</v>
      </c>
      <c r="C7" s="15" t="s">
        <v>3</v>
      </c>
      <c r="E7" s="15" t="s">
        <v>46</v>
      </c>
      <c r="F7" s="15" t="s">
        <v>49</v>
      </c>
      <c r="H7" s="15" t="s">
        <v>46</v>
      </c>
      <c r="I7" s="15" t="s">
        <v>51</v>
      </c>
    </row>
    <row r="8" spans="2:9" x14ac:dyDescent="0.25">
      <c r="B8" s="3">
        <v>1</v>
      </c>
      <c r="C8" s="4" t="s">
        <v>128</v>
      </c>
      <c r="E8" s="3">
        <v>1</v>
      </c>
      <c r="F8" s="4" t="s">
        <v>121</v>
      </c>
      <c r="H8" s="3">
        <v>1</v>
      </c>
      <c r="I8" s="4" t="s">
        <v>45</v>
      </c>
    </row>
    <row r="9" spans="2:9" x14ac:dyDescent="0.25">
      <c r="B9" s="3">
        <v>2</v>
      </c>
      <c r="C9" s="4" t="s">
        <v>129</v>
      </c>
      <c r="E9" s="3">
        <v>2</v>
      </c>
      <c r="F9" s="4" t="s">
        <v>122</v>
      </c>
      <c r="H9" s="3">
        <v>2</v>
      </c>
      <c r="I9" s="4" t="s">
        <v>52</v>
      </c>
    </row>
    <row r="10" spans="2:9" x14ac:dyDescent="0.25">
      <c r="B10" s="3">
        <v>3</v>
      </c>
      <c r="C10" s="4" t="s">
        <v>130</v>
      </c>
      <c r="H10" s="3">
        <v>3</v>
      </c>
      <c r="I10" s="4" t="s">
        <v>53</v>
      </c>
    </row>
    <row r="11" spans="2:9" x14ac:dyDescent="0.25">
      <c r="B11" s="3">
        <v>4</v>
      </c>
      <c r="C11" s="65" t="s">
        <v>131</v>
      </c>
      <c r="H11" s="3">
        <v>4</v>
      </c>
      <c r="I11" s="4" t="s">
        <v>54</v>
      </c>
    </row>
    <row r="12" spans="2:9" x14ac:dyDescent="0.25">
      <c r="B12" s="3">
        <v>5</v>
      </c>
      <c r="C12" s="65" t="s">
        <v>132</v>
      </c>
      <c r="H12" s="3">
        <v>5</v>
      </c>
      <c r="I12" s="4" t="s">
        <v>55</v>
      </c>
    </row>
    <row r="13" spans="2:9" x14ac:dyDescent="0.25">
      <c r="H13" s="3">
        <v>6</v>
      </c>
      <c r="I13" s="4" t="s">
        <v>56</v>
      </c>
    </row>
    <row r="14" spans="2:9" x14ac:dyDescent="0.25">
      <c r="H14" s="3">
        <v>7</v>
      </c>
      <c r="I14" s="4" t="s">
        <v>57</v>
      </c>
    </row>
    <row r="15" spans="2:9" x14ac:dyDescent="0.25">
      <c r="H15" s="3">
        <v>8</v>
      </c>
      <c r="I15" s="4" t="s">
        <v>58</v>
      </c>
    </row>
    <row r="16" spans="2:9" x14ac:dyDescent="0.25">
      <c r="H16" s="3">
        <v>9</v>
      </c>
      <c r="I16" s="4" t="s">
        <v>59</v>
      </c>
    </row>
    <row r="17" spans="8:9" x14ac:dyDescent="0.25">
      <c r="H17" s="3">
        <v>10</v>
      </c>
      <c r="I17" s="4" t="s">
        <v>118</v>
      </c>
    </row>
  </sheetData>
  <sheetProtection selectLockedCells="1" selectUnlockedCells="1"/>
  <mergeCells count="2">
    <mergeCell ref="B6:C6"/>
    <mergeCell ref="E6:F6"/>
  </mergeCells>
  <pageMargins left="0.7" right="0.7" top="0.75" bottom="0.75" header="0.3" footer="0.3"/>
  <pageSetup orientation="portrait" horizontalDpi="0" verticalDpi="0" r:id="rId1"/>
  <drawing r:id="rId2"/>
  <legacyDrawing r:id="rId3"/>
  <controls>
    <mc:AlternateContent xmlns:mc="http://schemas.openxmlformats.org/markup-compatibility/2006">
      <mc:Choice Requires="x14">
        <control shapeId="2" r:id="rId4" name="CommandButton1">
          <controlPr defaultSize="0" autoLine="0" r:id="rId5">
            <anchor moveWithCells="1">
              <from>
                <xdr:col>5</xdr:col>
                <xdr:colOff>152400</xdr:colOff>
                <xdr:row>1</xdr:row>
                <xdr:rowOff>95250</xdr:rowOff>
              </from>
              <to>
                <xdr:col>5</xdr:col>
                <xdr:colOff>161925</xdr:colOff>
                <xdr:row>1</xdr:row>
                <xdr:rowOff>104775</xdr:rowOff>
              </to>
            </anchor>
          </controlPr>
        </control>
      </mc:Choice>
      <mc:Fallback>
        <control shapeId="6145" r:id="rId4" name="CommandButton1"/>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39997558519241921"/>
  </sheetPr>
  <dimension ref="A1:AR42"/>
  <sheetViews>
    <sheetView showGridLines="0" topLeftCell="A32" workbookViewId="0">
      <pane xSplit="4" topLeftCell="Y1" activePane="topRight" state="frozen"/>
      <selection pane="topRight" activeCell="AA18" sqref="AA18:AB42"/>
    </sheetView>
  </sheetViews>
  <sheetFormatPr defaultRowHeight="15" x14ac:dyDescent="0.25"/>
  <cols>
    <col min="1" max="1" width="2.28515625" customWidth="1"/>
    <col min="2" max="2" width="6" customWidth="1"/>
    <col min="3" max="3" width="16.28515625" customWidth="1"/>
    <col min="4" max="4" width="40.85546875" customWidth="1"/>
    <col min="5" max="26" width="5.7109375" customWidth="1"/>
    <col min="27" max="27" width="41.42578125" customWidth="1"/>
    <col min="28" max="28" width="38.85546875" customWidth="1"/>
    <col min="29" max="29" width="31.140625" customWidth="1"/>
    <col min="30" max="30" width="36.28515625" customWidth="1"/>
    <col min="31" max="31" width="23.28515625" customWidth="1"/>
    <col min="32" max="32" width="38.140625" customWidth="1"/>
    <col min="33" max="33" width="46.85546875" customWidth="1"/>
    <col min="34" max="34" width="10.5703125" bestFit="1" customWidth="1"/>
    <col min="35" max="35" width="11.85546875" bestFit="1" customWidth="1"/>
    <col min="36" max="36" width="27.85546875" customWidth="1"/>
    <col min="37" max="37" width="26.85546875" customWidth="1"/>
    <col min="38" max="38" width="26.42578125" customWidth="1"/>
    <col min="39" max="39" width="26.5703125" customWidth="1"/>
    <col min="40" max="40" width="28.7109375" customWidth="1"/>
    <col min="41" max="41" width="25.5703125" customWidth="1"/>
    <col min="44" max="44" width="9.140625" customWidth="1"/>
  </cols>
  <sheetData>
    <row r="1" spans="1:44" x14ac:dyDescent="0.25">
      <c r="A1" s="1"/>
    </row>
    <row r="7" spans="1:44" ht="30.75" customHeight="1" x14ac:dyDescent="0.25">
      <c r="B7" s="104" t="s">
        <v>16</v>
      </c>
      <c r="C7" s="104"/>
      <c r="D7" s="104"/>
      <c r="E7" s="104"/>
      <c r="F7" s="104"/>
      <c r="G7" s="104"/>
      <c r="H7" s="104"/>
      <c r="I7" s="104"/>
      <c r="J7" s="104"/>
      <c r="K7" s="104"/>
      <c r="L7" s="104"/>
      <c r="M7" s="104"/>
      <c r="N7" s="104"/>
      <c r="O7" s="104"/>
      <c r="P7" s="104"/>
      <c r="Q7" s="104"/>
      <c r="R7" s="104"/>
      <c r="S7" s="104"/>
      <c r="T7" s="104"/>
      <c r="U7" s="104"/>
      <c r="V7" s="104"/>
      <c r="W7" s="104"/>
      <c r="X7" s="104"/>
      <c r="Y7" s="104"/>
      <c r="Z7" s="104"/>
    </row>
    <row r="8" spans="1:44" ht="14.25" customHeight="1" x14ac:dyDescent="0.25">
      <c r="B8" s="14"/>
      <c r="C8" s="14"/>
      <c r="D8" s="14"/>
      <c r="E8" s="14"/>
      <c r="F8" s="14"/>
      <c r="G8" s="14"/>
      <c r="H8" s="14"/>
      <c r="I8" s="14"/>
      <c r="J8" s="14"/>
      <c r="K8" s="14"/>
      <c r="L8" s="14"/>
      <c r="M8" s="14"/>
      <c r="N8" s="14"/>
      <c r="O8" s="14"/>
      <c r="P8" s="14"/>
      <c r="Q8" s="14"/>
      <c r="R8" s="14"/>
      <c r="S8" s="14"/>
      <c r="T8" s="14"/>
      <c r="U8" s="14"/>
      <c r="V8" s="14"/>
      <c r="W8" s="14"/>
      <c r="X8" s="14"/>
      <c r="Y8" s="14"/>
      <c r="Z8" s="14"/>
    </row>
    <row r="9" spans="1:44" ht="15" customHeight="1" x14ac:dyDescent="0.25">
      <c r="B9" s="100" t="s">
        <v>120</v>
      </c>
      <c r="C9" s="100"/>
      <c r="D9" s="27" t="s">
        <v>47</v>
      </c>
      <c r="E9" s="17"/>
      <c r="F9" s="107"/>
      <c r="G9" s="107"/>
      <c r="H9" s="107"/>
      <c r="I9" s="106"/>
      <c r="J9" s="106"/>
      <c r="K9" s="106"/>
      <c r="L9" s="106"/>
      <c r="M9" s="22"/>
      <c r="N9" s="14"/>
      <c r="O9" s="14"/>
      <c r="P9" s="14"/>
      <c r="Q9" s="14"/>
      <c r="R9" s="14"/>
      <c r="S9" s="14"/>
      <c r="T9" s="14"/>
      <c r="U9" s="14"/>
      <c r="V9" s="14"/>
      <c r="W9" s="14"/>
      <c r="X9" s="14"/>
      <c r="Y9" s="14"/>
      <c r="Z9" s="14"/>
    </row>
    <row r="10" spans="1:44" ht="15" customHeight="1" x14ac:dyDescent="0.25">
      <c r="B10" s="100" t="s">
        <v>43</v>
      </c>
      <c r="C10" s="100"/>
      <c r="D10" s="27" t="s">
        <v>86</v>
      </c>
      <c r="E10" s="17"/>
      <c r="F10" s="23"/>
      <c r="G10" s="23"/>
      <c r="H10" s="23"/>
      <c r="I10" s="107"/>
      <c r="J10" s="107"/>
      <c r="K10" s="107"/>
      <c r="L10" s="107"/>
      <c r="M10" s="22"/>
      <c r="N10" s="14"/>
      <c r="O10" s="14"/>
      <c r="P10" s="14"/>
      <c r="Q10" s="14"/>
      <c r="R10" s="14"/>
      <c r="S10" s="14"/>
      <c r="T10" s="14"/>
      <c r="U10" s="14"/>
      <c r="V10" s="14"/>
      <c r="W10" s="14"/>
      <c r="X10" s="14"/>
      <c r="Y10" s="14"/>
      <c r="Z10" s="14"/>
    </row>
    <row r="11" spans="1:44" ht="15" customHeight="1" x14ac:dyDescent="0.25">
      <c r="B11" s="100" t="s">
        <v>44</v>
      </c>
      <c r="C11" s="100"/>
      <c r="D11" s="27" t="s">
        <v>45</v>
      </c>
      <c r="E11" s="14"/>
      <c r="F11" s="14"/>
      <c r="G11" s="14"/>
      <c r="H11" s="14"/>
      <c r="I11" s="14"/>
      <c r="J11" s="14"/>
      <c r="K11" s="14"/>
      <c r="L11" s="14"/>
      <c r="M11" s="14"/>
      <c r="N11" s="14"/>
      <c r="O11" s="14"/>
      <c r="P11" s="14"/>
      <c r="Q11" s="14"/>
      <c r="R11" s="14"/>
      <c r="S11" s="14"/>
      <c r="T11" s="14"/>
      <c r="U11" s="14"/>
      <c r="V11" s="14"/>
      <c r="W11" s="14"/>
      <c r="X11" s="14"/>
      <c r="Y11" s="14"/>
      <c r="Z11" s="14"/>
    </row>
    <row r="12" spans="1:44" ht="15" customHeight="1" x14ac:dyDescent="0.25">
      <c r="B12" s="96" t="s">
        <v>97</v>
      </c>
      <c r="C12" s="97"/>
      <c r="D12" s="28"/>
      <c r="E12" s="18"/>
      <c r="F12" s="18"/>
      <c r="G12" s="18"/>
      <c r="H12" s="18"/>
      <c r="I12" s="18"/>
      <c r="J12" s="18"/>
      <c r="K12" s="18"/>
      <c r="L12" s="18"/>
      <c r="M12" s="18"/>
      <c r="N12" s="18"/>
      <c r="O12" s="18"/>
      <c r="P12" s="18"/>
      <c r="Q12" s="18"/>
      <c r="R12" s="18"/>
      <c r="S12" s="18"/>
      <c r="T12" s="18"/>
      <c r="U12" s="18"/>
      <c r="V12" s="18"/>
      <c r="W12" s="18"/>
      <c r="X12" s="18"/>
      <c r="Y12" s="18"/>
      <c r="Z12" s="18"/>
    </row>
    <row r="13" spans="1:44" ht="15" customHeight="1" x14ac:dyDescent="0.25">
      <c r="B13" s="96" t="s">
        <v>98</v>
      </c>
      <c r="C13" s="97"/>
      <c r="D13" s="67"/>
      <c r="E13" s="18"/>
      <c r="F13" s="18"/>
      <c r="G13" s="18"/>
      <c r="H13" s="18"/>
      <c r="I13" s="18"/>
      <c r="J13" s="18"/>
      <c r="K13" s="18"/>
      <c r="L13" s="18"/>
      <c r="M13" s="18"/>
      <c r="N13" s="18"/>
      <c r="O13" s="18"/>
      <c r="P13" s="18"/>
      <c r="Q13" s="18"/>
      <c r="R13" s="18"/>
      <c r="S13" s="18"/>
      <c r="T13" s="18"/>
      <c r="U13" s="18"/>
      <c r="V13" s="18"/>
      <c r="W13" s="18"/>
      <c r="X13" s="18"/>
      <c r="Y13" s="18"/>
      <c r="Z13" s="18"/>
    </row>
    <row r="14" spans="1:44" ht="15" customHeight="1" x14ac:dyDescent="0.25">
      <c r="B14" s="23"/>
      <c r="C14" s="23"/>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row>
    <row r="15" spans="1:44" ht="12.75" customHeight="1" x14ac:dyDescent="0.25">
      <c r="B15" s="101" t="s">
        <v>1</v>
      </c>
      <c r="C15" s="101" t="s">
        <v>37</v>
      </c>
      <c r="D15" s="101" t="s">
        <v>0</v>
      </c>
      <c r="E15" s="91" t="s">
        <v>67</v>
      </c>
      <c r="F15" s="95"/>
      <c r="G15" s="95"/>
      <c r="H15" s="95"/>
      <c r="I15" s="95"/>
      <c r="J15" s="95"/>
      <c r="K15" s="95"/>
      <c r="L15" s="95"/>
      <c r="M15" s="95"/>
      <c r="N15" s="95"/>
      <c r="O15" s="95"/>
      <c r="P15" s="95"/>
      <c r="Q15" s="95"/>
      <c r="R15" s="95"/>
      <c r="S15" s="95"/>
      <c r="T15" s="95"/>
      <c r="U15" s="95"/>
      <c r="V15" s="95"/>
      <c r="W15" s="95"/>
      <c r="X15" s="95"/>
      <c r="Y15" s="95"/>
      <c r="Z15" s="92"/>
      <c r="AA15" s="91" t="s">
        <v>63</v>
      </c>
      <c r="AB15" s="92"/>
      <c r="AC15" s="91" t="s">
        <v>89</v>
      </c>
      <c r="AD15" s="95"/>
      <c r="AE15" s="95"/>
      <c r="AF15" s="92"/>
      <c r="AG15" s="85" t="s">
        <v>87</v>
      </c>
      <c r="AH15" s="91" t="s">
        <v>108</v>
      </c>
      <c r="AI15" s="92"/>
      <c r="AJ15" s="91" t="s">
        <v>90</v>
      </c>
      <c r="AK15" s="92"/>
      <c r="AL15" s="91" t="s">
        <v>115</v>
      </c>
      <c r="AM15" s="92"/>
      <c r="AN15" s="91" t="s">
        <v>116</v>
      </c>
      <c r="AO15" s="92"/>
      <c r="AP15" s="88" t="s">
        <v>77</v>
      </c>
      <c r="AQ15" s="88"/>
      <c r="AR15" s="88"/>
    </row>
    <row r="16" spans="1:44" x14ac:dyDescent="0.25">
      <c r="B16" s="102"/>
      <c r="C16" s="102"/>
      <c r="D16" s="102"/>
      <c r="E16" s="105" t="s">
        <v>3</v>
      </c>
      <c r="F16" s="105"/>
      <c r="G16" s="89" t="s">
        <v>4</v>
      </c>
      <c r="H16" s="89"/>
      <c r="I16" s="105" t="s">
        <v>5</v>
      </c>
      <c r="J16" s="105"/>
      <c r="K16" s="105" t="s">
        <v>6</v>
      </c>
      <c r="L16" s="105"/>
      <c r="M16" s="105" t="s">
        <v>7</v>
      </c>
      <c r="N16" s="105"/>
      <c r="O16" s="105" t="s">
        <v>8</v>
      </c>
      <c r="P16" s="105"/>
      <c r="Q16" s="105" t="s">
        <v>9</v>
      </c>
      <c r="R16" s="105"/>
      <c r="S16" s="105" t="s">
        <v>10</v>
      </c>
      <c r="T16" s="105"/>
      <c r="U16" s="105" t="s">
        <v>11</v>
      </c>
      <c r="V16" s="105"/>
      <c r="W16" s="105" t="s">
        <v>12</v>
      </c>
      <c r="X16" s="105"/>
      <c r="Y16" s="105" t="s">
        <v>13</v>
      </c>
      <c r="Z16" s="105"/>
      <c r="AA16" s="83" t="s">
        <v>101</v>
      </c>
      <c r="AB16" s="83" t="s">
        <v>102</v>
      </c>
      <c r="AC16" s="98" t="s">
        <v>103</v>
      </c>
      <c r="AD16" s="99"/>
      <c r="AE16" s="98" t="s">
        <v>104</v>
      </c>
      <c r="AF16" s="99"/>
      <c r="AG16" s="86"/>
      <c r="AH16" s="83" t="s">
        <v>107</v>
      </c>
      <c r="AI16" s="83" t="s">
        <v>119</v>
      </c>
      <c r="AJ16" s="83" t="s">
        <v>113</v>
      </c>
      <c r="AK16" s="83" t="s">
        <v>114</v>
      </c>
      <c r="AL16" s="93" t="s">
        <v>109</v>
      </c>
      <c r="AM16" s="83" t="s">
        <v>106</v>
      </c>
      <c r="AN16" s="93" t="s">
        <v>109</v>
      </c>
      <c r="AO16" s="83" t="s">
        <v>106</v>
      </c>
      <c r="AP16" s="89" t="s">
        <v>110</v>
      </c>
      <c r="AQ16" s="89" t="s">
        <v>111</v>
      </c>
      <c r="AR16" s="90" t="s">
        <v>112</v>
      </c>
    </row>
    <row r="17" spans="2:44" x14ac:dyDescent="0.25">
      <c r="B17" s="103"/>
      <c r="C17" s="103"/>
      <c r="D17" s="103"/>
      <c r="E17" s="13" t="s">
        <v>14</v>
      </c>
      <c r="F17" s="5" t="s">
        <v>15</v>
      </c>
      <c r="G17" s="13" t="s">
        <v>14</v>
      </c>
      <c r="H17" s="5" t="s">
        <v>15</v>
      </c>
      <c r="I17" s="13" t="s">
        <v>14</v>
      </c>
      <c r="J17" s="5" t="s">
        <v>15</v>
      </c>
      <c r="K17" s="13" t="s">
        <v>14</v>
      </c>
      <c r="L17" s="5" t="s">
        <v>15</v>
      </c>
      <c r="M17" s="13" t="s">
        <v>14</v>
      </c>
      <c r="N17" s="5" t="s">
        <v>15</v>
      </c>
      <c r="O17" s="13" t="s">
        <v>14</v>
      </c>
      <c r="P17" s="5" t="s">
        <v>15</v>
      </c>
      <c r="Q17" s="13" t="s">
        <v>14</v>
      </c>
      <c r="R17" s="5" t="s">
        <v>15</v>
      </c>
      <c r="S17" s="13" t="s">
        <v>14</v>
      </c>
      <c r="T17" s="5" t="s">
        <v>15</v>
      </c>
      <c r="U17" s="13" t="s">
        <v>14</v>
      </c>
      <c r="V17" s="5" t="s">
        <v>15</v>
      </c>
      <c r="W17" s="13" t="s">
        <v>14</v>
      </c>
      <c r="X17" s="5" t="s">
        <v>15</v>
      </c>
      <c r="Y17" s="13" t="s">
        <v>14</v>
      </c>
      <c r="Z17" s="5" t="s">
        <v>15</v>
      </c>
      <c r="AA17" s="84"/>
      <c r="AB17" s="84"/>
      <c r="AC17" s="19" t="s">
        <v>105</v>
      </c>
      <c r="AD17" s="19" t="s">
        <v>106</v>
      </c>
      <c r="AE17" s="19" t="s">
        <v>105</v>
      </c>
      <c r="AF17" s="19" t="s">
        <v>106</v>
      </c>
      <c r="AG17" s="87"/>
      <c r="AH17" s="84"/>
      <c r="AI17" s="84"/>
      <c r="AJ17" s="84"/>
      <c r="AK17" s="84"/>
      <c r="AL17" s="94"/>
      <c r="AM17" s="84"/>
      <c r="AN17" s="94"/>
      <c r="AO17" s="84"/>
      <c r="AP17" s="89"/>
      <c r="AQ17" s="89"/>
      <c r="AR17" s="90"/>
    </row>
    <row r="18" spans="2:44" ht="26.25" customHeight="1" x14ac:dyDescent="0.25">
      <c r="B18" s="3">
        <v>1</v>
      </c>
      <c r="C18" s="3">
        <f>'Master Student'!H8</f>
        <v>1234</v>
      </c>
      <c r="D18" s="57" t="str">
        <f>IFERROR(VLOOKUP(C18,'Master Student'!H8:I29,2,FALSE),"Data Siswa di Student Master Masih Kosong")</f>
        <v>Lexy</v>
      </c>
      <c r="E18" s="25">
        <v>90</v>
      </c>
      <c r="F18" s="26">
        <v>90</v>
      </c>
      <c r="G18" s="25">
        <v>90</v>
      </c>
      <c r="H18" s="26">
        <v>90</v>
      </c>
      <c r="I18" s="25">
        <v>90</v>
      </c>
      <c r="J18" s="26">
        <v>90</v>
      </c>
      <c r="K18" s="25">
        <v>90</v>
      </c>
      <c r="L18" s="26">
        <v>90</v>
      </c>
      <c r="M18" s="25">
        <v>90</v>
      </c>
      <c r="N18" s="26">
        <v>90</v>
      </c>
      <c r="O18" s="25">
        <v>90</v>
      </c>
      <c r="P18" s="26">
        <v>90</v>
      </c>
      <c r="Q18" s="25">
        <v>90</v>
      </c>
      <c r="R18" s="26">
        <v>90</v>
      </c>
      <c r="S18" s="25">
        <v>90</v>
      </c>
      <c r="T18" s="26">
        <v>90</v>
      </c>
      <c r="U18" s="25">
        <v>90</v>
      </c>
      <c r="V18" s="26">
        <v>90</v>
      </c>
      <c r="W18" s="25">
        <v>90</v>
      </c>
      <c r="X18" s="26">
        <v>90</v>
      </c>
      <c r="Y18" s="25">
        <v>90</v>
      </c>
      <c r="Z18" s="26">
        <v>90</v>
      </c>
      <c r="AA18" s="56" t="s">
        <v>262</v>
      </c>
      <c r="AB18" s="56" t="s">
        <v>261</v>
      </c>
      <c r="AC18" s="56"/>
      <c r="AD18" s="56"/>
      <c r="AE18" s="56"/>
      <c r="AF18" s="56"/>
      <c r="AG18" s="56"/>
      <c r="AH18" s="56"/>
      <c r="AI18" s="56"/>
      <c r="AJ18" s="56"/>
      <c r="AK18" s="56"/>
      <c r="AL18" s="56"/>
      <c r="AM18" s="56"/>
      <c r="AN18" s="56"/>
      <c r="AO18" s="56"/>
      <c r="AP18" s="56"/>
      <c r="AQ18" s="56"/>
      <c r="AR18" s="56"/>
    </row>
    <row r="19" spans="2:44" ht="26.25" customHeight="1" x14ac:dyDescent="0.25">
      <c r="B19" s="3">
        <v>2</v>
      </c>
      <c r="C19" s="3">
        <f>'Master Student'!H9</f>
        <v>1235</v>
      </c>
      <c r="D19" s="57" t="str">
        <f>IFERROR(VLOOKUP(C19,'Master Student'!H9:I30,2,FALSE),"Data Siswa di Student Master Masih Kosong")</f>
        <v>Rifqy</v>
      </c>
      <c r="E19" s="25">
        <v>90</v>
      </c>
      <c r="F19" s="26">
        <v>90</v>
      </c>
      <c r="G19" s="25">
        <v>90</v>
      </c>
      <c r="H19" s="26">
        <v>90</v>
      </c>
      <c r="I19" s="25">
        <v>90</v>
      </c>
      <c r="J19" s="26">
        <v>90</v>
      </c>
      <c r="K19" s="25">
        <v>90</v>
      </c>
      <c r="L19" s="26">
        <v>90</v>
      </c>
      <c r="M19" s="25">
        <v>90</v>
      </c>
      <c r="N19" s="26">
        <v>90</v>
      </c>
      <c r="O19" s="25">
        <v>90</v>
      </c>
      <c r="P19" s="26">
        <v>90</v>
      </c>
      <c r="Q19" s="25">
        <v>90</v>
      </c>
      <c r="R19" s="26">
        <v>90</v>
      </c>
      <c r="S19" s="25">
        <v>90</v>
      </c>
      <c r="T19" s="26">
        <v>90</v>
      </c>
      <c r="U19" s="25">
        <v>90</v>
      </c>
      <c r="V19" s="26">
        <v>90</v>
      </c>
      <c r="W19" s="25">
        <v>90</v>
      </c>
      <c r="X19" s="26">
        <v>90</v>
      </c>
      <c r="Y19" s="25">
        <v>90</v>
      </c>
      <c r="Z19" s="26">
        <v>90</v>
      </c>
      <c r="AA19" s="56" t="s">
        <v>262</v>
      </c>
      <c r="AB19" s="56" t="s">
        <v>261</v>
      </c>
      <c r="AC19" s="56"/>
      <c r="AD19" s="56"/>
      <c r="AE19" s="56"/>
      <c r="AF19" s="56"/>
      <c r="AG19" s="56"/>
      <c r="AH19" s="56"/>
      <c r="AI19" s="56"/>
      <c r="AJ19" s="56"/>
      <c r="AK19" s="56"/>
      <c r="AL19" s="56"/>
      <c r="AM19" s="56"/>
      <c r="AN19" s="56"/>
      <c r="AO19" s="56"/>
      <c r="AP19" s="56"/>
      <c r="AQ19" s="56"/>
      <c r="AR19" s="56"/>
    </row>
    <row r="20" spans="2:44" ht="26.25" customHeight="1" x14ac:dyDescent="0.25">
      <c r="B20" s="3">
        <v>3</v>
      </c>
      <c r="C20" s="3">
        <f>'Master Student'!H10</f>
        <v>0</v>
      </c>
      <c r="D20" s="57" t="str">
        <f>IFERROR(VLOOKUP(C20,'Master Student'!H10:I31,2,FALSE),"Data Siswa di Student Master Masih Kosong")</f>
        <v>Data Siswa di Student Master Masih Kosong</v>
      </c>
      <c r="E20" s="25">
        <v>90</v>
      </c>
      <c r="F20" s="26">
        <v>90</v>
      </c>
      <c r="G20" s="25">
        <v>90</v>
      </c>
      <c r="H20" s="26">
        <v>90</v>
      </c>
      <c r="I20" s="25">
        <v>90</v>
      </c>
      <c r="J20" s="26">
        <v>90</v>
      </c>
      <c r="K20" s="25">
        <v>90</v>
      </c>
      <c r="L20" s="26">
        <v>90</v>
      </c>
      <c r="M20" s="25">
        <v>90</v>
      </c>
      <c r="N20" s="26">
        <v>90</v>
      </c>
      <c r="O20" s="25">
        <v>90</v>
      </c>
      <c r="P20" s="26">
        <v>90</v>
      </c>
      <c r="Q20" s="25">
        <v>90</v>
      </c>
      <c r="R20" s="26">
        <v>90</v>
      </c>
      <c r="S20" s="25">
        <v>90</v>
      </c>
      <c r="T20" s="26">
        <v>90</v>
      </c>
      <c r="U20" s="25">
        <v>90</v>
      </c>
      <c r="V20" s="26">
        <v>90</v>
      </c>
      <c r="W20" s="25">
        <v>90</v>
      </c>
      <c r="X20" s="26">
        <v>90</v>
      </c>
      <c r="Y20" s="25">
        <v>90</v>
      </c>
      <c r="Z20" s="26">
        <v>90</v>
      </c>
      <c r="AA20" s="56" t="s">
        <v>262</v>
      </c>
      <c r="AB20" s="56" t="s">
        <v>261</v>
      </c>
      <c r="AC20" s="56"/>
      <c r="AD20" s="56"/>
      <c r="AE20" s="56"/>
      <c r="AF20" s="56"/>
      <c r="AG20" s="56"/>
      <c r="AH20" s="56"/>
      <c r="AI20" s="56"/>
      <c r="AJ20" s="56"/>
      <c r="AK20" s="56"/>
      <c r="AL20" s="56"/>
      <c r="AM20" s="56"/>
      <c r="AN20" s="56"/>
      <c r="AO20" s="56"/>
      <c r="AP20" s="56"/>
      <c r="AQ20" s="56"/>
      <c r="AR20" s="56"/>
    </row>
    <row r="21" spans="2:44" ht="26.25" customHeight="1" x14ac:dyDescent="0.25">
      <c r="B21" s="3">
        <v>4</v>
      </c>
      <c r="C21" s="3">
        <f>'Master Student'!H11</f>
        <v>0</v>
      </c>
      <c r="D21" s="57" t="str">
        <f>IFERROR(VLOOKUP(C21,'Master Student'!H11:I32,2,FALSE),"Data Siswa di Student Master Masih Kosong")</f>
        <v>Data Siswa di Student Master Masih Kosong</v>
      </c>
      <c r="E21" s="25">
        <v>90</v>
      </c>
      <c r="F21" s="26">
        <v>90</v>
      </c>
      <c r="G21" s="25">
        <v>90</v>
      </c>
      <c r="H21" s="26">
        <v>90</v>
      </c>
      <c r="I21" s="25">
        <v>90</v>
      </c>
      <c r="J21" s="26">
        <v>90</v>
      </c>
      <c r="K21" s="25">
        <v>90</v>
      </c>
      <c r="L21" s="26">
        <v>90</v>
      </c>
      <c r="M21" s="25">
        <v>90</v>
      </c>
      <c r="N21" s="26">
        <v>90</v>
      </c>
      <c r="O21" s="25">
        <v>90</v>
      </c>
      <c r="P21" s="26">
        <v>90</v>
      </c>
      <c r="Q21" s="25">
        <v>90</v>
      </c>
      <c r="R21" s="26">
        <v>90</v>
      </c>
      <c r="S21" s="25">
        <v>90</v>
      </c>
      <c r="T21" s="26">
        <v>90</v>
      </c>
      <c r="U21" s="25">
        <v>90</v>
      </c>
      <c r="V21" s="26">
        <v>90</v>
      </c>
      <c r="W21" s="25">
        <v>90</v>
      </c>
      <c r="X21" s="26">
        <v>90</v>
      </c>
      <c r="Y21" s="25">
        <v>90</v>
      </c>
      <c r="Z21" s="26">
        <v>90</v>
      </c>
      <c r="AA21" s="56" t="s">
        <v>262</v>
      </c>
      <c r="AB21" s="56" t="s">
        <v>261</v>
      </c>
      <c r="AC21" s="56"/>
      <c r="AD21" s="56"/>
      <c r="AE21" s="56"/>
      <c r="AF21" s="56"/>
      <c r="AG21" s="56"/>
      <c r="AH21" s="56"/>
      <c r="AI21" s="56"/>
      <c r="AJ21" s="56"/>
      <c r="AK21" s="56"/>
      <c r="AL21" s="56"/>
      <c r="AM21" s="56"/>
      <c r="AN21" s="56"/>
      <c r="AO21" s="56"/>
      <c r="AP21" s="56"/>
      <c r="AQ21" s="56"/>
      <c r="AR21" s="56"/>
    </row>
    <row r="22" spans="2:44" ht="26.25" customHeight="1" x14ac:dyDescent="0.25">
      <c r="B22" s="3">
        <v>5</v>
      </c>
      <c r="C22" s="3">
        <f>'Master Student'!H12</f>
        <v>0</v>
      </c>
      <c r="D22" s="57" t="str">
        <f>IFERROR(VLOOKUP(C22,'Master Student'!H12:I33,2,FALSE),"Data Siswa di Student Master Masih Kosong")</f>
        <v>Data Siswa di Student Master Masih Kosong</v>
      </c>
      <c r="E22" s="25">
        <v>90</v>
      </c>
      <c r="F22" s="26">
        <v>90</v>
      </c>
      <c r="G22" s="25">
        <v>90</v>
      </c>
      <c r="H22" s="26">
        <v>90</v>
      </c>
      <c r="I22" s="25">
        <v>90</v>
      </c>
      <c r="J22" s="26">
        <v>90</v>
      </c>
      <c r="K22" s="25">
        <v>90</v>
      </c>
      <c r="L22" s="26">
        <v>90</v>
      </c>
      <c r="M22" s="25">
        <v>90</v>
      </c>
      <c r="N22" s="26">
        <v>90</v>
      </c>
      <c r="O22" s="25">
        <v>90</v>
      </c>
      <c r="P22" s="26">
        <v>90</v>
      </c>
      <c r="Q22" s="25">
        <v>90</v>
      </c>
      <c r="R22" s="26">
        <v>90</v>
      </c>
      <c r="S22" s="25">
        <v>90</v>
      </c>
      <c r="T22" s="26">
        <v>90</v>
      </c>
      <c r="U22" s="25">
        <v>90</v>
      </c>
      <c r="V22" s="26">
        <v>90</v>
      </c>
      <c r="W22" s="25">
        <v>90</v>
      </c>
      <c r="X22" s="26">
        <v>90</v>
      </c>
      <c r="Y22" s="25">
        <v>90</v>
      </c>
      <c r="Z22" s="26">
        <v>90</v>
      </c>
      <c r="AA22" s="56" t="s">
        <v>262</v>
      </c>
      <c r="AB22" s="56" t="s">
        <v>261</v>
      </c>
      <c r="AC22" s="56"/>
      <c r="AD22" s="56"/>
      <c r="AE22" s="56"/>
      <c r="AF22" s="56"/>
      <c r="AG22" s="56"/>
      <c r="AH22" s="56"/>
      <c r="AI22" s="56"/>
      <c r="AJ22" s="56"/>
      <c r="AK22" s="56"/>
      <c r="AL22" s="56"/>
      <c r="AM22" s="56"/>
      <c r="AN22" s="56"/>
      <c r="AO22" s="56"/>
      <c r="AP22" s="56"/>
      <c r="AQ22" s="56"/>
      <c r="AR22" s="56"/>
    </row>
    <row r="23" spans="2:44" ht="26.25" customHeight="1" x14ac:dyDescent="0.25">
      <c r="B23" s="3">
        <v>6</v>
      </c>
      <c r="C23" s="3">
        <f>'Master Student'!H13</f>
        <v>0</v>
      </c>
      <c r="D23" s="57" t="str">
        <f>IFERROR(VLOOKUP(C23,'Master Student'!H13:I34,2,FALSE),"Data Siswa di Student Master Masih Kosong")</f>
        <v>Data Siswa di Student Master Masih Kosong</v>
      </c>
      <c r="E23" s="25">
        <v>90</v>
      </c>
      <c r="F23" s="26">
        <v>90</v>
      </c>
      <c r="G23" s="25">
        <v>90</v>
      </c>
      <c r="H23" s="26">
        <v>90</v>
      </c>
      <c r="I23" s="25">
        <v>90</v>
      </c>
      <c r="J23" s="26">
        <v>90</v>
      </c>
      <c r="K23" s="25">
        <v>90</v>
      </c>
      <c r="L23" s="26">
        <v>90</v>
      </c>
      <c r="M23" s="25">
        <v>90</v>
      </c>
      <c r="N23" s="26">
        <v>90</v>
      </c>
      <c r="O23" s="25">
        <v>90</v>
      </c>
      <c r="P23" s="26">
        <v>90</v>
      </c>
      <c r="Q23" s="25">
        <v>90</v>
      </c>
      <c r="R23" s="26">
        <v>90</v>
      </c>
      <c r="S23" s="25">
        <v>90</v>
      </c>
      <c r="T23" s="26">
        <v>90</v>
      </c>
      <c r="U23" s="25">
        <v>90</v>
      </c>
      <c r="V23" s="26">
        <v>90</v>
      </c>
      <c r="W23" s="25">
        <v>90</v>
      </c>
      <c r="X23" s="26">
        <v>90</v>
      </c>
      <c r="Y23" s="25">
        <v>90</v>
      </c>
      <c r="Z23" s="26">
        <v>90</v>
      </c>
      <c r="AA23" s="56" t="s">
        <v>262</v>
      </c>
      <c r="AB23" s="56" t="s">
        <v>261</v>
      </c>
      <c r="AC23" s="56"/>
      <c r="AD23" s="56"/>
      <c r="AE23" s="56"/>
      <c r="AF23" s="56"/>
      <c r="AG23" s="56"/>
      <c r="AH23" s="56"/>
      <c r="AI23" s="56"/>
      <c r="AJ23" s="56"/>
      <c r="AK23" s="56"/>
      <c r="AL23" s="56"/>
      <c r="AM23" s="56"/>
      <c r="AN23" s="56"/>
      <c r="AO23" s="56"/>
      <c r="AP23" s="56"/>
      <c r="AQ23" s="56"/>
      <c r="AR23" s="56"/>
    </row>
    <row r="24" spans="2:44" ht="26.25" customHeight="1" x14ac:dyDescent="0.25">
      <c r="B24" s="3">
        <v>7</v>
      </c>
      <c r="C24" s="3">
        <f>'Master Student'!H14</f>
        <v>0</v>
      </c>
      <c r="D24" s="57" t="str">
        <f>IFERROR(VLOOKUP(C24,'Master Student'!H14:I35,2,FALSE),"Data Siswa di Student Master Masih Kosong")</f>
        <v>Data Siswa di Student Master Masih Kosong</v>
      </c>
      <c r="E24" s="25">
        <v>90</v>
      </c>
      <c r="F24" s="26">
        <v>90</v>
      </c>
      <c r="G24" s="25">
        <v>90</v>
      </c>
      <c r="H24" s="26">
        <v>90</v>
      </c>
      <c r="I24" s="25">
        <v>90</v>
      </c>
      <c r="J24" s="26">
        <v>90</v>
      </c>
      <c r="K24" s="25">
        <v>90</v>
      </c>
      <c r="L24" s="26">
        <v>90</v>
      </c>
      <c r="M24" s="25">
        <v>90</v>
      </c>
      <c r="N24" s="26">
        <v>90</v>
      </c>
      <c r="O24" s="25">
        <v>90</v>
      </c>
      <c r="P24" s="26">
        <v>90</v>
      </c>
      <c r="Q24" s="25">
        <v>90</v>
      </c>
      <c r="R24" s="26">
        <v>90</v>
      </c>
      <c r="S24" s="25">
        <v>90</v>
      </c>
      <c r="T24" s="26">
        <v>90</v>
      </c>
      <c r="U24" s="25">
        <v>90</v>
      </c>
      <c r="V24" s="26">
        <v>90</v>
      </c>
      <c r="W24" s="25">
        <v>90</v>
      </c>
      <c r="X24" s="26">
        <v>90</v>
      </c>
      <c r="Y24" s="25">
        <v>90</v>
      </c>
      <c r="Z24" s="26">
        <v>90</v>
      </c>
      <c r="AA24" s="56" t="s">
        <v>262</v>
      </c>
      <c r="AB24" s="56" t="s">
        <v>261</v>
      </c>
      <c r="AC24" s="56"/>
      <c r="AD24" s="56"/>
      <c r="AE24" s="56"/>
      <c r="AF24" s="56"/>
      <c r="AG24" s="56"/>
      <c r="AH24" s="56"/>
      <c r="AI24" s="56"/>
      <c r="AJ24" s="56"/>
      <c r="AK24" s="56"/>
      <c r="AL24" s="56"/>
      <c r="AM24" s="56"/>
      <c r="AN24" s="56"/>
      <c r="AO24" s="56"/>
      <c r="AP24" s="56"/>
      <c r="AQ24" s="56"/>
      <c r="AR24" s="56"/>
    </row>
    <row r="25" spans="2:44" ht="26.25" customHeight="1" x14ac:dyDescent="0.25">
      <c r="B25" s="3">
        <v>8</v>
      </c>
      <c r="C25" s="3">
        <f>'Master Student'!H15</f>
        <v>0</v>
      </c>
      <c r="D25" s="57" t="str">
        <f>IFERROR(VLOOKUP(C25,'Master Student'!H15:I36,2,FALSE),"Data Siswa di Student Master Masih Kosong")</f>
        <v>Data Siswa di Student Master Masih Kosong</v>
      </c>
      <c r="E25" s="25">
        <v>90</v>
      </c>
      <c r="F25" s="26">
        <v>90</v>
      </c>
      <c r="G25" s="25">
        <v>90</v>
      </c>
      <c r="H25" s="26">
        <v>90</v>
      </c>
      <c r="I25" s="25">
        <v>90</v>
      </c>
      <c r="J25" s="26">
        <v>90</v>
      </c>
      <c r="K25" s="25">
        <v>90</v>
      </c>
      <c r="L25" s="26">
        <v>90</v>
      </c>
      <c r="M25" s="25">
        <v>90</v>
      </c>
      <c r="N25" s="26">
        <v>90</v>
      </c>
      <c r="O25" s="25">
        <v>90</v>
      </c>
      <c r="P25" s="26">
        <v>90</v>
      </c>
      <c r="Q25" s="25">
        <v>90</v>
      </c>
      <c r="R25" s="26">
        <v>90</v>
      </c>
      <c r="S25" s="25">
        <v>90</v>
      </c>
      <c r="T25" s="26">
        <v>90</v>
      </c>
      <c r="U25" s="25">
        <v>90</v>
      </c>
      <c r="V25" s="26">
        <v>90</v>
      </c>
      <c r="W25" s="25">
        <v>90</v>
      </c>
      <c r="X25" s="26">
        <v>90</v>
      </c>
      <c r="Y25" s="25">
        <v>90</v>
      </c>
      <c r="Z25" s="26">
        <v>90</v>
      </c>
      <c r="AA25" s="56" t="s">
        <v>262</v>
      </c>
      <c r="AB25" s="56" t="s">
        <v>261</v>
      </c>
      <c r="AC25" s="56"/>
      <c r="AD25" s="56"/>
      <c r="AE25" s="56"/>
      <c r="AF25" s="56"/>
      <c r="AG25" s="56"/>
      <c r="AH25" s="56"/>
      <c r="AI25" s="56"/>
      <c r="AJ25" s="56"/>
      <c r="AK25" s="56"/>
      <c r="AL25" s="56"/>
      <c r="AM25" s="56"/>
      <c r="AN25" s="56"/>
      <c r="AO25" s="56"/>
      <c r="AP25" s="56"/>
      <c r="AQ25" s="56"/>
      <c r="AR25" s="56"/>
    </row>
    <row r="26" spans="2:44" ht="26.25" customHeight="1" x14ac:dyDescent="0.25">
      <c r="B26" s="3">
        <v>9</v>
      </c>
      <c r="C26" s="3">
        <f>'Master Student'!H16</f>
        <v>0</v>
      </c>
      <c r="D26" s="57" t="str">
        <f>IFERROR(VLOOKUP(C26,'Master Student'!H16:I37,2,FALSE),"Data Siswa di Student Master Masih Kosong")</f>
        <v>Data Siswa di Student Master Masih Kosong</v>
      </c>
      <c r="E26" s="25">
        <v>90</v>
      </c>
      <c r="F26" s="26">
        <v>90</v>
      </c>
      <c r="G26" s="25">
        <v>90</v>
      </c>
      <c r="H26" s="26">
        <v>90</v>
      </c>
      <c r="I26" s="25">
        <v>90</v>
      </c>
      <c r="J26" s="26">
        <v>90</v>
      </c>
      <c r="K26" s="25">
        <v>90</v>
      </c>
      <c r="L26" s="26">
        <v>90</v>
      </c>
      <c r="M26" s="25">
        <v>90</v>
      </c>
      <c r="N26" s="26">
        <v>90</v>
      </c>
      <c r="O26" s="25">
        <v>90</v>
      </c>
      <c r="P26" s="26">
        <v>90</v>
      </c>
      <c r="Q26" s="25">
        <v>90</v>
      </c>
      <c r="R26" s="26">
        <v>90</v>
      </c>
      <c r="S26" s="25">
        <v>90</v>
      </c>
      <c r="T26" s="26">
        <v>90</v>
      </c>
      <c r="U26" s="25">
        <v>90</v>
      </c>
      <c r="V26" s="26">
        <v>90</v>
      </c>
      <c r="W26" s="25">
        <v>90</v>
      </c>
      <c r="X26" s="26">
        <v>90</v>
      </c>
      <c r="Y26" s="25">
        <v>90</v>
      </c>
      <c r="Z26" s="26">
        <v>90</v>
      </c>
      <c r="AA26" s="56" t="s">
        <v>262</v>
      </c>
      <c r="AB26" s="56" t="s">
        <v>261</v>
      </c>
      <c r="AC26" s="56"/>
      <c r="AD26" s="56"/>
      <c r="AE26" s="56"/>
      <c r="AF26" s="56"/>
      <c r="AG26" s="56"/>
      <c r="AH26" s="56"/>
      <c r="AI26" s="56"/>
      <c r="AJ26" s="56"/>
      <c r="AK26" s="56"/>
      <c r="AL26" s="56"/>
      <c r="AM26" s="56"/>
      <c r="AN26" s="56"/>
      <c r="AO26" s="56"/>
      <c r="AP26" s="56"/>
      <c r="AQ26" s="56"/>
      <c r="AR26" s="56"/>
    </row>
    <row r="27" spans="2:44" ht="26.25" customHeight="1" x14ac:dyDescent="0.25">
      <c r="B27" s="3">
        <v>10</v>
      </c>
      <c r="C27" s="3">
        <f>'Master Student'!H17</f>
        <v>0</v>
      </c>
      <c r="D27" s="57" t="str">
        <f>IFERROR(VLOOKUP(C27,'Master Student'!H17:I38,2,FALSE),"Data Siswa di Student Master Masih Kosong")</f>
        <v>Data Siswa di Student Master Masih Kosong</v>
      </c>
      <c r="E27" s="25">
        <v>90</v>
      </c>
      <c r="F27" s="26">
        <v>90</v>
      </c>
      <c r="G27" s="25">
        <v>90</v>
      </c>
      <c r="H27" s="26">
        <v>90</v>
      </c>
      <c r="I27" s="25">
        <v>90</v>
      </c>
      <c r="J27" s="26">
        <v>90</v>
      </c>
      <c r="K27" s="25">
        <v>90</v>
      </c>
      <c r="L27" s="26">
        <v>90</v>
      </c>
      <c r="M27" s="25">
        <v>90</v>
      </c>
      <c r="N27" s="26">
        <v>90</v>
      </c>
      <c r="O27" s="25">
        <v>90</v>
      </c>
      <c r="P27" s="26">
        <v>90</v>
      </c>
      <c r="Q27" s="25">
        <v>90</v>
      </c>
      <c r="R27" s="26">
        <v>90</v>
      </c>
      <c r="S27" s="25">
        <v>90</v>
      </c>
      <c r="T27" s="26">
        <v>90</v>
      </c>
      <c r="U27" s="25">
        <v>90</v>
      </c>
      <c r="V27" s="26">
        <v>90</v>
      </c>
      <c r="W27" s="25">
        <v>90</v>
      </c>
      <c r="X27" s="26">
        <v>90</v>
      </c>
      <c r="Y27" s="25">
        <v>90</v>
      </c>
      <c r="Z27" s="26">
        <v>90</v>
      </c>
      <c r="AA27" s="56" t="s">
        <v>262</v>
      </c>
      <c r="AB27" s="56" t="s">
        <v>261</v>
      </c>
      <c r="AC27" s="56"/>
      <c r="AD27" s="56"/>
      <c r="AE27" s="56"/>
      <c r="AF27" s="56"/>
      <c r="AG27" s="56"/>
      <c r="AH27" s="56"/>
      <c r="AI27" s="56"/>
      <c r="AJ27" s="56"/>
      <c r="AK27" s="56"/>
      <c r="AL27" s="56"/>
      <c r="AM27" s="56"/>
      <c r="AN27" s="56"/>
      <c r="AO27" s="56"/>
      <c r="AP27" s="56"/>
      <c r="AQ27" s="56"/>
      <c r="AR27" s="56"/>
    </row>
    <row r="28" spans="2:44" ht="26.25" customHeight="1" x14ac:dyDescent="0.25">
      <c r="B28" s="3">
        <v>11</v>
      </c>
      <c r="C28" s="3">
        <f>'Master Student'!H18</f>
        <v>0</v>
      </c>
      <c r="D28" s="57" t="str">
        <f>IFERROR(VLOOKUP(C28,'Master Student'!H18:I39,2,FALSE),"Data Siswa di Student Master Masih Kosong")</f>
        <v>Data Siswa di Student Master Masih Kosong</v>
      </c>
      <c r="E28" s="25">
        <v>90</v>
      </c>
      <c r="F28" s="26">
        <v>90</v>
      </c>
      <c r="G28" s="25">
        <v>90</v>
      </c>
      <c r="H28" s="26">
        <v>90</v>
      </c>
      <c r="I28" s="25">
        <v>90</v>
      </c>
      <c r="J28" s="26">
        <v>90</v>
      </c>
      <c r="K28" s="25">
        <v>90</v>
      </c>
      <c r="L28" s="26">
        <v>90</v>
      </c>
      <c r="M28" s="25">
        <v>90</v>
      </c>
      <c r="N28" s="26">
        <v>90</v>
      </c>
      <c r="O28" s="25">
        <v>90</v>
      </c>
      <c r="P28" s="26">
        <v>90</v>
      </c>
      <c r="Q28" s="25">
        <v>90</v>
      </c>
      <c r="R28" s="26">
        <v>90</v>
      </c>
      <c r="S28" s="25">
        <v>90</v>
      </c>
      <c r="T28" s="26">
        <v>90</v>
      </c>
      <c r="U28" s="25">
        <v>90</v>
      </c>
      <c r="V28" s="26">
        <v>90</v>
      </c>
      <c r="W28" s="25">
        <v>90</v>
      </c>
      <c r="X28" s="26">
        <v>90</v>
      </c>
      <c r="Y28" s="25">
        <v>90</v>
      </c>
      <c r="Z28" s="26">
        <v>90</v>
      </c>
      <c r="AA28" s="56" t="s">
        <v>262</v>
      </c>
      <c r="AB28" s="56" t="s">
        <v>261</v>
      </c>
      <c r="AC28" s="56"/>
      <c r="AD28" s="56"/>
      <c r="AE28" s="56"/>
      <c r="AF28" s="56"/>
      <c r="AG28" s="56"/>
      <c r="AH28" s="56"/>
      <c r="AI28" s="56"/>
      <c r="AJ28" s="56"/>
      <c r="AK28" s="56"/>
      <c r="AL28" s="56"/>
      <c r="AM28" s="56"/>
      <c r="AN28" s="56"/>
      <c r="AO28" s="56"/>
      <c r="AP28" s="56"/>
      <c r="AQ28" s="56"/>
      <c r="AR28" s="56"/>
    </row>
    <row r="29" spans="2:44" ht="26.25" customHeight="1" x14ac:dyDescent="0.25">
      <c r="B29" s="3">
        <v>12</v>
      </c>
      <c r="C29" s="3">
        <f>'Master Student'!H19</f>
        <v>0</v>
      </c>
      <c r="D29" s="57" t="str">
        <f>IFERROR(VLOOKUP(C29,'Master Student'!H19:I40,2,FALSE),"Data Siswa di Student Master Masih Kosong")</f>
        <v>Data Siswa di Student Master Masih Kosong</v>
      </c>
      <c r="E29" s="25">
        <v>90</v>
      </c>
      <c r="F29" s="26">
        <v>90</v>
      </c>
      <c r="G29" s="25">
        <v>90</v>
      </c>
      <c r="H29" s="26">
        <v>90</v>
      </c>
      <c r="I29" s="25">
        <v>90</v>
      </c>
      <c r="J29" s="26">
        <v>90</v>
      </c>
      <c r="K29" s="25">
        <v>90</v>
      </c>
      <c r="L29" s="26">
        <v>90</v>
      </c>
      <c r="M29" s="25">
        <v>90</v>
      </c>
      <c r="N29" s="26">
        <v>90</v>
      </c>
      <c r="O29" s="25">
        <v>90</v>
      </c>
      <c r="P29" s="26">
        <v>90</v>
      </c>
      <c r="Q29" s="25">
        <v>90</v>
      </c>
      <c r="R29" s="26">
        <v>90</v>
      </c>
      <c r="S29" s="25">
        <v>90</v>
      </c>
      <c r="T29" s="26">
        <v>90</v>
      </c>
      <c r="U29" s="25">
        <v>90</v>
      </c>
      <c r="V29" s="26">
        <v>90</v>
      </c>
      <c r="W29" s="25">
        <v>90</v>
      </c>
      <c r="X29" s="26">
        <v>90</v>
      </c>
      <c r="Y29" s="25">
        <v>90</v>
      </c>
      <c r="Z29" s="26">
        <v>90</v>
      </c>
      <c r="AA29" s="56" t="s">
        <v>262</v>
      </c>
      <c r="AB29" s="56" t="s">
        <v>261</v>
      </c>
      <c r="AC29" s="56"/>
      <c r="AD29" s="56"/>
      <c r="AE29" s="56"/>
      <c r="AF29" s="56"/>
      <c r="AG29" s="56"/>
      <c r="AH29" s="56"/>
      <c r="AI29" s="56"/>
      <c r="AJ29" s="56"/>
      <c r="AK29" s="56"/>
      <c r="AL29" s="56"/>
      <c r="AM29" s="56"/>
      <c r="AN29" s="56"/>
      <c r="AO29" s="56"/>
      <c r="AP29" s="56"/>
      <c r="AQ29" s="56"/>
      <c r="AR29" s="56"/>
    </row>
    <row r="30" spans="2:44" ht="26.25" customHeight="1" x14ac:dyDescent="0.25">
      <c r="B30" s="3">
        <v>13</v>
      </c>
      <c r="C30" s="3">
        <f>'Master Student'!H20</f>
        <v>0</v>
      </c>
      <c r="D30" s="57" t="str">
        <f>IFERROR(VLOOKUP(C30,'Master Student'!H20:I41,2,FALSE),"Data Siswa di Student Master Masih Kosong")</f>
        <v>Data Siswa di Student Master Masih Kosong</v>
      </c>
      <c r="E30" s="25">
        <v>90</v>
      </c>
      <c r="F30" s="26">
        <v>90</v>
      </c>
      <c r="G30" s="25">
        <v>90</v>
      </c>
      <c r="H30" s="26">
        <v>90</v>
      </c>
      <c r="I30" s="25">
        <v>90</v>
      </c>
      <c r="J30" s="26">
        <v>90</v>
      </c>
      <c r="K30" s="25">
        <v>90</v>
      </c>
      <c r="L30" s="26">
        <v>90</v>
      </c>
      <c r="M30" s="25">
        <v>90</v>
      </c>
      <c r="N30" s="26">
        <v>90</v>
      </c>
      <c r="O30" s="25">
        <v>90</v>
      </c>
      <c r="P30" s="26">
        <v>90</v>
      </c>
      <c r="Q30" s="25">
        <v>90</v>
      </c>
      <c r="R30" s="26">
        <v>90</v>
      </c>
      <c r="S30" s="25">
        <v>90</v>
      </c>
      <c r="T30" s="26">
        <v>90</v>
      </c>
      <c r="U30" s="25">
        <v>90</v>
      </c>
      <c r="V30" s="26">
        <v>90</v>
      </c>
      <c r="W30" s="25">
        <v>90</v>
      </c>
      <c r="X30" s="26">
        <v>90</v>
      </c>
      <c r="Y30" s="25">
        <v>90</v>
      </c>
      <c r="Z30" s="26">
        <v>90</v>
      </c>
      <c r="AA30" s="56" t="s">
        <v>262</v>
      </c>
      <c r="AB30" s="56" t="s">
        <v>261</v>
      </c>
      <c r="AC30" s="56"/>
      <c r="AD30" s="56"/>
      <c r="AE30" s="56"/>
      <c r="AF30" s="56"/>
      <c r="AG30" s="56"/>
      <c r="AH30" s="56"/>
      <c r="AI30" s="56"/>
      <c r="AJ30" s="56"/>
      <c r="AK30" s="56"/>
      <c r="AL30" s="56"/>
      <c r="AM30" s="56"/>
      <c r="AN30" s="56"/>
      <c r="AO30" s="56"/>
      <c r="AP30" s="56"/>
      <c r="AQ30" s="56"/>
      <c r="AR30" s="56"/>
    </row>
    <row r="31" spans="2:44" ht="26.25" customHeight="1" x14ac:dyDescent="0.25">
      <c r="B31" s="3">
        <v>14</v>
      </c>
      <c r="C31" s="3">
        <f>'Master Student'!H21</f>
        <v>0</v>
      </c>
      <c r="D31" s="57" t="str">
        <f>IFERROR(VLOOKUP(C31,'Master Student'!H21:I42,2,FALSE),"Data Siswa di Student Master Masih Kosong")</f>
        <v>Data Siswa di Student Master Masih Kosong</v>
      </c>
      <c r="E31" s="25">
        <v>90</v>
      </c>
      <c r="F31" s="26">
        <v>90</v>
      </c>
      <c r="G31" s="25">
        <v>90</v>
      </c>
      <c r="H31" s="26">
        <v>90</v>
      </c>
      <c r="I31" s="25">
        <v>90</v>
      </c>
      <c r="J31" s="26">
        <v>90</v>
      </c>
      <c r="K31" s="25">
        <v>90</v>
      </c>
      <c r="L31" s="26">
        <v>90</v>
      </c>
      <c r="M31" s="25">
        <v>90</v>
      </c>
      <c r="N31" s="26">
        <v>90</v>
      </c>
      <c r="O31" s="25">
        <v>90</v>
      </c>
      <c r="P31" s="26">
        <v>90</v>
      </c>
      <c r="Q31" s="25">
        <v>90</v>
      </c>
      <c r="R31" s="26">
        <v>90</v>
      </c>
      <c r="S31" s="25">
        <v>90</v>
      </c>
      <c r="T31" s="26">
        <v>90</v>
      </c>
      <c r="U31" s="25">
        <v>90</v>
      </c>
      <c r="V31" s="26">
        <v>90</v>
      </c>
      <c r="W31" s="25">
        <v>90</v>
      </c>
      <c r="X31" s="26">
        <v>90</v>
      </c>
      <c r="Y31" s="25">
        <v>90</v>
      </c>
      <c r="Z31" s="26">
        <v>90</v>
      </c>
      <c r="AA31" s="56" t="s">
        <v>262</v>
      </c>
      <c r="AB31" s="56" t="s">
        <v>261</v>
      </c>
      <c r="AC31" s="56"/>
      <c r="AD31" s="56"/>
      <c r="AE31" s="56"/>
      <c r="AF31" s="56"/>
      <c r="AG31" s="56"/>
      <c r="AH31" s="56"/>
      <c r="AI31" s="56"/>
      <c r="AJ31" s="56"/>
      <c r="AK31" s="56"/>
      <c r="AL31" s="56"/>
      <c r="AM31" s="56"/>
      <c r="AN31" s="56"/>
      <c r="AO31" s="56"/>
      <c r="AP31" s="56"/>
      <c r="AQ31" s="56"/>
      <c r="AR31" s="56"/>
    </row>
    <row r="32" spans="2:44" ht="26.25" customHeight="1" x14ac:dyDescent="0.25">
      <c r="B32" s="3">
        <v>15</v>
      </c>
      <c r="C32" s="3">
        <f>'Master Student'!H22</f>
        <v>0</v>
      </c>
      <c r="D32" s="57" t="str">
        <f>IFERROR(VLOOKUP(C32,'Master Student'!H22:I43,2,FALSE),"Data Siswa di Student Master Masih Kosong")</f>
        <v>Data Siswa di Student Master Masih Kosong</v>
      </c>
      <c r="E32" s="25">
        <v>90</v>
      </c>
      <c r="F32" s="26">
        <v>90</v>
      </c>
      <c r="G32" s="25">
        <v>90</v>
      </c>
      <c r="H32" s="26">
        <v>90</v>
      </c>
      <c r="I32" s="25">
        <v>90</v>
      </c>
      <c r="J32" s="26">
        <v>90</v>
      </c>
      <c r="K32" s="25">
        <v>90</v>
      </c>
      <c r="L32" s="26">
        <v>90</v>
      </c>
      <c r="M32" s="25">
        <v>90</v>
      </c>
      <c r="N32" s="26">
        <v>90</v>
      </c>
      <c r="O32" s="25">
        <v>90</v>
      </c>
      <c r="P32" s="26">
        <v>90</v>
      </c>
      <c r="Q32" s="25">
        <v>90</v>
      </c>
      <c r="R32" s="26">
        <v>90</v>
      </c>
      <c r="S32" s="25">
        <v>90</v>
      </c>
      <c r="T32" s="26">
        <v>90</v>
      </c>
      <c r="U32" s="25">
        <v>90</v>
      </c>
      <c r="V32" s="26">
        <v>90</v>
      </c>
      <c r="W32" s="25">
        <v>90</v>
      </c>
      <c r="X32" s="26">
        <v>90</v>
      </c>
      <c r="Y32" s="25">
        <v>90</v>
      </c>
      <c r="Z32" s="26">
        <v>90</v>
      </c>
      <c r="AA32" s="56" t="s">
        <v>262</v>
      </c>
      <c r="AB32" s="56" t="s">
        <v>261</v>
      </c>
      <c r="AC32" s="56"/>
      <c r="AD32" s="56"/>
      <c r="AE32" s="56"/>
      <c r="AF32" s="56"/>
      <c r="AG32" s="56"/>
      <c r="AH32" s="56"/>
      <c r="AI32" s="56"/>
      <c r="AJ32" s="56"/>
      <c r="AK32" s="56"/>
      <c r="AL32" s="56"/>
      <c r="AM32" s="56"/>
      <c r="AN32" s="56"/>
      <c r="AO32" s="56"/>
      <c r="AP32" s="56"/>
      <c r="AQ32" s="56"/>
      <c r="AR32" s="56"/>
    </row>
    <row r="33" spans="2:44" ht="26.25" customHeight="1" x14ac:dyDescent="0.25">
      <c r="B33" s="3">
        <v>16</v>
      </c>
      <c r="C33" s="3">
        <f>'Master Student'!H23</f>
        <v>0</v>
      </c>
      <c r="D33" s="57" t="str">
        <f>IFERROR(VLOOKUP(C33,'Master Student'!H23:I44,2,FALSE),"Data Siswa di Student Master Masih Kosong")</f>
        <v>Data Siswa di Student Master Masih Kosong</v>
      </c>
      <c r="E33" s="25">
        <v>90</v>
      </c>
      <c r="F33" s="26">
        <v>90</v>
      </c>
      <c r="G33" s="25">
        <v>90</v>
      </c>
      <c r="H33" s="26">
        <v>90</v>
      </c>
      <c r="I33" s="25">
        <v>90</v>
      </c>
      <c r="J33" s="26">
        <v>90</v>
      </c>
      <c r="K33" s="25">
        <v>90</v>
      </c>
      <c r="L33" s="26">
        <v>90</v>
      </c>
      <c r="M33" s="25">
        <v>90</v>
      </c>
      <c r="N33" s="26">
        <v>90</v>
      </c>
      <c r="O33" s="25">
        <v>90</v>
      </c>
      <c r="P33" s="26">
        <v>90</v>
      </c>
      <c r="Q33" s="25">
        <v>90</v>
      </c>
      <c r="R33" s="26">
        <v>90</v>
      </c>
      <c r="S33" s="25">
        <v>90</v>
      </c>
      <c r="T33" s="26">
        <v>90</v>
      </c>
      <c r="U33" s="25">
        <v>90</v>
      </c>
      <c r="V33" s="26">
        <v>90</v>
      </c>
      <c r="W33" s="25">
        <v>90</v>
      </c>
      <c r="X33" s="26">
        <v>90</v>
      </c>
      <c r="Y33" s="25">
        <v>90</v>
      </c>
      <c r="Z33" s="26">
        <v>90</v>
      </c>
      <c r="AA33" s="56" t="s">
        <v>262</v>
      </c>
      <c r="AB33" s="56" t="s">
        <v>261</v>
      </c>
      <c r="AC33" s="56"/>
      <c r="AD33" s="56"/>
      <c r="AE33" s="56"/>
      <c r="AF33" s="56"/>
      <c r="AG33" s="56"/>
      <c r="AH33" s="56"/>
      <c r="AI33" s="56"/>
      <c r="AJ33" s="56"/>
      <c r="AK33" s="56"/>
      <c r="AL33" s="56"/>
      <c r="AM33" s="56"/>
      <c r="AN33" s="56"/>
      <c r="AO33" s="56"/>
      <c r="AP33" s="56"/>
      <c r="AQ33" s="56"/>
      <c r="AR33" s="56"/>
    </row>
    <row r="34" spans="2:44" ht="26.25" customHeight="1" x14ac:dyDescent="0.25">
      <c r="B34" s="3">
        <v>17</v>
      </c>
      <c r="C34" s="3">
        <f>'Master Student'!H24</f>
        <v>0</v>
      </c>
      <c r="D34" s="57" t="str">
        <f>IFERROR(VLOOKUP(C34,'Master Student'!H24:I45,2,FALSE),"Data Siswa di Student Master Masih Kosong")</f>
        <v>Data Siswa di Student Master Masih Kosong</v>
      </c>
      <c r="E34" s="25">
        <v>90</v>
      </c>
      <c r="F34" s="26">
        <v>90</v>
      </c>
      <c r="G34" s="25">
        <v>90</v>
      </c>
      <c r="H34" s="26">
        <v>90</v>
      </c>
      <c r="I34" s="25">
        <v>90</v>
      </c>
      <c r="J34" s="26">
        <v>90</v>
      </c>
      <c r="K34" s="25">
        <v>90</v>
      </c>
      <c r="L34" s="26">
        <v>90</v>
      </c>
      <c r="M34" s="25">
        <v>90</v>
      </c>
      <c r="N34" s="26">
        <v>90</v>
      </c>
      <c r="O34" s="25">
        <v>90</v>
      </c>
      <c r="P34" s="26">
        <v>90</v>
      </c>
      <c r="Q34" s="25">
        <v>90</v>
      </c>
      <c r="R34" s="26">
        <v>90</v>
      </c>
      <c r="S34" s="25">
        <v>90</v>
      </c>
      <c r="T34" s="26">
        <v>90</v>
      </c>
      <c r="U34" s="25">
        <v>90</v>
      </c>
      <c r="V34" s="26">
        <v>90</v>
      </c>
      <c r="W34" s="25">
        <v>90</v>
      </c>
      <c r="X34" s="26">
        <v>90</v>
      </c>
      <c r="Y34" s="25">
        <v>90</v>
      </c>
      <c r="Z34" s="26">
        <v>90</v>
      </c>
      <c r="AA34" s="56" t="s">
        <v>262</v>
      </c>
      <c r="AB34" s="56" t="s">
        <v>261</v>
      </c>
      <c r="AC34" s="56"/>
      <c r="AD34" s="56"/>
      <c r="AE34" s="56"/>
      <c r="AF34" s="56"/>
      <c r="AG34" s="56"/>
      <c r="AH34" s="56"/>
      <c r="AI34" s="56"/>
      <c r="AJ34" s="56"/>
      <c r="AK34" s="56"/>
      <c r="AL34" s="56"/>
      <c r="AM34" s="56"/>
      <c r="AN34" s="56"/>
      <c r="AO34" s="56"/>
      <c r="AP34" s="56"/>
      <c r="AQ34" s="56"/>
      <c r="AR34" s="56"/>
    </row>
    <row r="35" spans="2:44" ht="26.25" customHeight="1" x14ac:dyDescent="0.25">
      <c r="B35" s="3">
        <v>18</v>
      </c>
      <c r="C35" s="3">
        <f>'Master Student'!H25</f>
        <v>0</v>
      </c>
      <c r="D35" s="57" t="str">
        <f>IFERROR(VLOOKUP(C35,'Master Student'!H25:I46,2,FALSE),"Data Siswa di Student Master Masih Kosong")</f>
        <v>Data Siswa di Student Master Masih Kosong</v>
      </c>
      <c r="E35" s="25">
        <v>90</v>
      </c>
      <c r="F35" s="26">
        <v>90</v>
      </c>
      <c r="G35" s="25">
        <v>90</v>
      </c>
      <c r="H35" s="26">
        <v>90</v>
      </c>
      <c r="I35" s="25">
        <v>90</v>
      </c>
      <c r="J35" s="26">
        <v>90</v>
      </c>
      <c r="K35" s="25">
        <v>90</v>
      </c>
      <c r="L35" s="26">
        <v>90</v>
      </c>
      <c r="M35" s="25">
        <v>90</v>
      </c>
      <c r="N35" s="26">
        <v>90</v>
      </c>
      <c r="O35" s="25">
        <v>90</v>
      </c>
      <c r="P35" s="26">
        <v>90</v>
      </c>
      <c r="Q35" s="25">
        <v>90</v>
      </c>
      <c r="R35" s="26">
        <v>90</v>
      </c>
      <c r="S35" s="25">
        <v>90</v>
      </c>
      <c r="T35" s="26">
        <v>90</v>
      </c>
      <c r="U35" s="25">
        <v>90</v>
      </c>
      <c r="V35" s="26">
        <v>90</v>
      </c>
      <c r="W35" s="25">
        <v>90</v>
      </c>
      <c r="X35" s="26">
        <v>90</v>
      </c>
      <c r="Y35" s="25">
        <v>90</v>
      </c>
      <c r="Z35" s="26">
        <v>90</v>
      </c>
      <c r="AA35" s="56" t="s">
        <v>262</v>
      </c>
      <c r="AB35" s="56" t="s">
        <v>261</v>
      </c>
      <c r="AC35" s="56"/>
      <c r="AD35" s="56"/>
      <c r="AE35" s="56"/>
      <c r="AF35" s="56"/>
      <c r="AG35" s="56"/>
      <c r="AH35" s="56"/>
      <c r="AI35" s="56"/>
      <c r="AJ35" s="56"/>
      <c r="AK35" s="56"/>
      <c r="AL35" s="56"/>
      <c r="AM35" s="56"/>
      <c r="AN35" s="56"/>
      <c r="AO35" s="56"/>
      <c r="AP35" s="56"/>
      <c r="AQ35" s="56"/>
      <c r="AR35" s="56"/>
    </row>
    <row r="36" spans="2:44" ht="26.25" customHeight="1" x14ac:dyDescent="0.25">
      <c r="B36" s="3">
        <v>19</v>
      </c>
      <c r="C36" s="3">
        <f>'Master Student'!H26</f>
        <v>0</v>
      </c>
      <c r="D36" s="57" t="str">
        <f>IFERROR(VLOOKUP(C36,'Master Student'!H26:I47,2,FALSE),"Data Siswa di Student Master Masih Kosong")</f>
        <v>Data Siswa di Student Master Masih Kosong</v>
      </c>
      <c r="E36" s="25">
        <v>90</v>
      </c>
      <c r="F36" s="26">
        <v>90</v>
      </c>
      <c r="G36" s="25">
        <v>90</v>
      </c>
      <c r="H36" s="26">
        <v>90</v>
      </c>
      <c r="I36" s="25">
        <v>90</v>
      </c>
      <c r="J36" s="26">
        <v>90</v>
      </c>
      <c r="K36" s="25">
        <v>90</v>
      </c>
      <c r="L36" s="26">
        <v>90</v>
      </c>
      <c r="M36" s="25">
        <v>90</v>
      </c>
      <c r="N36" s="26">
        <v>90</v>
      </c>
      <c r="O36" s="25">
        <v>90</v>
      </c>
      <c r="P36" s="26">
        <v>90</v>
      </c>
      <c r="Q36" s="25">
        <v>90</v>
      </c>
      <c r="R36" s="26">
        <v>90</v>
      </c>
      <c r="S36" s="25">
        <v>90</v>
      </c>
      <c r="T36" s="26">
        <v>90</v>
      </c>
      <c r="U36" s="25">
        <v>90</v>
      </c>
      <c r="V36" s="26">
        <v>90</v>
      </c>
      <c r="W36" s="25">
        <v>90</v>
      </c>
      <c r="X36" s="26">
        <v>90</v>
      </c>
      <c r="Y36" s="25">
        <v>90</v>
      </c>
      <c r="Z36" s="26">
        <v>90</v>
      </c>
      <c r="AA36" s="56" t="s">
        <v>262</v>
      </c>
      <c r="AB36" s="56" t="s">
        <v>261</v>
      </c>
      <c r="AC36" s="56"/>
      <c r="AD36" s="56"/>
      <c r="AE36" s="56"/>
      <c r="AF36" s="56"/>
      <c r="AG36" s="56"/>
      <c r="AH36" s="56"/>
      <c r="AI36" s="56"/>
      <c r="AJ36" s="56"/>
      <c r="AK36" s="56"/>
      <c r="AL36" s="56"/>
      <c r="AM36" s="56"/>
      <c r="AN36" s="56"/>
      <c r="AO36" s="56"/>
      <c r="AP36" s="56"/>
      <c r="AQ36" s="56"/>
      <c r="AR36" s="56"/>
    </row>
    <row r="37" spans="2:44" ht="26.25" customHeight="1" x14ac:dyDescent="0.25">
      <c r="B37" s="3">
        <v>20</v>
      </c>
      <c r="C37" s="3">
        <f>'Master Student'!H27</f>
        <v>0</v>
      </c>
      <c r="D37" s="57" t="str">
        <f>IFERROR(VLOOKUP(C37,'Master Student'!H27:I48,2,FALSE),"Data Siswa di Student Master Masih Kosong")</f>
        <v>Data Siswa di Student Master Masih Kosong</v>
      </c>
      <c r="E37" s="25">
        <v>90</v>
      </c>
      <c r="F37" s="26">
        <v>90</v>
      </c>
      <c r="G37" s="25">
        <v>90</v>
      </c>
      <c r="H37" s="26">
        <v>90</v>
      </c>
      <c r="I37" s="25">
        <v>90</v>
      </c>
      <c r="J37" s="26">
        <v>90</v>
      </c>
      <c r="K37" s="25">
        <v>90</v>
      </c>
      <c r="L37" s="26">
        <v>90</v>
      </c>
      <c r="M37" s="25">
        <v>90</v>
      </c>
      <c r="N37" s="26">
        <v>90</v>
      </c>
      <c r="O37" s="25">
        <v>90</v>
      </c>
      <c r="P37" s="26">
        <v>90</v>
      </c>
      <c r="Q37" s="25">
        <v>90</v>
      </c>
      <c r="R37" s="26">
        <v>90</v>
      </c>
      <c r="S37" s="25">
        <v>90</v>
      </c>
      <c r="T37" s="26">
        <v>90</v>
      </c>
      <c r="U37" s="25">
        <v>90</v>
      </c>
      <c r="V37" s="26">
        <v>90</v>
      </c>
      <c r="W37" s="25">
        <v>90</v>
      </c>
      <c r="X37" s="26">
        <v>90</v>
      </c>
      <c r="Y37" s="25">
        <v>90</v>
      </c>
      <c r="Z37" s="26">
        <v>90</v>
      </c>
      <c r="AA37" s="56" t="s">
        <v>262</v>
      </c>
      <c r="AB37" s="56" t="s">
        <v>261</v>
      </c>
      <c r="AC37" s="56"/>
      <c r="AD37" s="56"/>
      <c r="AE37" s="56"/>
      <c r="AF37" s="56"/>
      <c r="AG37" s="56"/>
      <c r="AH37" s="56"/>
      <c r="AI37" s="56"/>
      <c r="AJ37" s="56"/>
      <c r="AK37" s="56"/>
      <c r="AL37" s="56"/>
      <c r="AM37" s="56"/>
      <c r="AN37" s="56"/>
      <c r="AO37" s="56"/>
      <c r="AP37" s="56"/>
      <c r="AQ37" s="56"/>
      <c r="AR37" s="56"/>
    </row>
    <row r="38" spans="2:44" ht="26.25" customHeight="1" x14ac:dyDescent="0.25">
      <c r="B38" s="3">
        <v>21</v>
      </c>
      <c r="C38" s="3">
        <f>'Master Student'!H28</f>
        <v>0</v>
      </c>
      <c r="D38" s="57" t="str">
        <f>IFERROR(VLOOKUP(C38,'Master Student'!H28:I49,2,FALSE),"Data Siswa di Student Master Masih Kosong")</f>
        <v>Data Siswa di Student Master Masih Kosong</v>
      </c>
      <c r="E38" s="25">
        <v>90</v>
      </c>
      <c r="F38" s="26">
        <v>90</v>
      </c>
      <c r="G38" s="25">
        <v>90</v>
      </c>
      <c r="H38" s="26">
        <v>90</v>
      </c>
      <c r="I38" s="25">
        <v>90</v>
      </c>
      <c r="J38" s="26">
        <v>90</v>
      </c>
      <c r="K38" s="25">
        <v>90</v>
      </c>
      <c r="L38" s="26">
        <v>90</v>
      </c>
      <c r="M38" s="25">
        <v>90</v>
      </c>
      <c r="N38" s="26">
        <v>90</v>
      </c>
      <c r="O38" s="25">
        <v>90</v>
      </c>
      <c r="P38" s="26">
        <v>90</v>
      </c>
      <c r="Q38" s="25">
        <v>90</v>
      </c>
      <c r="R38" s="26">
        <v>90</v>
      </c>
      <c r="S38" s="25">
        <v>90</v>
      </c>
      <c r="T38" s="26">
        <v>90</v>
      </c>
      <c r="U38" s="25">
        <v>90</v>
      </c>
      <c r="V38" s="26">
        <v>90</v>
      </c>
      <c r="W38" s="25">
        <v>90</v>
      </c>
      <c r="X38" s="26">
        <v>90</v>
      </c>
      <c r="Y38" s="25">
        <v>90</v>
      </c>
      <c r="Z38" s="26">
        <v>90</v>
      </c>
      <c r="AA38" s="56" t="s">
        <v>262</v>
      </c>
      <c r="AB38" s="56" t="s">
        <v>261</v>
      </c>
      <c r="AC38" s="56"/>
      <c r="AD38" s="56"/>
      <c r="AE38" s="56"/>
      <c r="AF38" s="56"/>
      <c r="AG38" s="56"/>
      <c r="AH38" s="56"/>
      <c r="AI38" s="56"/>
      <c r="AJ38" s="56"/>
      <c r="AK38" s="56"/>
      <c r="AL38" s="56"/>
      <c r="AM38" s="56"/>
      <c r="AN38" s="56"/>
      <c r="AO38" s="56"/>
      <c r="AP38" s="56"/>
      <c r="AQ38" s="56"/>
      <c r="AR38" s="56"/>
    </row>
    <row r="39" spans="2:44" ht="26.25" customHeight="1" x14ac:dyDescent="0.25">
      <c r="B39" s="3">
        <v>22</v>
      </c>
      <c r="C39" s="3">
        <f>'Master Student'!H29</f>
        <v>0</v>
      </c>
      <c r="D39" s="57" t="str">
        <f>IFERROR(VLOOKUP(C39,'Master Student'!H29:I50,2,FALSE),"Data Siswa di Student Master Masih Kosong")</f>
        <v>Data Siswa di Student Master Masih Kosong</v>
      </c>
      <c r="E39" s="25">
        <v>90</v>
      </c>
      <c r="F39" s="26">
        <v>90</v>
      </c>
      <c r="G39" s="25">
        <v>90</v>
      </c>
      <c r="H39" s="26">
        <v>90</v>
      </c>
      <c r="I39" s="25">
        <v>90</v>
      </c>
      <c r="J39" s="26">
        <v>90</v>
      </c>
      <c r="K39" s="25">
        <v>90</v>
      </c>
      <c r="L39" s="26">
        <v>90</v>
      </c>
      <c r="M39" s="25">
        <v>90</v>
      </c>
      <c r="N39" s="26">
        <v>90</v>
      </c>
      <c r="O39" s="25">
        <v>90</v>
      </c>
      <c r="P39" s="26">
        <v>90</v>
      </c>
      <c r="Q39" s="25">
        <v>90</v>
      </c>
      <c r="R39" s="26">
        <v>90</v>
      </c>
      <c r="S39" s="25">
        <v>90</v>
      </c>
      <c r="T39" s="26">
        <v>90</v>
      </c>
      <c r="U39" s="25">
        <v>90</v>
      </c>
      <c r="V39" s="26">
        <v>90</v>
      </c>
      <c r="W39" s="25">
        <v>90</v>
      </c>
      <c r="X39" s="26">
        <v>90</v>
      </c>
      <c r="Y39" s="25">
        <v>90</v>
      </c>
      <c r="Z39" s="26">
        <v>90</v>
      </c>
      <c r="AA39" s="56" t="s">
        <v>262</v>
      </c>
      <c r="AB39" s="56" t="s">
        <v>261</v>
      </c>
      <c r="AC39" s="56"/>
      <c r="AD39" s="56"/>
      <c r="AE39" s="56"/>
      <c r="AF39" s="56"/>
      <c r="AG39" s="56"/>
      <c r="AH39" s="56"/>
      <c r="AI39" s="56"/>
      <c r="AJ39" s="56"/>
      <c r="AK39" s="56"/>
      <c r="AL39" s="56"/>
      <c r="AM39" s="56"/>
      <c r="AN39" s="56"/>
      <c r="AO39" s="56"/>
      <c r="AP39" s="56"/>
      <c r="AQ39" s="56"/>
      <c r="AR39" s="56"/>
    </row>
    <row r="40" spans="2:44" ht="26.25" customHeight="1" x14ac:dyDescent="0.25">
      <c r="B40" s="3">
        <v>23</v>
      </c>
      <c r="C40" s="3">
        <f>'Master Student'!H30</f>
        <v>0</v>
      </c>
      <c r="D40" s="57" t="str">
        <f>IFERROR(VLOOKUP(C40,'Master Student'!H30:I51,2,FALSE),"Data Siswa di Student Master Masih Kosong")</f>
        <v>Data Siswa di Student Master Masih Kosong</v>
      </c>
      <c r="E40" s="25">
        <v>90</v>
      </c>
      <c r="F40" s="26">
        <v>90</v>
      </c>
      <c r="G40" s="25">
        <v>90</v>
      </c>
      <c r="H40" s="26">
        <v>90</v>
      </c>
      <c r="I40" s="25">
        <v>90</v>
      </c>
      <c r="J40" s="26">
        <v>90</v>
      </c>
      <c r="K40" s="25">
        <v>90</v>
      </c>
      <c r="L40" s="26">
        <v>90</v>
      </c>
      <c r="M40" s="25">
        <v>90</v>
      </c>
      <c r="N40" s="26">
        <v>90</v>
      </c>
      <c r="O40" s="25">
        <v>90</v>
      </c>
      <c r="P40" s="26">
        <v>90</v>
      </c>
      <c r="Q40" s="25">
        <v>90</v>
      </c>
      <c r="R40" s="26">
        <v>90</v>
      </c>
      <c r="S40" s="25">
        <v>90</v>
      </c>
      <c r="T40" s="26">
        <v>90</v>
      </c>
      <c r="U40" s="25">
        <v>90</v>
      </c>
      <c r="V40" s="26">
        <v>90</v>
      </c>
      <c r="W40" s="25">
        <v>90</v>
      </c>
      <c r="X40" s="26">
        <v>90</v>
      </c>
      <c r="Y40" s="25">
        <v>90</v>
      </c>
      <c r="Z40" s="26">
        <v>90</v>
      </c>
      <c r="AA40" s="56" t="s">
        <v>262</v>
      </c>
      <c r="AB40" s="56" t="s">
        <v>261</v>
      </c>
      <c r="AC40" s="56"/>
      <c r="AD40" s="56"/>
      <c r="AE40" s="56"/>
      <c r="AF40" s="56"/>
      <c r="AG40" s="56"/>
      <c r="AH40" s="56"/>
      <c r="AI40" s="56"/>
      <c r="AJ40" s="56"/>
      <c r="AK40" s="56"/>
      <c r="AL40" s="56"/>
      <c r="AM40" s="56"/>
      <c r="AN40" s="56"/>
      <c r="AO40" s="56"/>
      <c r="AP40" s="56"/>
      <c r="AQ40" s="56"/>
      <c r="AR40" s="56"/>
    </row>
    <row r="41" spans="2:44" ht="26.25" customHeight="1" x14ac:dyDescent="0.25">
      <c r="B41" s="3">
        <v>24</v>
      </c>
      <c r="C41" s="3">
        <f>'Master Student'!H31</f>
        <v>0</v>
      </c>
      <c r="D41" s="57" t="str">
        <f>IFERROR(VLOOKUP(C41,'Master Student'!H31:I52,2,FALSE),"Data Siswa di Student Master Masih Kosong")</f>
        <v>Data Siswa di Student Master Masih Kosong</v>
      </c>
      <c r="E41" s="25">
        <v>90</v>
      </c>
      <c r="F41" s="26">
        <v>90</v>
      </c>
      <c r="G41" s="25">
        <v>90</v>
      </c>
      <c r="H41" s="26">
        <v>90</v>
      </c>
      <c r="I41" s="25">
        <v>90</v>
      </c>
      <c r="J41" s="26">
        <v>90</v>
      </c>
      <c r="K41" s="25">
        <v>90</v>
      </c>
      <c r="L41" s="26">
        <v>90</v>
      </c>
      <c r="M41" s="25">
        <v>90</v>
      </c>
      <c r="N41" s="26">
        <v>90</v>
      </c>
      <c r="O41" s="25">
        <v>90</v>
      </c>
      <c r="P41" s="26">
        <v>90</v>
      </c>
      <c r="Q41" s="25">
        <v>90</v>
      </c>
      <c r="R41" s="26">
        <v>90</v>
      </c>
      <c r="S41" s="25">
        <v>90</v>
      </c>
      <c r="T41" s="26">
        <v>90</v>
      </c>
      <c r="U41" s="25">
        <v>90</v>
      </c>
      <c r="V41" s="26">
        <v>90</v>
      </c>
      <c r="W41" s="25">
        <v>90</v>
      </c>
      <c r="X41" s="26">
        <v>90</v>
      </c>
      <c r="Y41" s="25">
        <v>90</v>
      </c>
      <c r="Z41" s="26">
        <v>90</v>
      </c>
      <c r="AA41" s="56" t="s">
        <v>262</v>
      </c>
      <c r="AB41" s="56" t="s">
        <v>261</v>
      </c>
      <c r="AC41" s="56"/>
      <c r="AD41" s="56"/>
      <c r="AE41" s="56"/>
      <c r="AF41" s="56"/>
      <c r="AG41" s="56"/>
      <c r="AH41" s="56"/>
      <c r="AI41" s="56"/>
      <c r="AJ41" s="56"/>
      <c r="AK41" s="56"/>
      <c r="AL41" s="56"/>
      <c r="AM41" s="56"/>
      <c r="AN41" s="56"/>
      <c r="AO41" s="56"/>
      <c r="AP41" s="56"/>
      <c r="AQ41" s="56"/>
      <c r="AR41" s="56"/>
    </row>
    <row r="42" spans="2:44" ht="26.25" customHeight="1" x14ac:dyDescent="0.25">
      <c r="B42" s="3">
        <v>25</v>
      </c>
      <c r="C42" s="3">
        <f>'Master Student'!H32</f>
        <v>0</v>
      </c>
      <c r="D42" s="57" t="str">
        <f>IFERROR(VLOOKUP(C42,'Master Student'!H32:I53,2,FALSE),"Data Siswa di Student Master Masih Kosong")</f>
        <v>Data Siswa di Student Master Masih Kosong</v>
      </c>
      <c r="E42" s="25">
        <v>90</v>
      </c>
      <c r="F42" s="26">
        <v>90</v>
      </c>
      <c r="G42" s="25">
        <v>90</v>
      </c>
      <c r="H42" s="26">
        <v>90</v>
      </c>
      <c r="I42" s="25">
        <v>90</v>
      </c>
      <c r="J42" s="26">
        <v>90</v>
      </c>
      <c r="K42" s="25">
        <v>90</v>
      </c>
      <c r="L42" s="26">
        <v>90</v>
      </c>
      <c r="M42" s="25">
        <v>90</v>
      </c>
      <c r="N42" s="26">
        <v>90</v>
      </c>
      <c r="O42" s="25">
        <v>90</v>
      </c>
      <c r="P42" s="26">
        <v>90</v>
      </c>
      <c r="Q42" s="25">
        <v>90</v>
      </c>
      <c r="R42" s="26">
        <v>90</v>
      </c>
      <c r="S42" s="25">
        <v>90</v>
      </c>
      <c r="T42" s="26">
        <v>90</v>
      </c>
      <c r="U42" s="25">
        <v>90</v>
      </c>
      <c r="V42" s="26">
        <v>90</v>
      </c>
      <c r="W42" s="25">
        <v>90</v>
      </c>
      <c r="X42" s="26">
        <v>90</v>
      </c>
      <c r="Y42" s="25">
        <v>90</v>
      </c>
      <c r="Z42" s="26">
        <v>90</v>
      </c>
      <c r="AA42" s="56" t="s">
        <v>262</v>
      </c>
      <c r="AB42" s="56" t="s">
        <v>261</v>
      </c>
      <c r="AC42" s="56"/>
      <c r="AD42" s="56"/>
      <c r="AE42" s="56"/>
      <c r="AF42" s="56"/>
      <c r="AG42" s="56"/>
      <c r="AH42" s="56"/>
      <c r="AI42" s="56"/>
      <c r="AJ42" s="56"/>
      <c r="AK42" s="56"/>
      <c r="AL42" s="56"/>
      <c r="AM42" s="56"/>
      <c r="AN42" s="56"/>
      <c r="AO42" s="56"/>
      <c r="AP42" s="56"/>
      <c r="AQ42" s="56"/>
      <c r="AR42" s="56"/>
    </row>
  </sheetData>
  <sheetProtection sheet="1" scenarios="1" selectLockedCells="1"/>
  <mergeCells count="47">
    <mergeCell ref="B7:Z7"/>
    <mergeCell ref="E16:F16"/>
    <mergeCell ref="G16:H16"/>
    <mergeCell ref="I16:J16"/>
    <mergeCell ref="Y16:Z16"/>
    <mergeCell ref="M16:N16"/>
    <mergeCell ref="O16:P16"/>
    <mergeCell ref="Q16:R16"/>
    <mergeCell ref="S16:T16"/>
    <mergeCell ref="U16:V16"/>
    <mergeCell ref="W16:X16"/>
    <mergeCell ref="K16:L16"/>
    <mergeCell ref="B9:C9"/>
    <mergeCell ref="I9:L9"/>
    <mergeCell ref="I10:L10"/>
    <mergeCell ref="F9:H9"/>
    <mergeCell ref="B10:C10"/>
    <mergeCell ref="B11:C11"/>
    <mergeCell ref="B15:B17"/>
    <mergeCell ref="C15:C17"/>
    <mergeCell ref="D15:D17"/>
    <mergeCell ref="E15:Z15"/>
    <mergeCell ref="B12:C12"/>
    <mergeCell ref="B13:C13"/>
    <mergeCell ref="AN16:AN17"/>
    <mergeCell ref="AA15:AB15"/>
    <mergeCell ref="AA16:AA17"/>
    <mergeCell ref="AB16:AB17"/>
    <mergeCell ref="AC16:AD16"/>
    <mergeCell ref="AE16:AF16"/>
    <mergeCell ref="AC15:AF15"/>
    <mergeCell ref="AO16:AO17"/>
    <mergeCell ref="AG15:AG17"/>
    <mergeCell ref="AH16:AH17"/>
    <mergeCell ref="AP15:AR15"/>
    <mergeCell ref="AP16:AP17"/>
    <mergeCell ref="AQ16:AQ17"/>
    <mergeCell ref="AR16:AR17"/>
    <mergeCell ref="AI16:AI17"/>
    <mergeCell ref="AH15:AI15"/>
    <mergeCell ref="AJ15:AK15"/>
    <mergeCell ref="AJ16:AJ17"/>
    <mergeCell ref="AK16:AK17"/>
    <mergeCell ref="AL15:AM15"/>
    <mergeCell ref="AL16:AL17"/>
    <mergeCell ref="AM16:AM17"/>
    <mergeCell ref="AN15:AO15"/>
  </mergeCells>
  <conditionalFormatting sqref="D18:D42">
    <cfRule type="expression" priority="1">
      <formula>ISERROR(reference)</formula>
    </cfRule>
  </conditionalFormatting>
  <pageMargins left="0.7" right="0.7" top="0.75" bottom="0.75" header="0.3" footer="0.3"/>
  <pageSetup orientation="portrait" horizontalDpi="0" verticalDpi="0"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errorTitle="Terjadi Kesalahan Mr/Ms." error="Silahkan pilih data semester dengan drop down yang sudah disediakan.">
          <x14:formula1>
            <xm:f>'Master Data'!$F$8:$F$9</xm:f>
          </x14:formula1>
          <xm:sqref>D10</xm:sqref>
        </x14:dataValidation>
        <x14:dataValidation type="list" allowBlank="1" showInputMessage="1" showErrorMessage="1">
          <x14:formula1>
            <xm:f>'Master Data'!$I$8:$I$17</xm:f>
          </x14:formula1>
          <xm:sqref>D11</xm:sqref>
        </x14:dataValidation>
        <x14:dataValidation type="list" allowBlank="1" showInputMessage="1" showErrorMessage="1" errorTitle="Terjadi Kesalahan Mr/Ms." error="Silahkan pilih data kelas dari drop down yang sudah disediakan">
          <x14:formula1>
            <xm:f>'Master Data'!$C$8:$C$10</xm:f>
          </x14:formula1>
          <xm:sqref>D9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FF00"/>
  </sheetPr>
  <dimension ref="A2:H88"/>
  <sheetViews>
    <sheetView showGridLines="0" showZeros="0" tabSelected="1" view="pageLayout" topLeftCell="A4" zoomScale="70" zoomScaleNormal="85" zoomScalePageLayoutView="70" workbookViewId="0">
      <selection activeCell="F10" sqref="F10"/>
    </sheetView>
  </sheetViews>
  <sheetFormatPr defaultRowHeight="15" x14ac:dyDescent="0.25"/>
  <cols>
    <col min="1" max="1" width="3.85546875" style="29" bestFit="1" customWidth="1"/>
    <col min="2" max="2" width="17.28515625" style="29" customWidth="1"/>
    <col min="3" max="3" width="6.140625" style="29" customWidth="1"/>
    <col min="4" max="4" width="8.5703125" style="29" customWidth="1"/>
    <col min="5" max="5" width="22.42578125" style="29" customWidth="1"/>
    <col min="6" max="6" width="6.28515625" style="29" customWidth="1"/>
    <col min="7" max="7" width="8.42578125" style="29" customWidth="1"/>
    <col min="8" max="8" width="22.28515625" style="29" customWidth="1"/>
    <col min="9" max="16384" width="9.140625" style="29"/>
  </cols>
  <sheetData>
    <row r="2" spans="1:8" ht="19.5" x14ac:dyDescent="0.25">
      <c r="A2" s="132" t="s">
        <v>24</v>
      </c>
      <c r="B2" s="132"/>
      <c r="C2" s="132"/>
      <c r="D2" s="132"/>
      <c r="E2" s="132"/>
      <c r="F2" s="132"/>
      <c r="G2" s="132"/>
      <c r="H2" s="132"/>
    </row>
    <row r="3" spans="1:8" ht="15" customHeight="1" x14ac:dyDescent="0.25">
      <c r="A3" s="30"/>
      <c r="B3" s="30"/>
      <c r="C3" s="30"/>
      <c r="D3" s="30"/>
      <c r="E3" s="30"/>
      <c r="F3" s="30"/>
      <c r="G3" s="30"/>
      <c r="H3" s="30"/>
    </row>
    <row r="4" spans="1:8" ht="15" customHeight="1" x14ac:dyDescent="0.25">
      <c r="A4" s="133" t="s">
        <v>35</v>
      </c>
      <c r="B4" s="133"/>
      <c r="C4" s="32" t="s">
        <v>36</v>
      </c>
      <c r="D4" s="135" t="s">
        <v>147</v>
      </c>
      <c r="E4" s="136"/>
      <c r="F4" s="133" t="s">
        <v>42</v>
      </c>
      <c r="G4" s="133"/>
      <c r="H4" s="33" t="str">
        <f>'Master Grade'!D9</f>
        <v>4 (Empat)</v>
      </c>
    </row>
    <row r="5" spans="1:8" ht="15" customHeight="1" x14ac:dyDescent="0.25">
      <c r="A5" s="133" t="s">
        <v>37</v>
      </c>
      <c r="B5" s="133"/>
      <c r="C5" s="32" t="s">
        <v>36</v>
      </c>
      <c r="D5" s="133">
        <f>INDEX('Master Student'!H8:H32,MATCH('Final Report'!D4:E4,'Master Student'!I8:I32))</f>
        <v>1235</v>
      </c>
      <c r="E5" s="133"/>
      <c r="F5" s="133" t="s">
        <v>43</v>
      </c>
      <c r="G5" s="133"/>
      <c r="H5" s="33" t="str">
        <f>'Master Grade'!D10</f>
        <v>Semester 1</v>
      </c>
    </row>
    <row r="6" spans="1:8" ht="15" customHeight="1" x14ac:dyDescent="0.25">
      <c r="A6" s="133" t="s">
        <v>38</v>
      </c>
      <c r="B6" s="133"/>
      <c r="C6" s="32" t="s">
        <v>36</v>
      </c>
      <c r="D6" s="133" t="s">
        <v>40</v>
      </c>
      <c r="E6" s="133"/>
      <c r="F6" s="133" t="s">
        <v>44</v>
      </c>
      <c r="G6" s="133"/>
      <c r="H6" s="33" t="str">
        <f>'Master Grade'!D11</f>
        <v>2019/2020</v>
      </c>
    </row>
    <row r="7" spans="1:8" ht="15" customHeight="1" x14ac:dyDescent="0.25">
      <c r="A7" s="134" t="s">
        <v>39</v>
      </c>
      <c r="B7" s="134"/>
      <c r="C7" s="32" t="s">
        <v>36</v>
      </c>
      <c r="D7" s="137" t="s">
        <v>41</v>
      </c>
      <c r="E7" s="137"/>
      <c r="F7" s="33"/>
      <c r="G7" s="33"/>
      <c r="H7" s="31"/>
    </row>
    <row r="8" spans="1:8" ht="15" customHeight="1" x14ac:dyDescent="0.25">
      <c r="A8" s="34"/>
      <c r="B8" s="34"/>
      <c r="C8" s="32"/>
      <c r="D8" s="137"/>
      <c r="E8" s="137"/>
      <c r="F8" s="33"/>
      <c r="G8" s="33"/>
      <c r="H8" s="31"/>
    </row>
    <row r="9" spans="1:8" ht="15" customHeight="1" x14ac:dyDescent="0.25">
      <c r="A9" s="34"/>
      <c r="B9" s="34"/>
      <c r="C9" s="32"/>
      <c r="D9" s="79" t="str">
        <f>INDEX('Master Student'!J8:J32,MATCH('Final Report'!D4:E4,'Master Student'!I8:I32))</f>
        <v>Katolik</v>
      </c>
      <c r="E9" s="35"/>
      <c r="F9" s="33"/>
      <c r="G9" s="33"/>
      <c r="H9" s="31"/>
    </row>
    <row r="10" spans="1:8" ht="15" customHeight="1" x14ac:dyDescent="0.25">
      <c r="A10" s="34"/>
      <c r="B10" s="34"/>
      <c r="C10" s="32"/>
      <c r="D10" s="35"/>
      <c r="E10" s="35"/>
      <c r="F10" s="33"/>
      <c r="G10" s="33"/>
      <c r="H10" s="31"/>
    </row>
    <row r="11" spans="1:8" ht="15" customHeight="1" x14ac:dyDescent="0.25">
      <c r="A11" s="36" t="s">
        <v>62</v>
      </c>
      <c r="B11" s="36" t="s">
        <v>63</v>
      </c>
      <c r="C11" s="32"/>
      <c r="D11" s="35"/>
      <c r="E11" s="35"/>
      <c r="F11" s="33"/>
      <c r="G11" s="33"/>
      <c r="H11" s="31"/>
    </row>
    <row r="12" spans="1:8" ht="10.5" customHeight="1" x14ac:dyDescent="0.25">
      <c r="A12" s="36"/>
      <c r="B12" s="36"/>
      <c r="C12" s="32"/>
      <c r="D12" s="35"/>
      <c r="E12" s="35"/>
      <c r="F12" s="33"/>
      <c r="G12" s="33"/>
      <c r="H12" s="31"/>
    </row>
    <row r="13" spans="1:8" ht="15" customHeight="1" x14ac:dyDescent="0.25">
      <c r="A13" s="112" t="s">
        <v>23</v>
      </c>
      <c r="B13" s="112"/>
      <c r="C13" s="112"/>
      <c r="D13" s="112"/>
      <c r="E13" s="112"/>
      <c r="F13" s="112"/>
      <c r="G13" s="112"/>
      <c r="H13" s="112"/>
    </row>
    <row r="14" spans="1:8" ht="78.75" customHeight="1" x14ac:dyDescent="0.25">
      <c r="A14" s="138" t="s">
        <v>64</v>
      </c>
      <c r="B14" s="139"/>
      <c r="C14" s="140" t="str">
        <f>VLOOKUP(D4,'Master Grade'!D18:AR42,24,FALSE)</f>
        <v>menghargai semangat kebhinnekatunggalikaan dan keragaman agama, suku bangsa, pakaian tradisional, bahasa, rumah adat, makanan khas, dan upacara adat, sosial, dan ekonomi dalam kehidupan bermasyarakat, berbangsa dan bernegara</v>
      </c>
      <c r="D14" s="141"/>
      <c r="E14" s="141"/>
      <c r="F14" s="141"/>
      <c r="G14" s="141"/>
      <c r="H14" s="142"/>
    </row>
    <row r="15" spans="1:8" ht="78.75" customHeight="1" x14ac:dyDescent="0.25">
      <c r="A15" s="138" t="s">
        <v>65</v>
      </c>
      <c r="B15" s="139"/>
      <c r="C15" s="140" t="str">
        <f>VLOOKUP(D4,'Master Grade'!D18:AR42,25,FALSE)</f>
        <v>menunjukkan perilaku bertanggungjawab dan rela berkorban dalam keluarga, sekolah dan lingkungan sebagai perwujudan nilai dan moral Pancasila</v>
      </c>
      <c r="D15" s="141"/>
      <c r="E15" s="141"/>
      <c r="F15" s="141"/>
      <c r="G15" s="141"/>
      <c r="H15" s="142"/>
    </row>
    <row r="16" spans="1:8" ht="15" customHeight="1" x14ac:dyDescent="0.25">
      <c r="A16" s="37"/>
      <c r="B16" s="37"/>
      <c r="C16" s="37"/>
      <c r="D16" s="38"/>
      <c r="E16" s="38"/>
      <c r="F16" s="38"/>
      <c r="G16" s="38"/>
      <c r="H16" s="38"/>
    </row>
    <row r="17" spans="1:8" ht="15" customHeight="1" x14ac:dyDescent="0.25">
      <c r="A17" s="37"/>
      <c r="B17" s="37"/>
      <c r="C17" s="37"/>
      <c r="D17" s="38"/>
      <c r="E17" s="38"/>
      <c r="F17" s="38"/>
      <c r="G17" s="38"/>
      <c r="H17" s="38"/>
    </row>
    <row r="18" spans="1:8" ht="15" customHeight="1" x14ac:dyDescent="0.25">
      <c r="A18" s="39" t="s">
        <v>66</v>
      </c>
      <c r="B18" s="39" t="s">
        <v>67</v>
      </c>
      <c r="C18" s="39"/>
      <c r="D18" s="40"/>
      <c r="E18" s="38"/>
      <c r="F18" s="38"/>
      <c r="G18" s="38"/>
      <c r="H18" s="38"/>
    </row>
    <row r="19" spans="1:8" ht="10.5" customHeight="1" x14ac:dyDescent="0.25">
      <c r="A19" s="41"/>
      <c r="B19" s="41"/>
      <c r="C19" s="41"/>
      <c r="D19" s="41"/>
      <c r="E19" s="41"/>
      <c r="F19" s="41"/>
      <c r="G19" s="41"/>
      <c r="H19" s="41"/>
    </row>
    <row r="20" spans="1:8" x14ac:dyDescent="0.25">
      <c r="A20" s="125" t="s">
        <v>17</v>
      </c>
      <c r="B20" s="124" t="s">
        <v>18</v>
      </c>
      <c r="C20" s="125" t="s">
        <v>19</v>
      </c>
      <c r="D20" s="125"/>
      <c r="E20" s="125"/>
      <c r="F20" s="126" t="s">
        <v>20</v>
      </c>
      <c r="G20" s="127"/>
      <c r="H20" s="128"/>
    </row>
    <row r="21" spans="1:8" x14ac:dyDescent="0.25">
      <c r="A21" s="125"/>
      <c r="B21" s="124"/>
      <c r="C21" s="42" t="s">
        <v>21</v>
      </c>
      <c r="D21" s="42" t="s">
        <v>22</v>
      </c>
      <c r="E21" s="42" t="s">
        <v>23</v>
      </c>
      <c r="F21" s="42" t="s">
        <v>21</v>
      </c>
      <c r="G21" s="42" t="s">
        <v>22</v>
      </c>
      <c r="H21" s="42" t="s">
        <v>23</v>
      </c>
    </row>
    <row r="22" spans="1:8" ht="179.25" customHeight="1" x14ac:dyDescent="0.25">
      <c r="A22" s="43">
        <v>1</v>
      </c>
      <c r="B22" s="44" t="str">
        <f>'Master Subject'!H8</f>
        <v>Pendidikan Agama dan Budi Pekerti</v>
      </c>
      <c r="C22" s="77">
        <f>VLOOKUP(D4,'Master Grade'!D18:Z42,2,FALSE)</f>
        <v>90</v>
      </c>
      <c r="D22" s="43" t="str">
        <f>IF(C22&gt;=87.5,"A",IF(C22&gt;=73.5,"B",IF(C22&gt;=59.5,"C","D")))</f>
        <v>A</v>
      </c>
      <c r="E22" s="44" t="str">
        <f>IF(AND(D9="Islam",C22&gt;=87.5),'Kompetensi Dasar'!C4,
IF(AND(D9="Islam",C22&gt;=73.5),'Kompetensi Dasar'!D4,
IF(AND(D9="Islam",C22&gt;=59.5),'Kompetensi Dasar'!E4,
IF(AND(D9="Islam",C22&gt;=0),'Kompetensi Dasar'!F4,
IF(AND(D9="Kristen",C22&gt;=87.5),'Kompetensi Dasar'!C5,
IF(AND(D9="Kristen",C22&gt;=73.5),'Kompetensi Dasar'!D5,
IF(AND(D9="Kristen",C22&gt;=59.5),'Kompetensi Dasar'!E5,
IF(AND(D9="Kristen",C22&gt;=0),'Kompetensi Dasar'!F5,
IF(AND(D9="Katolik",C22&gt;=87.5),'Kompetensi Dasar'!C6,
IF(AND(D9="Katolik",C22&gt;=73.5),'Kompetensi Dasar'!D6,
IF(AND(D9="Katolik",C22&gt;=59.5),'Kompetensi Dasar'!E6,
IF(AND(D9="Katolik",C22&gt;=0),'Kompetensi Dasar'!F6,
IF(AND(D9="Buddha",C22&gt;=87.5),'Kompetensi Dasar'!C7,
IF(AND(D9="Buddha",C22&gt;=73.5),'Kompetensi Dasar'!D7,
IF(AND(D9="Buddha",C22&gt;=59.5),'Kompetensi Dasar'!E7,
IF(AND(D9="Buddha",C22&gt;=0),'Kompetensi Dasar'!F7,
IF(AND(D9="Hindu",C22&gt;=87.5),'Kompetensi Dasar'!C8,
IF(AND(D9="Hindu",C22&gt;=73.5),'Kompetensi Dasar'!D8,
IF(AND(D9="Hindu",C22&gt;=59.5),'Kompetensi Dasar'!E8,
IF(AND(D9="Hindu",C22&gt;=0),'Kompetensi Dasar'!F8,))))))))))))))))))))</f>
        <v>Siswa sangat mampu memahami karya keselamatan Allah yang disampaikan melalui para nabi</v>
      </c>
      <c r="F22" s="77">
        <f>VLOOKUP(D4,'Master Grade'!D18:Z42,3,FALSE)</f>
        <v>90</v>
      </c>
      <c r="G22" s="43" t="str">
        <f>IF(F22&gt;=87.5,"A",IF(F22&gt;=73.5,"B",IF(F22&gt;=59.5,"C","D")))</f>
        <v>A</v>
      </c>
      <c r="H22" s="44" t="str">
        <f>IF(AND(D9="Islam",F22&gt;=87.5),'Kompetensi Dasar'!G4,
IF(AND(D9="Islam",F22&gt;=73.5),'Kompetensi Dasar'!H4,
IF(AND(D9="Islam",F22&gt;=59.5),'Kompetensi Dasar'!I4,
IF(AND(D9="Islam",F22&gt;=0),'Kompetensi Dasar'!J4,
IF(AND(D9="Kristen",F22&gt;=87.5),'Kompetensi Dasar'!G5,
IF(AND(D9="Kristen",F22&gt;=73.5),'Kompetensi Dasar'!H5,
IF(AND(D9="Kristen",F22&gt;=59.5),'Kompetensi Dasar'!I5,
IF(AND(D9="Kristen",F22&gt;=0),'Kompetensi Dasar'!J5,
IF(AND(D9="Katolik",F22&gt;=87.5),'Kompetensi Dasar'!G6,
IF(AND(D9="Katolik",F22&gt;=73.5),'Kompetensi Dasar'!H6,
IF(AND(D9="Katolik",F22&gt;=59.5),'Kompetensi Dasar'!I6,
IF(AND(D9="Katolik",F22&gt;=0),'Kompetensi Dasar'!J6,
IF(AND(D9="Buddha",F22&gt;=87.5),'Kompetensi Dasar'!G7,
IF(AND(D9="Buddha",F22&gt;=73.5),'Kompetensi Dasar'!H7,
IF(AND(D9="Buddha",F22&gt;=59.5),'Kompetensi Dasar'!I7,
IF(AND(D9="Buddha",F22&gt;=0),'Kompetensi Dasar'!J7,
IF(AND(D9="Hindu",F22&gt;=87.5),'Kompetensi Dasar'!G8,
IF(AND(D9="Hindu",F22&gt;=73.5),'Kompetensi Dasar'!H8,
IF(AND(D9="Hindu",F22&gt;=59.5),'Kompetensi Dasar'!I8,
IF(AND(D9="Hindu",F22&gt;=0),'Kompetensi Dasar'!J8,))))))))))))))))))))</f>
        <v xml:space="preserve">Siswa sangat mampu menceritakan karya keselamatan Allah yang diwartakan para nabi serta mengungkapkan bagaimana perwujudan pesan para Nabi dalam kehidupan. </v>
      </c>
    </row>
    <row r="23" spans="1:8" ht="220.5" customHeight="1" x14ac:dyDescent="0.25">
      <c r="A23" s="43">
        <v>2</v>
      </c>
      <c r="B23" s="44" t="str">
        <f>'Master Subject'!H9</f>
        <v>Pendidikan Pancasila dan Kewarganegaraan</v>
      </c>
      <c r="C23" s="77">
        <f>VLOOKUP(D4,'Master Grade'!D18:Z42,4,FALSE)</f>
        <v>90</v>
      </c>
      <c r="D23" s="43" t="str">
        <f>IF(C23&gt;=87.5,"A",IF(C23&gt;=73.5,"B",IF(C23&gt;=59.5,"C","D")))</f>
        <v>A</v>
      </c>
      <c r="E23" s="44" t="str">
        <f>IF(C23&gt;=87.5,'Kompetensi Dasar'!C9,
IF(C23&gt;=73.5,'Kompetensi Dasar'!D9,
IF(C23&gt;=59.5,'Kompetensi Dasar'!E9,'Kompetensi Dasar'!F9
)))</f>
        <v>Siswa sangat mampu memahami hak, kewajiban dan tanggung jawab sebagai warga dalam kehidupan sehari-hari di rumah, sekolah, dan masyarakat sekitar</v>
      </c>
      <c r="F23" s="77">
        <f>VLOOKUP(D4,'Master Grade'!D18:Z42,5,FALSE)</f>
        <v>90</v>
      </c>
      <c r="G23" s="43" t="str">
        <f t="shared" ref="G23:G28" si="0">IF(F23&gt;=87.5,"A",IF(F23&gt;=73.5,"B",IF(F23&gt;=59.5,"C","D")))</f>
        <v>A</v>
      </c>
      <c r="H23" s="44" t="str">
        <f>IF(F23&gt;=87.5,'Kompetensi Dasar'!G9,
IF(F23&gt;=73.5,'Kompetensi Dasar'!H9,
IF(F23&gt;=59.5,'Kompetensi Dasar'!I9,'Kompetensi Dasar'!J9
)))</f>
        <v xml:space="preserve">Siswa sangat mampu melaksanakan kewajiban menegakkan aturan dan menjaga ketertiban di lingkungan rumah, sekolah dan masyarakat </v>
      </c>
    </row>
    <row r="24" spans="1:8" ht="226.5" customHeight="1" x14ac:dyDescent="0.25">
      <c r="A24" s="43">
        <v>3</v>
      </c>
      <c r="B24" s="44" t="str">
        <f>'Master Subject'!H10</f>
        <v>Bahasa Indonesia</v>
      </c>
      <c r="C24" s="43">
        <f>VLOOKUP(D4,'Master Grade'!D18:Z42,6,FALSE)</f>
        <v>90</v>
      </c>
      <c r="D24" s="43" t="str">
        <f t="shared" ref="D24:D28" si="1">IF(C24&gt;=87.5,"A",IF(C24&gt;=73.5,"B",IF(C24&gt;=59.5,"C","D")))</f>
        <v>A</v>
      </c>
      <c r="E24" s="44" t="str">
        <f>IF(C24&gt;=87.5,'Kompetensi Dasar'!C10,
IF(C24&gt;=73.5,'Kompetensi Dasar'!D10,
IF(C24&gt;=59.5,'Kompetensi Dasar'!E10,'Kompetensi Dasar'!F10
)))</f>
        <v>Siswa sangat mampu menguraikan isi teks penjelasan (eksplanasi) ilmiah tentang penyebab perubahan dan sifat benda dengan bantuan guru dan teman dalam bahasa Indonesia lisan dan tulis dengan memilih dan memilah kosakata baku</v>
      </c>
      <c r="F24" s="77">
        <f>VLOOKUP(D4,'Master Grade'!D18:Z42,7,FALSE)</f>
        <v>90</v>
      </c>
      <c r="G24" s="43" t="str">
        <f t="shared" si="0"/>
        <v>A</v>
      </c>
      <c r="H24" s="44" t="str">
        <f>IF(F24&gt;=87.5,'Kompetensi Dasar'!G10,
IF(F24&gt;=73.5,'Kompetensi Dasar'!H10,
IF(F24&gt;=59.5,'Kompetensi Dasar'!I10,'Kompetensi Dasar'!J10
)))</f>
        <v xml:space="preserve">Siswa sangat mampu menguraikan isi teks penjelasan (eksplanasi) ilmiah tentang penyebab perubahan dan sifat benda dengan bantuan guru dan teman dalam bahasa Indonesia lisan dan tulis dengan memilih dan memilah kosakata baku
</v>
      </c>
    </row>
    <row r="25" spans="1:8" ht="308.25" customHeight="1" x14ac:dyDescent="0.25">
      <c r="A25" s="43">
        <v>4</v>
      </c>
      <c r="B25" s="44" t="str">
        <f>'Master Subject'!H11</f>
        <v>Matematika</v>
      </c>
      <c r="C25" s="43">
        <f>VLOOKUP(D4,'Master Grade'!D18:Z42,8,FALSE)</f>
        <v>90</v>
      </c>
      <c r="D25" s="43" t="str">
        <f t="shared" si="1"/>
        <v>A</v>
      </c>
      <c r="E25" s="44" t="str">
        <f>IF(C25&gt;=87.5,'Kompetensi Dasar'!C11,
IF(C25&gt;=73.5,'Kompetensi Dasar'!D11,
IF(C25&gt;=59.5,'Kompetensi Dasar'!E11,'Kompetensi Dasar'!F11
)))</f>
        <v xml:space="preserve">Siswa sangat mampu memahami operasi hitung yang melibatkan berbagai bentuk pecahan (pecahan biasa, campuran, desimal dan persen); mengenal unsur-unsur lingkaran, diagonal ruang dan diagonal sisi dalam bangun ruang sederhana. </v>
      </c>
      <c r="F25" s="77">
        <f>VLOOKUP(D4,'Master Grade'!D18:Z42,9,FALSE)</f>
        <v>90</v>
      </c>
      <c r="G25" s="43" t="str">
        <f t="shared" si="0"/>
        <v>A</v>
      </c>
      <c r="H25" s="44" t="str">
        <f>IF(F25&gt;=87.5,'Kompetensi Dasar'!G11,
IF(F25&gt;=73.5,'Kompetensi Dasar'!H11,
IF(F25&gt;=59.5,'Kompetensi Dasar'!I11,'Kompetensi Dasar'!J11
)))</f>
        <v xml:space="preserve">Siswa sangat mampu membentuk/menggambar bangun ruang gabungan sederhana serta menghitung luas permukaannya dan volumenya </v>
      </c>
    </row>
    <row r="26" spans="1:8" ht="180.75" customHeight="1" x14ac:dyDescent="0.25">
      <c r="A26" s="43">
        <v>5</v>
      </c>
      <c r="B26" s="44" t="str">
        <f>'Master Subject'!H12</f>
        <v>Ilmu Pengetahuan Alam</v>
      </c>
      <c r="C26" s="43">
        <f>VLOOKUP(D4,'Master Grade'!D18:Z42,10,FALSE)</f>
        <v>90</v>
      </c>
      <c r="D26" s="43" t="str">
        <f t="shared" si="1"/>
        <v>A</v>
      </c>
      <c r="E26" s="44" t="str">
        <f>IF(C26&gt;=87.5,'Kompetensi Dasar'!C12,
IF(C26&gt;=73.5,'Kompetensi Dasar'!D12,
IF(C26&gt;=59.5,'Kompetensi Dasar'!E12,'Kompetensi Dasar'!F12
)))</f>
        <v>Siswa sangat mampu mengidentifikasi cara perkembangbiakan mahluk hidup dan menyesuaikan diri dengan lingkungan.</v>
      </c>
      <c r="F26" s="77">
        <f>VLOOKUP(D4,'Master Grade'!D18:Z42,11,FALSE)</f>
        <v>90</v>
      </c>
      <c r="G26" s="43" t="str">
        <f t="shared" si="0"/>
        <v>A</v>
      </c>
      <c r="H26" s="44" t="str">
        <f>IF(F26&gt;=87.5,'Kompetensi Dasar'!G12,
IF(F26&gt;=73.5,'Kompetensi Dasar'!H12,
IF(F26&gt;=59.5,'Kompetensi Dasar'!I12,'Kompetensi Dasar'!J12
)))</f>
        <v>Siswa sangat mampu menyajikan data tentang perkembangbiakan tumbuhan dan cara menghasilkan energi listrik.</v>
      </c>
    </row>
    <row r="27" spans="1:8" ht="211.5" customHeight="1" x14ac:dyDescent="0.25">
      <c r="A27" s="43">
        <v>6</v>
      </c>
      <c r="B27" s="44" t="str">
        <f>'Master Subject'!H13</f>
        <v>Ilmu Pengetahuan Sosial</v>
      </c>
      <c r="C27" s="43">
        <f>VLOOKUP(D4,'Master Grade'!D18:Z42,12,FALSE)</f>
        <v>90</v>
      </c>
      <c r="D27" s="43" t="str">
        <f t="shared" si="1"/>
        <v>A</v>
      </c>
      <c r="E27" s="44" t="str">
        <f>IF(C27&gt;=87.5,'Kompetensi Dasar'!C13,
IF(C27&gt;=73.5,'Kompetensi Dasar'!D13,
IF(C27&gt;=59.5,'Kompetensi Dasar'!E13,'Kompetensi Dasar'!F13
)))</f>
        <v>Siswa sangat mampu menelaah landasan dari dinamika interaksi manusia dengan lingkungan alam, sosial budaya, dan ekonomi</v>
      </c>
      <c r="F27" s="77">
        <f>VLOOKUP(D4,'Master Grade'!D18:Z42,13,FALSE)</f>
        <v>90</v>
      </c>
      <c r="G27" s="43" t="str">
        <f t="shared" si="0"/>
        <v>A</v>
      </c>
      <c r="H27" s="44" t="str">
        <f>IF(F27&gt;=87.5,'Kompetensi Dasar'!G13,
IF(F27&gt;=73.5,'Kompetensi Dasar'!H13,
IF(F27&gt;=59.5,'Kompetensi Dasar'!I13,'Kompetensi Dasar'!J13
)))</f>
        <v>Siswa sangat mampu menyajikan hasil telaah mengenai landasan dari dinamika interaksi manusia dengan lingkungan alam, sosial, budaya, dan ekonomi dalam berbagai bentuk (lisan, tulisan, gambar, dan lainnya)</v>
      </c>
    </row>
    <row r="28" spans="1:8" ht="159.75" customHeight="1" x14ac:dyDescent="0.25">
      <c r="A28" s="43">
        <v>7</v>
      </c>
      <c r="B28" s="44" t="str">
        <f>'Master Subject'!H14</f>
        <v>Seni Budaya dan Prakarya</v>
      </c>
      <c r="C28" s="43">
        <f>VLOOKUP(D4,'Master Grade'!D18:Z42,14,FALSE)</f>
        <v>90</v>
      </c>
      <c r="D28" s="43" t="str">
        <f t="shared" si="1"/>
        <v>A</v>
      </c>
      <c r="E28" s="44" t="str">
        <f>IF(C28&gt;=87.5,'Kompetensi Dasar'!C14,
IF(C28&gt;=73.5,'Kompetensi Dasar'!D14,
IF(C28&gt;=59.5,'Kompetensi Dasar'!E14,'Kompetensi Dasar'!F14
)))</f>
        <v>Siswa sangat mampu memahami dan mengenal bahan serta alat berikut teknik dan fungsinya dalam membuat karya seni rupa.</v>
      </c>
      <c r="F28" s="77">
        <f>VLOOKUP(D4,'Master Grade'!D18:Z42,15,FALSE)</f>
        <v>90</v>
      </c>
      <c r="G28" s="43" t="str">
        <f t="shared" si="0"/>
        <v>A</v>
      </c>
      <c r="H28" s="44" t="str">
        <f>IF(F28&gt;=87.5,'Kompetensi Dasar'!G14,
IF(F28&gt;=73.5,'Kompetensi Dasar'!H14,
IF(F28&gt;=59.5,'Kompetensi Dasar'!I14,'Kompetensi Dasar'!J14
)))</f>
        <v>Siswa sangat mampu menggambar prespektif sederhana dengan menerapkan proporsi dan komposisi berdasarkan hasil pengamatan.</v>
      </c>
    </row>
    <row r="29" spans="1:8" ht="191.25" customHeight="1" x14ac:dyDescent="0.25">
      <c r="A29" s="43">
        <v>8</v>
      </c>
      <c r="B29" s="44" t="str">
        <f>'Master Subject'!H15</f>
        <v>Pendidikan Jasmani, Olahraga dan Kesehatan</v>
      </c>
      <c r="C29" s="77">
        <f>VLOOKUP(D4,'Master Grade'!D18:Z42,16,FALSE)</f>
        <v>90</v>
      </c>
      <c r="D29" s="43" t="str">
        <f>IF(C29&gt;=87.5,"A",IF(C29&gt;=73.5,"B",IF(C29&gt;=59.5,"C","D")))</f>
        <v>A</v>
      </c>
      <c r="E29" s="44" t="str">
        <f>IF(C29&gt;=87.5,'Kompetensi Dasar'!C15,
IF(C29&gt;=73.5,'Kompetensi Dasar'!D15,
IF(C29&gt;=59.5,'Kompetensi Dasar'!E15,'Kompetensi Dasar'!F15
)))</f>
        <v>Siswa sangat mampu memahami dan mampu mengukur kebugaran jasmani dengan salah satu jenis tes kebugaran</v>
      </c>
      <c r="F29" s="77">
        <f>VLOOKUP(D4,'Master Grade'!D18:Z42,17,FALSE)</f>
        <v>90</v>
      </c>
      <c r="G29" s="43" t="str">
        <f>IF(F29&gt;=87.5,"A",IF(F29&gt;=73.5,"B",IF(F29&gt;=59.5,"C","D")))</f>
        <v>A</v>
      </c>
      <c r="H29" s="44" t="str">
        <f>IF(F29&gt;=87.5,'Kompetensi Dasar'!G15,
IF(F29&gt;=73.5,'Kompetensi Dasar'!H15,
IF(F29&gt;=59.5,'Kompetensi Dasar'!I15,'Kompetensi Dasar'!J15
)))</f>
        <v>Siswa sangat mampu mempraktikkan variasi dan kombinasi gerak dasar atletik jalan, lari, lompat, dan lempar dengan kontrol yang baik melalui permainan dan olahraga atletik dan atau tradisional</v>
      </c>
    </row>
    <row r="30" spans="1:8" x14ac:dyDescent="0.25">
      <c r="A30" s="129" t="s">
        <v>17</v>
      </c>
      <c r="B30" s="121" t="s">
        <v>61</v>
      </c>
      <c r="C30" s="122"/>
      <c r="D30" s="122"/>
      <c r="E30" s="122"/>
      <c r="F30" s="122"/>
      <c r="G30" s="122"/>
      <c r="H30" s="123"/>
    </row>
    <row r="31" spans="1:8" ht="15.75" customHeight="1" x14ac:dyDescent="0.25">
      <c r="A31" s="130"/>
      <c r="B31" s="124" t="s">
        <v>18</v>
      </c>
      <c r="C31" s="125" t="s">
        <v>19</v>
      </c>
      <c r="D31" s="125"/>
      <c r="E31" s="125"/>
      <c r="F31" s="126" t="s">
        <v>20</v>
      </c>
      <c r="G31" s="127"/>
      <c r="H31" s="128"/>
    </row>
    <row r="32" spans="1:8" x14ac:dyDescent="0.25">
      <c r="A32" s="131"/>
      <c r="B32" s="124"/>
      <c r="C32" s="42" t="s">
        <v>21</v>
      </c>
      <c r="D32" s="42" t="s">
        <v>22</v>
      </c>
      <c r="E32" s="42" t="s">
        <v>23</v>
      </c>
      <c r="F32" s="42" t="s">
        <v>21</v>
      </c>
      <c r="G32" s="42" t="s">
        <v>22</v>
      </c>
      <c r="H32" s="42" t="s">
        <v>23</v>
      </c>
    </row>
    <row r="33" spans="1:8" ht="133.5" customHeight="1" x14ac:dyDescent="0.25">
      <c r="A33" s="45">
        <v>9</v>
      </c>
      <c r="B33" s="46" t="str">
        <f>'Master Subject'!H16</f>
        <v>Bahasa Mandarin</v>
      </c>
      <c r="C33" s="78">
        <f>VLOOKUP(D4,'Master Grade'!D18:Z42,18,FALSE)</f>
        <v>90</v>
      </c>
      <c r="D33" s="43" t="str">
        <f>IF(C33&gt;=87.5,"A",IF(C33&gt;=73.5,"B",IF(C33&gt;=59.5,"C","D")))</f>
        <v>A</v>
      </c>
      <c r="E33" s="44" t="str">
        <f>IF(C33&gt;=87.5,'Kompetensi Dasar'!C16,
IF(C33&gt;=73.5,'Kompetensi Dasar'!D16,
IF(C33&gt;=59.5,'Kompetensi Dasar'!E16,'Kompetensi Dasar'!F16
)))</f>
        <v>Siswa sangat mampu memahami cara membaca dan menganalisa penulisan struktur kalimat perbandingan</v>
      </c>
      <c r="F33" s="78">
        <f>VLOOKUP(D4,'Master Grade'!D18:Z42,19,FALSE)</f>
        <v>90</v>
      </c>
      <c r="G33" s="43" t="str">
        <f>IF(F33&gt;=87.5,"A",IF(F33&gt;=73.5,"B",IF(F33&gt;=59.5,"C","D")))</f>
        <v>A</v>
      </c>
      <c r="H33" s="44" t="str">
        <f>IF(F33&gt;=87.5,'Kompetensi Dasar'!G16,
IF(F33&gt;=73.5,'Kompetensi Dasar'!H16,
IF(F33&gt;=59.5,'Kompetensi Dasar'!I16,'Kompetensi Dasar'!J16
)))</f>
        <v>Siswa sangat mampu mengamati, mengolah dan menyajikan struktur penulisan kalimat perbandingan untuk membantu dalam penyajian</v>
      </c>
    </row>
    <row r="34" spans="1:8" ht="155.25" customHeight="1" x14ac:dyDescent="0.25">
      <c r="A34" s="43">
        <v>10</v>
      </c>
      <c r="B34" s="44" t="str">
        <f>'Master Subject'!H17</f>
        <v>Bahasa Inggris</v>
      </c>
      <c r="C34" s="43">
        <f>VLOOKUP(D4,'Master Grade'!D18:Z42,20,FALSE)</f>
        <v>90</v>
      </c>
      <c r="D34" s="43" t="str">
        <f t="shared" ref="D34:D35" si="2">IF(C34&gt;=87.5,"A",IF(C34&gt;=73.5,"B",IF(C34&gt;=59.5,"C","D")))</f>
        <v>A</v>
      </c>
      <c r="E34" s="44" t="str">
        <f>IF(C34&gt;=87.5,'Kompetensi Dasar'!C17,
IF(C34&gt;=73.5,'Kompetensi Dasar'!D17,
IF(C34&gt;=59.5,'Kompetensi Dasar'!E17,'Kompetensi Dasar'!F17
)))</f>
        <v>Siswa sangat mampu memahami penggunaan struktur kalimat pengandaian dengan baik dan benar.</v>
      </c>
      <c r="F34" s="43">
        <f>VLOOKUP(D4,'Master Grade'!D18:Z42,21,FALSE)</f>
        <v>90</v>
      </c>
      <c r="G34" s="43" t="str">
        <f t="shared" ref="G34:G35" si="3">IF(F34&gt;=87.5,"A",IF(F34&gt;=73.5,"B",IF(F34&gt;=59.5,"C","D")))</f>
        <v>A</v>
      </c>
      <c r="H34" s="44" t="str">
        <f>IF(F34&gt;=87.5,'Kompetensi Dasar'!G17,
IF(F34&gt;=73.5,'Kompetensi Dasar'!H17,
IF(F34&gt;=59.5,'Kompetensi Dasar'!I17,'Kompetensi Dasar'!J17
)))</f>
        <v>Siswa sangat mampu mengungkapkan kalimat pengandaian secara lisan maupun tulisan dengan kosakata yang majemuk untuk membantu penyajian.</v>
      </c>
    </row>
    <row r="35" spans="1:8" ht="185.25" customHeight="1" x14ac:dyDescent="0.25">
      <c r="A35" s="43">
        <v>11</v>
      </c>
      <c r="B35" s="44" t="str">
        <f>'Master Subject'!H18</f>
        <v>Komputer</v>
      </c>
      <c r="C35" s="77">
        <f>VLOOKUP(D4,'Master Grade'!D18:Z42,22,FALSE)</f>
        <v>90</v>
      </c>
      <c r="D35" s="43" t="str">
        <f t="shared" si="2"/>
        <v>A</v>
      </c>
      <c r="E35" s="44" t="str">
        <f>IF(C35&gt;=87.5,'Kompetensi Dasar'!C18,
IF(C35&gt;=73.5,'Kompetensi Dasar'!D18,
IF(C35&gt;=59.5,'Kompetensi Dasar'!E18,'Kompetensi Dasar'!F18
)))</f>
        <v xml:space="preserve">Siswa sangat mampu mengingat dan memahami teknik manipulasi photo yang ada pada program aplikasi adobe photoshop dan teknik kombinasi objek serta gradiasi warna pada program aplikasi adobe illustrator </v>
      </c>
      <c r="F35" s="77">
        <f>VLOOKUP(D4,'Master Grade'!D18:Z42,23,FALSE)</f>
        <v>90</v>
      </c>
      <c r="G35" s="43" t="str">
        <f t="shared" si="3"/>
        <v>A</v>
      </c>
      <c r="H35" s="44" t="str">
        <f>IF(F35&gt;=87.5,'Kompetensi Dasar'!G18,
IF(F35&gt;=73.5,'Kompetensi Dasar'!H18,
IF(F35&gt;=59.5,'Kompetensi Dasar'!I18,'Kompetensi Dasar'!J18
)))</f>
        <v>Siswa sangat mampu mengaplikasikan dan menganalisis teknik manipulasi photo yang ada pada program aplikasi adobe photoshop dan teknik kombinasi objek serta gradiasi warna pada program aplikasi adobe illustrator</v>
      </c>
    </row>
    <row r="36" spans="1:8" x14ac:dyDescent="0.25">
      <c r="A36" s="31"/>
      <c r="B36" s="31"/>
      <c r="C36" s="31"/>
      <c r="D36" s="31"/>
      <c r="E36" s="31"/>
      <c r="F36" s="31"/>
      <c r="G36" s="31"/>
      <c r="H36" s="31"/>
    </row>
    <row r="37" spans="1:8" x14ac:dyDescent="0.25">
      <c r="A37" s="31"/>
      <c r="B37" s="31"/>
      <c r="C37" s="31"/>
      <c r="D37" s="31"/>
      <c r="E37" s="31"/>
      <c r="F37" s="31"/>
      <c r="G37" s="31"/>
      <c r="H37" s="31"/>
    </row>
    <row r="38" spans="1:8" x14ac:dyDescent="0.25">
      <c r="A38" s="31"/>
      <c r="B38" s="31"/>
      <c r="C38" s="31"/>
      <c r="D38" s="31"/>
      <c r="E38" s="31"/>
      <c r="F38" s="31"/>
      <c r="G38" s="31"/>
      <c r="H38" s="31"/>
    </row>
    <row r="39" spans="1:8" x14ac:dyDescent="0.25">
      <c r="A39" s="36" t="s">
        <v>69</v>
      </c>
      <c r="B39" s="36" t="s">
        <v>125</v>
      </c>
      <c r="C39" s="32"/>
      <c r="D39" s="35"/>
      <c r="E39" s="35"/>
      <c r="F39" s="33"/>
      <c r="G39" s="33"/>
      <c r="H39" s="31"/>
    </row>
    <row r="40" spans="1:8" x14ac:dyDescent="0.25">
      <c r="A40" s="36"/>
      <c r="B40" s="36"/>
      <c r="C40" s="32"/>
      <c r="D40" s="35"/>
      <c r="E40" s="35"/>
      <c r="F40" s="33"/>
      <c r="G40" s="33"/>
      <c r="H40" s="31"/>
    </row>
    <row r="41" spans="1:8" x14ac:dyDescent="0.25">
      <c r="A41" s="68" t="s">
        <v>17</v>
      </c>
      <c r="B41" s="112" t="s">
        <v>126</v>
      </c>
      <c r="C41" s="112"/>
      <c r="D41" s="112"/>
      <c r="E41" s="112" t="s">
        <v>68</v>
      </c>
      <c r="F41" s="112"/>
      <c r="G41" s="112"/>
      <c r="H41" s="112"/>
    </row>
    <row r="42" spans="1:8" ht="15.75" customHeight="1" x14ac:dyDescent="0.25">
      <c r="A42" s="47">
        <v>1</v>
      </c>
      <c r="B42" s="113">
        <f>VLOOKUP(D4,'Master Grade'!D18:AR42,26,FALSE)</f>
        <v>0</v>
      </c>
      <c r="C42" s="113"/>
      <c r="D42" s="113"/>
      <c r="E42" s="113">
        <f>VLOOKUP(D4,'Master Grade'!D18:AR42,27,FALSE)</f>
        <v>0</v>
      </c>
      <c r="F42" s="113"/>
      <c r="G42" s="113"/>
      <c r="H42" s="113"/>
    </row>
    <row r="43" spans="1:8" ht="15.75" customHeight="1" x14ac:dyDescent="0.25">
      <c r="A43" s="47">
        <v>2</v>
      </c>
      <c r="B43" s="113">
        <f>VLOOKUP(D4,'Master Grade'!D18:AR42,28,FALSE)</f>
        <v>0</v>
      </c>
      <c r="C43" s="113"/>
      <c r="D43" s="113"/>
      <c r="E43" s="113">
        <f>VLOOKUP(D4,'Master Grade'!D18:AR42,29,FALSE)</f>
        <v>0</v>
      </c>
      <c r="F43" s="113"/>
      <c r="G43" s="113"/>
      <c r="H43" s="113"/>
    </row>
    <row r="44" spans="1:8" x14ac:dyDescent="0.25">
      <c r="A44" s="31"/>
      <c r="B44" s="31"/>
      <c r="C44" s="31"/>
      <c r="D44" s="31"/>
      <c r="E44" s="31"/>
      <c r="F44" s="31"/>
      <c r="G44" s="31"/>
      <c r="H44" s="31"/>
    </row>
    <row r="45" spans="1:8" x14ac:dyDescent="0.25">
      <c r="A45" s="31"/>
      <c r="B45" s="31"/>
      <c r="C45" s="31"/>
      <c r="D45" s="31"/>
      <c r="E45" s="31"/>
      <c r="F45" s="31"/>
      <c r="G45" s="31"/>
      <c r="H45" s="31"/>
    </row>
    <row r="46" spans="1:8" x14ac:dyDescent="0.25">
      <c r="A46" s="36" t="s">
        <v>70</v>
      </c>
      <c r="B46" s="36" t="s">
        <v>87</v>
      </c>
      <c r="C46" s="32"/>
      <c r="D46" s="35"/>
      <c r="E46" s="35"/>
      <c r="F46" s="33"/>
      <c r="G46" s="33"/>
      <c r="H46" s="31"/>
    </row>
    <row r="47" spans="1:8" x14ac:dyDescent="0.25">
      <c r="A47" s="36"/>
      <c r="B47" s="36"/>
      <c r="C47" s="32"/>
      <c r="D47" s="35"/>
      <c r="E47" s="35"/>
      <c r="F47" s="33"/>
      <c r="G47" s="33"/>
      <c r="H47" s="31"/>
    </row>
    <row r="48" spans="1:8" ht="18" customHeight="1" x14ac:dyDescent="0.25">
      <c r="A48" s="115">
        <f>VLOOKUP(D4,'Master Grade'!D18:AR42,30,FALSE)</f>
        <v>0</v>
      </c>
      <c r="B48" s="116"/>
      <c r="C48" s="116"/>
      <c r="D48" s="116"/>
      <c r="E48" s="116"/>
      <c r="F48" s="116"/>
      <c r="G48" s="116"/>
      <c r="H48" s="117"/>
    </row>
    <row r="49" spans="1:8" ht="18" customHeight="1" x14ac:dyDescent="0.25">
      <c r="A49" s="118"/>
      <c r="B49" s="119"/>
      <c r="C49" s="119"/>
      <c r="D49" s="119"/>
      <c r="E49" s="119"/>
      <c r="F49" s="119"/>
      <c r="G49" s="119"/>
      <c r="H49" s="120"/>
    </row>
    <row r="50" spans="1:8" x14ac:dyDescent="0.25">
      <c r="A50" s="31"/>
      <c r="B50" s="31"/>
      <c r="C50" s="31"/>
      <c r="D50" s="31"/>
      <c r="E50" s="31"/>
      <c r="F50" s="31"/>
      <c r="G50" s="31"/>
      <c r="H50" s="31"/>
    </row>
    <row r="51" spans="1:8" x14ac:dyDescent="0.25">
      <c r="A51" s="31"/>
      <c r="B51" s="31"/>
      <c r="C51" s="31"/>
      <c r="D51" s="31"/>
      <c r="E51" s="31"/>
      <c r="F51" s="31"/>
      <c r="G51" s="31"/>
      <c r="H51" s="31"/>
    </row>
    <row r="52" spans="1:8" x14ac:dyDescent="0.25">
      <c r="A52" s="36" t="s">
        <v>92</v>
      </c>
      <c r="B52" s="36" t="s">
        <v>88</v>
      </c>
      <c r="C52" s="32"/>
      <c r="D52" s="35"/>
      <c r="E52" s="35"/>
      <c r="F52" s="33"/>
      <c r="G52" s="33"/>
      <c r="H52" s="31"/>
    </row>
    <row r="53" spans="1:8" x14ac:dyDescent="0.25">
      <c r="A53" s="36"/>
      <c r="B53" s="36"/>
      <c r="C53" s="32"/>
      <c r="D53" s="35"/>
      <c r="E53" s="35"/>
      <c r="F53" s="33"/>
      <c r="G53" s="33"/>
      <c r="H53" s="31"/>
    </row>
    <row r="54" spans="1:8" x14ac:dyDescent="0.25">
      <c r="A54" s="48" t="s">
        <v>17</v>
      </c>
      <c r="B54" s="112" t="s">
        <v>71</v>
      </c>
      <c r="C54" s="112"/>
      <c r="D54" s="112"/>
      <c r="E54" s="112" t="s">
        <v>68</v>
      </c>
      <c r="F54" s="112"/>
      <c r="G54" s="112"/>
      <c r="H54" s="112"/>
    </row>
    <row r="55" spans="1:8" x14ac:dyDescent="0.25">
      <c r="A55" s="47">
        <v>1</v>
      </c>
      <c r="B55" s="113" t="s">
        <v>72</v>
      </c>
      <c r="C55" s="113"/>
      <c r="D55" s="113"/>
      <c r="E55" s="114" t="str">
        <f>VLOOKUP(D4,'Master Grade'!D18:AR42,31,FALSE) &amp;" " &amp; "Kg"</f>
        <v xml:space="preserve"> Kg</v>
      </c>
      <c r="F55" s="114"/>
      <c r="G55" s="114"/>
      <c r="H55" s="114"/>
    </row>
    <row r="56" spans="1:8" x14ac:dyDescent="0.25">
      <c r="A56" s="47">
        <v>2</v>
      </c>
      <c r="B56" s="113" t="s">
        <v>73</v>
      </c>
      <c r="C56" s="113"/>
      <c r="D56" s="113"/>
      <c r="E56" s="114" t="str">
        <f>VLOOKUP(D4,'Master Grade'!D18:AR42,32,FALSE)&amp; " " &amp; "Cm"</f>
        <v xml:space="preserve"> Cm</v>
      </c>
      <c r="F56" s="114"/>
      <c r="G56" s="114"/>
      <c r="H56" s="114"/>
    </row>
    <row r="57" spans="1:8" x14ac:dyDescent="0.25">
      <c r="A57" s="31"/>
      <c r="B57" s="31"/>
      <c r="C57" s="31"/>
      <c r="D57" s="31"/>
      <c r="E57" s="31"/>
      <c r="F57" s="31"/>
      <c r="G57" s="31"/>
      <c r="H57" s="31"/>
    </row>
    <row r="58" spans="1:8" x14ac:dyDescent="0.25">
      <c r="A58" s="31"/>
      <c r="B58" s="31"/>
      <c r="C58" s="31"/>
      <c r="D58" s="31"/>
      <c r="E58" s="31"/>
      <c r="F58" s="31"/>
      <c r="G58" s="31"/>
      <c r="H58" s="31"/>
    </row>
    <row r="59" spans="1:8" x14ac:dyDescent="0.25">
      <c r="A59" s="36" t="s">
        <v>91</v>
      </c>
      <c r="B59" s="36" t="s">
        <v>90</v>
      </c>
      <c r="C59" s="32"/>
      <c r="D59" s="35"/>
      <c r="E59" s="35"/>
      <c r="F59" s="33"/>
      <c r="G59" s="33"/>
      <c r="H59" s="31"/>
    </row>
    <row r="60" spans="1:8" x14ac:dyDescent="0.25">
      <c r="A60" s="36"/>
      <c r="B60" s="36"/>
      <c r="C60" s="32"/>
      <c r="D60" s="35"/>
      <c r="E60" s="35"/>
      <c r="F60" s="33"/>
      <c r="G60" s="33"/>
      <c r="H60" s="31"/>
    </row>
    <row r="61" spans="1:8" x14ac:dyDescent="0.25">
      <c r="A61" s="49" t="s">
        <v>17</v>
      </c>
      <c r="B61" s="112" t="s">
        <v>95</v>
      </c>
      <c r="C61" s="112"/>
      <c r="D61" s="112"/>
      <c r="E61" s="112" t="s">
        <v>68</v>
      </c>
      <c r="F61" s="112"/>
      <c r="G61" s="112"/>
      <c r="H61" s="112"/>
    </row>
    <row r="62" spans="1:8" x14ac:dyDescent="0.25">
      <c r="A62" s="47">
        <v>1</v>
      </c>
      <c r="B62" s="113" t="s">
        <v>74</v>
      </c>
      <c r="C62" s="113"/>
      <c r="D62" s="113"/>
      <c r="E62" s="113">
        <f>VLOOKUP(D4,'Master Grade'!D18:AR42,33,FALSE)</f>
        <v>0</v>
      </c>
      <c r="F62" s="113"/>
      <c r="G62" s="113"/>
      <c r="H62" s="113"/>
    </row>
    <row r="63" spans="1:8" x14ac:dyDescent="0.25">
      <c r="A63" s="47">
        <v>2</v>
      </c>
      <c r="B63" s="113" t="s">
        <v>75</v>
      </c>
      <c r="C63" s="113"/>
      <c r="D63" s="113"/>
      <c r="E63" s="113">
        <f>VLOOKUP(D4,'Master Grade'!D18:AR42,34,FALSE)</f>
        <v>0</v>
      </c>
      <c r="F63" s="113"/>
      <c r="G63" s="113"/>
      <c r="H63" s="113"/>
    </row>
    <row r="64" spans="1:8" x14ac:dyDescent="0.25">
      <c r="A64" s="31"/>
      <c r="B64" s="31"/>
      <c r="C64" s="31"/>
      <c r="D64" s="31"/>
      <c r="E64" s="31"/>
      <c r="F64" s="31"/>
      <c r="G64" s="31"/>
      <c r="H64" s="31"/>
    </row>
    <row r="65" spans="1:8" x14ac:dyDescent="0.25">
      <c r="A65" s="31"/>
      <c r="B65" s="31"/>
      <c r="C65" s="31"/>
      <c r="D65" s="31"/>
      <c r="E65" s="31"/>
      <c r="F65" s="31"/>
      <c r="G65" s="31"/>
      <c r="H65" s="31"/>
    </row>
    <row r="66" spans="1:8" x14ac:dyDescent="0.25">
      <c r="A66" s="36" t="s">
        <v>93</v>
      </c>
      <c r="B66" s="36" t="s">
        <v>76</v>
      </c>
      <c r="C66" s="32"/>
      <c r="D66" s="35"/>
      <c r="E66" s="35"/>
      <c r="F66" s="33"/>
      <c r="G66" s="33"/>
      <c r="H66" s="31"/>
    </row>
    <row r="67" spans="1:8" x14ac:dyDescent="0.25">
      <c r="A67" s="36"/>
      <c r="B67" s="36"/>
      <c r="C67" s="32"/>
      <c r="D67" s="35"/>
      <c r="E67" s="35"/>
      <c r="F67" s="33"/>
      <c r="G67" s="33"/>
      <c r="H67" s="31"/>
    </row>
    <row r="68" spans="1:8" x14ac:dyDescent="0.25">
      <c r="A68" s="49" t="s">
        <v>17</v>
      </c>
      <c r="B68" s="112" t="s">
        <v>96</v>
      </c>
      <c r="C68" s="112"/>
      <c r="D68" s="112"/>
      <c r="E68" s="112" t="s">
        <v>68</v>
      </c>
      <c r="F68" s="112"/>
      <c r="G68" s="112"/>
      <c r="H68" s="112"/>
    </row>
    <row r="69" spans="1:8" x14ac:dyDescent="0.25">
      <c r="A69" s="47">
        <v>1</v>
      </c>
      <c r="B69" s="113">
        <f>VLOOKUP(D4,'Master Grade'!D18:AR42,35,FALSE)</f>
        <v>0</v>
      </c>
      <c r="C69" s="113"/>
      <c r="D69" s="113"/>
      <c r="E69" s="113">
        <f>VLOOKUP(D4,'Master Grade'!D18:AR42,36,FALSE)</f>
        <v>0</v>
      </c>
      <c r="F69" s="113"/>
      <c r="G69" s="113"/>
      <c r="H69" s="113"/>
    </row>
    <row r="70" spans="1:8" x14ac:dyDescent="0.25">
      <c r="A70" s="47">
        <v>2</v>
      </c>
      <c r="B70" s="113">
        <f>VLOOKUP(D4,'Master Grade'!D18:AR42,37,FALSE)</f>
        <v>0</v>
      </c>
      <c r="C70" s="113"/>
      <c r="D70" s="113"/>
      <c r="E70" s="113">
        <f>VLOOKUP(D4,'Master Grade'!D18:AR42,38,FALSE)</f>
        <v>0</v>
      </c>
      <c r="F70" s="113"/>
      <c r="G70" s="113"/>
      <c r="H70" s="113"/>
    </row>
    <row r="71" spans="1:8" x14ac:dyDescent="0.25">
      <c r="A71" s="31"/>
      <c r="B71" s="31"/>
      <c r="C71" s="31"/>
      <c r="D71" s="31"/>
      <c r="E71" s="31"/>
      <c r="F71" s="31"/>
      <c r="G71" s="31"/>
      <c r="H71" s="31"/>
    </row>
    <row r="72" spans="1:8" x14ac:dyDescent="0.25">
      <c r="A72" s="31"/>
      <c r="B72" s="31"/>
      <c r="C72" s="31"/>
      <c r="D72" s="31"/>
      <c r="E72" s="31"/>
      <c r="F72" s="31"/>
      <c r="G72" s="31"/>
      <c r="H72" s="31"/>
    </row>
    <row r="73" spans="1:8" x14ac:dyDescent="0.25">
      <c r="A73" s="31"/>
      <c r="B73" s="31"/>
      <c r="C73" s="31"/>
      <c r="D73" s="31"/>
      <c r="E73" s="31"/>
      <c r="F73" s="31"/>
      <c r="G73" s="31"/>
      <c r="H73" s="31"/>
    </row>
    <row r="74" spans="1:8" ht="15.75" x14ac:dyDescent="0.25">
      <c r="A74" s="36" t="s">
        <v>94</v>
      </c>
      <c r="B74" s="36" t="s">
        <v>77</v>
      </c>
      <c r="C74" s="51"/>
      <c r="D74" s="52"/>
      <c r="E74" s="52"/>
      <c r="F74" s="53"/>
      <c r="G74" s="53"/>
    </row>
    <row r="75" spans="1:8" ht="15.75" x14ac:dyDescent="0.25">
      <c r="A75" s="50"/>
      <c r="B75" s="50"/>
      <c r="C75" s="51"/>
      <c r="D75" s="52"/>
      <c r="E75" s="52"/>
      <c r="F75" s="53"/>
      <c r="G75" s="53"/>
    </row>
    <row r="76" spans="1:8" x14ac:dyDescent="0.25">
      <c r="A76" s="108" t="s">
        <v>80</v>
      </c>
      <c r="B76" s="108"/>
      <c r="C76" s="108"/>
      <c r="D76" s="108"/>
      <c r="E76" s="111" t="str">
        <f>VLOOKUP(D4,'Master Grade'!D18:AR42,39,FALSE) &amp; " " &amp; "Hari"</f>
        <v xml:space="preserve"> Hari</v>
      </c>
      <c r="F76" s="111"/>
      <c r="G76" s="111"/>
      <c r="H76" s="111"/>
    </row>
    <row r="77" spans="1:8" x14ac:dyDescent="0.25">
      <c r="A77" s="108" t="s">
        <v>79</v>
      </c>
      <c r="B77" s="108"/>
      <c r="C77" s="108"/>
      <c r="D77" s="108"/>
      <c r="E77" s="111" t="str">
        <f>VLOOKUP(D4,'Master Grade'!D18:AR42,40,FALSE) &amp; " " &amp; "Hari"</f>
        <v xml:space="preserve"> Hari</v>
      </c>
      <c r="F77" s="111"/>
      <c r="G77" s="111"/>
      <c r="H77" s="111"/>
    </row>
    <row r="78" spans="1:8" x14ac:dyDescent="0.25">
      <c r="A78" s="108" t="s">
        <v>78</v>
      </c>
      <c r="B78" s="108"/>
      <c r="C78" s="108"/>
      <c r="D78" s="108"/>
      <c r="E78" s="111" t="str">
        <f>VLOOKUP(D4,'Master Grade'!D18:AR42,41,FALSE) &amp; " " &amp; "Hari"</f>
        <v xml:space="preserve"> Hari</v>
      </c>
      <c r="F78" s="111"/>
      <c r="G78" s="111"/>
      <c r="H78" s="111"/>
    </row>
    <row r="79" spans="1:8" x14ac:dyDescent="0.25">
      <c r="H79" s="58"/>
    </row>
    <row r="81" spans="2:8" x14ac:dyDescent="0.25">
      <c r="G81" s="59" t="s">
        <v>117</v>
      </c>
      <c r="H81" s="60">
        <f>'Master Grade'!D12</f>
        <v>0</v>
      </c>
    </row>
    <row r="82" spans="2:8" ht="6" customHeight="1" x14ac:dyDescent="0.25"/>
    <row r="83" spans="2:8" x14ac:dyDescent="0.25">
      <c r="B83" s="54" t="s">
        <v>81</v>
      </c>
      <c r="C83" s="54"/>
      <c r="D83" s="54"/>
      <c r="E83" s="54" t="s">
        <v>83</v>
      </c>
      <c r="F83" s="54"/>
      <c r="G83" s="110" t="s">
        <v>84</v>
      </c>
      <c r="H83" s="110"/>
    </row>
    <row r="84" spans="2:8" x14ac:dyDescent="0.25">
      <c r="B84" s="54"/>
      <c r="C84" s="54"/>
      <c r="D84" s="54"/>
      <c r="E84" s="54"/>
      <c r="F84" s="54"/>
      <c r="G84" s="54"/>
      <c r="H84" s="54"/>
    </row>
    <row r="85" spans="2:8" x14ac:dyDescent="0.25">
      <c r="B85" s="54"/>
      <c r="C85" s="54"/>
      <c r="D85" s="54"/>
      <c r="E85" s="54"/>
      <c r="F85" s="54"/>
      <c r="G85" s="54"/>
      <c r="H85" s="54"/>
    </row>
    <row r="86" spans="2:8" x14ac:dyDescent="0.25">
      <c r="B86" s="54"/>
      <c r="C86" s="54"/>
      <c r="D86" s="54"/>
      <c r="E86" s="54"/>
      <c r="F86" s="54"/>
      <c r="G86" s="54"/>
      <c r="H86" s="54"/>
    </row>
    <row r="87" spans="2:8" x14ac:dyDescent="0.25">
      <c r="B87" s="54"/>
      <c r="C87" s="54"/>
      <c r="D87" s="54"/>
      <c r="E87" s="54"/>
      <c r="F87" s="54"/>
      <c r="G87" s="54"/>
      <c r="H87" s="54"/>
    </row>
    <row r="88" spans="2:8" x14ac:dyDescent="0.25">
      <c r="B88" s="54" t="s">
        <v>82</v>
      </c>
      <c r="C88" s="54"/>
      <c r="D88" s="54"/>
      <c r="E88" s="55" t="s">
        <v>85</v>
      </c>
      <c r="F88" s="55"/>
      <c r="G88" s="109">
        <f>'Master Grade'!D13</f>
        <v>0</v>
      </c>
      <c r="H88" s="109"/>
    </row>
  </sheetData>
  <sheetProtection selectLockedCells="1"/>
  <dataConsolidate/>
  <mergeCells count="59">
    <mergeCell ref="A20:A21"/>
    <mergeCell ref="B20:B21"/>
    <mergeCell ref="C20:E20"/>
    <mergeCell ref="F20:H20"/>
    <mergeCell ref="F4:G4"/>
    <mergeCell ref="F5:G5"/>
    <mergeCell ref="F6:G6"/>
    <mergeCell ref="A13:H13"/>
    <mergeCell ref="A14:B14"/>
    <mergeCell ref="C14:H14"/>
    <mergeCell ref="A15:B15"/>
    <mergeCell ref="C15:H15"/>
    <mergeCell ref="A2:H2"/>
    <mergeCell ref="A4:B4"/>
    <mergeCell ref="A5:B5"/>
    <mergeCell ref="A6:B6"/>
    <mergeCell ref="A7:B7"/>
    <mergeCell ref="D4:E4"/>
    <mergeCell ref="D5:E5"/>
    <mergeCell ref="D6:E6"/>
    <mergeCell ref="D7:E8"/>
    <mergeCell ref="B30:H30"/>
    <mergeCell ref="B31:B32"/>
    <mergeCell ref="C31:E31"/>
    <mergeCell ref="F31:H31"/>
    <mergeCell ref="A30:A32"/>
    <mergeCell ref="A48:H49"/>
    <mergeCell ref="E41:H41"/>
    <mergeCell ref="B41:D41"/>
    <mergeCell ref="B42:D42"/>
    <mergeCell ref="B43:D43"/>
    <mergeCell ref="E42:H42"/>
    <mergeCell ref="E43:H43"/>
    <mergeCell ref="B54:D54"/>
    <mergeCell ref="E54:H54"/>
    <mergeCell ref="B55:D55"/>
    <mergeCell ref="E55:H55"/>
    <mergeCell ref="B56:D56"/>
    <mergeCell ref="E56:H56"/>
    <mergeCell ref="B61:D61"/>
    <mergeCell ref="E61:H61"/>
    <mergeCell ref="B62:D62"/>
    <mergeCell ref="E62:H62"/>
    <mergeCell ref="B63:D63"/>
    <mergeCell ref="E63:H63"/>
    <mergeCell ref="B68:D68"/>
    <mergeCell ref="E68:H68"/>
    <mergeCell ref="B69:D69"/>
    <mergeCell ref="E69:H69"/>
    <mergeCell ref="B70:D70"/>
    <mergeCell ref="E70:H70"/>
    <mergeCell ref="A78:D78"/>
    <mergeCell ref="G88:H88"/>
    <mergeCell ref="G83:H83"/>
    <mergeCell ref="E76:H76"/>
    <mergeCell ref="E77:H77"/>
    <mergeCell ref="A76:D76"/>
    <mergeCell ref="A77:D77"/>
    <mergeCell ref="E78:H78"/>
  </mergeCells>
  <dataValidations count="1">
    <dataValidation type="list" allowBlank="1" showInputMessage="1" showErrorMessage="1" sqref="D4:E4">
      <formula1>siswa</formula1>
    </dataValidation>
  </dataValidations>
  <pageMargins left="0.20866141699999999" right="0.20866141699999999" top="0.74803149606299202" bottom="0.74803149606299202" header="0.31496062992126" footer="0.31496062992126"/>
  <pageSetup paperSize="9" orientation="portrait" verticalDpi="300" r:id="rId1"/>
  <headerFooter>
    <oddHeader>&amp;C&amp;G</oddHeader>
    <oddFooter>&amp;L&amp;10Nama Siswa/Kelas/Tahun Ajaran&amp;R&amp;P</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errorTitle="Kesalahan!" error="Silahkan pilih siswa dengan dropdown" promptTitle="Choose Student" prompt="Choose Student">
          <x14:formula1>
            <xm:f>'Master Student'!$I$8:$I$29</xm:f>
          </x14:formula1>
          <xm:sqref>D4:E4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D1" zoomScale="70" zoomScaleNormal="70" workbookViewId="0">
      <selection activeCell="G6" sqref="G6"/>
    </sheetView>
  </sheetViews>
  <sheetFormatPr defaultRowHeight="15" x14ac:dyDescent="0.25"/>
  <cols>
    <col min="1" max="1" width="5.42578125" style="70" customWidth="1"/>
    <col min="2" max="2" width="45" style="70" customWidth="1"/>
    <col min="3" max="10" width="37.140625" style="70" customWidth="1"/>
    <col min="11" max="16384" width="9.140625" style="70"/>
  </cols>
  <sheetData>
    <row r="1" spans="1:10" ht="30" customHeight="1" x14ac:dyDescent="0.25">
      <c r="A1" s="143" t="s">
        <v>148</v>
      </c>
      <c r="B1" s="143"/>
      <c r="C1" s="143"/>
      <c r="D1" s="143"/>
      <c r="E1" s="143"/>
      <c r="F1" s="143"/>
      <c r="G1" s="143"/>
    </row>
    <row r="2" spans="1:10" ht="30" customHeight="1" x14ac:dyDescent="0.25">
      <c r="A2" s="144" t="s">
        <v>17</v>
      </c>
      <c r="B2" s="144" t="s">
        <v>135</v>
      </c>
      <c r="C2" s="145" t="s">
        <v>136</v>
      </c>
      <c r="D2" s="145"/>
      <c r="E2" s="145"/>
      <c r="F2" s="145"/>
      <c r="G2" s="146" t="s">
        <v>137</v>
      </c>
      <c r="H2" s="146"/>
      <c r="I2" s="146"/>
      <c r="J2" s="146"/>
    </row>
    <row r="3" spans="1:10" ht="15.75" x14ac:dyDescent="0.25">
      <c r="A3" s="147"/>
      <c r="B3" s="147"/>
      <c r="C3" s="80" t="s">
        <v>138</v>
      </c>
      <c r="D3" s="80" t="s">
        <v>139</v>
      </c>
      <c r="E3" s="80" t="s">
        <v>140</v>
      </c>
      <c r="F3" s="80" t="s">
        <v>141</v>
      </c>
      <c r="G3" s="80" t="s">
        <v>138</v>
      </c>
      <c r="H3" s="80" t="s">
        <v>139</v>
      </c>
      <c r="I3" s="80" t="s">
        <v>140</v>
      </c>
      <c r="J3" s="80" t="s">
        <v>141</v>
      </c>
    </row>
    <row r="4" spans="1:10" ht="94.5" x14ac:dyDescent="0.25">
      <c r="A4" s="71">
        <v>1</v>
      </c>
      <c r="B4" s="72" t="s">
        <v>142</v>
      </c>
      <c r="C4" s="73" t="s">
        <v>149</v>
      </c>
      <c r="D4" s="73" t="s">
        <v>150</v>
      </c>
      <c r="E4" s="73" t="s">
        <v>151</v>
      </c>
      <c r="F4" s="73" t="s">
        <v>152</v>
      </c>
      <c r="G4" s="73" t="s">
        <v>153</v>
      </c>
      <c r="H4" s="73" t="s">
        <v>154</v>
      </c>
      <c r="I4" s="73" t="s">
        <v>155</v>
      </c>
      <c r="J4" s="73" t="s">
        <v>156</v>
      </c>
    </row>
    <row r="5" spans="1:10" ht="47.25" x14ac:dyDescent="0.25">
      <c r="A5" s="71">
        <v>2</v>
      </c>
      <c r="B5" s="72" t="s">
        <v>143</v>
      </c>
      <c r="C5" s="73" t="s">
        <v>157</v>
      </c>
      <c r="D5" s="73" t="s">
        <v>158</v>
      </c>
      <c r="E5" s="73" t="s">
        <v>159</v>
      </c>
      <c r="F5" s="73" t="s">
        <v>160</v>
      </c>
      <c r="G5" s="73" t="s">
        <v>161</v>
      </c>
      <c r="H5" s="73" t="s">
        <v>162</v>
      </c>
      <c r="I5" s="73" t="s">
        <v>163</v>
      </c>
      <c r="J5" s="73" t="s">
        <v>164</v>
      </c>
    </row>
    <row r="6" spans="1:10" ht="110.25" x14ac:dyDescent="0.25">
      <c r="A6" s="71">
        <v>3</v>
      </c>
      <c r="B6" s="72" t="s">
        <v>144</v>
      </c>
      <c r="C6" s="73" t="s">
        <v>165</v>
      </c>
      <c r="D6" s="73" t="s">
        <v>166</v>
      </c>
      <c r="E6" s="73" t="s">
        <v>167</v>
      </c>
      <c r="F6" s="73" t="s">
        <v>168</v>
      </c>
      <c r="G6" s="73" t="s">
        <v>169</v>
      </c>
      <c r="H6" s="73" t="s">
        <v>170</v>
      </c>
      <c r="I6" s="73" t="s">
        <v>171</v>
      </c>
      <c r="J6" s="73" t="s">
        <v>172</v>
      </c>
    </row>
    <row r="7" spans="1:10" ht="94.5" x14ac:dyDescent="0.25">
      <c r="A7" s="71">
        <v>4</v>
      </c>
      <c r="B7" s="72" t="s">
        <v>145</v>
      </c>
      <c r="C7" s="73" t="s">
        <v>173</v>
      </c>
      <c r="D7" s="73" t="s">
        <v>174</v>
      </c>
      <c r="E7" s="73" t="s">
        <v>175</v>
      </c>
      <c r="F7" s="73" t="s">
        <v>176</v>
      </c>
      <c r="G7" s="73" t="s">
        <v>177</v>
      </c>
      <c r="H7" s="73" t="s">
        <v>178</v>
      </c>
      <c r="I7" s="73" t="s">
        <v>179</v>
      </c>
      <c r="J7" s="73" t="s">
        <v>180</v>
      </c>
    </row>
    <row r="8" spans="1:10" ht="31.5" x14ac:dyDescent="0.25">
      <c r="A8" s="71">
        <v>5</v>
      </c>
      <c r="B8" s="72" t="s">
        <v>146</v>
      </c>
      <c r="C8" s="73"/>
      <c r="D8" s="73"/>
      <c r="E8" s="73"/>
      <c r="F8" s="73"/>
      <c r="G8" s="73"/>
      <c r="H8" s="73"/>
      <c r="I8" s="73"/>
      <c r="J8" s="73"/>
    </row>
    <row r="9" spans="1:10" ht="94.5" x14ac:dyDescent="0.25">
      <c r="A9" s="71">
        <v>6</v>
      </c>
      <c r="B9" s="74" t="s">
        <v>60</v>
      </c>
      <c r="C9" s="73" t="s">
        <v>181</v>
      </c>
      <c r="D9" s="73" t="s">
        <v>182</v>
      </c>
      <c r="E9" s="73" t="s">
        <v>183</v>
      </c>
      <c r="F9" s="73" t="s">
        <v>184</v>
      </c>
      <c r="G9" s="73" t="s">
        <v>185</v>
      </c>
      <c r="H9" s="73" t="s">
        <v>186</v>
      </c>
      <c r="I9" s="73" t="s">
        <v>187</v>
      </c>
      <c r="J9" s="73" t="s">
        <v>188</v>
      </c>
    </row>
    <row r="10" spans="1:10" ht="157.5" x14ac:dyDescent="0.25">
      <c r="A10" s="71">
        <v>7</v>
      </c>
      <c r="B10" s="75" t="s">
        <v>27</v>
      </c>
      <c r="C10" s="73" t="s">
        <v>189</v>
      </c>
      <c r="D10" s="73" t="s">
        <v>190</v>
      </c>
      <c r="E10" s="73" t="s">
        <v>191</v>
      </c>
      <c r="F10" s="73" t="s">
        <v>192</v>
      </c>
      <c r="G10" s="73" t="s">
        <v>193</v>
      </c>
      <c r="H10" s="73" t="s">
        <v>194</v>
      </c>
      <c r="I10" s="73" t="s">
        <v>195</v>
      </c>
      <c r="J10" s="73" t="s">
        <v>196</v>
      </c>
    </row>
    <row r="11" spans="1:10" ht="141.75" x14ac:dyDescent="0.25">
      <c r="A11" s="71">
        <v>8</v>
      </c>
      <c r="B11" s="75" t="s">
        <v>28</v>
      </c>
      <c r="C11" s="73" t="s">
        <v>197</v>
      </c>
      <c r="D11" s="73" t="s">
        <v>198</v>
      </c>
      <c r="E11" s="73" t="s">
        <v>199</v>
      </c>
      <c r="F11" s="73" t="s">
        <v>200</v>
      </c>
      <c r="G11" s="73" t="s">
        <v>201</v>
      </c>
      <c r="H11" s="73" t="s">
        <v>202</v>
      </c>
      <c r="I11" s="73" t="s">
        <v>203</v>
      </c>
      <c r="J11" s="73" t="s">
        <v>204</v>
      </c>
    </row>
    <row r="12" spans="1:10" ht="78.75" x14ac:dyDescent="0.25">
      <c r="A12" s="71">
        <v>9</v>
      </c>
      <c r="B12" s="75" t="s">
        <v>29</v>
      </c>
      <c r="C12" s="73" t="s">
        <v>205</v>
      </c>
      <c r="D12" s="73" t="s">
        <v>206</v>
      </c>
      <c r="E12" s="73" t="s">
        <v>207</v>
      </c>
      <c r="F12" s="73" t="s">
        <v>208</v>
      </c>
      <c r="G12" s="73" t="s">
        <v>209</v>
      </c>
      <c r="H12" s="73" t="s">
        <v>210</v>
      </c>
      <c r="I12" s="73" t="s">
        <v>211</v>
      </c>
      <c r="J12" s="73" t="s">
        <v>212</v>
      </c>
    </row>
    <row r="13" spans="1:10" ht="126" x14ac:dyDescent="0.25">
      <c r="A13" s="71">
        <v>10</v>
      </c>
      <c r="B13" s="75" t="s">
        <v>30</v>
      </c>
      <c r="C13" s="73" t="s">
        <v>213</v>
      </c>
      <c r="D13" s="73" t="s">
        <v>214</v>
      </c>
      <c r="E13" s="73" t="s">
        <v>215</v>
      </c>
      <c r="F13" s="73" t="s">
        <v>216</v>
      </c>
      <c r="G13" s="73" t="s">
        <v>217</v>
      </c>
      <c r="H13" s="73" t="s">
        <v>218</v>
      </c>
      <c r="I13" s="73" t="s">
        <v>219</v>
      </c>
      <c r="J13" s="73" t="s">
        <v>220</v>
      </c>
    </row>
    <row r="14" spans="1:10" ht="94.5" x14ac:dyDescent="0.25">
      <c r="A14" s="71">
        <v>11</v>
      </c>
      <c r="B14" s="72" t="s">
        <v>31</v>
      </c>
      <c r="C14" s="73" t="s">
        <v>221</v>
      </c>
      <c r="D14" s="73" t="s">
        <v>222</v>
      </c>
      <c r="E14" s="73" t="s">
        <v>223</v>
      </c>
      <c r="F14" s="73" t="s">
        <v>224</v>
      </c>
      <c r="G14" s="73" t="s">
        <v>225</v>
      </c>
      <c r="H14" s="73" t="s">
        <v>226</v>
      </c>
      <c r="I14" s="73" t="s">
        <v>227</v>
      </c>
      <c r="J14" s="73" t="s">
        <v>228</v>
      </c>
    </row>
    <row r="15" spans="1:10" ht="126" x14ac:dyDescent="0.25">
      <c r="A15" s="71">
        <v>12</v>
      </c>
      <c r="B15" s="75" t="s">
        <v>32</v>
      </c>
      <c r="C15" s="73" t="s">
        <v>229</v>
      </c>
      <c r="D15" s="73" t="s">
        <v>230</v>
      </c>
      <c r="E15" s="73" t="s">
        <v>231</v>
      </c>
      <c r="F15" s="73" t="s">
        <v>232</v>
      </c>
      <c r="G15" s="73" t="s">
        <v>233</v>
      </c>
      <c r="H15" s="73" t="s">
        <v>234</v>
      </c>
      <c r="I15" s="73" t="s">
        <v>235</v>
      </c>
      <c r="J15" s="73" t="s">
        <v>236</v>
      </c>
    </row>
    <row r="16" spans="1:10" ht="94.5" x14ac:dyDescent="0.25">
      <c r="A16" s="71">
        <v>13</v>
      </c>
      <c r="B16" s="72" t="s">
        <v>33</v>
      </c>
      <c r="C16" s="73" t="s">
        <v>237</v>
      </c>
      <c r="D16" s="73" t="s">
        <v>238</v>
      </c>
      <c r="E16" s="73" t="s">
        <v>239</v>
      </c>
      <c r="F16" s="73" t="s">
        <v>240</v>
      </c>
      <c r="G16" s="73" t="s">
        <v>241</v>
      </c>
      <c r="H16" s="73" t="s">
        <v>242</v>
      </c>
      <c r="I16" s="73" t="s">
        <v>243</v>
      </c>
      <c r="J16" s="73" t="s">
        <v>244</v>
      </c>
    </row>
    <row r="17" spans="1:10" ht="94.5" x14ac:dyDescent="0.25">
      <c r="A17" s="71">
        <v>14</v>
      </c>
      <c r="B17" s="75" t="s">
        <v>34</v>
      </c>
      <c r="C17" s="73" t="s">
        <v>245</v>
      </c>
      <c r="D17" s="73" t="s">
        <v>246</v>
      </c>
      <c r="E17" s="73" t="s">
        <v>247</v>
      </c>
      <c r="F17" s="73" t="s">
        <v>248</v>
      </c>
      <c r="G17" s="73" t="s">
        <v>249</v>
      </c>
      <c r="H17" s="73" t="s">
        <v>250</v>
      </c>
      <c r="I17" s="73" t="s">
        <v>251</v>
      </c>
      <c r="J17" s="73" t="s">
        <v>252</v>
      </c>
    </row>
    <row r="18" spans="1:10" ht="141.75" x14ac:dyDescent="0.25">
      <c r="A18" s="71">
        <v>15</v>
      </c>
      <c r="B18" s="76" t="s">
        <v>100</v>
      </c>
      <c r="C18" s="73" t="s">
        <v>253</v>
      </c>
      <c r="D18" s="73" t="s">
        <v>254</v>
      </c>
      <c r="E18" s="73" t="s">
        <v>255</v>
      </c>
      <c r="F18" s="73" t="s">
        <v>256</v>
      </c>
      <c r="G18" s="73" t="s">
        <v>257</v>
      </c>
      <c r="H18" s="73" t="s">
        <v>258</v>
      </c>
      <c r="I18" s="73" t="s">
        <v>259</v>
      </c>
      <c r="J18" s="73" t="s">
        <v>260</v>
      </c>
    </row>
  </sheetData>
  <mergeCells count="5">
    <mergeCell ref="A1:G1"/>
    <mergeCell ref="A2:A3"/>
    <mergeCell ref="B2:B3"/>
    <mergeCell ref="C2:F2"/>
    <mergeCell ref="G2:J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Dashboard</vt:lpstr>
      <vt:lpstr>Master Student</vt:lpstr>
      <vt:lpstr>Master Subject</vt:lpstr>
      <vt:lpstr>Master Data</vt:lpstr>
      <vt:lpstr>Master Grade</vt:lpstr>
      <vt:lpstr>Final Report</vt:lpstr>
      <vt:lpstr>Kompetensi Dasar</vt:lpstr>
      <vt:lpstr>Kg</vt:lpstr>
      <vt:lpstr>siswa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2020-12-17T14:04:44Z</cp:lastPrinted>
  <dcterms:created xsi:type="dcterms:W3CDTF">2019-12-18T01:28:00Z</dcterms:created>
  <dcterms:modified xsi:type="dcterms:W3CDTF">2020-12-17T15:47:03Z</dcterms:modified>
</cp:coreProperties>
</file>