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G:\PBS_K13_Report_Version_1_1\"/>
    </mc:Choice>
  </mc:AlternateContent>
  <bookViews>
    <workbookView xWindow="0" yWindow="0" windowWidth="20490" windowHeight="8040" tabRatio="818" activeTab="5"/>
  </bookViews>
  <sheets>
    <sheet name="Dashboard" sheetId="7" r:id="rId1"/>
    <sheet name="Master Student" sheetId="3" r:id="rId2"/>
    <sheet name="Master Subject" sheetId="6" r:id="rId3"/>
    <sheet name="Master Data" sheetId="8" r:id="rId4"/>
    <sheet name="Master Grade" sheetId="4" r:id="rId5"/>
    <sheet name="Final Report" sheetId="2" r:id="rId6"/>
    <sheet name="Kompetensi Dasar" sheetId="9" r:id="rId7"/>
  </sheets>
  <definedNames>
    <definedName name="Kg">'Final Report'!$E$55</definedName>
    <definedName name="siswa">'Master Student'!$I$8:$I$32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2" l="1"/>
  <c r="D5" i="2"/>
  <c r="H80" i="2"/>
  <c r="C40" i="4" l="1"/>
  <c r="D40" i="4" s="1"/>
  <c r="C41" i="4"/>
  <c r="D41" i="4" s="1"/>
  <c r="C42" i="4"/>
  <c r="D42" i="4" s="1"/>
  <c r="G87" i="2"/>
  <c r="B32" i="2"/>
  <c r="H6" i="2" l="1"/>
  <c r="H5" i="2"/>
  <c r="H4" i="2"/>
  <c r="B23" i="2" l="1"/>
  <c r="B24" i="2"/>
  <c r="B25" i="2"/>
  <c r="B26" i="2"/>
  <c r="B27" i="2"/>
  <c r="B33" i="2"/>
  <c r="B34" i="2"/>
  <c r="B22" i="2"/>
  <c r="C39" i="4" l="1"/>
  <c r="D39" i="4" s="1"/>
  <c r="C38" i="4"/>
  <c r="D38" i="4" s="1"/>
  <c r="C37" i="4"/>
  <c r="D37" i="4" s="1"/>
  <c r="C36" i="4"/>
  <c r="D36" i="4" s="1"/>
  <c r="C35" i="4"/>
  <c r="D35" i="4" s="1"/>
  <c r="C34" i="4"/>
  <c r="D34" i="4" s="1"/>
  <c r="C33" i="4"/>
  <c r="D33" i="4" s="1"/>
  <c r="C32" i="4"/>
  <c r="D32" i="4" s="1"/>
  <c r="C31" i="4"/>
  <c r="D31" i="4" s="1"/>
  <c r="C30" i="4"/>
  <c r="D30" i="4" s="1"/>
  <c r="C29" i="4"/>
  <c r="D29" i="4" s="1"/>
  <c r="C28" i="4"/>
  <c r="D28" i="4" s="1"/>
  <c r="C27" i="4"/>
  <c r="D27" i="4" s="1"/>
  <c r="C26" i="4"/>
  <c r="D26" i="4" s="1"/>
  <c r="C25" i="4"/>
  <c r="D25" i="4" s="1"/>
  <c r="C24" i="4"/>
  <c r="D24" i="4" s="1"/>
  <c r="C23" i="4"/>
  <c r="D23" i="4" s="1"/>
  <c r="C22" i="4"/>
  <c r="D22" i="4" s="1"/>
  <c r="C21" i="4"/>
  <c r="D21" i="4" s="1"/>
  <c r="C20" i="4"/>
  <c r="D20" i="4" s="1"/>
  <c r="C19" i="4"/>
  <c r="D19" i="4" s="1"/>
  <c r="C18" i="4"/>
  <c r="D18" i="4" s="1"/>
  <c r="F22" i="2" l="1"/>
  <c r="C14" i="2"/>
  <c r="C33" i="2"/>
  <c r="F27" i="2"/>
  <c r="C25" i="2"/>
  <c r="C23" i="2"/>
  <c r="C27" i="2"/>
  <c r="F25" i="2"/>
  <c r="F23" i="2"/>
  <c r="F33" i="2"/>
  <c r="C34" i="2"/>
  <c r="F34" i="2"/>
  <c r="C32" i="2"/>
  <c r="D32" i="2" s="1"/>
  <c r="F26" i="2"/>
  <c r="F24" i="2"/>
  <c r="F32" i="2"/>
  <c r="C26" i="2"/>
  <c r="C24" i="2"/>
  <c r="C22" i="2"/>
  <c r="E22" i="2" s="1"/>
  <c r="E77" i="2"/>
  <c r="E75" i="2"/>
  <c r="B70" i="2"/>
  <c r="B69" i="2"/>
  <c r="E62" i="2"/>
  <c r="E55" i="2"/>
  <c r="E42" i="2"/>
  <c r="E41" i="2"/>
  <c r="C15" i="2"/>
  <c r="E76" i="2"/>
  <c r="E70" i="2"/>
  <c r="E69" i="2"/>
  <c r="E63" i="2"/>
  <c r="E56" i="2"/>
  <c r="A48" i="2"/>
  <c r="B42" i="2"/>
  <c r="B41" i="2"/>
  <c r="D34" i="2" l="1"/>
  <c r="E34" i="2"/>
  <c r="D33" i="2"/>
  <c r="E33" i="2"/>
  <c r="H33" i="2"/>
  <c r="G33" i="2"/>
  <c r="G32" i="2"/>
  <c r="H32" i="2"/>
  <c r="G25" i="2"/>
  <c r="H25" i="2"/>
  <c r="G24" i="2"/>
  <c r="H24" i="2"/>
  <c r="E27" i="2"/>
  <c r="E32" i="2"/>
  <c r="D27" i="2"/>
  <c r="H26" i="2"/>
  <c r="G26" i="2"/>
  <c r="D25" i="2"/>
  <c r="E25" i="2"/>
  <c r="H34" i="2"/>
  <c r="G34" i="2"/>
  <c r="H27" i="2"/>
  <c r="G27" i="2"/>
  <c r="D24" i="2"/>
  <c r="E24" i="2"/>
  <c r="D26" i="2"/>
  <c r="E26" i="2"/>
  <c r="G23" i="2"/>
  <c r="H23" i="2"/>
  <c r="G22" i="2"/>
  <c r="H22" i="2"/>
  <c r="E23" i="2"/>
  <c r="D23" i="2"/>
  <c r="D22" i="2"/>
</calcChain>
</file>

<file path=xl/sharedStrings.xml><?xml version="1.0" encoding="utf-8"?>
<sst xmlns="http://schemas.openxmlformats.org/spreadsheetml/2006/main" count="376" uniqueCount="248">
  <si>
    <t>STUDENT'S NAME</t>
  </si>
  <si>
    <t>#</t>
  </si>
  <si>
    <t>MASTER STUDENT</t>
  </si>
  <si>
    <t>AGAMA</t>
  </si>
  <si>
    <t>PPKN</t>
  </si>
  <si>
    <t>B.INDO</t>
  </si>
  <si>
    <t>MATH</t>
  </si>
  <si>
    <t>ART</t>
  </si>
  <si>
    <t>HE</t>
  </si>
  <si>
    <t>MANDARIN</t>
  </si>
  <si>
    <t>ENGLISH</t>
  </si>
  <si>
    <t>ICT</t>
  </si>
  <si>
    <t>Con</t>
  </si>
  <si>
    <t>Pra</t>
  </si>
  <si>
    <t>MASTER GRADE</t>
  </si>
  <si>
    <t>No</t>
  </si>
  <si>
    <t>Muatan Pelajaran</t>
  </si>
  <si>
    <t>Pengetahuan</t>
  </si>
  <si>
    <t>Keterampilan</t>
  </si>
  <si>
    <t>Nilai</t>
  </si>
  <si>
    <t>Predikat</t>
  </si>
  <si>
    <t>Deskripsi</t>
  </si>
  <si>
    <t>RAPOR PESERTA DIDIK DAN PROFIL PESERTA DIDIK</t>
  </si>
  <si>
    <t>MASTER SUBJECT</t>
  </si>
  <si>
    <t>SUBJECT</t>
  </si>
  <si>
    <t>Bahasa Indonesia</t>
  </si>
  <si>
    <t>Matematika</t>
  </si>
  <si>
    <t>Seni Budaya dan Prakarya</t>
  </si>
  <si>
    <t>Pendidikan Jasmani, Olahraga, dan Kesehatan</t>
  </si>
  <si>
    <t>Bahasa Mandarin</t>
  </si>
  <si>
    <t>Bahasa Inggris</t>
  </si>
  <si>
    <t>Nama Peserta Didik</t>
  </si>
  <si>
    <t>:</t>
  </si>
  <si>
    <t>NISN/NIS</t>
  </si>
  <si>
    <t>Nama Sekolah</t>
  </si>
  <si>
    <t>Alamat Sekolah</t>
  </si>
  <si>
    <t>SDS Peachblossoms</t>
  </si>
  <si>
    <t xml:space="preserve">Kota Harapan Indah RV 2 No.9, Tarumajaya - Bekasi
</t>
  </si>
  <si>
    <t>Kelas</t>
  </si>
  <si>
    <t>Semester</t>
  </si>
  <si>
    <t>Tahun Ajaran</t>
  </si>
  <si>
    <t>1 (Satu)</t>
  </si>
  <si>
    <t>2019/2020</t>
  </si>
  <si>
    <t>NO</t>
  </si>
  <si>
    <t>MASTER SEMESTER</t>
  </si>
  <si>
    <t>SEMESTER</t>
  </si>
  <si>
    <t>MASTER TAHUN AJARAN</t>
  </si>
  <si>
    <t>TAHUN AJARAN</t>
  </si>
  <si>
    <t>2020/2021</t>
  </si>
  <si>
    <t>2021/2022</t>
  </si>
  <si>
    <t>2022/2023</t>
  </si>
  <si>
    <t>2023/2024</t>
  </si>
  <si>
    <t>2024/2025</t>
  </si>
  <si>
    <t>2025/2026</t>
  </si>
  <si>
    <t>2026/2027</t>
  </si>
  <si>
    <t>2027/2028</t>
  </si>
  <si>
    <t>Pendidikan Pancasila dan Kewarganegaraan</t>
  </si>
  <si>
    <t>Muatan Lokal</t>
  </si>
  <si>
    <t>A.</t>
  </si>
  <si>
    <t>SIKAP</t>
  </si>
  <si>
    <t>1. Sikap Spiritual</t>
  </si>
  <si>
    <t>2. Sikap Sosial</t>
  </si>
  <si>
    <t>B.</t>
  </si>
  <si>
    <t>PENGETAHUAN DAN KETERAMPILAN</t>
  </si>
  <si>
    <t>Keterangan</t>
  </si>
  <si>
    <t>C.</t>
  </si>
  <si>
    <t>D.</t>
  </si>
  <si>
    <t>Aspek yang dinilai</t>
  </si>
  <si>
    <t>Berat Badan</t>
  </si>
  <si>
    <t>Tinggi Badan</t>
  </si>
  <si>
    <t>Pendengaran</t>
  </si>
  <si>
    <t>Penglihatan</t>
  </si>
  <si>
    <t>PRESTASI</t>
  </si>
  <si>
    <t>KETIDAKHADIRAN</t>
  </si>
  <si>
    <t>Tanpa Keterangan</t>
  </si>
  <si>
    <t>Izin</t>
  </si>
  <si>
    <t>Sakit</t>
  </si>
  <si>
    <t>Orangtua Siswa</t>
  </si>
  <si>
    <t>______________</t>
  </si>
  <si>
    <t>Kepala Sekolah</t>
  </si>
  <si>
    <t>Wali Kelas</t>
  </si>
  <si>
    <t>Agus R. Wibowo</t>
  </si>
  <si>
    <t>SARAN-SARAN</t>
  </si>
  <si>
    <t>TINGGI DAN BERAT BADAN</t>
  </si>
  <si>
    <t>EKSTRA KURIKULER</t>
  </si>
  <si>
    <t>KONDISI KESEHATAN</t>
  </si>
  <si>
    <t>F.</t>
  </si>
  <si>
    <t>E.</t>
  </si>
  <si>
    <t>G.</t>
  </si>
  <si>
    <t>H.</t>
  </si>
  <si>
    <t>Aspek Fisik</t>
  </si>
  <si>
    <t>Jenis Prestasi</t>
  </si>
  <si>
    <t>Tanggal Input</t>
  </si>
  <si>
    <t>MASTER DATA</t>
  </si>
  <si>
    <t>SIKAP SPIRITUAL</t>
  </si>
  <si>
    <t>SIKAP SOSIAL</t>
  </si>
  <si>
    <t>EKSTRA KURIKULER 1</t>
  </si>
  <si>
    <t>EKSTRA KURIKULER 2</t>
  </si>
  <si>
    <t>KEGIATAN</t>
  </si>
  <si>
    <t>KETERANGAN</t>
  </si>
  <si>
    <t>BERAT (Kg)</t>
  </si>
  <si>
    <t>BERAT &amp; TINGGI</t>
  </si>
  <si>
    <t>JENIS PRESTASI</t>
  </si>
  <si>
    <t>SAKIT</t>
  </si>
  <si>
    <t>IZIN</t>
  </si>
  <si>
    <t>TANPA KET.</t>
  </si>
  <si>
    <t>PENDENGARAN</t>
  </si>
  <si>
    <t>PENGLIHATAN</t>
  </si>
  <si>
    <t>PRESTASI 1</t>
  </si>
  <si>
    <t>PRESTASI 2</t>
  </si>
  <si>
    <t xml:space="preserve">Bekasi, </t>
  </si>
  <si>
    <t>2028/2029</t>
  </si>
  <si>
    <t>TINGGI (Cm)</t>
  </si>
  <si>
    <t>Kelas (Lower)</t>
  </si>
  <si>
    <t>I (Satu)</t>
  </si>
  <si>
    <t>II (Dua)</t>
  </si>
  <si>
    <t>Pendidikan Agama dan Budi Pekerti</t>
  </si>
  <si>
    <t>EKSTRAKURIKULER</t>
  </si>
  <si>
    <t>Kegiatan Ekstrakurikuler</t>
  </si>
  <si>
    <t>menerima keberagaman karakteristik individu dalam kehidupan beragama sebagai anugerah Tuhan Yang Maha Esa di lingkungan rumah dan sekolah</t>
  </si>
  <si>
    <t>menunjukkan perilaku jujur, disiplin, tanggung  jawab, santun, peduli, dan percaya diri dalam berinteraksi dengan keluarga, teman, dan guru sebagai perwujudan nilai dan moral Pancasila</t>
  </si>
  <si>
    <t>RELIGION</t>
  </si>
  <si>
    <t>Buddha</t>
  </si>
  <si>
    <t>Islam</t>
  </si>
  <si>
    <t>Kristen</t>
  </si>
  <si>
    <t>Mampu</t>
  </si>
  <si>
    <t>Kelas I</t>
  </si>
  <si>
    <t>Mata Pelajaran</t>
  </si>
  <si>
    <t>KD Pengetahuan</t>
  </si>
  <si>
    <t>KD Keterampilan</t>
  </si>
  <si>
    <t>Sangat Mampu</t>
  </si>
  <si>
    <t>Cukup Mampu</t>
  </si>
  <si>
    <t>Tidak Mampu</t>
  </si>
  <si>
    <t>Pendidikan Agama Islam dan Budi Pekerti</t>
  </si>
  <si>
    <t>Pendidikan Agama Kristen dan Budi Pekerti</t>
  </si>
  <si>
    <t>Pendidikan Agama Katolik dan Budi Pekerti</t>
  </si>
  <si>
    <t>Pendidikan Agama Buddha dan Budi Pekerti</t>
  </si>
  <si>
    <t>Informatika</t>
  </si>
  <si>
    <t>Siswa sangat mampu mengenal makna dua kalimat syahadat sebagai bagian dari rukun Islam yang pertama</t>
  </si>
  <si>
    <t>Siswa mampu mengenal makna dua kalimat syahadat sebagai bagian dari rukun Islam yang pertama</t>
  </si>
  <si>
    <t>Siswa cukup mampu mengenal makna dua kalimat syahadat sebagai bagian dari rukun Islam yang pertama</t>
  </si>
  <si>
    <t>Siswa tidak mampu mengenal makna dua kalimat syahadat sebagai bagian dari rukun Islam yang pertama</t>
  </si>
  <si>
    <t>Siswa sangat mampu menerima dan mensyukuri alam ciptaan Allah melalui doa, permainan, nyanyian dan tindakan sederhana.</t>
  </si>
  <si>
    <t>Katolik</t>
  </si>
  <si>
    <t>Hindu</t>
  </si>
  <si>
    <t>Siswa sangat mampu melafalkan dua kalimat syahadat sebagai bagian dari rukun Islam yang pertama dengan jelas</t>
  </si>
  <si>
    <t>Siswa mampu melafalkan dua kalimat syahadat sebagai bagian dari rukun Islam yang pertama dengan jelas</t>
  </si>
  <si>
    <t>Siswa cukup mampu melafalkan dua kalimat syahadat sebagai bagian dari rukun Islam yang pertama dengan jelas</t>
  </si>
  <si>
    <t>Siswa tidak mampu melafalkan dua kalimat syahadat sebagai bagian dari rukun Islam yang pertama dengan jelas</t>
  </si>
  <si>
    <t>Siswa mampu menerima dan mensyukuri alam ciptaan Allah melalui doa, permainan, nyanyian dan tindakan sederhana.</t>
  </si>
  <si>
    <t>Siswa cukup mampu menerima dan mensyukuri alam ciptaan Allah melalui doa, permainan, nyanyian dan tindakan sederhana.</t>
  </si>
  <si>
    <t>Siswa tidak mampu menerima dan mensyukuri alam ciptaan Allah melalui doa, permainan, nyanyian dan tindakan sederhana.</t>
  </si>
  <si>
    <t>Siswa sangat mampu membuat karya sederhana yang menunjukan bertanggung jawab terhadap dirinya sebagai ciptaan Allah</t>
  </si>
  <si>
    <t>Siswa mampu membuat karya sederhana yang menunjukan bertanggung jawab terhadap dirinya sebagai ciptaan Allah</t>
  </si>
  <si>
    <t>Siswa cukup mampu membuat karya sederhana yang menunjukan bertanggung jawab terhadap dirinya sebagai ciptaan Allah</t>
  </si>
  <si>
    <t>Siswa tidak mampu membuat karya sederhana yang menunjukan bertanggung jawab terhadap dirinya sebagai ciptaan Allah</t>
  </si>
  <si>
    <t xml:space="preserve">Siswa sangat mampu memahami lingkungan  rumah dan sekolah sebagai tempat bertumbuh dan berkembang  </t>
  </si>
  <si>
    <t xml:space="preserve">Siswa mampu memahami lingkungan  rumah dan sekolah sebagai tempat bertumbuh dan berkembang  </t>
  </si>
  <si>
    <t xml:space="preserve">Siswa cukup mampu memahami lingkungan  rumah dan sekolah sebagai tempat bertumbuh dan berkembang  </t>
  </si>
  <si>
    <t xml:space="preserve">Siswa tidak mampu memahami lingkungan  rumah dan sekolah sebagai tempat bertumbuh dan berkembang  </t>
  </si>
  <si>
    <t>Siswa sangat mampu melakukan aktivitas memelihara lingkungan rumah sebagai tempat bertumbuh dan berkembang</t>
  </si>
  <si>
    <t>Siswa mampu melakukan aktivitas memelihara lingkungan rumah sebagai tempat bertumbuh dan berkembang</t>
  </si>
  <si>
    <t>Siswa cukup mampu melakukan aktivitas memelihara lingkungan rumah sebagai tempat bertumbuh dan berkembang</t>
  </si>
  <si>
    <t>Siswa tidak mampu melakukan aktivitas memelihara lingkungan rumah sebagai tempat bertumbuh dan berkembang</t>
  </si>
  <si>
    <t>Siswa sangat mampu mengenal doa sebelum dan sesudah melakukan kegiatan sehari-hari</t>
  </si>
  <si>
    <t>Siswa mampu mengenal doa sebelum dan sesudah melakukan kegiatan sehari-hari</t>
  </si>
  <si>
    <t>Siswa cukup mampu mengenal doa sebelum dan sesudah melakukan kegiatan sehari-hari</t>
  </si>
  <si>
    <t>Siswa tidak mampu mengenal doa sebelum dan sesudah melakukan kegiatan sehari-hari</t>
  </si>
  <si>
    <t>Siswa sangat mampu menunjukkan prilaku bertanggung jawab untuk berdoa sebelum dan sesudah melakukan kegiatan sehari-hari</t>
  </si>
  <si>
    <t>Siswa mampu menunjukkan prilaku bertanggung jawab untuk berdoa sebelum dan sesudah melakukan kegiatan sehari-hari</t>
  </si>
  <si>
    <t>Siswa cukup mampu menunjukkan prilaku bertanggung jawab untuk berdoa sebelum dan sesudah melakukan kegiatan sehari-hari</t>
  </si>
  <si>
    <t>Siswa tidak mampu menunjukkan prilaku bertanggung jawab untuk berdoa sebelum dan sesudah melakukan kegiatan sehari-hari</t>
  </si>
  <si>
    <t>Pendidikan Agama Hindu dan Budi Pekerti</t>
  </si>
  <si>
    <t>Siswa sangat mampu mengamati jenis-jenis ciptaan Sang Hyang
Widhi</t>
  </si>
  <si>
    <t>Siswa mampu mengamati jenis-jenis ciptaan Sang Hyang
Widhi</t>
  </si>
  <si>
    <t>Siswa cukup mampu mengamati jenis-jenis ciptaan Sang Hyang
Widhi</t>
  </si>
  <si>
    <t>Siswa tidak mampu mengamati jenis-jenis ciptaan Sang Hyang
Widhi</t>
  </si>
  <si>
    <t>Siswa sangat mampu melafalkan lagu keagamaan Hindu</t>
  </si>
  <si>
    <t>Siswa mampu melafalkan lagu keagamaan Hindu</t>
  </si>
  <si>
    <t>Siswa cukup mampu melafalkan lagu keagamaan Hindu</t>
  </si>
  <si>
    <t>Siswa tidak mampu melafalkan lagu keagamaan Hindu</t>
  </si>
  <si>
    <t>Siswa sangat mampu mengenal simbol-simbol sila Pancasila dalam lambang negara “Garuda Pancasila”</t>
  </si>
  <si>
    <t>Siswa mampu mengenal simbol-simbol sila Pancasila dalam lambang negara “Garuda Pancasila”</t>
  </si>
  <si>
    <t>Siswa cukup mampu mengenal simbol-simbol sila Pancasila dalam lambang negara “Garuda Pancasila”</t>
  </si>
  <si>
    <t>Siswa tidak mampu mengenal simbol-simbol sila Pancasila dalam lambang negara “Garuda Pancasila”</t>
  </si>
  <si>
    <t>Siswa sangat mampu mengamati dan menceritakan perilaku di sekitar rumah dan sekolah dan mengaitkannya dengan pengenalannya terhadap salah satu simbol sila Pancasila</t>
  </si>
  <si>
    <t>Siswa mampu mengamati dan menceritakan perilaku di sekitar rumah dan sekolah dan mengaitkannya dengan pengenalannya terhadap salah satu simbol sila Pancasila</t>
  </si>
  <si>
    <t>Siswa cukup mampu mengamati dan menceritakan perilaku di sekitar rumah dan sekolah dan mengaitkannya dengan pengenalannya terhadap salah satu simbol sila Pancasila</t>
  </si>
  <si>
    <t xml:space="preserve">Siswa sangat mampu mengenal teks deskriptif tentang anggota tubuh dan pancaindra serta peristiwa siang dan malam dengan bantuan guru atau teman dalam bahasa Indonesia lisan dan tulis yang dapat diisi dengan kosakata bahasa daerah untuk membantu pemahaman
</t>
  </si>
  <si>
    <t xml:space="preserve">Siswa mampu mengenal teks deskriptif tentang anggota tubuh dan pancaindra serta peristiwa siang dan malam dengan bantuan guru atau teman dalam bahasa Indonesia lisan dan tulis yang dapat diisi dengan kosakata bahasa daerah untuk membantu pemahaman
</t>
  </si>
  <si>
    <t xml:space="preserve">Siswa cukup mampu mengenal teks deskriptif tentang anggota tubuh dan pancaindra serta peristiwa siang dan malam dengan bantuan guru atau teman dalam bahasa Indonesia lisan dan tulis yang dapat diisi dengan kosakata bahasa daerah untuk membantu pemahaman
</t>
  </si>
  <si>
    <t xml:space="preserve">Siswa tidak mampu mengenal teks deskriptif tentang anggota tubuh dan pancaindra serta peristiwa siang dan malam dengan bantuan guru atau teman dalam bahasa Indonesia lisan dan tulis yang dapat diisi dengan kosakata bahasa daerah untuk membantu pemahaman
</t>
  </si>
  <si>
    <t xml:space="preserve">Siswa sangat mampu membuat teks deskriptif tentang anggota tubuh dan pancaindra serta peristiwa siang dan malam dengan bantuan guru atau teman dalam bahasa Indonesia lisan dan tulis yang dapat diisi dengan kosakata bahasa daerah untuk membantu pemahaman
</t>
  </si>
  <si>
    <t xml:space="preserve">Siswa mampu membuat teks deskriptif tentang anggota tubuh dan pancaindra serta peristiwa siang dan malam dengan bantuan guru atau teman dalam bahasa Indonesia lisan dan tulis yang dapat diisi dengan kosakata bahasa daerah untuk membantu pemahaman
</t>
  </si>
  <si>
    <t xml:space="preserve">Siswa cukup mampu membuat teks deskriptif tentang anggota tubuh dan pancaindra serta peristiwa siang dan malam dengan bantuan guru atau teman dalam bahasa Indonesia lisan dan tulis yang dapat diisi dengan kosakata bahasa daerah untuk membantu pemahaman
</t>
  </si>
  <si>
    <t xml:space="preserve">Siswa tidak mampu membuat teks deskriptif tentang anggota tubuh dan pancaindra serta peristiwa siang dan malam dengan bantuan guru atau teman dalam bahasa Indonesia lisan dan tulis yang dapat diisi dengan kosakata bahasa daerah untuk membantu pemahaman
</t>
  </si>
  <si>
    <t>Siswa sangat mampu membandingkan dan mengurutkan dengan memperkirakan panjang suatu benda menggunakan istilah sehari-hari (lebih panjang, lebih pendek) serta menunjukkan pemahaman tentang besaran sampai bilangan asli dan hitung mundur dari 20.</t>
  </si>
  <si>
    <t>Siswa mampu membandingkan dan mengurutkan dengan memperkirakan panjang suatu benda menggunakan istilah sehari-hari (lebih panjang, lebih pendek) serta menunjukkan pemahaman tentang besaran sampai bilangan asli dan hitung mundur dari 20.</t>
  </si>
  <si>
    <t>Siswa cukup mampu membandingkan dan mengurutkan dengan memperkirakan panjang suatu benda menggunakan istilah sehari-hari (lebih panjang, lebih pendek) serta menunjukkan pemahaman tentang besaran sampai bilangan asli dan hitung mundur dari 20.</t>
  </si>
  <si>
    <t>Siswa tidak mampu membandingkan dan mengurutkan dengan memperkirakan panjang suatu benda menggunakan istilah sehari-hari (lebih panjang, lebih pendek) serta menunjukkan pemahaman tentang besaran sampai bilangan asli dan hitung mundur dari 20.</t>
  </si>
  <si>
    <t>Siswa sangat mampu menyajikan pengetahuan faktual dalam bahasa yang jelas dan logis, dalam karya yang estetis, berdasarkan pengaplikasian ilmu matematika pola dan bilangan asli yang telah dipelajari.</t>
  </si>
  <si>
    <t>Siswa mampu menyajikan pengetahuan faktual dalam bahasa yang jelas dan logis, dalam karya yang estetis, berdasarkan pengaplikasian ilmu matematika pola dan bilangan asli yang telah dipelajari.</t>
  </si>
  <si>
    <t>Siswa cukup mampu menyajikan pengetahuan faktual dalam bahasa yang jelas dan logis, dalam karya yang estetis, berdasarkan pengaplikasian ilmu matematika pola dan bilangan asli yang telah dipelajari.</t>
  </si>
  <si>
    <t>Siswa tidak mampu menyajikan pengetahuan faktual dalam bahasa yang jelas dan logis, dalam karya yang estetis, berdasarkan pengaplikasian ilmu matematika pola dan bilangan asli yang telah dipelajari.</t>
  </si>
  <si>
    <t>Siswa sangat mampu mengenal cara dan hasil gambar ekspresi</t>
  </si>
  <si>
    <t>Siswa mampu mengenal cara dan hasil gambar ekspresi</t>
  </si>
  <si>
    <t>Siswa cukup mampu mengenal cara dan hasil gambar ekspresi</t>
  </si>
  <si>
    <t>Siswa tidak mampu mengenal cara dan hasil gambar ekspresi</t>
  </si>
  <si>
    <t>Siswa sangat mampu menggambar ekspresi dengan mengolah garis, warna dan bentuk berdasarkan hasil pengamatan di lingkungan sekitar</t>
  </si>
  <si>
    <t>Siswa mampu menggambar ekspresi dengan mengolah garis, warna dan bentuk berdasarkan hasil pengamatan di lingkungan sekitar</t>
  </si>
  <si>
    <t>Siswa cukup mampu menggambar ekspresi dengan mengolah garis, warna dan bentuk berdasarkan hasil pengamatan di lingkungan sekitar</t>
  </si>
  <si>
    <t>Siswa tidak mampu menggambar ekspresi dengan mengolah garis, warna dan bentuk berdasarkan hasil pengamatan di lingkungan sekitar</t>
  </si>
  <si>
    <t>Siswa sangat mampu mengetahui dampak jangka pendek melakukan aktivitas fisik</t>
  </si>
  <si>
    <t>Siswa mampu mengetahui dampak jangka pendek melakukan aktivitas fisik</t>
  </si>
  <si>
    <t>Siswa cukup mampu mengetahui dampak jangka pendek melakukan aktivitas fisik</t>
  </si>
  <si>
    <t>Siswa tidak mampu mengetahui dampak jangka pendek melakukan aktivitas fisik</t>
  </si>
  <si>
    <t>Siswa sangat mampu mempraktikkan pola gerak dasar nonlokomotor yang dilandasi konsep gerak dalam berbagai bentuk permainan sederhana dan atau permainan tradisional</t>
  </si>
  <si>
    <t>Siswa mampu mempraktikkan pola gerak dasar nonlokomotor yang dilandasi konsep gerak dalam berbagai bentuk permainan sederhana dan atau permainan tradisional</t>
  </si>
  <si>
    <t>Siswa cukup mampu mempraktikkan pola gerak dasar nonlokomotor yang dilandasi konsep gerak dalam berbagai bentuk permainan sederhana dan atau permainan tradisional</t>
  </si>
  <si>
    <t>Siswa tidak mampu mempraktikkan pola gerak dasar nonlokomotor yang dilandasi konsep gerak dalam berbagai bentuk permainan sederhana dan atau permainan tradisional</t>
  </si>
  <si>
    <t>Siswa sangat mampu memahami dan mengamati [mendengar, melihat, membaca] dan menanya berdasarkan rasa ingin tahu tentang keluarganya (ayah, ibu, adik, kakak, kakek, nenek) makhluk ciptaan Tuhan dan kegiatannya, dan benda-benda yang dijumpainya di rumah dan di sekolah</t>
  </si>
  <si>
    <t>Siswa mampu memahami dan mengamati [mendengar, melihat, membaca] dan menanya berdasarkan rasa ingin tahu tentang keluarganya (ayah, ibu, adik, kakak, kakek, nenek) makhluk ciptaan Tuhan dan kegiatannya, dan benda-benda yang dijumpainya di rumah dan di sekolah</t>
  </si>
  <si>
    <t>Siswa cukup mampu memahami dan mengamati [mendengar, melihat, membaca] dan menanya berdasarkan rasa ingin tahu tentang keluarganya (ayah, ibu, adik, kakak, kakek, nenek) makhluk ciptaan Tuhan dan kegiatannya, dan benda-benda yang dijumpainya di rumah dan di sekolah</t>
  </si>
  <si>
    <t>Siswa tidak mampu memahami dan mengamati [mendengar, melihat, membaca] dan menanya berdasarkan rasa ingin tahu tentang keluarganya (ayah, ibu, adik, kakak, kakek, nenek) makhluk ciptaan Tuhan dan kegiatannya, dan benda-benda yang dijumpainya di rumah dan di sekolah</t>
  </si>
  <si>
    <t>Siswa sangat mampu mengungkapkan dan menggunakan arti kosakata yang ada dalam kata untuk membantu pemahaman nama benda-benda yang dijumpainya di rumah dan di sekolah</t>
  </si>
  <si>
    <t>Siswa mampu mengungkapkan dan menggunakan arti kosakata yang ada dalam kata untuk membantu pemahaman nama benda-benda yang dijumpainya di rumah dan di sekolah</t>
  </si>
  <si>
    <t>Siswa cukup mampu mengungkapkan dan menggunakan arti kosakata yang ada dalam kata untuk membantu pemahaman nama benda-benda yang dijumpainya di rumah dan di sekolah</t>
  </si>
  <si>
    <t>Siswa tidak mampu mengungkapkan dan menggunakan arti kosakata yang ada dalam kata untuk membantu pemahaman nama benda-benda yang dijumpainya di rumah dan di sekolah</t>
  </si>
  <si>
    <t>Siswa sangat mampu memahami struktur bahasa yang benar dalam simple present tense dan present progressive tense.</t>
  </si>
  <si>
    <t>Siswa mampu memahami struktur bahasa yang benar dalam simple present tense dan present progressive tense.</t>
  </si>
  <si>
    <t>Siswa cukup mampu memahami struktur bahasa yang benar dalam simple present tense dan present progressive tense.</t>
  </si>
  <si>
    <t>Siswa tidak mampu memahami struktur bahasa yang benar dalam simple present tense dan present progressive tense.</t>
  </si>
  <si>
    <t>Siswa sangat mampu mengucapkan teks deskriptif tentang anggota tubuh dan panca indra, wujud, dan sifat benda serta kegiatan sehari-hari dengan bantuan guru atau teman dalam bahasa inggris lisan.</t>
  </si>
  <si>
    <t>Siswa mampu mengucapkan teks deskriptif tentang anggota tubuh dan panca indra, wujud, dan sifat benda serta kegiatan sehari-hari dengan bantuan guru atau teman dalam bahasa inggris lisan.</t>
  </si>
  <si>
    <t>Siswa cukup mampu mengucapkan teks deskriptif tentang anggota tubuh dan panca indra, wujud, dan sifat benda serta kegiatan sehari-hari dengan bantuan guru atau teman dalam bahasa inggris lisan.</t>
  </si>
  <si>
    <t>Siswa tidak mampu mengucapkan teks deskriptif tentang anggota tubuh dan panca indra, wujud, dan sifat benda serta kegiatan sehari-hari dengan bantuan guru atau teman dalam bahasa inggris lisan.</t>
  </si>
  <si>
    <t>Siswa sangat mampu mengenal dan memahami prosedur penggunaan perangkat lunak pengolah kata (Microsoft Word) dan perangkat lunak pengolah gambar (Microsoft Paint)</t>
  </si>
  <si>
    <t>Siswa mampu mengenal dan memahami prosedur penggunaan perangkat lunak pengolah kata (Microsoft Word) dan perangkat lunak pengolah gambar (Microsoft Paint)</t>
  </si>
  <si>
    <t>Siswa cukup mampu mengenal dan memahami prosedur penggunaan perangkat lunak pengolah kata (Microsoft Word) dan perangkat lunak pengolah gambar (Microsoft Paint)</t>
  </si>
  <si>
    <t>Siswa tidak mampu mengenal dan memahami prosedur penggunaan perangkat lunak pengolah kata (Microsoft Word) dan perangkat lunak pengolah gambar (Microsoft Paint)</t>
  </si>
  <si>
    <t>Siswa sangat mampu mengedit dan memodifikasi dokumen menggunakan perangkat lunak Microsoft Word serta menggambar objek menggunakan Microsoft Paint</t>
  </si>
  <si>
    <t>Siswa mampu mengedit dan memodifikasi dokumen menggunakan perangkat lunak Microsoft Word serta menggambar objek menggunakan Microsoft Paint</t>
  </si>
  <si>
    <t>Siswa cukup mampu mengedit dan memodifikasi dokumen menggunakan perangkat lunak Microsoft Word serta menggambar objek menggunakan Microsoft Paint</t>
  </si>
  <si>
    <t>Siswa tidak mampu mengedit dan memodifikasi dokumen menggunakan perangkat lunak Microsoft Word serta menggambar objek menggunakan Microsoft Paint</t>
  </si>
  <si>
    <t>Version 2.0/PBS/Lower</t>
  </si>
  <si>
    <t>Siswa tidak mampu mengamati dan menceritakan perilaku di sekitar rumah dan sekolah dan mengaitkannya dengan pengenalannya terhadap salah satu simbol sila Pancasila</t>
  </si>
  <si>
    <t>Pendidikan Jasmani, Olahraga dan Kesehatan</t>
  </si>
  <si>
    <t>Homeroom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</si>
</sst>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409]d\-mmm\-yy;@"/>
    <numFmt numFmtId="166" formatCode="[$-421]dd\ mmmm\ yyyy;@"/>
  </numFmts>
  <fonts count="20">
    <font>
      <sz val="11"/>
      <color theme="1"/>
      <name val="Calibri"/>
      <family val="2"/>
      <scheme val="minor"/>
    </font>
    <font>
      <b/>
      <sz val="11"/>
      <color theme="1"/>
      <name val="Calibri"/>
      <family val="2"/>
      <scheme val="minor"/>
    </font>
    <font>
      <sz val="11"/>
      <color theme="1"/>
      <name val="Calibri"/>
      <family val="2"/>
      <charset val="1"/>
      <scheme val="minor"/>
    </font>
    <font>
      <b/>
      <sz val="15"/>
      <color theme="1"/>
      <name val="Calibri"/>
      <family val="2"/>
      <scheme val="minor"/>
    </font>
    <font>
      <sz val="10"/>
      <name val="Arial"/>
      <family val="2"/>
    </font>
    <font>
      <sz val="10"/>
      <color indexed="8"/>
      <name val="Arial"/>
      <family val="2"/>
    </font>
    <font>
      <sz val="12"/>
      <color theme="1"/>
      <name val="Calibri"/>
      <family val="2"/>
      <scheme val="minor"/>
    </font>
    <font>
      <b/>
      <sz val="12"/>
      <color theme="1"/>
      <name val="Calibri"/>
      <family val="2"/>
      <scheme val="minor"/>
    </font>
    <font>
      <sz val="15"/>
      <color theme="1"/>
      <name val="Calibri"/>
      <family val="2"/>
      <scheme val="minor"/>
    </font>
    <font>
      <b/>
      <i/>
      <sz val="9"/>
      <color theme="1"/>
      <name val="Times New Roman"/>
      <family val="1"/>
    </font>
    <font>
      <b/>
      <i/>
      <sz val="11"/>
      <color rgb="FFFF0000"/>
      <name val="Montserrat"/>
      <family val="3"/>
    </font>
    <font>
      <b/>
      <i/>
      <sz val="10"/>
      <color theme="1"/>
      <name val="Times New Roman"/>
      <family val="1"/>
    </font>
    <font>
      <b/>
      <sz val="15"/>
      <color theme="1"/>
      <name val="Bookman Old Style"/>
      <family val="1"/>
    </font>
    <font>
      <sz val="11"/>
      <color theme="1"/>
      <name val="Bookman Old Style"/>
      <family val="1"/>
    </font>
    <font>
      <b/>
      <sz val="12"/>
      <color theme="1"/>
      <name val="Bookman Old Style"/>
      <family val="1"/>
    </font>
    <font>
      <sz val="12"/>
      <color theme="1"/>
      <name val="Bookman Old Style"/>
      <family val="1"/>
    </font>
    <font>
      <sz val="12"/>
      <name val="Bookman Old Style"/>
      <family val="1"/>
    </font>
    <font>
      <sz val="12"/>
      <color indexed="8"/>
      <name val="Bookman Old Style"/>
      <family val="1"/>
    </font>
    <font>
      <sz val="11"/>
      <color theme="0"/>
      <name val="Calibri"/>
      <family val="2"/>
      <scheme val="minor"/>
    </font>
    <font>
      <b/>
      <sz val="14"/>
      <color theme="1"/>
      <name val="Bookman Old Style"/>
      <family val="1"/>
    </font>
  </fonts>
  <fills count="10">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148">
    <xf numFmtId="0" fontId="0" fillId="0" borderId="0" xfId="0"/>
    <xf numFmtId="0" fontId="1" fillId="0" borderId="0" xfId="0" applyFont="1"/>
    <xf numFmtId="0" fontId="1"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164" fontId="1" fillId="0" borderId="1" xfId="0" applyNumberFormat="1" applyFont="1" applyBorder="1" applyAlignment="1">
      <alignment horizontal="center" vertical="center"/>
    </xf>
    <xf numFmtId="0" fontId="0" fillId="0" borderId="1" xfId="0" applyFont="1" applyBorder="1" applyAlignment="1">
      <alignment horizontal="center" vertical="center"/>
    </xf>
    <xf numFmtId="0" fontId="4" fillId="0" borderId="1" xfId="1" applyFont="1" applyFill="1" applyBorder="1" applyAlignment="1">
      <alignment vertical="center"/>
    </xf>
    <xf numFmtId="0" fontId="5" fillId="0" borderId="1" xfId="1" applyFont="1" applyFill="1" applyBorder="1" applyAlignment="1">
      <alignment vertical="center"/>
    </xf>
    <xf numFmtId="0" fontId="2" fillId="0" borderId="1" xfId="1" applyFont="1" applyFill="1" applyBorder="1" applyAlignment="1">
      <alignment vertical="center"/>
    </xf>
    <xf numFmtId="0" fontId="4" fillId="0" borderId="1" xfId="1" applyFont="1" applyBorder="1" applyAlignment="1">
      <alignment vertical="center"/>
    </xf>
    <xf numFmtId="164" fontId="1" fillId="5" borderId="1" xfId="0" applyNumberFormat="1" applyFont="1" applyFill="1" applyBorder="1" applyAlignment="1">
      <alignment horizontal="center" vertical="center"/>
    </xf>
    <xf numFmtId="0" fontId="3" fillId="0" borderId="0" xfId="0" applyFont="1" applyAlignment="1">
      <alignment horizontal="center" vertical="center"/>
    </xf>
    <xf numFmtId="0" fontId="1" fillId="6" borderId="1" xfId="0" applyFont="1" applyFill="1" applyBorder="1" applyAlignment="1">
      <alignment horizontal="center" vertical="center"/>
    </xf>
    <xf numFmtId="0" fontId="1" fillId="0" borderId="0" xfId="0" applyFont="1" applyAlignment="1">
      <alignment horizontal="left"/>
    </xf>
    <xf numFmtId="0" fontId="6" fillId="0" borderId="0" xfId="0" applyFont="1" applyAlignment="1">
      <alignment vertical="center"/>
    </xf>
    <xf numFmtId="0" fontId="3" fillId="0" borderId="0" xfId="0" applyFont="1" applyAlignment="1">
      <alignment horizontal="center" vertical="center"/>
    </xf>
    <xf numFmtId="0" fontId="1" fillId="2" borderId="1" xfId="0" applyFont="1" applyFill="1" applyBorder="1" applyAlignment="1">
      <alignment horizontal="center" vertical="center"/>
    </xf>
    <xf numFmtId="0" fontId="8" fillId="0" borderId="0" xfId="0" applyFont="1"/>
    <xf numFmtId="0" fontId="3" fillId="0" borderId="0" xfId="0" applyFont="1"/>
    <xf numFmtId="0" fontId="6" fillId="0" borderId="0" xfId="0" applyFont="1" applyBorder="1" applyAlignment="1">
      <alignment horizontal="left" vertical="center"/>
    </xf>
    <xf numFmtId="0" fontId="6" fillId="0" borderId="0" xfId="0" applyFont="1" applyBorder="1" applyAlignment="1">
      <alignment horizontal="right" vertical="center"/>
    </xf>
    <xf numFmtId="0" fontId="6" fillId="0" borderId="1" xfId="0" applyFont="1" applyBorder="1" applyAlignment="1" applyProtection="1">
      <alignment horizontal="left" vertical="center"/>
      <protection locked="0"/>
    </xf>
    <xf numFmtId="166" fontId="6" fillId="0" borderId="1" xfId="0" applyNumberFormat="1" applyFont="1" applyBorder="1" applyAlignment="1" applyProtection="1">
      <alignment horizontal="left" vertical="center"/>
      <protection locked="0"/>
    </xf>
    <xf numFmtId="0" fontId="0" fillId="0" borderId="0" xfId="0" applyFill="1" applyProtection="1"/>
    <xf numFmtId="0" fontId="3" fillId="0" borderId="0" xfId="0" applyFont="1" applyFill="1" applyAlignment="1" applyProtection="1">
      <alignment horizontal="center" vertical="center"/>
    </xf>
    <xf numFmtId="0" fontId="0" fillId="0" borderId="0" xfId="0" applyFont="1" applyFill="1" applyProtection="1"/>
    <xf numFmtId="0" fontId="0" fillId="0" borderId="0" xfId="0" applyFont="1" applyFill="1" applyAlignment="1" applyProtection="1">
      <alignment horizontal="right" vertical="center"/>
    </xf>
    <xf numFmtId="0" fontId="0" fillId="0" borderId="0" xfId="0" applyFont="1" applyFill="1" applyAlignment="1" applyProtection="1">
      <alignment horizontal="left" vertical="center"/>
    </xf>
    <xf numFmtId="0" fontId="0" fillId="0" borderId="0" xfId="0" applyFont="1" applyFill="1" applyAlignment="1" applyProtection="1">
      <alignment horizontal="left" vertical="top"/>
    </xf>
    <xf numFmtId="0" fontId="0" fillId="0" borderId="0" xfId="0" applyFont="1" applyFill="1" applyAlignment="1" applyProtection="1">
      <alignment horizontal="left" vertical="top" wrapText="1"/>
    </xf>
    <xf numFmtId="0" fontId="1" fillId="0" borderId="0" xfId="0" applyFont="1" applyFill="1" applyAlignment="1" applyProtection="1">
      <alignment horizontal="left" vertical="top"/>
    </xf>
    <xf numFmtId="0" fontId="0" fillId="0" borderId="0" xfId="0" applyFont="1" applyFill="1" applyBorder="1" applyAlignment="1" applyProtection="1">
      <alignment horizontal="left"/>
    </xf>
    <xf numFmtId="0" fontId="0" fillId="0" borderId="0" xfId="0" applyFont="1" applyFill="1" applyBorder="1" applyAlignment="1" applyProtection="1">
      <alignment horizontal="center" vertical="top" wrapText="1"/>
    </xf>
    <xf numFmtId="0" fontId="1" fillId="0" borderId="0" xfId="0" applyFont="1" applyFill="1" applyBorder="1" applyAlignment="1" applyProtection="1">
      <alignment horizontal="left"/>
    </xf>
    <xf numFmtId="0" fontId="1" fillId="0" borderId="0" xfId="0" applyFont="1" applyFill="1" applyBorder="1" applyAlignment="1" applyProtection="1">
      <alignment horizontal="center" vertical="top" wrapText="1"/>
    </xf>
    <xf numFmtId="0" fontId="0" fillId="0" borderId="0" xfId="0" applyFont="1" applyFill="1" applyAlignment="1" applyProtection="1">
      <alignment horizontal="left"/>
    </xf>
    <xf numFmtId="0" fontId="0" fillId="0" borderId="1" xfId="0" applyFont="1" applyFill="1" applyBorder="1" applyAlignment="1" applyProtection="1">
      <alignment horizontal="center" vertical="center" wrapText="1"/>
    </xf>
    <xf numFmtId="0" fontId="0" fillId="0" borderId="1" xfId="0" applyFont="1" applyFill="1" applyBorder="1" applyAlignment="1" applyProtection="1">
      <alignment vertical="center" wrapText="1"/>
    </xf>
    <xf numFmtId="0" fontId="0" fillId="0" borderId="7" xfId="0" applyFont="1" applyFill="1" applyBorder="1" applyAlignment="1" applyProtection="1">
      <alignment horizontal="center" vertical="center" wrapText="1"/>
    </xf>
    <xf numFmtId="0" fontId="0" fillId="0" borderId="1" xfId="0" applyFont="1" applyFill="1" applyBorder="1" applyAlignment="1" applyProtection="1">
      <alignment horizontal="center" vertical="center"/>
    </xf>
    <xf numFmtId="0" fontId="1" fillId="0" borderId="1" xfId="0" applyFont="1" applyFill="1" applyBorder="1" applyAlignment="1" applyProtection="1">
      <alignment horizontal="center" vertical="center"/>
    </xf>
    <xf numFmtId="0" fontId="1" fillId="0" borderId="1" xfId="0" applyFont="1" applyFill="1" applyBorder="1" applyAlignment="1" applyProtection="1">
      <alignment vertical="center"/>
    </xf>
    <xf numFmtId="0" fontId="7" fillId="0" borderId="0" xfId="0" applyFont="1" applyFill="1" applyAlignment="1" applyProtection="1">
      <alignment horizontal="left" vertical="top"/>
    </xf>
    <xf numFmtId="0" fontId="6" fillId="0" borderId="0" xfId="0" applyFont="1" applyFill="1" applyAlignment="1" applyProtection="1">
      <alignment horizontal="right" vertical="center"/>
    </xf>
    <xf numFmtId="0" fontId="6" fillId="0" borderId="0" xfId="0" applyFont="1" applyFill="1" applyAlignment="1" applyProtection="1">
      <alignment horizontal="left" vertical="top" wrapText="1"/>
    </xf>
    <xf numFmtId="0" fontId="6" fillId="0" borderId="0" xfId="0" applyFont="1" applyFill="1" applyAlignment="1" applyProtection="1">
      <alignment horizontal="left" vertical="center"/>
    </xf>
    <xf numFmtId="0" fontId="0" fillId="0" borderId="0" xfId="0" applyFill="1" applyAlignment="1" applyProtection="1">
      <alignment horizontal="center" vertical="center"/>
    </xf>
    <xf numFmtId="0" fontId="1" fillId="0" borderId="0" xfId="0" applyFont="1" applyFill="1" applyAlignment="1" applyProtection="1">
      <alignment horizontal="center" vertical="center"/>
    </xf>
    <xf numFmtId="0" fontId="0" fillId="0" borderId="1" xfId="0" applyBorder="1" applyAlignment="1" applyProtection="1">
      <alignment vertical="center" wrapText="1"/>
      <protection locked="0"/>
    </xf>
    <xf numFmtId="0" fontId="0" fillId="0" borderId="1" xfId="0" applyFont="1" applyBorder="1" applyAlignment="1" applyProtection="1">
      <alignment horizontal="left" vertical="center" wrapText="1"/>
    </xf>
    <xf numFmtId="166" fontId="0" fillId="0" borderId="0" xfId="0" applyNumberFormat="1" applyFill="1" applyProtection="1"/>
    <xf numFmtId="166" fontId="0" fillId="0" borderId="0" xfId="0" applyNumberFormat="1" applyFill="1" applyAlignment="1" applyProtection="1">
      <alignment horizontal="right"/>
    </xf>
    <xf numFmtId="166" fontId="0" fillId="0" borderId="0" xfId="0" applyNumberFormat="1" applyFill="1" applyAlignment="1" applyProtection="1">
      <alignment horizontal="left"/>
    </xf>
    <xf numFmtId="0" fontId="9" fillId="0" borderId="0" xfId="0" applyFont="1"/>
    <xf numFmtId="1" fontId="1" fillId="0" borderId="1" xfId="0" applyNumberFormat="1" applyFont="1" applyFill="1" applyBorder="1" applyAlignment="1" applyProtection="1">
      <alignment horizontal="center" vertical="center"/>
    </xf>
    <xf numFmtId="0" fontId="0" fillId="0" borderId="0" xfId="0" applyBorder="1"/>
    <xf numFmtId="0" fontId="11" fillId="0" borderId="0" xfId="0" applyFont="1"/>
    <xf numFmtId="0" fontId="0" fillId="0" borderId="0" xfId="0" applyFont="1" applyFill="1" applyBorder="1" applyAlignment="1" applyProtection="1">
      <alignment horizontal="center" vertical="center" wrapText="1"/>
    </xf>
    <xf numFmtId="0" fontId="0" fillId="0" borderId="0" xfId="0" applyFont="1" applyFill="1" applyBorder="1" applyAlignment="1" applyProtection="1">
      <alignment vertical="center" wrapText="1"/>
    </xf>
    <xf numFmtId="1" fontId="0" fillId="0" borderId="7" xfId="0" applyNumberFormat="1" applyFont="1" applyFill="1" applyBorder="1" applyAlignment="1" applyProtection="1">
      <alignment horizontal="left" vertical="center" wrapText="1"/>
    </xf>
    <xf numFmtId="1" fontId="0" fillId="0" borderId="7" xfId="0" applyNumberFormat="1" applyFont="1" applyFill="1" applyBorder="1" applyAlignment="1" applyProtection="1">
      <alignment horizontal="center" vertical="center"/>
    </xf>
    <xf numFmtId="0" fontId="1" fillId="0" borderId="1" xfId="0" applyFont="1" applyFill="1" applyBorder="1" applyAlignment="1" applyProtection="1">
      <alignment horizontal="center" vertical="center"/>
    </xf>
    <xf numFmtId="0" fontId="0" fillId="0" borderId="1" xfId="0" applyFont="1" applyFill="1" applyBorder="1" applyAlignment="1" applyProtection="1">
      <alignment horizontal="center" vertical="center" wrapText="1"/>
    </xf>
    <xf numFmtId="0" fontId="0" fillId="0" borderId="1" xfId="0" applyFont="1" applyBorder="1"/>
    <xf numFmtId="0" fontId="13" fillId="0" borderId="0" xfId="0" applyFont="1"/>
    <xf numFmtId="0" fontId="15" fillId="0" borderId="1" xfId="0" applyFont="1" applyBorder="1" applyAlignment="1">
      <alignment horizontal="center" vertical="center"/>
    </xf>
    <xf numFmtId="0" fontId="16" fillId="0" borderId="1" xfId="1" applyFont="1" applyFill="1" applyBorder="1" applyAlignment="1">
      <alignment horizontal="center" vertical="center" wrapText="1"/>
    </xf>
    <xf numFmtId="0" fontId="15" fillId="0" borderId="1" xfId="0" applyFont="1" applyBorder="1" applyAlignment="1">
      <alignment horizontal="left" vertical="center" wrapText="1"/>
    </xf>
    <xf numFmtId="0" fontId="17" fillId="0" borderId="1" xfId="1" applyFont="1" applyFill="1" applyBorder="1" applyAlignment="1">
      <alignment horizontal="center" vertical="center" wrapText="1"/>
    </xf>
    <xf numFmtId="0" fontId="15" fillId="0" borderId="1" xfId="1" applyFont="1" applyFill="1" applyBorder="1" applyAlignment="1">
      <alignment horizontal="center" vertical="center" wrapText="1"/>
    </xf>
    <xf numFmtId="0" fontId="16" fillId="0" borderId="1" xfId="1" applyFont="1" applyBorder="1" applyAlignment="1">
      <alignment horizontal="center" vertical="center" wrapText="1"/>
    </xf>
    <xf numFmtId="0" fontId="0" fillId="0" borderId="0" xfId="0" applyFill="1" applyBorder="1"/>
    <xf numFmtId="0" fontId="1" fillId="0" borderId="0" xfId="0" applyFont="1" applyFill="1" applyBorder="1" applyAlignment="1">
      <alignment horizontal="center"/>
    </xf>
    <xf numFmtId="1" fontId="1" fillId="0" borderId="1" xfId="0" applyNumberFormat="1" applyFont="1" applyFill="1" applyBorder="1" applyAlignment="1" applyProtection="1">
      <alignment horizontal="center" vertical="center"/>
    </xf>
    <xf numFmtId="0" fontId="0" fillId="0" borderId="1" xfId="0" applyFont="1" applyFill="1" applyBorder="1" applyAlignment="1" applyProtection="1">
      <alignment horizontal="center" vertical="center" wrapText="1"/>
    </xf>
    <xf numFmtId="0" fontId="0" fillId="0" borderId="1" xfId="0" applyFill="1" applyBorder="1" applyAlignment="1">
      <alignment horizontal="center" vertical="center"/>
    </xf>
    <xf numFmtId="0" fontId="0" fillId="0" borderId="1" xfId="0" applyFill="1" applyBorder="1"/>
    <xf numFmtId="0" fontId="1" fillId="8" borderId="1" xfId="0" applyFont="1" applyFill="1" applyBorder="1" applyAlignment="1">
      <alignment horizontal="center"/>
    </xf>
    <xf numFmtId="1" fontId="0" fillId="0" borderId="1" xfId="0" applyNumberFormat="1" applyFont="1" applyFill="1" applyBorder="1" applyAlignment="1" applyProtection="1">
      <alignment horizontal="center" vertical="center" wrapText="1"/>
    </xf>
    <xf numFmtId="2" fontId="0" fillId="5" borderId="1" xfId="0" applyNumberFormat="1" applyFill="1" applyBorder="1" applyAlignment="1" applyProtection="1">
      <alignment horizontal="center" vertical="center"/>
      <protection locked="0"/>
    </xf>
    <xf numFmtId="2" fontId="0" fillId="4" borderId="1" xfId="0" applyNumberFormat="1" applyFill="1" applyBorder="1" applyAlignment="1" applyProtection="1">
      <alignment horizontal="center" vertical="center"/>
      <protection locked="0"/>
    </xf>
    <xf numFmtId="1" fontId="0" fillId="0" borderId="1" xfId="0" applyNumberFormat="1" applyFont="1" applyFill="1" applyBorder="1" applyAlignment="1" applyProtection="1">
      <alignment vertical="center" wrapText="1"/>
    </xf>
    <xf numFmtId="0" fontId="14" fillId="9" borderId="1" xfId="0" applyFont="1" applyFill="1" applyBorder="1" applyAlignment="1">
      <alignment horizontal="center" vertical="center"/>
    </xf>
    <xf numFmtId="0" fontId="18" fillId="0" borderId="0" xfId="0" applyFont="1" applyFill="1" applyAlignment="1" applyProtection="1">
      <alignment horizontal="left" vertical="top" wrapText="1"/>
    </xf>
    <xf numFmtId="0" fontId="10" fillId="0" borderId="0" xfId="0" applyFont="1" applyAlignment="1">
      <alignment horizontal="center"/>
    </xf>
    <xf numFmtId="0" fontId="3" fillId="0" borderId="0" xfId="0" applyFont="1" applyAlignment="1">
      <alignment horizontal="center"/>
    </xf>
    <xf numFmtId="0" fontId="1" fillId="0" borderId="0" xfId="0" applyFont="1" applyFill="1" applyBorder="1" applyAlignment="1">
      <alignment horizontal="left"/>
    </xf>
    <xf numFmtId="0" fontId="1" fillId="0" borderId="0" xfId="0" applyFont="1" applyAlignment="1">
      <alignment horizontal="left"/>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7" borderId="6" xfId="0" applyFont="1" applyFill="1" applyBorder="1" applyAlignment="1">
      <alignment horizontal="center" vertical="center"/>
    </xf>
    <xf numFmtId="0" fontId="1" fillId="7" borderId="8" xfId="0" applyFont="1" applyFill="1" applyBorder="1" applyAlignment="1">
      <alignment horizontal="center" vertical="center"/>
    </xf>
    <xf numFmtId="0" fontId="1" fillId="7" borderId="7"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2" xfId="0" applyFont="1" applyFill="1" applyBorder="1" applyAlignment="1">
      <alignment horizontal="center" vertical="center"/>
    </xf>
    <xf numFmtId="0" fontId="1" fillId="7" borderId="4"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7" borderId="3" xfId="0" applyFont="1" applyFill="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 fillId="0" borderId="7" xfId="0" applyFont="1" applyBorder="1" applyAlignment="1">
      <alignment horizontal="center" vertical="center"/>
    </xf>
    <xf numFmtId="0" fontId="6" fillId="0" borderId="2" xfId="0" applyFont="1" applyBorder="1" applyAlignment="1" applyProtection="1">
      <alignment horizontal="left" vertical="center"/>
      <protection locked="0"/>
    </xf>
    <xf numFmtId="0" fontId="6" fillId="0" borderId="4" xfId="0" applyFont="1" applyBorder="1" applyAlignment="1" applyProtection="1">
      <alignment horizontal="left" vertical="center"/>
      <protection locked="0"/>
    </xf>
    <xf numFmtId="0" fontId="3" fillId="0" borderId="0" xfId="0" applyFont="1" applyAlignment="1">
      <alignment horizontal="center" vertical="center"/>
    </xf>
    <xf numFmtId="164" fontId="1" fillId="2" borderId="1" xfId="0" applyNumberFormat="1" applyFont="1" applyFill="1" applyBorder="1" applyAlignment="1">
      <alignment horizontal="center" vertical="center"/>
    </xf>
    <xf numFmtId="0" fontId="6" fillId="0" borderId="1" xfId="0" applyFont="1" applyBorder="1" applyAlignment="1" applyProtection="1">
      <alignment horizontal="left" vertical="center"/>
      <protection locked="0"/>
    </xf>
    <xf numFmtId="165" fontId="6" fillId="0" borderId="0" xfId="0" applyNumberFormat="1" applyFont="1" applyBorder="1" applyAlignment="1">
      <alignment horizontal="left" vertical="center"/>
    </xf>
    <xf numFmtId="0" fontId="6" fillId="0" borderId="0" xfId="0" applyFont="1" applyBorder="1" applyAlignment="1">
      <alignment horizontal="left" vertical="center"/>
    </xf>
    <xf numFmtId="0" fontId="0" fillId="0" borderId="1" xfId="0" applyFill="1" applyBorder="1" applyAlignment="1" applyProtection="1">
      <alignment horizontal="left"/>
    </xf>
    <xf numFmtId="0" fontId="1" fillId="0" borderId="0" xfId="0" applyFont="1" applyFill="1" applyAlignment="1" applyProtection="1">
      <alignment horizontal="center" vertical="center"/>
    </xf>
    <xf numFmtId="0" fontId="0" fillId="0" borderId="0" xfId="0" applyFill="1" applyAlignment="1" applyProtection="1">
      <alignment horizontal="center" vertical="center"/>
    </xf>
    <xf numFmtId="0" fontId="0" fillId="0" borderId="1" xfId="0" applyFill="1" applyBorder="1" applyAlignment="1" applyProtection="1">
      <alignment horizontal="center"/>
    </xf>
    <xf numFmtId="0" fontId="1" fillId="0" borderId="1" xfId="0" applyFont="1" applyFill="1" applyBorder="1" applyAlignment="1" applyProtection="1">
      <alignment horizontal="center" vertical="center"/>
    </xf>
    <xf numFmtId="0" fontId="0" fillId="0" borderId="1" xfId="0" applyFont="1" applyFill="1" applyBorder="1" applyAlignment="1" applyProtection="1">
      <alignment horizontal="left"/>
    </xf>
    <xf numFmtId="0" fontId="0" fillId="0" borderId="1" xfId="0" applyFont="1" applyFill="1" applyBorder="1" applyAlignment="1" applyProtection="1">
      <alignment horizontal="center"/>
    </xf>
    <xf numFmtId="0" fontId="0" fillId="0" borderId="9" xfId="0" applyFont="1" applyFill="1" applyBorder="1" applyAlignment="1" applyProtection="1">
      <alignment horizontal="left" vertical="center"/>
    </xf>
    <xf numFmtId="0" fontId="0" fillId="0" borderId="10" xfId="0" applyFont="1" applyFill="1" applyBorder="1" applyAlignment="1" applyProtection="1">
      <alignment horizontal="left" vertical="center"/>
    </xf>
    <xf numFmtId="0" fontId="0" fillId="0" borderId="11" xfId="0" applyFont="1" applyFill="1" applyBorder="1" applyAlignment="1" applyProtection="1">
      <alignment horizontal="left" vertical="center"/>
    </xf>
    <xf numFmtId="0" fontId="0" fillId="0" borderId="12" xfId="0" applyFont="1" applyFill="1" applyBorder="1" applyAlignment="1" applyProtection="1">
      <alignment horizontal="left" vertical="center"/>
    </xf>
    <xf numFmtId="0" fontId="0" fillId="0" borderId="5" xfId="0" applyFont="1" applyFill="1" applyBorder="1" applyAlignment="1" applyProtection="1">
      <alignment horizontal="left" vertical="center"/>
    </xf>
    <xf numFmtId="0" fontId="0" fillId="0" borderId="13" xfId="0" applyFont="1" applyFill="1" applyBorder="1" applyAlignment="1" applyProtection="1">
      <alignment horizontal="left" vertical="center"/>
    </xf>
    <xf numFmtId="0" fontId="1" fillId="0" borderId="1" xfId="0" applyFont="1" applyFill="1" applyBorder="1" applyAlignment="1" applyProtection="1">
      <alignment horizontal="center" vertical="center" wrapText="1"/>
    </xf>
    <xf numFmtId="1" fontId="1" fillId="0" borderId="1" xfId="0" applyNumberFormat="1" applyFont="1" applyFill="1" applyBorder="1" applyAlignment="1" applyProtection="1">
      <alignment horizontal="center" vertical="center" wrapText="1"/>
    </xf>
    <xf numFmtId="1" fontId="1" fillId="0" borderId="1" xfId="0" applyNumberFormat="1" applyFont="1" applyFill="1" applyBorder="1" applyAlignment="1" applyProtection="1">
      <alignment horizontal="center" vertical="center"/>
    </xf>
    <xf numFmtId="0" fontId="0" fillId="0" borderId="1" xfId="0" applyFont="1" applyFill="1" applyBorder="1" applyAlignment="1" applyProtection="1">
      <alignment horizontal="center" vertical="center" wrapText="1"/>
    </xf>
    <xf numFmtId="0" fontId="3" fillId="0" borderId="0" xfId="0" applyFont="1" applyFill="1" applyAlignment="1" applyProtection="1">
      <alignment horizontal="center" vertical="center"/>
    </xf>
    <xf numFmtId="0" fontId="0" fillId="0" borderId="0" xfId="0" applyFont="1" applyFill="1" applyAlignment="1" applyProtection="1">
      <alignment horizontal="left" vertical="center"/>
    </xf>
    <xf numFmtId="0" fontId="0" fillId="0" borderId="0" xfId="0" applyFont="1" applyFill="1" applyAlignment="1" applyProtection="1">
      <alignment horizontal="left" vertical="top"/>
    </xf>
    <xf numFmtId="0" fontId="0" fillId="0" borderId="0" xfId="0" applyFill="1" applyAlignment="1" applyProtection="1">
      <alignment horizontal="left" vertical="center"/>
      <protection locked="0"/>
    </xf>
    <xf numFmtId="0" fontId="0" fillId="0" borderId="0" xfId="0" applyFont="1" applyFill="1" applyAlignment="1" applyProtection="1">
      <alignment horizontal="left" vertical="center"/>
      <protection locked="0"/>
    </xf>
    <xf numFmtId="0" fontId="0" fillId="0" borderId="0" xfId="0" applyFont="1" applyFill="1" applyAlignment="1" applyProtection="1">
      <alignment horizontal="left" vertical="top" wrapText="1"/>
    </xf>
    <xf numFmtId="1" fontId="1" fillId="0" borderId="2" xfId="0" applyNumberFormat="1" applyFont="1" applyFill="1" applyBorder="1" applyAlignment="1" applyProtection="1">
      <alignment horizontal="center" vertical="center"/>
    </xf>
    <xf numFmtId="1" fontId="1" fillId="0" borderId="3" xfId="0" applyNumberFormat="1" applyFont="1" applyFill="1" applyBorder="1" applyAlignment="1" applyProtection="1">
      <alignment horizontal="center" vertical="center"/>
    </xf>
    <xf numFmtId="1" fontId="1" fillId="0" borderId="4" xfId="0" applyNumberFormat="1" applyFont="1" applyFill="1" applyBorder="1" applyAlignment="1" applyProtection="1">
      <alignment horizontal="center" vertical="center"/>
    </xf>
    <xf numFmtId="0" fontId="12" fillId="0" borderId="0" xfId="0" applyFont="1" applyBorder="1" applyAlignment="1">
      <alignment horizontal="left" vertical="center"/>
    </xf>
    <xf numFmtId="0" fontId="14" fillId="9" borderId="1" xfId="0" applyFont="1" applyFill="1" applyBorder="1" applyAlignment="1">
      <alignment horizontal="center" vertical="center"/>
    </xf>
    <xf numFmtId="0" fontId="19" fillId="9" borderId="1" xfId="0" applyFont="1" applyFill="1" applyBorder="1" applyAlignment="1">
      <alignment horizontal="center" vertical="center"/>
    </xf>
    <xf numFmtId="0" fontId="0" fillId="0" borderId="2" xfId="0" applyFont="1" applyFill="1" applyBorder="1" applyAlignment="1" applyProtection="1">
      <alignment horizontal="left" vertical="center"/>
    </xf>
    <xf numFmtId="0" fontId="0" fillId="0" borderId="4" xfId="0" applyFont="1" applyFill="1" applyBorder="1" applyAlignment="1" applyProtection="1">
      <alignment horizontal="left" vertical="center"/>
    </xf>
    <xf numFmtId="0" fontId="0" fillId="0" borderId="2" xfId="0" applyFont="1" applyFill="1" applyBorder="1" applyAlignment="1" applyProtection="1">
      <alignment horizontal="left" vertical="center" wrapText="1"/>
    </xf>
    <xf numFmtId="0" fontId="0" fillId="0" borderId="3" xfId="0" applyFont="1" applyFill="1" applyBorder="1" applyAlignment="1" applyProtection="1">
      <alignment horizontal="left" vertical="center" wrapText="1"/>
    </xf>
    <xf numFmtId="0" fontId="0" fillId="0" borderId="4" xfId="0" applyFont="1" applyFill="1" applyBorder="1" applyAlignment="1" applyProtection="1">
      <alignment horizontal="left" vertical="center" wrapText="1"/>
    </xf>
  </cellXfs>
  <cellStyles count="2">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Master Subject'!A1"/><Relationship Id="rId7" Type="http://schemas.openxmlformats.org/officeDocument/2006/relationships/hyperlink" Target="#'Final Report'!A1"/><Relationship Id="rId12"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hyperlink" Target="#'Master Student'!A1"/><Relationship Id="rId6" Type="http://schemas.openxmlformats.org/officeDocument/2006/relationships/image" Target="../media/image3.png"/><Relationship Id="rId11" Type="http://schemas.openxmlformats.org/officeDocument/2006/relationships/hyperlink" Target="#'Master Data'!A1"/><Relationship Id="rId5" Type="http://schemas.openxmlformats.org/officeDocument/2006/relationships/hyperlink" Target="#'Master Grade'!A1"/><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hyperlink" Target="User%20Guide%20Rapor%20K13.mp4"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drawing4.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drawing5.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2</xdr:col>
      <xdr:colOff>285750</xdr:colOff>
      <xdr:row>1</xdr:row>
      <xdr:rowOff>1</xdr:rowOff>
    </xdr:from>
    <xdr:to>
      <xdr:col>17</xdr:col>
      <xdr:colOff>276225</xdr:colOff>
      <xdr:row>21</xdr:row>
      <xdr:rowOff>47625</xdr:rowOff>
    </xdr:to>
    <xdr:sp macro="" textlink="">
      <xdr:nvSpPr>
        <xdr:cNvPr id="2" name="Rounded Rectangle 1"/>
        <xdr:cNvSpPr/>
      </xdr:nvSpPr>
      <xdr:spPr>
        <a:xfrm>
          <a:off x="1504950" y="190501"/>
          <a:ext cx="9134475" cy="3857624"/>
        </a:xfrm>
        <a:prstGeom prst="round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solidFill>
              <a:schemeClr val="bg1">
                <a:lumMod val="95000"/>
              </a:schemeClr>
            </a:solidFill>
          </a:endParaRPr>
        </a:p>
      </xdr:txBody>
    </xdr:sp>
    <xdr:clientData/>
  </xdr:twoCellAnchor>
  <xdr:twoCellAnchor>
    <xdr:from>
      <xdr:col>3</xdr:col>
      <xdr:colOff>514350</xdr:colOff>
      <xdr:row>2</xdr:row>
      <xdr:rowOff>73800</xdr:rowOff>
    </xdr:from>
    <xdr:to>
      <xdr:col>6</xdr:col>
      <xdr:colOff>323850</xdr:colOff>
      <xdr:row>10</xdr:row>
      <xdr:rowOff>95250</xdr:rowOff>
    </xdr:to>
    <xdr:grpSp>
      <xdr:nvGrpSpPr>
        <xdr:cNvPr id="8" name="Group 7"/>
        <xdr:cNvGrpSpPr/>
      </xdr:nvGrpSpPr>
      <xdr:grpSpPr>
        <a:xfrm>
          <a:off x="2332759" y="463459"/>
          <a:ext cx="1627909" cy="1545450"/>
          <a:chOff x="2095500" y="1407300"/>
          <a:chExt cx="1638300" cy="1545450"/>
        </a:xfrm>
      </xdr:grpSpPr>
      <xdr:pic>
        <xdr:nvPicPr>
          <xdr:cNvPr id="5" name="Picture 4">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38151" y="1407300"/>
            <a:ext cx="1227304" cy="1227304"/>
          </a:xfrm>
          <a:prstGeom prst="rect">
            <a:avLst/>
          </a:prstGeom>
        </xdr:spPr>
      </xdr:pic>
      <xdr:sp macro="" textlink="">
        <xdr:nvSpPr>
          <xdr:cNvPr id="7" name="Rectangle 6"/>
          <xdr:cNvSpPr/>
        </xdr:nvSpPr>
        <xdr:spPr>
          <a:xfrm>
            <a:off x="2095500" y="2581275"/>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STUDENT MASTER</a:t>
            </a:r>
          </a:p>
        </xdr:txBody>
      </xdr:sp>
    </xdr:grpSp>
    <xdr:clientData/>
  </xdr:twoCellAnchor>
  <xdr:twoCellAnchor>
    <xdr:from>
      <xdr:col>6</xdr:col>
      <xdr:colOff>590550</xdr:colOff>
      <xdr:row>2</xdr:row>
      <xdr:rowOff>89121</xdr:rowOff>
    </xdr:from>
    <xdr:to>
      <xdr:col>9</xdr:col>
      <xdr:colOff>400050</xdr:colOff>
      <xdr:row>10</xdr:row>
      <xdr:rowOff>102375</xdr:rowOff>
    </xdr:to>
    <xdr:grpSp>
      <xdr:nvGrpSpPr>
        <xdr:cNvPr id="16" name="Group 15"/>
        <xdr:cNvGrpSpPr/>
      </xdr:nvGrpSpPr>
      <xdr:grpSpPr>
        <a:xfrm>
          <a:off x="4227368" y="478780"/>
          <a:ext cx="1627909" cy="1537254"/>
          <a:chOff x="4000500" y="813021"/>
          <a:chExt cx="1638300" cy="1537254"/>
        </a:xfrm>
      </xdr:grpSpPr>
      <xdr:pic>
        <xdr:nvPicPr>
          <xdr:cNvPr id="6" name="Picture 5">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72747" y="813021"/>
            <a:ext cx="1212590" cy="1212590"/>
          </a:xfrm>
          <a:prstGeom prst="rect">
            <a:avLst/>
          </a:prstGeom>
        </xdr:spPr>
      </xdr:pic>
      <xdr:sp macro="" textlink="">
        <xdr:nvSpPr>
          <xdr:cNvPr id="9" name="Rectangle 8"/>
          <xdr:cNvSpPr/>
        </xdr:nvSpPr>
        <xdr:spPr>
          <a:xfrm>
            <a:off x="4000500" y="1978800"/>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SUBJECT MASTER</a:t>
            </a:r>
          </a:p>
        </xdr:txBody>
      </xdr:sp>
    </xdr:grpSp>
    <xdr:clientData/>
  </xdr:twoCellAnchor>
  <xdr:twoCellAnchor>
    <xdr:from>
      <xdr:col>9</xdr:col>
      <xdr:colOff>495300</xdr:colOff>
      <xdr:row>2</xdr:row>
      <xdr:rowOff>91821</xdr:rowOff>
    </xdr:from>
    <xdr:to>
      <xdr:col>12</xdr:col>
      <xdr:colOff>304800</xdr:colOff>
      <xdr:row>10</xdr:row>
      <xdr:rowOff>102375</xdr:rowOff>
    </xdr:to>
    <xdr:grpSp>
      <xdr:nvGrpSpPr>
        <xdr:cNvPr id="17" name="Group 16"/>
        <xdr:cNvGrpSpPr/>
      </xdr:nvGrpSpPr>
      <xdr:grpSpPr>
        <a:xfrm>
          <a:off x="5950527" y="481480"/>
          <a:ext cx="1627909" cy="1534554"/>
          <a:chOff x="5734050" y="815721"/>
          <a:chExt cx="1638300" cy="1534554"/>
        </a:xfrm>
      </xdr:grpSpPr>
      <xdr:pic>
        <xdr:nvPicPr>
          <xdr:cNvPr id="3" name="Picture 2">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989132" y="815721"/>
            <a:ext cx="1203579" cy="1203579"/>
          </a:xfrm>
          <a:prstGeom prst="rect">
            <a:avLst/>
          </a:prstGeom>
        </xdr:spPr>
      </xdr:pic>
      <xdr:sp macro="" textlink="">
        <xdr:nvSpPr>
          <xdr:cNvPr id="10" name="Rectangle 9"/>
          <xdr:cNvSpPr/>
        </xdr:nvSpPr>
        <xdr:spPr>
          <a:xfrm>
            <a:off x="5734050" y="1978800"/>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INPUT GRADE</a:t>
            </a:r>
          </a:p>
        </xdr:txBody>
      </xdr:sp>
    </xdr:grpSp>
    <xdr:clientData/>
  </xdr:twoCellAnchor>
  <xdr:twoCellAnchor>
    <xdr:from>
      <xdr:col>13</xdr:col>
      <xdr:colOff>219075</xdr:colOff>
      <xdr:row>1</xdr:row>
      <xdr:rowOff>161925</xdr:rowOff>
    </xdr:from>
    <xdr:to>
      <xdr:col>16</xdr:col>
      <xdr:colOff>28575</xdr:colOff>
      <xdr:row>10</xdr:row>
      <xdr:rowOff>102375</xdr:rowOff>
    </xdr:to>
    <xdr:grpSp>
      <xdr:nvGrpSpPr>
        <xdr:cNvPr id="18" name="Group 17"/>
        <xdr:cNvGrpSpPr/>
      </xdr:nvGrpSpPr>
      <xdr:grpSpPr>
        <a:xfrm>
          <a:off x="8098848" y="361084"/>
          <a:ext cx="1627909" cy="1654950"/>
          <a:chOff x="8143875" y="352425"/>
          <a:chExt cx="1638300" cy="1654950"/>
        </a:xfrm>
      </xdr:grpSpPr>
      <xdr:pic>
        <xdr:nvPicPr>
          <xdr:cNvPr id="4" name="Picture 3">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172450" y="352425"/>
            <a:ext cx="1552574" cy="1552574"/>
          </a:xfrm>
          <a:prstGeom prst="rect">
            <a:avLst/>
          </a:prstGeom>
        </xdr:spPr>
      </xdr:pic>
      <xdr:sp macro="" textlink="">
        <xdr:nvSpPr>
          <xdr:cNvPr id="11" name="Rectangle 10"/>
          <xdr:cNvSpPr/>
        </xdr:nvSpPr>
        <xdr:spPr>
          <a:xfrm>
            <a:off x="8143875" y="1635900"/>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FINAL</a:t>
            </a:r>
            <a:r>
              <a:rPr lang="id-ID" sz="1100" b="1" baseline="0">
                <a:solidFill>
                  <a:schemeClr val="accent6">
                    <a:lumMod val="75000"/>
                  </a:schemeClr>
                </a:solidFill>
              </a:rPr>
              <a:t> REPORT</a:t>
            </a:r>
            <a:endParaRPr lang="id-ID" sz="1100" b="1">
              <a:solidFill>
                <a:schemeClr val="accent6">
                  <a:lumMod val="75000"/>
                </a:schemeClr>
              </a:solidFill>
            </a:endParaRPr>
          </a:p>
        </xdr:txBody>
      </xdr:sp>
    </xdr:grpSp>
    <xdr:clientData/>
  </xdr:twoCellAnchor>
  <xdr:twoCellAnchor>
    <xdr:from>
      <xdr:col>10</xdr:col>
      <xdr:colOff>419100</xdr:colOff>
      <xdr:row>12</xdr:row>
      <xdr:rowOff>76200</xdr:rowOff>
    </xdr:from>
    <xdr:to>
      <xdr:col>13</xdr:col>
      <xdr:colOff>228600</xdr:colOff>
      <xdr:row>20</xdr:row>
      <xdr:rowOff>73800</xdr:rowOff>
    </xdr:to>
    <xdr:grpSp>
      <xdr:nvGrpSpPr>
        <xdr:cNvPr id="21" name="Group 20">
          <a:hlinkClick xmlns:r="http://schemas.openxmlformats.org/officeDocument/2006/relationships" r:id="rId9"/>
        </xdr:cNvPr>
        <xdr:cNvGrpSpPr/>
      </xdr:nvGrpSpPr>
      <xdr:grpSpPr>
        <a:xfrm>
          <a:off x="6480464" y="2370859"/>
          <a:ext cx="1627909" cy="1521600"/>
          <a:chOff x="6515100" y="2362200"/>
          <a:chExt cx="1638300" cy="1521600"/>
        </a:xfrm>
      </xdr:grpSpPr>
      <xdr:pic>
        <xdr:nvPicPr>
          <xdr:cNvPr id="12" name="Picture 11"/>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715125" y="2362200"/>
            <a:ext cx="1190625" cy="1190625"/>
          </a:xfrm>
          <a:prstGeom prst="rect">
            <a:avLst/>
          </a:prstGeom>
        </xdr:spPr>
      </xdr:pic>
      <xdr:sp macro="" textlink="">
        <xdr:nvSpPr>
          <xdr:cNvPr id="14" name="Rectangle 13"/>
          <xdr:cNvSpPr/>
        </xdr:nvSpPr>
        <xdr:spPr>
          <a:xfrm>
            <a:off x="6515100" y="3512325"/>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6">
                    <a:lumMod val="75000"/>
                  </a:schemeClr>
                </a:solidFill>
              </a:rPr>
              <a:t>USER</a:t>
            </a:r>
            <a:r>
              <a:rPr lang="en-US" sz="1100" b="1" baseline="0">
                <a:solidFill>
                  <a:schemeClr val="accent6">
                    <a:lumMod val="75000"/>
                  </a:schemeClr>
                </a:solidFill>
              </a:rPr>
              <a:t> GUIDE</a:t>
            </a:r>
            <a:endParaRPr lang="id-ID" sz="1100" b="1">
              <a:solidFill>
                <a:schemeClr val="accent6">
                  <a:lumMod val="75000"/>
                </a:schemeClr>
              </a:solidFill>
            </a:endParaRPr>
          </a:p>
        </xdr:txBody>
      </xdr:sp>
    </xdr:grpSp>
    <xdr:clientData/>
  </xdr:twoCellAnchor>
  <xdr:twoCellAnchor>
    <xdr:from>
      <xdr:col>6</xdr:col>
      <xdr:colOff>219075</xdr:colOff>
      <xdr:row>12</xdr:row>
      <xdr:rowOff>92850</xdr:rowOff>
    </xdr:from>
    <xdr:to>
      <xdr:col>9</xdr:col>
      <xdr:colOff>28575</xdr:colOff>
      <xdr:row>20</xdr:row>
      <xdr:rowOff>92850</xdr:rowOff>
    </xdr:to>
    <xdr:grpSp>
      <xdr:nvGrpSpPr>
        <xdr:cNvPr id="20" name="Group 19">
          <a:hlinkClick xmlns:r="http://schemas.openxmlformats.org/officeDocument/2006/relationships" r:id="rId11"/>
        </xdr:cNvPr>
        <xdr:cNvGrpSpPr/>
      </xdr:nvGrpSpPr>
      <xdr:grpSpPr>
        <a:xfrm>
          <a:off x="3855893" y="2387509"/>
          <a:ext cx="1627909" cy="1524000"/>
          <a:chOff x="3876675" y="2378850"/>
          <a:chExt cx="1638300" cy="1524000"/>
        </a:xfrm>
      </xdr:grpSpPr>
      <xdr:pic>
        <xdr:nvPicPr>
          <xdr:cNvPr id="13" name="Picture 12"/>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112400" y="2378850"/>
            <a:ext cx="1183500" cy="1183500"/>
          </a:xfrm>
          <a:prstGeom prst="rect">
            <a:avLst/>
          </a:prstGeom>
        </xdr:spPr>
      </xdr:pic>
      <xdr:sp macro="" textlink="">
        <xdr:nvSpPr>
          <xdr:cNvPr id="19" name="Rectangle 18"/>
          <xdr:cNvSpPr/>
        </xdr:nvSpPr>
        <xdr:spPr>
          <a:xfrm>
            <a:off x="3876675" y="3531375"/>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6">
                    <a:lumMod val="75000"/>
                  </a:schemeClr>
                </a:solidFill>
              </a:rPr>
              <a:t>MASTER</a:t>
            </a:r>
            <a:r>
              <a:rPr lang="en-US" sz="1100" b="1" baseline="0">
                <a:solidFill>
                  <a:schemeClr val="accent6">
                    <a:lumMod val="75000"/>
                  </a:schemeClr>
                </a:solidFill>
              </a:rPr>
              <a:t> DATA</a:t>
            </a:r>
            <a:endParaRPr lang="id-ID" sz="1100" b="1">
              <a:solidFill>
                <a:schemeClr val="accent6">
                  <a:lumMod val="75000"/>
                </a:schemeClr>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354825</xdr:colOff>
      <xdr:row>0</xdr:row>
      <xdr:rowOff>180975</xdr:rowOff>
    </xdr:from>
    <xdr:to>
      <xdr:col>2</xdr:col>
      <xdr:colOff>128700</xdr:colOff>
      <xdr:row>5</xdr:row>
      <xdr:rowOff>42205</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4825" y="180975"/>
          <a:ext cx="993075" cy="870880"/>
        </a:xfrm>
        <a:prstGeom prst="rect">
          <a:avLst/>
        </a:prstGeom>
      </xdr:spPr>
    </xdr:pic>
    <xdr:clientData/>
  </xdr:twoCellAnchor>
  <xdr:twoCellAnchor editAs="oneCell">
    <xdr:from>
      <xdr:col>0</xdr:col>
      <xdr:colOff>323850</xdr:colOff>
      <xdr:row>6</xdr:row>
      <xdr:rowOff>111900</xdr:rowOff>
    </xdr:from>
    <xdr:to>
      <xdr:col>2</xdr:col>
      <xdr:colOff>97725</xdr:colOff>
      <xdr:row>10</xdr:row>
      <xdr:rowOff>30280</xdr:rowOff>
    </xdr:to>
    <xdr:pic>
      <xdr:nvPicPr>
        <xdr:cNvPr id="4" name="Picture 3">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23850" y="1312050"/>
          <a:ext cx="993075" cy="870880"/>
        </a:xfrm>
        <a:prstGeom prst="rect">
          <a:avLst/>
        </a:prstGeom>
      </xdr:spPr>
    </xdr:pic>
    <xdr:clientData/>
  </xdr:twoCellAnchor>
  <xdr:twoCellAnchor editAs="oneCell">
    <xdr:from>
      <xdr:col>2</xdr:col>
      <xdr:colOff>569100</xdr:colOff>
      <xdr:row>0</xdr:row>
      <xdr:rowOff>185700</xdr:rowOff>
    </xdr:from>
    <xdr:to>
      <xdr:col>4</xdr:col>
      <xdr:colOff>342975</xdr:colOff>
      <xdr:row>5</xdr:row>
      <xdr:rowOff>46930</xdr:rowOff>
    </xdr:to>
    <xdr:pic>
      <xdr:nvPicPr>
        <xdr:cNvPr id="5" name="Picture 4">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788300" y="185700"/>
          <a:ext cx="993075" cy="870880"/>
        </a:xfrm>
        <a:prstGeom prst="rect">
          <a:avLst/>
        </a:prstGeom>
      </xdr:spPr>
    </xdr:pic>
    <xdr:clientData/>
  </xdr:twoCellAnchor>
  <xdr:twoCellAnchor editAs="oneCell">
    <xdr:from>
      <xdr:col>2</xdr:col>
      <xdr:colOff>538125</xdr:colOff>
      <xdr:row>6</xdr:row>
      <xdr:rowOff>107100</xdr:rowOff>
    </xdr:from>
    <xdr:to>
      <xdr:col>4</xdr:col>
      <xdr:colOff>312000</xdr:colOff>
      <xdr:row>10</xdr:row>
      <xdr:rowOff>25480</xdr:rowOff>
    </xdr:to>
    <xdr:pic>
      <xdr:nvPicPr>
        <xdr:cNvPr id="6" name="Picture 5">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757325" y="1307250"/>
          <a:ext cx="993075" cy="870880"/>
        </a:xfrm>
        <a:prstGeom prst="rect">
          <a:avLst/>
        </a:prstGeom>
      </xdr:spPr>
    </xdr:pic>
    <xdr:clientData/>
  </xdr:twoCellAnchor>
  <xdr:twoCellAnchor editAs="oneCell">
    <xdr:from>
      <xdr:col>2</xdr:col>
      <xdr:colOff>497625</xdr:colOff>
      <xdr:row>11</xdr:row>
      <xdr:rowOff>9450</xdr:rowOff>
    </xdr:from>
    <xdr:to>
      <xdr:col>4</xdr:col>
      <xdr:colOff>271500</xdr:colOff>
      <xdr:row>14</xdr:row>
      <xdr:rowOff>165955</xdr:rowOff>
    </xdr:to>
    <xdr:pic>
      <xdr:nvPicPr>
        <xdr:cNvPr id="7" name="Picture 6">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716825" y="2400225"/>
          <a:ext cx="993075" cy="870880"/>
        </a:xfrm>
        <a:prstGeom prst="rect">
          <a:avLst/>
        </a:prstGeom>
      </xdr:spPr>
    </xdr:pic>
    <xdr:clientData/>
  </xdr:twoCellAnchor>
  <xdr:twoCellAnchor editAs="oneCell">
    <xdr:from>
      <xdr:col>0</xdr:col>
      <xdr:colOff>304725</xdr:colOff>
      <xdr:row>10</xdr:row>
      <xdr:rowOff>235650</xdr:rowOff>
    </xdr:from>
    <xdr:to>
      <xdr:col>2</xdr:col>
      <xdr:colOff>78600</xdr:colOff>
      <xdr:row>14</xdr:row>
      <xdr:rowOff>154030</xdr:rowOff>
    </xdr:to>
    <xdr:pic>
      <xdr:nvPicPr>
        <xdr:cNvPr id="8" name="Picture 7">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04725" y="2388300"/>
          <a:ext cx="993075" cy="8708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431100</xdr:colOff>
      <xdr:row>1</xdr:row>
      <xdr:rowOff>38100</xdr:rowOff>
    </xdr:from>
    <xdr:to>
      <xdr:col>2</xdr:col>
      <xdr:colOff>204975</xdr:colOff>
      <xdr:row>5</xdr:row>
      <xdr:rowOff>89830</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1100" y="228600"/>
          <a:ext cx="993075" cy="870880"/>
        </a:xfrm>
        <a:prstGeom prst="rect">
          <a:avLst/>
        </a:prstGeom>
      </xdr:spPr>
    </xdr:pic>
    <xdr:clientData/>
  </xdr:twoCellAnchor>
  <xdr:twoCellAnchor editAs="oneCell">
    <xdr:from>
      <xdr:col>0</xdr:col>
      <xdr:colOff>400125</xdr:colOff>
      <xdr:row>6</xdr:row>
      <xdr:rowOff>159525</xdr:rowOff>
    </xdr:from>
    <xdr:to>
      <xdr:col>2</xdr:col>
      <xdr:colOff>174000</xdr:colOff>
      <xdr:row>10</xdr:row>
      <xdr:rowOff>77905</xdr:rowOff>
    </xdr:to>
    <xdr:pic>
      <xdr:nvPicPr>
        <xdr:cNvPr id="4" name="Picture 3">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00125" y="1359675"/>
          <a:ext cx="993075" cy="870880"/>
        </a:xfrm>
        <a:prstGeom prst="rect">
          <a:avLst/>
        </a:prstGeom>
      </xdr:spPr>
    </xdr:pic>
    <xdr:clientData/>
  </xdr:twoCellAnchor>
  <xdr:twoCellAnchor editAs="oneCell">
    <xdr:from>
      <xdr:col>3</xdr:col>
      <xdr:colOff>35775</xdr:colOff>
      <xdr:row>1</xdr:row>
      <xdr:rowOff>42825</xdr:rowOff>
    </xdr:from>
    <xdr:to>
      <xdr:col>4</xdr:col>
      <xdr:colOff>419250</xdr:colOff>
      <xdr:row>5</xdr:row>
      <xdr:rowOff>94555</xdr:rowOff>
    </xdr:to>
    <xdr:pic>
      <xdr:nvPicPr>
        <xdr:cNvPr id="5" name="Picture 4">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64575" y="233325"/>
          <a:ext cx="993075" cy="870880"/>
        </a:xfrm>
        <a:prstGeom prst="rect">
          <a:avLst/>
        </a:prstGeom>
      </xdr:spPr>
    </xdr:pic>
    <xdr:clientData/>
  </xdr:twoCellAnchor>
  <xdr:twoCellAnchor editAs="oneCell">
    <xdr:from>
      <xdr:col>3</xdr:col>
      <xdr:colOff>4800</xdr:colOff>
      <xdr:row>6</xdr:row>
      <xdr:rowOff>154725</xdr:rowOff>
    </xdr:from>
    <xdr:to>
      <xdr:col>4</xdr:col>
      <xdr:colOff>388275</xdr:colOff>
      <xdr:row>10</xdr:row>
      <xdr:rowOff>73105</xdr:rowOff>
    </xdr:to>
    <xdr:pic>
      <xdr:nvPicPr>
        <xdr:cNvPr id="6" name="Picture 5">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833600" y="1354875"/>
          <a:ext cx="993075" cy="870880"/>
        </a:xfrm>
        <a:prstGeom prst="rect">
          <a:avLst/>
        </a:prstGeom>
      </xdr:spPr>
    </xdr:pic>
    <xdr:clientData/>
  </xdr:twoCellAnchor>
  <xdr:twoCellAnchor editAs="oneCell">
    <xdr:from>
      <xdr:col>3</xdr:col>
      <xdr:colOff>11925</xdr:colOff>
      <xdr:row>11</xdr:row>
      <xdr:rowOff>0</xdr:rowOff>
    </xdr:from>
    <xdr:to>
      <xdr:col>4</xdr:col>
      <xdr:colOff>395400</xdr:colOff>
      <xdr:row>14</xdr:row>
      <xdr:rowOff>156505</xdr:rowOff>
    </xdr:to>
    <xdr:pic>
      <xdr:nvPicPr>
        <xdr:cNvPr id="7" name="Picture 6">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840725" y="2428800"/>
          <a:ext cx="993075" cy="870880"/>
        </a:xfrm>
        <a:prstGeom prst="rect">
          <a:avLst/>
        </a:prstGeom>
      </xdr:spPr>
    </xdr:pic>
    <xdr:clientData/>
  </xdr:twoCellAnchor>
  <xdr:twoCellAnchor editAs="oneCell">
    <xdr:from>
      <xdr:col>0</xdr:col>
      <xdr:colOff>381000</xdr:colOff>
      <xdr:row>11</xdr:row>
      <xdr:rowOff>0</xdr:rowOff>
    </xdr:from>
    <xdr:to>
      <xdr:col>2</xdr:col>
      <xdr:colOff>154875</xdr:colOff>
      <xdr:row>14</xdr:row>
      <xdr:rowOff>156505</xdr:rowOff>
    </xdr:to>
    <xdr:pic>
      <xdr:nvPicPr>
        <xdr:cNvPr id="8" name="Picture 7">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81000" y="2435925"/>
          <a:ext cx="993075" cy="8708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152400</xdr:colOff>
      <xdr:row>1</xdr:row>
      <xdr:rowOff>95250</xdr:rowOff>
    </xdr:from>
    <xdr:to>
      <xdr:col>6</xdr:col>
      <xdr:colOff>114300</xdr:colOff>
      <xdr:row>4</xdr:row>
      <xdr:rowOff>47625</xdr:rowOff>
    </xdr:to>
    <xdr:sp macro="" textlink="">
      <xdr:nvSpPr>
        <xdr:cNvPr id="6145" name="CommandButton1" hidden="1">
          <a:extLst>
            <a:ext uri="{63B3BB69-23CF-44E3-9099-C40C66FF867C}">
              <a14:compatExt xmlns:a14="http://schemas.microsoft.com/office/drawing/2010/main" spid="_x0000_s6145"/>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10</xdr:col>
      <xdr:colOff>193389</xdr:colOff>
      <xdr:row>0</xdr:row>
      <xdr:rowOff>61705</xdr:rowOff>
    </xdr:from>
    <xdr:to>
      <xdr:col>13</xdr:col>
      <xdr:colOff>43464</xdr:colOff>
      <xdr:row>5</xdr:row>
      <xdr:rowOff>47174</xdr:rowOff>
    </xdr:to>
    <xdr:pic>
      <xdr:nvPicPr>
        <xdr:cNvPr id="5" name="Picture 4">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22789" y="61705"/>
          <a:ext cx="993075" cy="871294"/>
        </a:xfrm>
        <a:prstGeom prst="rect">
          <a:avLst/>
        </a:prstGeom>
      </xdr:spPr>
    </xdr:pic>
    <xdr:clientData/>
  </xdr:twoCellAnchor>
  <xdr:twoCellAnchor editAs="oneCell">
    <xdr:from>
      <xdr:col>10</xdr:col>
      <xdr:colOff>162414</xdr:colOff>
      <xdr:row>6</xdr:row>
      <xdr:rowOff>66345</xdr:rowOff>
    </xdr:from>
    <xdr:to>
      <xdr:col>13</xdr:col>
      <xdr:colOff>12489</xdr:colOff>
      <xdr:row>10</xdr:row>
      <xdr:rowOff>175225</xdr:rowOff>
    </xdr:to>
    <xdr:pic>
      <xdr:nvPicPr>
        <xdr:cNvPr id="6" name="Picture 5">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91814" y="1190295"/>
          <a:ext cx="993075" cy="870880"/>
        </a:xfrm>
        <a:prstGeom prst="rect">
          <a:avLst/>
        </a:prstGeom>
      </xdr:spPr>
    </xdr:pic>
    <xdr:clientData/>
  </xdr:twoCellAnchor>
  <xdr:twoCellAnchor editAs="oneCell">
    <xdr:from>
      <xdr:col>14</xdr:col>
      <xdr:colOff>102864</xdr:colOff>
      <xdr:row>0</xdr:row>
      <xdr:rowOff>66430</xdr:rowOff>
    </xdr:from>
    <xdr:to>
      <xdr:col>16</xdr:col>
      <xdr:colOff>333939</xdr:colOff>
      <xdr:row>5</xdr:row>
      <xdr:rowOff>51899</xdr:rowOff>
    </xdr:to>
    <xdr:pic>
      <xdr:nvPicPr>
        <xdr:cNvPr id="7" name="Picture 6">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56264" y="66430"/>
          <a:ext cx="993075" cy="871294"/>
        </a:xfrm>
        <a:prstGeom prst="rect">
          <a:avLst/>
        </a:prstGeom>
      </xdr:spPr>
    </xdr:pic>
    <xdr:clientData/>
  </xdr:twoCellAnchor>
  <xdr:twoCellAnchor editAs="oneCell">
    <xdr:from>
      <xdr:col>14</xdr:col>
      <xdr:colOff>71889</xdr:colOff>
      <xdr:row>6</xdr:row>
      <xdr:rowOff>61545</xdr:rowOff>
    </xdr:from>
    <xdr:to>
      <xdr:col>16</xdr:col>
      <xdr:colOff>302964</xdr:colOff>
      <xdr:row>10</xdr:row>
      <xdr:rowOff>170425</xdr:rowOff>
    </xdr:to>
    <xdr:pic>
      <xdr:nvPicPr>
        <xdr:cNvPr id="8" name="Picture 7">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225289" y="1185495"/>
          <a:ext cx="993075" cy="870880"/>
        </a:xfrm>
        <a:prstGeom prst="rect">
          <a:avLst/>
        </a:prstGeom>
      </xdr:spPr>
    </xdr:pic>
    <xdr:clientData/>
  </xdr:twoCellAnchor>
  <xdr:twoCellAnchor editAs="oneCell">
    <xdr:from>
      <xdr:col>14</xdr:col>
      <xdr:colOff>98064</xdr:colOff>
      <xdr:row>12</xdr:row>
      <xdr:rowOff>11520</xdr:rowOff>
    </xdr:from>
    <xdr:to>
      <xdr:col>16</xdr:col>
      <xdr:colOff>329139</xdr:colOff>
      <xdr:row>16</xdr:row>
      <xdr:rowOff>120400</xdr:rowOff>
    </xdr:to>
    <xdr:pic>
      <xdr:nvPicPr>
        <xdr:cNvPr id="9" name="Picture 8">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251464" y="2335620"/>
          <a:ext cx="993075" cy="870880"/>
        </a:xfrm>
        <a:prstGeom prst="rect">
          <a:avLst/>
        </a:prstGeom>
      </xdr:spPr>
    </xdr:pic>
    <xdr:clientData/>
  </xdr:twoCellAnchor>
  <xdr:twoCellAnchor editAs="oneCell">
    <xdr:from>
      <xdr:col>10</xdr:col>
      <xdr:colOff>143289</xdr:colOff>
      <xdr:row>11</xdr:row>
      <xdr:rowOff>190095</xdr:rowOff>
    </xdr:from>
    <xdr:to>
      <xdr:col>12</xdr:col>
      <xdr:colOff>374364</xdr:colOff>
      <xdr:row>16</xdr:row>
      <xdr:rowOff>108475</xdr:rowOff>
    </xdr:to>
    <xdr:pic>
      <xdr:nvPicPr>
        <xdr:cNvPr id="10" name="Picture 9">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772689" y="2266545"/>
          <a:ext cx="993075" cy="87088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152400</xdr:colOff>
          <xdr:row>1</xdr:row>
          <xdr:rowOff>95250</xdr:rowOff>
        </xdr:from>
        <xdr:to>
          <xdr:col>5</xdr:col>
          <xdr:colOff>161925</xdr:colOff>
          <xdr:row>1</xdr:row>
          <xdr:rowOff>104775</xdr:rowOff>
        </xdr:to>
        <xdr:sp macro="" textlink="">
          <xdr:nvSpPr>
            <xdr:cNvPr id="2" name="CommandButton1" hidden="1">
              <a:extLst>
                <a:ext uri="{63B3BB69-23CF-44E3-9099-C40C66FF867C}">
                  <a14:compatExt spid="_x0000_s61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0</xdr:col>
      <xdr:colOff>50100</xdr:colOff>
      <xdr:row>0</xdr:row>
      <xdr:rowOff>0</xdr:rowOff>
    </xdr:from>
    <xdr:to>
      <xdr:col>2</xdr:col>
      <xdr:colOff>490725</xdr:colOff>
      <xdr:row>4</xdr:row>
      <xdr:rowOff>108880</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100" y="0"/>
          <a:ext cx="993075" cy="870880"/>
        </a:xfrm>
        <a:prstGeom prst="rect">
          <a:avLst/>
        </a:prstGeom>
      </xdr:spPr>
    </xdr:pic>
    <xdr:clientData/>
  </xdr:twoCellAnchor>
  <xdr:twoCellAnchor editAs="oneCell">
    <xdr:from>
      <xdr:col>3</xdr:col>
      <xdr:colOff>1362150</xdr:colOff>
      <xdr:row>0</xdr:row>
      <xdr:rowOff>0</xdr:rowOff>
    </xdr:from>
    <xdr:to>
      <xdr:col>3</xdr:col>
      <xdr:colOff>2355225</xdr:colOff>
      <xdr:row>4</xdr:row>
      <xdr:rowOff>108880</xdr:rowOff>
    </xdr:to>
    <xdr:pic>
      <xdr:nvPicPr>
        <xdr:cNvPr id="4" name="Picture 3">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905200" y="0"/>
          <a:ext cx="993075" cy="870880"/>
        </a:xfrm>
        <a:prstGeom prst="rect">
          <a:avLst/>
        </a:prstGeom>
      </xdr:spPr>
    </xdr:pic>
    <xdr:clientData/>
  </xdr:twoCellAnchor>
  <xdr:twoCellAnchor editAs="oneCell">
    <xdr:from>
      <xdr:col>2</xdr:col>
      <xdr:colOff>931125</xdr:colOff>
      <xdr:row>0</xdr:row>
      <xdr:rowOff>4725</xdr:rowOff>
    </xdr:from>
    <xdr:to>
      <xdr:col>3</xdr:col>
      <xdr:colOff>838350</xdr:colOff>
      <xdr:row>4</xdr:row>
      <xdr:rowOff>113605</xdr:rowOff>
    </xdr:to>
    <xdr:pic>
      <xdr:nvPicPr>
        <xdr:cNvPr id="5" name="Picture 4">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83575" y="4725"/>
          <a:ext cx="993075" cy="870880"/>
        </a:xfrm>
        <a:prstGeom prst="rect">
          <a:avLst/>
        </a:prstGeom>
      </xdr:spPr>
    </xdr:pic>
    <xdr:clientData/>
  </xdr:twoCellAnchor>
  <xdr:twoCellAnchor editAs="oneCell">
    <xdr:from>
      <xdr:col>5</xdr:col>
      <xdr:colOff>61950</xdr:colOff>
      <xdr:row>0</xdr:row>
      <xdr:rowOff>0</xdr:rowOff>
    </xdr:from>
    <xdr:to>
      <xdr:col>7</xdr:col>
      <xdr:colOff>293025</xdr:colOff>
      <xdr:row>4</xdr:row>
      <xdr:rowOff>108880</xdr:rowOff>
    </xdr:to>
    <xdr:pic>
      <xdr:nvPicPr>
        <xdr:cNvPr id="6" name="Picture 5">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805400" y="0"/>
          <a:ext cx="993075" cy="870880"/>
        </a:xfrm>
        <a:prstGeom prst="rect">
          <a:avLst/>
        </a:prstGeom>
      </xdr:spPr>
    </xdr:pic>
    <xdr:clientData/>
  </xdr:twoCellAnchor>
  <xdr:twoCellAnchor editAs="oneCell">
    <xdr:from>
      <xdr:col>13</xdr:col>
      <xdr:colOff>142875</xdr:colOff>
      <xdr:row>0</xdr:row>
      <xdr:rowOff>9525</xdr:rowOff>
    </xdr:from>
    <xdr:to>
      <xdr:col>15</xdr:col>
      <xdr:colOff>373950</xdr:colOff>
      <xdr:row>4</xdr:row>
      <xdr:rowOff>118405</xdr:rowOff>
    </xdr:to>
    <xdr:pic>
      <xdr:nvPicPr>
        <xdr:cNvPr id="7" name="Picture 6">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934325" y="9525"/>
          <a:ext cx="993075" cy="870880"/>
        </a:xfrm>
        <a:prstGeom prst="rect">
          <a:avLst/>
        </a:prstGeom>
      </xdr:spPr>
    </xdr:pic>
    <xdr:clientData/>
  </xdr:twoCellAnchor>
  <xdr:twoCellAnchor editAs="oneCell">
    <xdr:from>
      <xdr:col>9</xdr:col>
      <xdr:colOff>152400</xdr:colOff>
      <xdr:row>0</xdr:row>
      <xdr:rowOff>0</xdr:rowOff>
    </xdr:from>
    <xdr:to>
      <xdr:col>12</xdr:col>
      <xdr:colOff>2475</xdr:colOff>
      <xdr:row>4</xdr:row>
      <xdr:rowOff>108880</xdr:rowOff>
    </xdr:to>
    <xdr:pic>
      <xdr:nvPicPr>
        <xdr:cNvPr id="8" name="Picture 7">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419850" y="0"/>
          <a:ext cx="993075" cy="8708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3.emf"/><Relationship Id="rId4"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E1:P22"/>
  <sheetViews>
    <sheetView showGridLines="0" zoomScale="110" zoomScaleNormal="110" zoomScaleSheetLayoutView="100" workbookViewId="0">
      <selection activeCell="F24" sqref="F24"/>
    </sheetView>
  </sheetViews>
  <sheetFormatPr defaultRowHeight="15"/>
  <sheetData>
    <row r="1" spans="14:16" ht="15.75">
      <c r="N1" s="85"/>
      <c r="O1" s="85"/>
      <c r="P1" s="85"/>
    </row>
    <row r="22" spans="5:16">
      <c r="E22" s="57" t="s">
        <v>244</v>
      </c>
      <c r="F22" s="57"/>
      <c r="P22" s="54"/>
    </row>
  </sheetData>
  <sheetProtection sheet="1" objects="1" scenarios="1" selectLockedCells="1" selectUnlockedCells="1"/>
  <mergeCells count="1">
    <mergeCell ref="N1:P1"/>
  </mergeCells>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C000"/>
  </sheetPr>
  <dimension ref="G5:K74"/>
  <sheetViews>
    <sheetView showGridLines="0" workbookViewId="0">
      <selection activeCell="H9" sqref="H9"/>
    </sheetView>
  </sheetViews>
  <sheetFormatPr defaultRowHeight="15"/>
  <cols>
    <col min="1" max="5" width="9.140625" style="1"/>
    <col min="6" max="6" width="9" style="1" customWidth="1"/>
    <col min="7" max="7" width="6" style="1" customWidth="1"/>
    <col min="8" max="8" width="23.42578125" style="1" customWidth="1"/>
    <col min="9" max="9" width="48.42578125" style="1" customWidth="1"/>
    <col min="10" max="10" width="24.5703125" style="1" customWidth="1"/>
    <col min="11" max="11" width="0" style="1" hidden="1" customWidth="1"/>
    <col min="12" max="16384" width="9.140625" style="1"/>
  </cols>
  <sheetData>
    <row r="5" spans="7:11" ht="19.5">
      <c r="G5" s="86" t="s">
        <v>2</v>
      </c>
      <c r="H5" s="86"/>
      <c r="I5" s="86"/>
      <c r="J5" s="86"/>
    </row>
    <row r="7" spans="7:11" ht="18.75" customHeight="1">
      <c r="G7" s="2" t="s">
        <v>1</v>
      </c>
      <c r="H7" s="2" t="s">
        <v>33</v>
      </c>
      <c r="I7" s="2" t="s">
        <v>0</v>
      </c>
      <c r="J7" s="2" t="s">
        <v>121</v>
      </c>
    </row>
    <row r="8" spans="7:11" ht="18.75" customHeight="1">
      <c r="G8" s="6">
        <v>1</v>
      </c>
      <c r="H8" s="6"/>
      <c r="I8" s="4"/>
      <c r="J8" s="4"/>
      <c r="K8" s="1" t="s">
        <v>123</v>
      </c>
    </row>
    <row r="9" spans="7:11" ht="18.75" customHeight="1">
      <c r="G9" s="6">
        <v>2</v>
      </c>
      <c r="H9" s="6"/>
      <c r="I9" s="4"/>
      <c r="J9" s="4"/>
      <c r="K9" s="1" t="s">
        <v>124</v>
      </c>
    </row>
    <row r="10" spans="7:11" ht="18.75" customHeight="1">
      <c r="G10" s="6">
        <v>3</v>
      </c>
      <c r="H10" s="6"/>
      <c r="I10" s="4"/>
      <c r="J10" s="4"/>
      <c r="K10" s="1" t="s">
        <v>143</v>
      </c>
    </row>
    <row r="11" spans="7:11" ht="18.75" customHeight="1">
      <c r="G11" s="6">
        <v>4</v>
      </c>
      <c r="H11" s="6"/>
      <c r="I11" s="4"/>
      <c r="J11" s="64"/>
      <c r="K11" s="1" t="s">
        <v>122</v>
      </c>
    </row>
    <row r="12" spans="7:11" ht="18.75" customHeight="1">
      <c r="G12" s="6">
        <v>5</v>
      </c>
      <c r="H12" s="6"/>
      <c r="I12" s="4"/>
      <c r="J12" s="64"/>
      <c r="K12" s="1" t="s">
        <v>144</v>
      </c>
    </row>
    <row r="13" spans="7:11" ht="18.75" customHeight="1">
      <c r="G13" s="6">
        <v>6</v>
      </c>
      <c r="H13" s="6"/>
      <c r="I13" s="4"/>
      <c r="J13" s="64"/>
    </row>
    <row r="14" spans="7:11" ht="18.75" customHeight="1">
      <c r="G14" s="6">
        <v>7</v>
      </c>
      <c r="H14" s="6"/>
      <c r="I14" s="4"/>
      <c r="J14" s="64"/>
    </row>
    <row r="15" spans="7:11" ht="18.75" customHeight="1">
      <c r="G15" s="6">
        <v>8</v>
      </c>
      <c r="H15" s="6"/>
      <c r="I15" s="4"/>
      <c r="J15" s="64"/>
    </row>
    <row r="16" spans="7:11" ht="18.75" customHeight="1">
      <c r="G16" s="6">
        <v>9</v>
      </c>
      <c r="H16" s="6"/>
      <c r="I16" s="4"/>
      <c r="J16" s="64"/>
    </row>
    <row r="17" spans="7:10" ht="18.75" customHeight="1">
      <c r="G17" s="6">
        <v>10</v>
      </c>
      <c r="H17" s="6"/>
      <c r="I17" s="4"/>
      <c r="J17" s="64"/>
    </row>
    <row r="18" spans="7:10" ht="18.75" customHeight="1">
      <c r="G18" s="6">
        <v>11</v>
      </c>
      <c r="H18" s="6"/>
      <c r="I18" s="4"/>
      <c r="J18" s="64"/>
    </row>
    <row r="19" spans="7:10" ht="18.75" customHeight="1">
      <c r="G19" s="6">
        <v>12</v>
      </c>
      <c r="H19" s="6"/>
      <c r="I19" s="4"/>
      <c r="J19" s="64"/>
    </row>
    <row r="20" spans="7:10" ht="18.75" customHeight="1">
      <c r="G20" s="6">
        <v>13</v>
      </c>
      <c r="H20" s="6"/>
      <c r="I20" s="4"/>
      <c r="J20" s="64"/>
    </row>
    <row r="21" spans="7:10" ht="18.75" customHeight="1">
      <c r="G21" s="6">
        <v>14</v>
      </c>
      <c r="H21" s="6"/>
      <c r="I21" s="4"/>
      <c r="J21" s="64"/>
    </row>
    <row r="22" spans="7:10" ht="18.75" customHeight="1">
      <c r="G22" s="6">
        <v>15</v>
      </c>
      <c r="H22" s="6"/>
      <c r="I22" s="4"/>
      <c r="J22" s="64"/>
    </row>
    <row r="23" spans="7:10" ht="18.75" customHeight="1">
      <c r="G23" s="6">
        <v>16</v>
      </c>
      <c r="H23" s="6"/>
      <c r="I23" s="4"/>
      <c r="J23" s="64"/>
    </row>
    <row r="24" spans="7:10" ht="18.75" customHeight="1">
      <c r="G24" s="6">
        <v>17</v>
      </c>
      <c r="H24" s="6"/>
      <c r="I24" s="4"/>
      <c r="J24" s="64"/>
    </row>
    <row r="25" spans="7:10" ht="18.75" customHeight="1">
      <c r="G25" s="6">
        <v>18</v>
      </c>
      <c r="H25" s="6"/>
      <c r="I25" s="4"/>
      <c r="J25" s="64"/>
    </row>
    <row r="26" spans="7:10" ht="18.75" customHeight="1">
      <c r="G26" s="6">
        <v>19</v>
      </c>
      <c r="H26" s="6"/>
      <c r="I26" s="4"/>
      <c r="J26" s="64"/>
    </row>
    <row r="27" spans="7:10" ht="18.75" customHeight="1">
      <c r="G27" s="6">
        <v>20</v>
      </c>
      <c r="H27" s="6"/>
      <c r="I27" s="4"/>
      <c r="J27" s="64"/>
    </row>
    <row r="28" spans="7:10" ht="18.75" customHeight="1">
      <c r="G28" s="6">
        <v>21</v>
      </c>
      <c r="H28" s="6"/>
      <c r="I28" s="4"/>
      <c r="J28" s="64"/>
    </row>
    <row r="29" spans="7:10" ht="18.75" customHeight="1">
      <c r="G29" s="6">
        <v>22</v>
      </c>
      <c r="H29" s="6"/>
      <c r="I29" s="4"/>
      <c r="J29" s="64"/>
    </row>
    <row r="30" spans="7:10" ht="18.75" customHeight="1">
      <c r="G30" s="6">
        <v>23</v>
      </c>
      <c r="H30" s="6"/>
      <c r="I30" s="4"/>
      <c r="J30" s="64"/>
    </row>
    <row r="31" spans="7:10" ht="18.75" customHeight="1">
      <c r="G31" s="6">
        <v>24</v>
      </c>
      <c r="H31" s="6"/>
      <c r="I31" s="64"/>
      <c r="J31" s="64"/>
    </row>
    <row r="32" spans="7:10" ht="18.75" customHeight="1">
      <c r="G32" s="6">
        <v>25</v>
      </c>
      <c r="H32" s="6"/>
      <c r="I32" s="64"/>
      <c r="J32" s="64"/>
    </row>
    <row r="33" ht="18.75" customHeight="1"/>
    <row r="34" ht="18.75" customHeight="1"/>
    <row r="35" ht="18.75" customHeight="1"/>
    <row r="36" ht="18.75" customHeight="1"/>
    <row r="37" ht="18.75" customHeight="1"/>
    <row r="38" ht="18.75" customHeight="1"/>
    <row r="39" ht="18.75" customHeight="1"/>
    <row r="40" ht="18.75" customHeight="1"/>
    <row r="41" ht="18.75" customHeight="1"/>
    <row r="42" ht="18.75" customHeight="1"/>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row r="62" ht="18.75" customHeight="1"/>
    <row r="63" ht="18.75" customHeight="1"/>
    <row r="64"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row r="74" ht="18.75" customHeight="1"/>
  </sheetData>
  <mergeCells count="1">
    <mergeCell ref="G5:J5"/>
  </mergeCells>
  <pageMargins left="0.7" right="0.7" top="0.75" bottom="0.75" header="0.3" footer="0.3"/>
  <pageSetup orientation="portrait"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errorTitle="Error" error="Klik dropdown untuk memilih agama" promptTitle="Petunjuk." prompt="Klik button dropdown untuk memilih agama">
          <x14:formula1>
            <xm:f>'Master Data'!$C$9:$C$13</xm:f>
          </x14:formula1>
          <xm:sqref>J8:J32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tint="0.39997558519241921"/>
  </sheetPr>
  <dimension ref="G5:H61"/>
  <sheetViews>
    <sheetView showGridLines="0" workbookViewId="0">
      <selection activeCell="J13" sqref="J13"/>
    </sheetView>
  </sheetViews>
  <sheetFormatPr defaultRowHeight="15"/>
  <cols>
    <col min="1" max="5" width="9.140625" style="1"/>
    <col min="6" max="6" width="9" style="1" customWidth="1"/>
    <col min="7" max="7" width="7.42578125" style="1" customWidth="1"/>
    <col min="8" max="8" width="67.28515625" style="1" customWidth="1"/>
    <col min="9" max="16384" width="9.140625" style="1"/>
  </cols>
  <sheetData>
    <row r="5" spans="7:8" ht="19.5">
      <c r="G5" s="86" t="s">
        <v>23</v>
      </c>
      <c r="H5" s="86"/>
    </row>
    <row r="7" spans="7:8" ht="18.75" customHeight="1">
      <c r="G7" s="2" t="s">
        <v>1</v>
      </c>
      <c r="H7" s="2" t="s">
        <v>24</v>
      </c>
    </row>
    <row r="8" spans="7:8" ht="18.75" customHeight="1">
      <c r="G8" s="6">
        <v>1</v>
      </c>
      <c r="H8" s="7" t="s">
        <v>116</v>
      </c>
    </row>
    <row r="9" spans="7:8" ht="18.75" customHeight="1">
      <c r="G9" s="6">
        <v>2</v>
      </c>
      <c r="H9" s="8" t="s">
        <v>56</v>
      </c>
    </row>
    <row r="10" spans="7:8" ht="18.75" customHeight="1">
      <c r="G10" s="6">
        <v>3</v>
      </c>
      <c r="H10" s="9" t="s">
        <v>25</v>
      </c>
    </row>
    <row r="11" spans="7:8" ht="18.75" customHeight="1">
      <c r="G11" s="6">
        <v>4</v>
      </c>
      <c r="H11" s="9" t="s">
        <v>26</v>
      </c>
    </row>
    <row r="12" spans="7:8" ht="18.75" customHeight="1">
      <c r="G12" s="6">
        <v>5</v>
      </c>
      <c r="H12" s="7" t="s">
        <v>27</v>
      </c>
    </row>
    <row r="13" spans="7:8" ht="18.75" customHeight="1">
      <c r="G13" s="6">
        <v>6</v>
      </c>
      <c r="H13" s="9" t="s">
        <v>246</v>
      </c>
    </row>
    <row r="14" spans="7:8" ht="18.75" customHeight="1">
      <c r="G14" s="6">
        <v>7</v>
      </c>
      <c r="H14" s="7" t="s">
        <v>29</v>
      </c>
    </row>
    <row r="15" spans="7:8" ht="18.75" customHeight="1">
      <c r="G15" s="6">
        <v>8</v>
      </c>
      <c r="H15" s="9" t="s">
        <v>30</v>
      </c>
    </row>
    <row r="16" spans="7:8" ht="18.75" customHeight="1">
      <c r="G16" s="6">
        <v>9</v>
      </c>
      <c r="H16" s="10" t="s">
        <v>137</v>
      </c>
    </row>
    <row r="17" ht="18.75" customHeight="1"/>
    <row r="18" ht="18.75" customHeight="1"/>
    <row r="19" ht="18.75" customHeight="1"/>
    <row r="20" ht="18.75" customHeight="1"/>
    <row r="21" ht="18.75" customHeight="1"/>
    <row r="22" ht="18.75" customHeight="1"/>
    <row r="23" ht="18.75" customHeight="1"/>
    <row r="24" ht="18.75" customHeight="1"/>
    <row r="25" ht="18.75" customHeight="1"/>
    <row r="26" ht="18.75" customHeight="1"/>
    <row r="27" ht="18.75" customHeight="1"/>
    <row r="28" ht="18.75" customHeight="1"/>
    <row r="29" ht="18.75" customHeight="1"/>
    <row r="30" ht="18.75" customHeight="1"/>
    <row r="31" ht="18.75" customHeight="1"/>
    <row r="32" ht="18.75" customHeight="1"/>
    <row r="33" ht="18.75" customHeight="1"/>
    <row r="34" ht="18.75" customHeight="1"/>
    <row r="35" ht="18.75" customHeight="1"/>
    <row r="36" ht="18.75" customHeight="1"/>
    <row r="37" ht="18.75" customHeight="1"/>
    <row r="38" ht="18.75" customHeight="1"/>
    <row r="39" ht="18.75" customHeight="1"/>
    <row r="40" ht="18.75" customHeight="1"/>
    <row r="41" ht="18.75" customHeight="1"/>
    <row r="42" ht="18.75" customHeight="1"/>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sheetData>
  <sheetProtection sheet="1" objects="1" scenarios="1" selectLockedCells="1" selectUnlockedCells="1"/>
  <mergeCells count="1">
    <mergeCell ref="G5:H5"/>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9" tint="0.59999389629810485"/>
  </sheetPr>
  <dimension ref="A3:I20"/>
  <sheetViews>
    <sheetView showGridLines="0" workbookViewId="0">
      <selection activeCell="F12" sqref="F12"/>
    </sheetView>
  </sheetViews>
  <sheetFormatPr defaultRowHeight="15"/>
  <cols>
    <col min="1" max="1" width="2.28515625" customWidth="1"/>
    <col min="2" max="2" width="8.28515625" customWidth="1"/>
    <col min="3" max="3" width="18.28515625" customWidth="1"/>
    <col min="4" max="5" width="5.7109375" customWidth="1"/>
    <col min="6" max="6" width="18" customWidth="1"/>
    <col min="7" max="8" width="5.7109375" customWidth="1"/>
    <col min="9" max="9" width="24" customWidth="1"/>
    <col min="10" max="26" width="5.7109375" customWidth="1"/>
  </cols>
  <sheetData>
    <row r="3" spans="1:9" ht="19.5">
      <c r="B3" s="19" t="s">
        <v>93</v>
      </c>
      <c r="C3" s="18"/>
      <c r="D3" s="18"/>
      <c r="E3" s="18"/>
    </row>
    <row r="5" spans="1:9" ht="5.25" customHeight="1"/>
    <row r="6" spans="1:9" ht="23.25" customHeight="1">
      <c r="B6" s="87"/>
      <c r="C6" s="87"/>
      <c r="E6" s="88" t="s">
        <v>44</v>
      </c>
      <c r="F6" s="88"/>
      <c r="H6" s="14" t="s">
        <v>46</v>
      </c>
    </row>
    <row r="7" spans="1:9">
      <c r="B7" s="73" t="s">
        <v>3</v>
      </c>
      <c r="C7" s="73"/>
      <c r="E7" s="13" t="s">
        <v>43</v>
      </c>
      <c r="F7" s="13" t="s">
        <v>45</v>
      </c>
      <c r="H7" s="13" t="s">
        <v>43</v>
      </c>
      <c r="I7" s="13" t="s">
        <v>47</v>
      </c>
    </row>
    <row r="8" spans="1:9">
      <c r="B8" s="78" t="s">
        <v>43</v>
      </c>
      <c r="C8" s="78" t="s">
        <v>3</v>
      </c>
      <c r="E8" s="3">
        <v>1</v>
      </c>
      <c r="F8" s="4" t="s">
        <v>114</v>
      </c>
      <c r="H8" s="3">
        <v>1</v>
      </c>
      <c r="I8" s="4" t="s">
        <v>42</v>
      </c>
    </row>
    <row r="9" spans="1:9">
      <c r="B9" s="76">
        <v>1</v>
      </c>
      <c r="C9" s="77" t="s">
        <v>123</v>
      </c>
      <c r="E9" s="3">
        <v>2</v>
      </c>
      <c r="F9" s="4" t="s">
        <v>115</v>
      </c>
      <c r="H9" s="3">
        <v>2</v>
      </c>
      <c r="I9" s="4" t="s">
        <v>48</v>
      </c>
    </row>
    <row r="10" spans="1:9">
      <c r="B10" s="76">
        <v>2</v>
      </c>
      <c r="C10" s="77" t="s">
        <v>124</v>
      </c>
      <c r="H10" s="3">
        <v>3</v>
      </c>
      <c r="I10" s="4" t="s">
        <v>49</v>
      </c>
    </row>
    <row r="11" spans="1:9">
      <c r="A11" s="56"/>
      <c r="B11" s="76">
        <v>3</v>
      </c>
      <c r="C11" s="77" t="s">
        <v>143</v>
      </c>
      <c r="D11" s="56"/>
      <c r="H11" s="3">
        <v>4</v>
      </c>
      <c r="I11" s="4" t="s">
        <v>50</v>
      </c>
    </row>
    <row r="12" spans="1:9">
      <c r="A12" s="56"/>
      <c r="B12" s="76">
        <v>4</v>
      </c>
      <c r="C12" s="77" t="s">
        <v>122</v>
      </c>
      <c r="D12" s="56"/>
      <c r="H12" s="3">
        <v>5</v>
      </c>
      <c r="I12" s="4" t="s">
        <v>51</v>
      </c>
    </row>
    <row r="13" spans="1:9">
      <c r="A13" s="56"/>
      <c r="B13" s="76">
        <v>5</v>
      </c>
      <c r="C13" s="77" t="s">
        <v>144</v>
      </c>
      <c r="D13" s="56"/>
      <c r="H13" s="3">
        <v>6</v>
      </c>
      <c r="I13" s="4" t="s">
        <v>52</v>
      </c>
    </row>
    <row r="14" spans="1:9">
      <c r="A14" s="56"/>
      <c r="D14" s="56"/>
      <c r="H14" s="3">
        <v>7</v>
      </c>
      <c r="I14" s="4" t="s">
        <v>53</v>
      </c>
    </row>
    <row r="15" spans="1:9">
      <c r="A15" s="56"/>
      <c r="D15" s="56"/>
      <c r="H15" s="3">
        <v>8</v>
      </c>
      <c r="I15" s="4" t="s">
        <v>54</v>
      </c>
    </row>
    <row r="16" spans="1:9">
      <c r="A16" s="56"/>
      <c r="D16" s="56"/>
      <c r="H16" s="3">
        <v>9</v>
      </c>
      <c r="I16" s="4" t="s">
        <v>55</v>
      </c>
    </row>
    <row r="17" spans="2:9">
      <c r="H17" s="3">
        <v>10</v>
      </c>
      <c r="I17" s="4" t="s">
        <v>111</v>
      </c>
    </row>
    <row r="20" spans="2:9">
      <c r="B20" s="72"/>
      <c r="C20" s="72"/>
    </row>
  </sheetData>
  <sheetProtection sheet="1" objects="1" scenarios="1" selectLockedCells="1" selectUnlockedCells="1"/>
  <mergeCells count="2">
    <mergeCell ref="B6:C6"/>
    <mergeCell ref="E6:F6"/>
  </mergeCells>
  <pageMargins left="0.7" right="0.7" top="0.75" bottom="0.75" header="0.3" footer="0.3"/>
  <pageSetup orientation="portrait" horizontalDpi="360" verticalDpi="360" r:id="rId1"/>
  <drawing r:id="rId2"/>
  <legacyDrawing r:id="rId3"/>
  <controls>
    <mc:AlternateContent xmlns:mc="http://schemas.openxmlformats.org/markup-compatibility/2006">
      <mc:Choice Requires="x14">
        <control shapeId="2" r:id="rId4" name="CommandButton1">
          <controlPr defaultSize="0" autoLine="0" r:id="rId5">
            <anchor moveWithCells="1">
              <from>
                <xdr:col>5</xdr:col>
                <xdr:colOff>152400</xdr:colOff>
                <xdr:row>1</xdr:row>
                <xdr:rowOff>95250</xdr:rowOff>
              </from>
              <to>
                <xdr:col>5</xdr:col>
                <xdr:colOff>161925</xdr:colOff>
                <xdr:row>1</xdr:row>
                <xdr:rowOff>104775</xdr:rowOff>
              </to>
            </anchor>
          </controlPr>
        </control>
      </mc:Choice>
      <mc:Fallback>
        <control shapeId="6145" r:id="rId4" name="CommandButton1"/>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39997558519241921"/>
  </sheetPr>
  <dimension ref="A1:AN42"/>
  <sheetViews>
    <sheetView showGridLines="0" topLeftCell="A4" workbookViewId="0">
      <pane xSplit="4" topLeftCell="E1" activePane="topRight" state="frozen"/>
      <selection pane="topRight" activeCell="D13" sqref="D13"/>
    </sheetView>
  </sheetViews>
  <sheetFormatPr defaultRowHeight="15"/>
  <cols>
    <col min="1" max="1" width="2.28515625" customWidth="1"/>
    <col min="2" max="2" width="6" customWidth="1"/>
    <col min="3" max="3" width="16.28515625" customWidth="1"/>
    <col min="4" max="4" width="40.85546875" customWidth="1"/>
    <col min="5" max="22" width="5.7109375" customWidth="1"/>
    <col min="23" max="23" width="41.42578125" customWidth="1"/>
    <col min="24" max="24" width="38.85546875" customWidth="1"/>
    <col min="25" max="25" width="31.140625" customWidth="1"/>
    <col min="26" max="26" width="36.28515625" customWidth="1"/>
    <col min="27" max="27" width="23.28515625" customWidth="1"/>
    <col min="28" max="28" width="38.140625" customWidth="1"/>
    <col min="29" max="29" width="46.85546875" customWidth="1"/>
    <col min="30" max="30" width="10.5703125" bestFit="1" customWidth="1"/>
    <col min="31" max="31" width="11.85546875" bestFit="1" customWidth="1"/>
    <col min="32" max="32" width="27.85546875" customWidth="1"/>
    <col min="33" max="33" width="26.85546875" customWidth="1"/>
    <col min="34" max="34" width="26.42578125" customWidth="1"/>
    <col min="35" max="35" width="26.5703125" customWidth="1"/>
    <col min="36" max="36" width="28.7109375" customWidth="1"/>
    <col min="37" max="37" width="25.5703125" customWidth="1"/>
    <col min="40" max="40" width="9.140625" customWidth="1"/>
  </cols>
  <sheetData>
    <row r="1" spans="1:40">
      <c r="A1" s="1"/>
    </row>
    <row r="7" spans="1:40" ht="30.75" customHeight="1">
      <c r="B7" s="109" t="s">
        <v>14</v>
      </c>
      <c r="C7" s="109"/>
      <c r="D7" s="109"/>
      <c r="E7" s="109"/>
      <c r="F7" s="109"/>
      <c r="G7" s="109"/>
      <c r="H7" s="109"/>
      <c r="I7" s="109"/>
      <c r="J7" s="109"/>
      <c r="K7" s="109"/>
      <c r="L7" s="109"/>
      <c r="M7" s="109"/>
      <c r="N7" s="109"/>
      <c r="O7" s="109"/>
      <c r="P7" s="109"/>
      <c r="Q7" s="109"/>
      <c r="R7" s="109"/>
      <c r="S7" s="109"/>
      <c r="T7" s="109"/>
      <c r="U7" s="109"/>
      <c r="V7" s="109"/>
    </row>
    <row r="8" spans="1:40" ht="14.25" customHeight="1">
      <c r="B8" s="12"/>
      <c r="C8" s="12"/>
      <c r="D8" s="12"/>
      <c r="E8" s="12"/>
      <c r="F8" s="12"/>
      <c r="G8" s="12"/>
      <c r="H8" s="12"/>
      <c r="I8" s="12"/>
      <c r="J8" s="12"/>
      <c r="K8" s="12"/>
      <c r="L8" s="12"/>
      <c r="M8" s="12"/>
      <c r="N8" s="12"/>
      <c r="O8" s="12"/>
      <c r="P8" s="12"/>
      <c r="Q8" s="12"/>
      <c r="R8" s="12"/>
      <c r="S8" s="12"/>
      <c r="T8" s="12"/>
      <c r="U8" s="12"/>
      <c r="V8" s="12"/>
    </row>
    <row r="9" spans="1:40" ht="15" customHeight="1">
      <c r="B9" s="111" t="s">
        <v>113</v>
      </c>
      <c r="C9" s="111"/>
      <c r="D9" s="22" t="s">
        <v>41</v>
      </c>
      <c r="E9" s="15"/>
      <c r="F9" s="113"/>
      <c r="G9" s="113"/>
      <c r="H9" s="113"/>
      <c r="I9" s="112"/>
      <c r="J9" s="112"/>
      <c r="K9" s="112"/>
      <c r="L9" s="112"/>
      <c r="M9" s="12"/>
      <c r="N9" s="12"/>
      <c r="O9" s="12"/>
      <c r="P9" s="12"/>
      <c r="Q9" s="12"/>
      <c r="R9" s="12"/>
      <c r="S9" s="12"/>
      <c r="T9" s="12"/>
      <c r="U9" s="12"/>
      <c r="V9" s="12"/>
    </row>
    <row r="10" spans="1:40" ht="15" customHeight="1">
      <c r="B10" s="111" t="s">
        <v>39</v>
      </c>
      <c r="C10" s="111"/>
      <c r="D10" s="22" t="s">
        <v>114</v>
      </c>
      <c r="E10" s="15"/>
      <c r="F10" s="20"/>
      <c r="G10" s="20"/>
      <c r="H10" s="20"/>
      <c r="I10" s="113"/>
      <c r="J10" s="113"/>
      <c r="K10" s="113"/>
      <c r="L10" s="113"/>
      <c r="M10" s="12"/>
      <c r="N10" s="12"/>
      <c r="O10" s="12"/>
      <c r="P10" s="12"/>
      <c r="Q10" s="12"/>
      <c r="R10" s="12"/>
      <c r="S10" s="12"/>
      <c r="T10" s="12"/>
      <c r="U10" s="12"/>
      <c r="V10" s="12"/>
    </row>
    <row r="11" spans="1:40" ht="15" customHeight="1">
      <c r="B11" s="111" t="s">
        <v>40</v>
      </c>
      <c r="C11" s="111"/>
      <c r="D11" s="22" t="s">
        <v>42</v>
      </c>
      <c r="E11" s="12"/>
      <c r="F11" s="12"/>
      <c r="G11" s="12"/>
      <c r="H11" s="12"/>
      <c r="I11" s="12"/>
      <c r="J11" s="12"/>
      <c r="K11" s="12"/>
      <c r="L11" s="12"/>
      <c r="M11" s="12"/>
      <c r="N11" s="12"/>
      <c r="O11" s="12"/>
      <c r="P11" s="12"/>
      <c r="Q11" s="12"/>
      <c r="R11" s="12"/>
      <c r="S11" s="12"/>
      <c r="T11" s="12"/>
      <c r="U11" s="12"/>
      <c r="V11" s="12"/>
    </row>
    <row r="12" spans="1:40" ht="15" customHeight="1">
      <c r="B12" s="107" t="s">
        <v>92</v>
      </c>
      <c r="C12" s="108"/>
      <c r="D12" s="23"/>
      <c r="E12" s="16"/>
      <c r="F12" s="16"/>
      <c r="G12" s="16"/>
      <c r="H12" s="16"/>
      <c r="I12" s="16"/>
      <c r="J12" s="16"/>
      <c r="K12" s="16"/>
      <c r="L12" s="16"/>
      <c r="M12" s="16"/>
      <c r="N12" s="16"/>
      <c r="O12" s="16"/>
      <c r="P12" s="16"/>
      <c r="Q12" s="16"/>
      <c r="R12" s="16"/>
      <c r="S12" s="16"/>
      <c r="T12" s="16"/>
      <c r="U12" s="16"/>
      <c r="V12" s="16"/>
    </row>
    <row r="13" spans="1:40" ht="15" customHeight="1">
      <c r="B13" s="107" t="s">
        <v>247</v>
      </c>
      <c r="C13" s="108"/>
      <c r="D13" s="22"/>
      <c r="E13" s="16"/>
      <c r="F13" s="16"/>
      <c r="G13" s="16"/>
      <c r="H13" s="16"/>
      <c r="I13" s="16"/>
      <c r="J13" s="16"/>
      <c r="K13" s="16"/>
      <c r="L13" s="16"/>
      <c r="M13" s="16"/>
      <c r="N13" s="16"/>
      <c r="O13" s="16"/>
      <c r="P13" s="16"/>
      <c r="Q13" s="16"/>
      <c r="R13" s="16"/>
      <c r="S13" s="16"/>
      <c r="T13" s="16"/>
      <c r="U13" s="16"/>
      <c r="V13" s="16"/>
    </row>
    <row r="14" spans="1:40" ht="15" customHeight="1">
      <c r="B14" s="20"/>
      <c r="C14" s="20"/>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row>
    <row r="15" spans="1:40" ht="12.75" customHeight="1">
      <c r="B15" s="104" t="s">
        <v>1</v>
      </c>
      <c r="C15" s="104" t="s">
        <v>33</v>
      </c>
      <c r="D15" s="104" t="s">
        <v>0</v>
      </c>
      <c r="E15" s="97" t="s">
        <v>63</v>
      </c>
      <c r="F15" s="103"/>
      <c r="G15" s="103"/>
      <c r="H15" s="103"/>
      <c r="I15" s="103"/>
      <c r="J15" s="103"/>
      <c r="K15" s="103"/>
      <c r="L15" s="103"/>
      <c r="M15" s="103"/>
      <c r="N15" s="103"/>
      <c r="O15" s="103"/>
      <c r="P15" s="103"/>
      <c r="Q15" s="103"/>
      <c r="R15" s="103"/>
      <c r="S15" s="103"/>
      <c r="T15" s="103"/>
      <c r="U15" s="103"/>
      <c r="V15" s="98"/>
      <c r="W15" s="97" t="s">
        <v>59</v>
      </c>
      <c r="X15" s="98"/>
      <c r="Y15" s="97" t="s">
        <v>84</v>
      </c>
      <c r="Z15" s="103"/>
      <c r="AA15" s="103"/>
      <c r="AB15" s="98"/>
      <c r="AC15" s="91" t="s">
        <v>82</v>
      </c>
      <c r="AD15" s="97" t="s">
        <v>101</v>
      </c>
      <c r="AE15" s="98"/>
      <c r="AF15" s="97" t="s">
        <v>85</v>
      </c>
      <c r="AG15" s="98"/>
      <c r="AH15" s="97" t="s">
        <v>108</v>
      </c>
      <c r="AI15" s="98"/>
      <c r="AJ15" s="97" t="s">
        <v>109</v>
      </c>
      <c r="AK15" s="98"/>
      <c r="AL15" s="94" t="s">
        <v>73</v>
      </c>
      <c r="AM15" s="94"/>
      <c r="AN15" s="94"/>
    </row>
    <row r="16" spans="1:40">
      <c r="B16" s="105"/>
      <c r="C16" s="105"/>
      <c r="D16" s="105"/>
      <c r="E16" s="110" t="s">
        <v>3</v>
      </c>
      <c r="F16" s="110"/>
      <c r="G16" s="95" t="s">
        <v>4</v>
      </c>
      <c r="H16" s="95"/>
      <c r="I16" s="110" t="s">
        <v>5</v>
      </c>
      <c r="J16" s="110"/>
      <c r="K16" s="110" t="s">
        <v>6</v>
      </c>
      <c r="L16" s="110"/>
      <c r="M16" s="110" t="s">
        <v>7</v>
      </c>
      <c r="N16" s="110"/>
      <c r="O16" s="110" t="s">
        <v>8</v>
      </c>
      <c r="P16" s="110"/>
      <c r="Q16" s="110" t="s">
        <v>9</v>
      </c>
      <c r="R16" s="110"/>
      <c r="S16" s="110" t="s">
        <v>10</v>
      </c>
      <c r="T16" s="110"/>
      <c r="U16" s="110" t="s">
        <v>11</v>
      </c>
      <c r="V16" s="110"/>
      <c r="W16" s="89" t="s">
        <v>94</v>
      </c>
      <c r="X16" s="89" t="s">
        <v>95</v>
      </c>
      <c r="Y16" s="101" t="s">
        <v>96</v>
      </c>
      <c r="Z16" s="102"/>
      <c r="AA16" s="101" t="s">
        <v>97</v>
      </c>
      <c r="AB16" s="102"/>
      <c r="AC16" s="92"/>
      <c r="AD16" s="89" t="s">
        <v>100</v>
      </c>
      <c r="AE16" s="89" t="s">
        <v>112</v>
      </c>
      <c r="AF16" s="89" t="s">
        <v>106</v>
      </c>
      <c r="AG16" s="89" t="s">
        <v>107</v>
      </c>
      <c r="AH16" s="99" t="s">
        <v>102</v>
      </c>
      <c r="AI16" s="89" t="s">
        <v>99</v>
      </c>
      <c r="AJ16" s="99" t="s">
        <v>102</v>
      </c>
      <c r="AK16" s="89" t="s">
        <v>99</v>
      </c>
      <c r="AL16" s="95" t="s">
        <v>103</v>
      </c>
      <c r="AM16" s="95" t="s">
        <v>104</v>
      </c>
      <c r="AN16" s="96" t="s">
        <v>105</v>
      </c>
    </row>
    <row r="17" spans="2:40">
      <c r="B17" s="106"/>
      <c r="C17" s="106"/>
      <c r="D17" s="106"/>
      <c r="E17" s="11" t="s">
        <v>12</v>
      </c>
      <c r="F17" s="5" t="s">
        <v>13</v>
      </c>
      <c r="G17" s="11" t="s">
        <v>12</v>
      </c>
      <c r="H17" s="5" t="s">
        <v>13</v>
      </c>
      <c r="I17" s="11" t="s">
        <v>12</v>
      </c>
      <c r="J17" s="5" t="s">
        <v>13</v>
      </c>
      <c r="K17" s="11" t="s">
        <v>12</v>
      </c>
      <c r="L17" s="5" t="s">
        <v>13</v>
      </c>
      <c r="M17" s="11" t="s">
        <v>12</v>
      </c>
      <c r="N17" s="5" t="s">
        <v>13</v>
      </c>
      <c r="O17" s="11" t="s">
        <v>12</v>
      </c>
      <c r="P17" s="5" t="s">
        <v>13</v>
      </c>
      <c r="Q17" s="11" t="s">
        <v>12</v>
      </c>
      <c r="R17" s="5" t="s">
        <v>13</v>
      </c>
      <c r="S17" s="11" t="s">
        <v>12</v>
      </c>
      <c r="T17" s="5" t="s">
        <v>13</v>
      </c>
      <c r="U17" s="11" t="s">
        <v>12</v>
      </c>
      <c r="V17" s="5" t="s">
        <v>13</v>
      </c>
      <c r="W17" s="90"/>
      <c r="X17" s="90"/>
      <c r="Y17" s="17" t="s">
        <v>98</v>
      </c>
      <c r="Z17" s="17" t="s">
        <v>99</v>
      </c>
      <c r="AA17" s="17" t="s">
        <v>98</v>
      </c>
      <c r="AB17" s="17" t="s">
        <v>99</v>
      </c>
      <c r="AC17" s="93"/>
      <c r="AD17" s="90"/>
      <c r="AE17" s="90"/>
      <c r="AF17" s="90"/>
      <c r="AG17" s="90"/>
      <c r="AH17" s="100"/>
      <c r="AI17" s="90"/>
      <c r="AJ17" s="100"/>
      <c r="AK17" s="90"/>
      <c r="AL17" s="95"/>
      <c r="AM17" s="95"/>
      <c r="AN17" s="96"/>
    </row>
    <row r="18" spans="2:40" ht="26.25" customHeight="1">
      <c r="B18" s="3">
        <v>1</v>
      </c>
      <c r="C18" s="3">
        <f>'Master Student'!H8</f>
        <v>0</v>
      </c>
      <c r="D18" s="50" t="str">
        <f>IFERROR(VLOOKUP(C18,'Master Student'!H8:I29,2,FALSE),"Data Siswa di Student Master Masih Kosong")</f>
        <v>Data Siswa di Student Master Masih Kosong</v>
      </c>
      <c r="E18" s="80"/>
      <c r="F18" s="81"/>
      <c r="G18" s="80"/>
      <c r="H18" s="81"/>
      <c r="I18" s="80"/>
      <c r="J18" s="81"/>
      <c r="K18" s="80"/>
      <c r="L18" s="81"/>
      <c r="M18" s="80"/>
      <c r="N18" s="81"/>
      <c r="O18" s="80"/>
      <c r="P18" s="81"/>
      <c r="Q18" s="80"/>
      <c r="R18" s="81"/>
      <c r="S18" s="80"/>
      <c r="T18" s="81"/>
      <c r="U18" s="80"/>
      <c r="V18" s="81"/>
      <c r="W18" s="49" t="s">
        <v>119</v>
      </c>
      <c r="X18" s="49" t="s">
        <v>120</v>
      </c>
      <c r="Y18" s="49"/>
      <c r="Z18" s="49"/>
      <c r="AA18" s="49"/>
      <c r="AB18" s="49"/>
      <c r="AC18" s="49"/>
      <c r="AD18" s="49"/>
      <c r="AE18" s="49"/>
      <c r="AF18" s="49"/>
      <c r="AG18" s="49"/>
      <c r="AH18" s="49"/>
      <c r="AI18" s="49"/>
      <c r="AJ18" s="49"/>
      <c r="AK18" s="49"/>
      <c r="AL18" s="49"/>
      <c r="AM18" s="49"/>
      <c r="AN18" s="49"/>
    </row>
    <row r="19" spans="2:40" ht="26.25" customHeight="1">
      <c r="B19" s="3">
        <v>2</v>
      </c>
      <c r="C19" s="3">
        <f>'Master Student'!H9</f>
        <v>0</v>
      </c>
      <c r="D19" s="50" t="str">
        <f>IFERROR(VLOOKUP(C19,'Master Student'!H9:I30,2,FALSE),"Data Siswa di Student Master Masih Kosong")</f>
        <v>Data Siswa di Student Master Masih Kosong</v>
      </c>
      <c r="E19" s="80"/>
      <c r="F19" s="81"/>
      <c r="G19" s="80"/>
      <c r="H19" s="81"/>
      <c r="I19" s="80"/>
      <c r="J19" s="81"/>
      <c r="K19" s="80"/>
      <c r="L19" s="81"/>
      <c r="M19" s="80"/>
      <c r="N19" s="81"/>
      <c r="O19" s="80"/>
      <c r="P19" s="81"/>
      <c r="Q19" s="80"/>
      <c r="R19" s="81"/>
      <c r="S19" s="80"/>
      <c r="T19" s="81"/>
      <c r="U19" s="80"/>
      <c r="V19" s="81"/>
      <c r="W19" s="49" t="s">
        <v>119</v>
      </c>
      <c r="X19" s="49" t="s">
        <v>120</v>
      </c>
      <c r="Y19" s="49"/>
      <c r="Z19" s="49"/>
      <c r="AA19" s="49"/>
      <c r="AB19" s="49"/>
      <c r="AC19" s="49"/>
      <c r="AD19" s="49"/>
      <c r="AE19" s="49"/>
      <c r="AF19" s="49"/>
      <c r="AG19" s="49"/>
      <c r="AH19" s="49"/>
      <c r="AI19" s="49"/>
      <c r="AJ19" s="49"/>
      <c r="AK19" s="49"/>
      <c r="AL19" s="49"/>
      <c r="AM19" s="49"/>
      <c r="AN19" s="49"/>
    </row>
    <row r="20" spans="2:40" ht="26.25" customHeight="1">
      <c r="B20" s="3">
        <v>3</v>
      </c>
      <c r="C20" s="3">
        <f>'Master Student'!H10</f>
        <v>0</v>
      </c>
      <c r="D20" s="50" t="str">
        <f>IFERROR(VLOOKUP(C20,'Master Student'!H10:I31,2,FALSE),"Data Siswa di Student Master Masih Kosong")</f>
        <v>Data Siswa di Student Master Masih Kosong</v>
      </c>
      <c r="E20" s="80"/>
      <c r="F20" s="81"/>
      <c r="G20" s="80"/>
      <c r="H20" s="81"/>
      <c r="I20" s="80"/>
      <c r="J20" s="81"/>
      <c r="K20" s="80"/>
      <c r="L20" s="81"/>
      <c r="M20" s="80"/>
      <c r="N20" s="81"/>
      <c r="O20" s="80"/>
      <c r="P20" s="81"/>
      <c r="Q20" s="80"/>
      <c r="R20" s="81"/>
      <c r="S20" s="80"/>
      <c r="T20" s="81"/>
      <c r="U20" s="80"/>
      <c r="V20" s="81"/>
      <c r="W20" s="49" t="s">
        <v>119</v>
      </c>
      <c r="X20" s="49" t="s">
        <v>120</v>
      </c>
      <c r="Y20" s="49"/>
      <c r="Z20" s="49"/>
      <c r="AA20" s="49"/>
      <c r="AB20" s="49"/>
      <c r="AC20" s="49"/>
      <c r="AD20" s="49"/>
      <c r="AE20" s="49"/>
      <c r="AF20" s="49"/>
      <c r="AG20" s="49"/>
      <c r="AH20" s="49"/>
      <c r="AI20" s="49"/>
      <c r="AJ20" s="49"/>
      <c r="AK20" s="49"/>
      <c r="AL20" s="49"/>
      <c r="AM20" s="49"/>
      <c r="AN20" s="49"/>
    </row>
    <row r="21" spans="2:40" ht="26.25" customHeight="1">
      <c r="B21" s="3">
        <v>4</v>
      </c>
      <c r="C21" s="3">
        <f>'Master Student'!H11</f>
        <v>0</v>
      </c>
      <c r="D21" s="50" t="str">
        <f>IFERROR(VLOOKUP(C21,'Master Student'!H11:I32,2,FALSE),"Data Siswa di Student Master Masih Kosong")</f>
        <v>Data Siswa di Student Master Masih Kosong</v>
      </c>
      <c r="E21" s="80"/>
      <c r="F21" s="81"/>
      <c r="G21" s="80"/>
      <c r="H21" s="81"/>
      <c r="I21" s="80"/>
      <c r="J21" s="81"/>
      <c r="K21" s="80"/>
      <c r="L21" s="81"/>
      <c r="M21" s="80"/>
      <c r="N21" s="81"/>
      <c r="O21" s="80"/>
      <c r="P21" s="81"/>
      <c r="Q21" s="80"/>
      <c r="R21" s="81"/>
      <c r="S21" s="80"/>
      <c r="T21" s="81"/>
      <c r="U21" s="80"/>
      <c r="V21" s="81"/>
      <c r="W21" s="49" t="s">
        <v>119</v>
      </c>
      <c r="X21" s="49" t="s">
        <v>120</v>
      </c>
      <c r="Y21" s="49"/>
      <c r="Z21" s="49"/>
      <c r="AA21" s="49"/>
      <c r="AB21" s="49"/>
      <c r="AC21" s="49"/>
      <c r="AD21" s="49"/>
      <c r="AE21" s="49"/>
      <c r="AF21" s="49"/>
      <c r="AG21" s="49"/>
      <c r="AH21" s="49"/>
      <c r="AI21" s="49"/>
      <c r="AJ21" s="49"/>
      <c r="AK21" s="49"/>
      <c r="AL21" s="49"/>
      <c r="AM21" s="49"/>
      <c r="AN21" s="49"/>
    </row>
    <row r="22" spans="2:40" ht="26.25" customHeight="1">
      <c r="B22" s="3">
        <v>5</v>
      </c>
      <c r="C22" s="3">
        <f>'Master Student'!H12</f>
        <v>0</v>
      </c>
      <c r="D22" s="50" t="str">
        <f>IFERROR(VLOOKUP(C22,'Master Student'!H12:I33,2,FALSE),"Data Siswa di Student Master Masih Kosong")</f>
        <v>Data Siswa di Student Master Masih Kosong</v>
      </c>
      <c r="E22" s="80"/>
      <c r="F22" s="81"/>
      <c r="G22" s="80"/>
      <c r="H22" s="81"/>
      <c r="I22" s="80"/>
      <c r="J22" s="81"/>
      <c r="K22" s="80"/>
      <c r="L22" s="81"/>
      <c r="M22" s="80"/>
      <c r="N22" s="81"/>
      <c r="O22" s="80"/>
      <c r="P22" s="81"/>
      <c r="Q22" s="80"/>
      <c r="R22" s="81"/>
      <c r="S22" s="80"/>
      <c r="T22" s="81"/>
      <c r="U22" s="80"/>
      <c r="V22" s="81"/>
      <c r="W22" s="49" t="s">
        <v>119</v>
      </c>
      <c r="X22" s="49" t="s">
        <v>120</v>
      </c>
      <c r="Y22" s="49"/>
      <c r="Z22" s="49"/>
      <c r="AA22" s="49"/>
      <c r="AB22" s="49"/>
      <c r="AC22" s="49"/>
      <c r="AD22" s="49"/>
      <c r="AE22" s="49"/>
      <c r="AF22" s="49"/>
      <c r="AG22" s="49"/>
      <c r="AH22" s="49"/>
      <c r="AI22" s="49"/>
      <c r="AJ22" s="49"/>
      <c r="AK22" s="49"/>
      <c r="AL22" s="49"/>
      <c r="AM22" s="49"/>
      <c r="AN22" s="49"/>
    </row>
    <row r="23" spans="2:40" ht="26.25" customHeight="1">
      <c r="B23" s="3">
        <v>6</v>
      </c>
      <c r="C23" s="3">
        <f>'Master Student'!H13</f>
        <v>0</v>
      </c>
      <c r="D23" s="50" t="str">
        <f>IFERROR(VLOOKUP(C23,'Master Student'!H13:I34,2,FALSE),"Data Siswa di Student Master Masih Kosong")</f>
        <v>Data Siswa di Student Master Masih Kosong</v>
      </c>
      <c r="E23" s="80"/>
      <c r="F23" s="81"/>
      <c r="G23" s="80"/>
      <c r="H23" s="81"/>
      <c r="I23" s="80"/>
      <c r="J23" s="81"/>
      <c r="K23" s="80"/>
      <c r="L23" s="81"/>
      <c r="M23" s="80"/>
      <c r="N23" s="81"/>
      <c r="O23" s="80"/>
      <c r="P23" s="81"/>
      <c r="Q23" s="80"/>
      <c r="R23" s="81"/>
      <c r="S23" s="80"/>
      <c r="T23" s="81"/>
      <c r="U23" s="80"/>
      <c r="V23" s="81"/>
      <c r="W23" s="49" t="s">
        <v>119</v>
      </c>
      <c r="X23" s="49" t="s">
        <v>120</v>
      </c>
      <c r="Y23" s="49"/>
      <c r="Z23" s="49"/>
      <c r="AA23" s="49"/>
      <c r="AB23" s="49"/>
      <c r="AC23" s="49"/>
      <c r="AD23" s="49"/>
      <c r="AE23" s="49"/>
      <c r="AF23" s="49"/>
      <c r="AG23" s="49"/>
      <c r="AH23" s="49"/>
      <c r="AI23" s="49"/>
      <c r="AJ23" s="49"/>
      <c r="AK23" s="49"/>
      <c r="AL23" s="49"/>
      <c r="AM23" s="49"/>
      <c r="AN23" s="49"/>
    </row>
    <row r="24" spans="2:40" ht="26.25" customHeight="1">
      <c r="B24" s="3">
        <v>7</v>
      </c>
      <c r="C24" s="3">
        <f>'Master Student'!H14</f>
        <v>0</v>
      </c>
      <c r="D24" s="50" t="str">
        <f>IFERROR(VLOOKUP(C24,'Master Student'!H14:I35,2,FALSE),"Data Siswa di Student Master Masih Kosong")</f>
        <v>Data Siswa di Student Master Masih Kosong</v>
      </c>
      <c r="E24" s="80"/>
      <c r="F24" s="81"/>
      <c r="G24" s="80"/>
      <c r="H24" s="81"/>
      <c r="I24" s="80"/>
      <c r="J24" s="81"/>
      <c r="K24" s="80"/>
      <c r="L24" s="81"/>
      <c r="M24" s="80"/>
      <c r="N24" s="81"/>
      <c r="O24" s="80"/>
      <c r="P24" s="81"/>
      <c r="Q24" s="80"/>
      <c r="R24" s="81"/>
      <c r="S24" s="80"/>
      <c r="T24" s="81"/>
      <c r="U24" s="80"/>
      <c r="V24" s="81"/>
      <c r="W24" s="49" t="s">
        <v>119</v>
      </c>
      <c r="X24" s="49" t="s">
        <v>120</v>
      </c>
      <c r="Y24" s="49"/>
      <c r="Z24" s="49"/>
      <c r="AA24" s="49"/>
      <c r="AB24" s="49"/>
      <c r="AC24" s="49"/>
      <c r="AD24" s="49"/>
      <c r="AE24" s="49"/>
      <c r="AF24" s="49"/>
      <c r="AG24" s="49"/>
      <c r="AH24" s="49"/>
      <c r="AI24" s="49"/>
      <c r="AJ24" s="49"/>
      <c r="AK24" s="49"/>
      <c r="AL24" s="49"/>
      <c r="AM24" s="49"/>
      <c r="AN24" s="49"/>
    </row>
    <row r="25" spans="2:40" ht="26.25" customHeight="1">
      <c r="B25" s="3">
        <v>8</v>
      </c>
      <c r="C25" s="3">
        <f>'Master Student'!H15</f>
        <v>0</v>
      </c>
      <c r="D25" s="50" t="str">
        <f>IFERROR(VLOOKUP(C25,'Master Student'!H15:I36,2,FALSE),"Data Siswa di Student Master Masih Kosong")</f>
        <v>Data Siswa di Student Master Masih Kosong</v>
      </c>
      <c r="E25" s="80"/>
      <c r="F25" s="81"/>
      <c r="G25" s="80"/>
      <c r="H25" s="81"/>
      <c r="I25" s="80"/>
      <c r="J25" s="81"/>
      <c r="K25" s="80"/>
      <c r="L25" s="81"/>
      <c r="M25" s="80"/>
      <c r="N25" s="81"/>
      <c r="O25" s="80"/>
      <c r="P25" s="81"/>
      <c r="Q25" s="80"/>
      <c r="R25" s="81"/>
      <c r="S25" s="80"/>
      <c r="T25" s="81"/>
      <c r="U25" s="80"/>
      <c r="V25" s="81"/>
      <c r="W25" s="49" t="s">
        <v>119</v>
      </c>
      <c r="X25" s="49" t="s">
        <v>120</v>
      </c>
      <c r="Y25" s="49"/>
      <c r="Z25" s="49"/>
      <c r="AA25" s="49"/>
      <c r="AB25" s="49"/>
      <c r="AC25" s="49"/>
      <c r="AD25" s="49"/>
      <c r="AE25" s="49"/>
      <c r="AF25" s="49"/>
      <c r="AG25" s="49"/>
      <c r="AH25" s="49"/>
      <c r="AI25" s="49"/>
      <c r="AJ25" s="49"/>
      <c r="AK25" s="49"/>
      <c r="AL25" s="49"/>
      <c r="AM25" s="49"/>
      <c r="AN25" s="49"/>
    </row>
    <row r="26" spans="2:40" ht="26.25" customHeight="1">
      <c r="B26" s="3">
        <v>9</v>
      </c>
      <c r="C26" s="3">
        <f>'Master Student'!H16</f>
        <v>0</v>
      </c>
      <c r="D26" s="50" t="str">
        <f>IFERROR(VLOOKUP(C26,'Master Student'!H16:I37,2,FALSE),"Data Siswa di Student Master Masih Kosong")</f>
        <v>Data Siswa di Student Master Masih Kosong</v>
      </c>
      <c r="E26" s="80"/>
      <c r="F26" s="81"/>
      <c r="G26" s="80"/>
      <c r="H26" s="81"/>
      <c r="I26" s="80"/>
      <c r="J26" s="81"/>
      <c r="K26" s="80"/>
      <c r="L26" s="81"/>
      <c r="M26" s="80"/>
      <c r="N26" s="81"/>
      <c r="O26" s="80"/>
      <c r="P26" s="81"/>
      <c r="Q26" s="80"/>
      <c r="R26" s="81"/>
      <c r="S26" s="80"/>
      <c r="T26" s="81"/>
      <c r="U26" s="80"/>
      <c r="V26" s="81"/>
      <c r="W26" s="49" t="s">
        <v>119</v>
      </c>
      <c r="X26" s="49" t="s">
        <v>120</v>
      </c>
      <c r="Y26" s="49"/>
      <c r="Z26" s="49"/>
      <c r="AA26" s="49"/>
      <c r="AB26" s="49"/>
      <c r="AC26" s="49"/>
      <c r="AD26" s="49"/>
      <c r="AE26" s="49"/>
      <c r="AF26" s="49"/>
      <c r="AG26" s="49"/>
      <c r="AH26" s="49"/>
      <c r="AI26" s="49"/>
      <c r="AJ26" s="49"/>
      <c r="AK26" s="49"/>
      <c r="AL26" s="49"/>
      <c r="AM26" s="49"/>
      <c r="AN26" s="49"/>
    </row>
    <row r="27" spans="2:40" ht="26.25" customHeight="1">
      <c r="B27" s="3">
        <v>10</v>
      </c>
      <c r="C27" s="3">
        <f>'Master Student'!H17</f>
        <v>0</v>
      </c>
      <c r="D27" s="50" t="str">
        <f>IFERROR(VLOOKUP(C27,'Master Student'!H17:I38,2,FALSE),"Data Siswa di Student Master Masih Kosong")</f>
        <v>Data Siswa di Student Master Masih Kosong</v>
      </c>
      <c r="E27" s="80"/>
      <c r="F27" s="81"/>
      <c r="G27" s="80"/>
      <c r="H27" s="81"/>
      <c r="I27" s="80"/>
      <c r="J27" s="81"/>
      <c r="K27" s="80"/>
      <c r="L27" s="81"/>
      <c r="M27" s="80"/>
      <c r="N27" s="81"/>
      <c r="O27" s="80"/>
      <c r="P27" s="81"/>
      <c r="Q27" s="80"/>
      <c r="R27" s="81"/>
      <c r="S27" s="80"/>
      <c r="T27" s="81"/>
      <c r="U27" s="80"/>
      <c r="V27" s="81"/>
      <c r="W27" s="49" t="s">
        <v>119</v>
      </c>
      <c r="X27" s="49" t="s">
        <v>120</v>
      </c>
      <c r="Y27" s="49"/>
      <c r="Z27" s="49"/>
      <c r="AA27" s="49"/>
      <c r="AB27" s="49"/>
      <c r="AC27" s="49"/>
      <c r="AD27" s="49"/>
      <c r="AE27" s="49"/>
      <c r="AF27" s="49"/>
      <c r="AG27" s="49"/>
      <c r="AH27" s="49"/>
      <c r="AI27" s="49"/>
      <c r="AJ27" s="49"/>
      <c r="AK27" s="49"/>
      <c r="AL27" s="49"/>
      <c r="AM27" s="49"/>
      <c r="AN27" s="49"/>
    </row>
    <row r="28" spans="2:40" ht="26.25" customHeight="1">
      <c r="B28" s="3">
        <v>11</v>
      </c>
      <c r="C28" s="3">
        <f>'Master Student'!H18</f>
        <v>0</v>
      </c>
      <c r="D28" s="50" t="str">
        <f>IFERROR(VLOOKUP(C28,'Master Student'!H18:I39,2,FALSE),"Data Siswa di Student Master Masih Kosong")</f>
        <v>Data Siswa di Student Master Masih Kosong</v>
      </c>
      <c r="E28" s="80"/>
      <c r="F28" s="81"/>
      <c r="G28" s="80"/>
      <c r="H28" s="81"/>
      <c r="I28" s="80"/>
      <c r="J28" s="81"/>
      <c r="K28" s="80"/>
      <c r="L28" s="81"/>
      <c r="M28" s="80"/>
      <c r="N28" s="81"/>
      <c r="O28" s="80"/>
      <c r="P28" s="81"/>
      <c r="Q28" s="80"/>
      <c r="R28" s="81"/>
      <c r="S28" s="80"/>
      <c r="T28" s="81"/>
      <c r="U28" s="80"/>
      <c r="V28" s="81"/>
      <c r="W28" s="49" t="s">
        <v>119</v>
      </c>
      <c r="X28" s="49" t="s">
        <v>120</v>
      </c>
      <c r="Y28" s="49"/>
      <c r="Z28" s="49"/>
      <c r="AA28" s="49"/>
      <c r="AB28" s="49"/>
      <c r="AC28" s="49"/>
      <c r="AD28" s="49"/>
      <c r="AE28" s="49"/>
      <c r="AF28" s="49"/>
      <c r="AG28" s="49"/>
      <c r="AH28" s="49"/>
      <c r="AI28" s="49"/>
      <c r="AJ28" s="49"/>
      <c r="AK28" s="49"/>
      <c r="AL28" s="49"/>
      <c r="AM28" s="49"/>
      <c r="AN28" s="49"/>
    </row>
    <row r="29" spans="2:40" ht="26.25" customHeight="1">
      <c r="B29" s="3">
        <v>12</v>
      </c>
      <c r="C29" s="3">
        <f>'Master Student'!H19</f>
        <v>0</v>
      </c>
      <c r="D29" s="50" t="str">
        <f>IFERROR(VLOOKUP(C29,'Master Student'!H19:I40,2,FALSE),"Data Siswa di Student Master Masih Kosong")</f>
        <v>Data Siswa di Student Master Masih Kosong</v>
      </c>
      <c r="E29" s="80"/>
      <c r="F29" s="81"/>
      <c r="G29" s="80"/>
      <c r="H29" s="81"/>
      <c r="I29" s="80"/>
      <c r="J29" s="81"/>
      <c r="K29" s="80"/>
      <c r="L29" s="81"/>
      <c r="M29" s="80"/>
      <c r="N29" s="81"/>
      <c r="O29" s="80"/>
      <c r="P29" s="81"/>
      <c r="Q29" s="80"/>
      <c r="R29" s="81"/>
      <c r="S29" s="80"/>
      <c r="T29" s="81"/>
      <c r="U29" s="80"/>
      <c r="V29" s="81"/>
      <c r="W29" s="49" t="s">
        <v>119</v>
      </c>
      <c r="X29" s="49" t="s">
        <v>120</v>
      </c>
      <c r="Y29" s="49"/>
      <c r="Z29" s="49"/>
      <c r="AA29" s="49"/>
      <c r="AB29" s="49"/>
      <c r="AC29" s="49"/>
      <c r="AD29" s="49"/>
      <c r="AE29" s="49"/>
      <c r="AF29" s="49"/>
      <c r="AG29" s="49"/>
      <c r="AH29" s="49"/>
      <c r="AI29" s="49"/>
      <c r="AJ29" s="49"/>
      <c r="AK29" s="49"/>
      <c r="AL29" s="49"/>
      <c r="AM29" s="49"/>
      <c r="AN29" s="49"/>
    </row>
    <row r="30" spans="2:40" ht="26.25" customHeight="1">
      <c r="B30" s="3">
        <v>13</v>
      </c>
      <c r="C30" s="3">
        <f>'Master Student'!H20</f>
        <v>0</v>
      </c>
      <c r="D30" s="50" t="str">
        <f>IFERROR(VLOOKUP(C30,'Master Student'!H20:I41,2,FALSE),"Data Siswa di Student Master Masih Kosong")</f>
        <v>Data Siswa di Student Master Masih Kosong</v>
      </c>
      <c r="E30" s="80"/>
      <c r="F30" s="81"/>
      <c r="G30" s="80"/>
      <c r="H30" s="81"/>
      <c r="I30" s="80"/>
      <c r="J30" s="81"/>
      <c r="K30" s="80"/>
      <c r="L30" s="81"/>
      <c r="M30" s="80"/>
      <c r="N30" s="81"/>
      <c r="O30" s="80"/>
      <c r="P30" s="81"/>
      <c r="Q30" s="80"/>
      <c r="R30" s="81"/>
      <c r="S30" s="80"/>
      <c r="T30" s="81"/>
      <c r="U30" s="80"/>
      <c r="V30" s="81"/>
      <c r="W30" s="49" t="s">
        <v>119</v>
      </c>
      <c r="X30" s="49" t="s">
        <v>120</v>
      </c>
      <c r="Y30" s="49"/>
      <c r="Z30" s="49"/>
      <c r="AA30" s="49"/>
      <c r="AB30" s="49"/>
      <c r="AC30" s="49"/>
      <c r="AD30" s="49"/>
      <c r="AE30" s="49"/>
      <c r="AF30" s="49"/>
      <c r="AG30" s="49"/>
      <c r="AH30" s="49"/>
      <c r="AI30" s="49"/>
      <c r="AJ30" s="49"/>
      <c r="AK30" s="49"/>
      <c r="AL30" s="49"/>
      <c r="AM30" s="49"/>
      <c r="AN30" s="49"/>
    </row>
    <row r="31" spans="2:40" ht="26.25" customHeight="1">
      <c r="B31" s="3">
        <v>14</v>
      </c>
      <c r="C31" s="3">
        <f>'Master Student'!H21</f>
        <v>0</v>
      </c>
      <c r="D31" s="50" t="str">
        <f>IFERROR(VLOOKUP(C31,'Master Student'!H21:I42,2,FALSE),"Data Siswa di Student Master Masih Kosong")</f>
        <v>Data Siswa di Student Master Masih Kosong</v>
      </c>
      <c r="E31" s="80"/>
      <c r="F31" s="81"/>
      <c r="G31" s="80"/>
      <c r="H31" s="81"/>
      <c r="I31" s="80"/>
      <c r="J31" s="81"/>
      <c r="K31" s="80"/>
      <c r="L31" s="81"/>
      <c r="M31" s="80"/>
      <c r="N31" s="81"/>
      <c r="O31" s="80"/>
      <c r="P31" s="81"/>
      <c r="Q31" s="80"/>
      <c r="R31" s="81"/>
      <c r="S31" s="80"/>
      <c r="T31" s="81"/>
      <c r="U31" s="80"/>
      <c r="V31" s="81"/>
      <c r="W31" s="49" t="s">
        <v>119</v>
      </c>
      <c r="X31" s="49" t="s">
        <v>120</v>
      </c>
      <c r="Y31" s="49"/>
      <c r="Z31" s="49"/>
      <c r="AA31" s="49"/>
      <c r="AB31" s="49"/>
      <c r="AC31" s="49"/>
      <c r="AD31" s="49"/>
      <c r="AE31" s="49"/>
      <c r="AF31" s="49"/>
      <c r="AG31" s="49"/>
      <c r="AH31" s="49"/>
      <c r="AI31" s="49"/>
      <c r="AJ31" s="49"/>
      <c r="AK31" s="49"/>
      <c r="AL31" s="49"/>
      <c r="AM31" s="49"/>
      <c r="AN31" s="49"/>
    </row>
    <row r="32" spans="2:40" ht="26.25" customHeight="1">
      <c r="B32" s="3">
        <v>15</v>
      </c>
      <c r="C32" s="3">
        <f>'Master Student'!H22</f>
        <v>0</v>
      </c>
      <c r="D32" s="50" t="str">
        <f>IFERROR(VLOOKUP(C32,'Master Student'!H22:I43,2,FALSE),"Data Siswa di Student Master Masih Kosong")</f>
        <v>Data Siswa di Student Master Masih Kosong</v>
      </c>
      <c r="E32" s="80"/>
      <c r="F32" s="81"/>
      <c r="G32" s="80"/>
      <c r="H32" s="81"/>
      <c r="I32" s="80"/>
      <c r="J32" s="81"/>
      <c r="K32" s="80"/>
      <c r="L32" s="81"/>
      <c r="M32" s="80"/>
      <c r="N32" s="81"/>
      <c r="O32" s="80"/>
      <c r="P32" s="81"/>
      <c r="Q32" s="80"/>
      <c r="R32" s="81"/>
      <c r="S32" s="80"/>
      <c r="T32" s="81"/>
      <c r="U32" s="80"/>
      <c r="V32" s="81"/>
      <c r="W32" s="49" t="s">
        <v>119</v>
      </c>
      <c r="X32" s="49" t="s">
        <v>120</v>
      </c>
      <c r="Y32" s="49"/>
      <c r="Z32" s="49"/>
      <c r="AA32" s="49"/>
      <c r="AB32" s="49"/>
      <c r="AC32" s="49"/>
      <c r="AD32" s="49"/>
      <c r="AE32" s="49"/>
      <c r="AF32" s="49"/>
      <c r="AG32" s="49"/>
      <c r="AH32" s="49"/>
      <c r="AI32" s="49"/>
      <c r="AJ32" s="49"/>
      <c r="AK32" s="49"/>
      <c r="AL32" s="49"/>
      <c r="AM32" s="49"/>
      <c r="AN32" s="49"/>
    </row>
    <row r="33" spans="2:40" ht="26.25" customHeight="1">
      <c r="B33" s="3">
        <v>16</v>
      </c>
      <c r="C33" s="3">
        <f>'Master Student'!H23</f>
        <v>0</v>
      </c>
      <c r="D33" s="50" t="str">
        <f>IFERROR(VLOOKUP(C33,'Master Student'!H23:I44,2,FALSE),"Data Siswa di Student Master Masih Kosong")</f>
        <v>Data Siswa di Student Master Masih Kosong</v>
      </c>
      <c r="E33" s="80"/>
      <c r="F33" s="81"/>
      <c r="G33" s="80"/>
      <c r="H33" s="81"/>
      <c r="I33" s="80"/>
      <c r="J33" s="81"/>
      <c r="K33" s="80"/>
      <c r="L33" s="81"/>
      <c r="M33" s="80"/>
      <c r="N33" s="81"/>
      <c r="O33" s="80"/>
      <c r="P33" s="81"/>
      <c r="Q33" s="80"/>
      <c r="R33" s="81"/>
      <c r="S33" s="80"/>
      <c r="T33" s="81"/>
      <c r="U33" s="80"/>
      <c r="V33" s="81"/>
      <c r="W33" s="49" t="s">
        <v>119</v>
      </c>
      <c r="X33" s="49" t="s">
        <v>120</v>
      </c>
      <c r="Y33" s="49"/>
      <c r="Z33" s="49"/>
      <c r="AA33" s="49"/>
      <c r="AB33" s="49"/>
      <c r="AC33" s="49"/>
      <c r="AD33" s="49"/>
      <c r="AE33" s="49"/>
      <c r="AF33" s="49"/>
      <c r="AG33" s="49"/>
      <c r="AH33" s="49"/>
      <c r="AI33" s="49"/>
      <c r="AJ33" s="49"/>
      <c r="AK33" s="49"/>
      <c r="AL33" s="49"/>
      <c r="AM33" s="49"/>
      <c r="AN33" s="49"/>
    </row>
    <row r="34" spans="2:40" ht="26.25" customHeight="1">
      <c r="B34" s="3">
        <v>17</v>
      </c>
      <c r="C34" s="3">
        <f>'Master Student'!H24</f>
        <v>0</v>
      </c>
      <c r="D34" s="50" t="str">
        <f>IFERROR(VLOOKUP(C34,'Master Student'!H24:I45,2,FALSE),"Data Siswa di Student Master Masih Kosong")</f>
        <v>Data Siswa di Student Master Masih Kosong</v>
      </c>
      <c r="E34" s="80"/>
      <c r="F34" s="81"/>
      <c r="G34" s="80"/>
      <c r="H34" s="81"/>
      <c r="I34" s="80"/>
      <c r="J34" s="81"/>
      <c r="K34" s="80"/>
      <c r="L34" s="81"/>
      <c r="M34" s="80"/>
      <c r="N34" s="81"/>
      <c r="O34" s="80"/>
      <c r="P34" s="81"/>
      <c r="Q34" s="80"/>
      <c r="R34" s="81"/>
      <c r="S34" s="80"/>
      <c r="T34" s="81"/>
      <c r="U34" s="80"/>
      <c r="V34" s="81"/>
      <c r="W34" s="49" t="s">
        <v>119</v>
      </c>
      <c r="X34" s="49" t="s">
        <v>120</v>
      </c>
      <c r="Y34" s="49"/>
      <c r="Z34" s="49"/>
      <c r="AA34" s="49"/>
      <c r="AB34" s="49"/>
      <c r="AC34" s="49"/>
      <c r="AD34" s="49"/>
      <c r="AE34" s="49"/>
      <c r="AF34" s="49"/>
      <c r="AG34" s="49"/>
      <c r="AH34" s="49"/>
      <c r="AI34" s="49"/>
      <c r="AJ34" s="49"/>
      <c r="AK34" s="49"/>
      <c r="AL34" s="49"/>
      <c r="AM34" s="49"/>
      <c r="AN34" s="49"/>
    </row>
    <row r="35" spans="2:40" ht="26.25" customHeight="1">
      <c r="B35" s="3">
        <v>18</v>
      </c>
      <c r="C35" s="3">
        <f>'Master Student'!H25</f>
        <v>0</v>
      </c>
      <c r="D35" s="50" t="str">
        <f>IFERROR(VLOOKUP(C35,'Master Student'!H25:I46,2,FALSE),"Data Siswa di Student Master Masih Kosong")</f>
        <v>Data Siswa di Student Master Masih Kosong</v>
      </c>
      <c r="E35" s="80"/>
      <c r="F35" s="81"/>
      <c r="G35" s="80"/>
      <c r="H35" s="81"/>
      <c r="I35" s="80"/>
      <c r="J35" s="81"/>
      <c r="K35" s="80"/>
      <c r="L35" s="81"/>
      <c r="M35" s="80"/>
      <c r="N35" s="81"/>
      <c r="O35" s="80"/>
      <c r="P35" s="81"/>
      <c r="Q35" s="80"/>
      <c r="R35" s="81"/>
      <c r="S35" s="80"/>
      <c r="T35" s="81"/>
      <c r="U35" s="80"/>
      <c r="V35" s="81"/>
      <c r="W35" s="49" t="s">
        <v>119</v>
      </c>
      <c r="X35" s="49" t="s">
        <v>120</v>
      </c>
      <c r="Y35" s="49"/>
      <c r="Z35" s="49"/>
      <c r="AA35" s="49"/>
      <c r="AB35" s="49"/>
      <c r="AC35" s="49"/>
      <c r="AD35" s="49"/>
      <c r="AE35" s="49"/>
      <c r="AF35" s="49"/>
      <c r="AG35" s="49"/>
      <c r="AH35" s="49"/>
      <c r="AI35" s="49"/>
      <c r="AJ35" s="49"/>
      <c r="AK35" s="49"/>
      <c r="AL35" s="49"/>
      <c r="AM35" s="49"/>
      <c r="AN35" s="49"/>
    </row>
    <row r="36" spans="2:40" ht="26.25" customHeight="1">
      <c r="B36" s="3">
        <v>19</v>
      </c>
      <c r="C36" s="3">
        <f>'Master Student'!H26</f>
        <v>0</v>
      </c>
      <c r="D36" s="50" t="str">
        <f>IFERROR(VLOOKUP(C36,'Master Student'!H26:I47,2,FALSE),"Data Siswa di Student Master Masih Kosong")</f>
        <v>Data Siswa di Student Master Masih Kosong</v>
      </c>
      <c r="E36" s="80"/>
      <c r="F36" s="81"/>
      <c r="G36" s="80"/>
      <c r="H36" s="81"/>
      <c r="I36" s="80"/>
      <c r="J36" s="81"/>
      <c r="K36" s="80"/>
      <c r="L36" s="81"/>
      <c r="M36" s="80"/>
      <c r="N36" s="81"/>
      <c r="O36" s="80"/>
      <c r="P36" s="81"/>
      <c r="Q36" s="80"/>
      <c r="R36" s="81"/>
      <c r="S36" s="80"/>
      <c r="T36" s="81"/>
      <c r="U36" s="80"/>
      <c r="V36" s="81"/>
      <c r="W36" s="49" t="s">
        <v>119</v>
      </c>
      <c r="X36" s="49" t="s">
        <v>120</v>
      </c>
      <c r="Y36" s="49"/>
      <c r="Z36" s="49"/>
      <c r="AA36" s="49"/>
      <c r="AB36" s="49"/>
      <c r="AC36" s="49"/>
      <c r="AD36" s="49"/>
      <c r="AE36" s="49"/>
      <c r="AF36" s="49"/>
      <c r="AG36" s="49"/>
      <c r="AH36" s="49"/>
      <c r="AI36" s="49"/>
      <c r="AJ36" s="49"/>
      <c r="AK36" s="49"/>
      <c r="AL36" s="49"/>
      <c r="AM36" s="49"/>
      <c r="AN36" s="49"/>
    </row>
    <row r="37" spans="2:40" ht="26.25" customHeight="1">
      <c r="B37" s="3">
        <v>20</v>
      </c>
      <c r="C37" s="3">
        <f>'Master Student'!H27</f>
        <v>0</v>
      </c>
      <c r="D37" s="50" t="str">
        <f>IFERROR(VLOOKUP(C37,'Master Student'!H27:I48,2,FALSE),"Data Siswa di Student Master Masih Kosong")</f>
        <v>Data Siswa di Student Master Masih Kosong</v>
      </c>
      <c r="E37" s="80"/>
      <c r="F37" s="81"/>
      <c r="G37" s="80"/>
      <c r="H37" s="81"/>
      <c r="I37" s="80"/>
      <c r="J37" s="81"/>
      <c r="K37" s="80"/>
      <c r="L37" s="81"/>
      <c r="M37" s="80"/>
      <c r="N37" s="81"/>
      <c r="O37" s="80"/>
      <c r="P37" s="81"/>
      <c r="Q37" s="80"/>
      <c r="R37" s="81"/>
      <c r="S37" s="80"/>
      <c r="T37" s="81"/>
      <c r="U37" s="80"/>
      <c r="V37" s="81"/>
      <c r="W37" s="49" t="s">
        <v>119</v>
      </c>
      <c r="X37" s="49" t="s">
        <v>120</v>
      </c>
      <c r="Y37" s="49"/>
      <c r="Z37" s="49"/>
      <c r="AA37" s="49"/>
      <c r="AB37" s="49"/>
      <c r="AC37" s="49"/>
      <c r="AD37" s="49"/>
      <c r="AE37" s="49"/>
      <c r="AF37" s="49"/>
      <c r="AG37" s="49"/>
      <c r="AH37" s="49"/>
      <c r="AI37" s="49"/>
      <c r="AJ37" s="49"/>
      <c r="AK37" s="49"/>
      <c r="AL37" s="49"/>
      <c r="AM37" s="49"/>
      <c r="AN37" s="49"/>
    </row>
    <row r="38" spans="2:40" ht="26.25" customHeight="1">
      <c r="B38" s="3">
        <v>21</v>
      </c>
      <c r="C38" s="3">
        <f>'Master Student'!H28</f>
        <v>0</v>
      </c>
      <c r="D38" s="50" t="str">
        <f>IFERROR(VLOOKUP(C38,'Master Student'!H28:I49,2,FALSE),"Data Siswa di Student Master Masih Kosong")</f>
        <v>Data Siswa di Student Master Masih Kosong</v>
      </c>
      <c r="E38" s="80"/>
      <c r="F38" s="81"/>
      <c r="G38" s="80"/>
      <c r="H38" s="81"/>
      <c r="I38" s="80"/>
      <c r="J38" s="81"/>
      <c r="K38" s="80"/>
      <c r="L38" s="81"/>
      <c r="M38" s="80"/>
      <c r="N38" s="81"/>
      <c r="O38" s="80"/>
      <c r="P38" s="81"/>
      <c r="Q38" s="80"/>
      <c r="R38" s="81"/>
      <c r="S38" s="80"/>
      <c r="T38" s="81"/>
      <c r="U38" s="80"/>
      <c r="V38" s="81"/>
      <c r="W38" s="49" t="s">
        <v>119</v>
      </c>
      <c r="X38" s="49" t="s">
        <v>120</v>
      </c>
      <c r="Y38" s="49"/>
      <c r="Z38" s="49"/>
      <c r="AA38" s="49"/>
      <c r="AB38" s="49"/>
      <c r="AC38" s="49"/>
      <c r="AD38" s="49"/>
      <c r="AE38" s="49"/>
      <c r="AF38" s="49"/>
      <c r="AG38" s="49"/>
      <c r="AH38" s="49"/>
      <c r="AI38" s="49"/>
      <c r="AJ38" s="49"/>
      <c r="AK38" s="49"/>
      <c r="AL38" s="49"/>
      <c r="AM38" s="49"/>
      <c r="AN38" s="49"/>
    </row>
    <row r="39" spans="2:40" ht="26.25" customHeight="1">
      <c r="B39" s="3">
        <v>22</v>
      </c>
      <c r="C39" s="3">
        <f>'Master Student'!H29</f>
        <v>0</v>
      </c>
      <c r="D39" s="50" t="str">
        <f>IFERROR(VLOOKUP(C39,'Master Student'!H29:I50,2,FALSE),"Data Siswa di Student Master Masih Kosong")</f>
        <v>Data Siswa di Student Master Masih Kosong</v>
      </c>
      <c r="E39" s="80"/>
      <c r="F39" s="81"/>
      <c r="G39" s="80"/>
      <c r="H39" s="81"/>
      <c r="I39" s="80"/>
      <c r="J39" s="81"/>
      <c r="K39" s="80"/>
      <c r="L39" s="81"/>
      <c r="M39" s="80"/>
      <c r="N39" s="81"/>
      <c r="O39" s="80"/>
      <c r="P39" s="81"/>
      <c r="Q39" s="80"/>
      <c r="R39" s="81"/>
      <c r="S39" s="80"/>
      <c r="T39" s="81"/>
      <c r="U39" s="80"/>
      <c r="V39" s="81"/>
      <c r="W39" s="49" t="s">
        <v>119</v>
      </c>
      <c r="X39" s="49" t="s">
        <v>120</v>
      </c>
      <c r="Y39" s="49"/>
      <c r="Z39" s="49"/>
      <c r="AA39" s="49"/>
      <c r="AB39" s="49"/>
      <c r="AC39" s="49"/>
      <c r="AD39" s="49"/>
      <c r="AE39" s="49"/>
      <c r="AF39" s="49"/>
      <c r="AG39" s="49"/>
      <c r="AH39" s="49"/>
      <c r="AI39" s="49"/>
      <c r="AJ39" s="49"/>
      <c r="AK39" s="49"/>
      <c r="AL39" s="49"/>
      <c r="AM39" s="49"/>
      <c r="AN39" s="49"/>
    </row>
    <row r="40" spans="2:40" ht="26.25" customHeight="1">
      <c r="B40" s="3">
        <v>23</v>
      </c>
      <c r="C40" s="3">
        <f>'Master Student'!H30</f>
        <v>0</v>
      </c>
      <c r="D40" s="50" t="str">
        <f>IFERROR(VLOOKUP(C40,'Master Student'!H30:I51,2,FALSE),"Data Siswa di Student Master Masih Kosong")</f>
        <v>Data Siswa di Student Master Masih Kosong</v>
      </c>
      <c r="E40" s="80"/>
      <c r="F40" s="81"/>
      <c r="G40" s="80"/>
      <c r="H40" s="81"/>
      <c r="I40" s="80"/>
      <c r="J40" s="81"/>
      <c r="K40" s="80"/>
      <c r="L40" s="81"/>
      <c r="M40" s="80"/>
      <c r="N40" s="81"/>
      <c r="O40" s="80"/>
      <c r="P40" s="81"/>
      <c r="Q40" s="80"/>
      <c r="R40" s="81"/>
      <c r="S40" s="80"/>
      <c r="T40" s="81"/>
      <c r="U40" s="80"/>
      <c r="V40" s="81"/>
      <c r="W40" s="49" t="s">
        <v>119</v>
      </c>
      <c r="X40" s="49" t="s">
        <v>120</v>
      </c>
      <c r="Y40" s="49"/>
      <c r="Z40" s="49"/>
      <c r="AA40" s="49"/>
      <c r="AB40" s="49"/>
      <c r="AC40" s="49"/>
      <c r="AD40" s="49"/>
      <c r="AE40" s="49"/>
      <c r="AF40" s="49"/>
      <c r="AG40" s="49"/>
      <c r="AH40" s="49"/>
      <c r="AI40" s="49"/>
      <c r="AJ40" s="49"/>
      <c r="AK40" s="49"/>
      <c r="AL40" s="49"/>
      <c r="AM40" s="49"/>
      <c r="AN40" s="49"/>
    </row>
    <row r="41" spans="2:40" ht="26.25" customHeight="1">
      <c r="B41" s="3">
        <v>24</v>
      </c>
      <c r="C41" s="3">
        <f>'Master Student'!H31</f>
        <v>0</v>
      </c>
      <c r="D41" s="50" t="str">
        <f>IFERROR(VLOOKUP(C41,'Master Student'!H31:I52,2,FALSE),"Data Siswa di Student Master Masih Kosong")</f>
        <v>Data Siswa di Student Master Masih Kosong</v>
      </c>
      <c r="E41" s="80"/>
      <c r="F41" s="81"/>
      <c r="G41" s="80"/>
      <c r="H41" s="81"/>
      <c r="I41" s="80"/>
      <c r="J41" s="81"/>
      <c r="K41" s="80"/>
      <c r="L41" s="81"/>
      <c r="M41" s="80"/>
      <c r="N41" s="81"/>
      <c r="O41" s="80"/>
      <c r="P41" s="81"/>
      <c r="Q41" s="80"/>
      <c r="R41" s="81"/>
      <c r="S41" s="80"/>
      <c r="T41" s="81"/>
      <c r="U41" s="80"/>
      <c r="V41" s="81"/>
      <c r="W41" s="49" t="s">
        <v>119</v>
      </c>
      <c r="X41" s="49" t="s">
        <v>120</v>
      </c>
      <c r="Y41" s="49"/>
      <c r="Z41" s="49"/>
      <c r="AA41" s="49"/>
      <c r="AB41" s="49"/>
      <c r="AC41" s="49"/>
      <c r="AD41" s="49"/>
      <c r="AE41" s="49"/>
      <c r="AF41" s="49"/>
      <c r="AG41" s="49"/>
      <c r="AH41" s="49"/>
      <c r="AI41" s="49"/>
      <c r="AJ41" s="49"/>
      <c r="AK41" s="49"/>
      <c r="AL41" s="49"/>
      <c r="AM41" s="49"/>
      <c r="AN41" s="49"/>
    </row>
    <row r="42" spans="2:40" ht="26.25" customHeight="1">
      <c r="B42" s="3">
        <v>25</v>
      </c>
      <c r="C42" s="3">
        <f>'Master Student'!H32</f>
        <v>0</v>
      </c>
      <c r="D42" s="50" t="str">
        <f>IFERROR(VLOOKUP(C42,'Master Student'!H32:I53,2,FALSE),"Data Siswa di Student Master Masih Kosong")</f>
        <v>Data Siswa di Student Master Masih Kosong</v>
      </c>
      <c r="E42" s="80"/>
      <c r="F42" s="81"/>
      <c r="G42" s="80"/>
      <c r="H42" s="81"/>
      <c r="I42" s="80"/>
      <c r="J42" s="81"/>
      <c r="K42" s="80"/>
      <c r="L42" s="81"/>
      <c r="M42" s="80"/>
      <c r="N42" s="81"/>
      <c r="O42" s="80"/>
      <c r="P42" s="81"/>
      <c r="Q42" s="80"/>
      <c r="R42" s="81"/>
      <c r="S42" s="80"/>
      <c r="T42" s="81"/>
      <c r="U42" s="80"/>
      <c r="V42" s="81"/>
      <c r="W42" s="49" t="s">
        <v>119</v>
      </c>
      <c r="X42" s="49" t="s">
        <v>120</v>
      </c>
      <c r="Y42" s="49"/>
      <c r="Z42" s="49"/>
      <c r="AA42" s="49"/>
      <c r="AB42" s="49"/>
      <c r="AC42" s="49"/>
      <c r="AD42" s="49"/>
      <c r="AE42" s="49"/>
      <c r="AF42" s="49"/>
      <c r="AG42" s="49"/>
      <c r="AH42" s="49"/>
      <c r="AI42" s="49"/>
      <c r="AJ42" s="49"/>
      <c r="AK42" s="49"/>
      <c r="AL42" s="49"/>
      <c r="AM42" s="49"/>
      <c r="AN42" s="49"/>
    </row>
  </sheetData>
  <sheetProtection sheet="1" objects="1" scenarios="1" selectLockedCells="1"/>
  <mergeCells count="45">
    <mergeCell ref="B7:V7"/>
    <mergeCell ref="E16:F16"/>
    <mergeCell ref="G16:H16"/>
    <mergeCell ref="I16:J16"/>
    <mergeCell ref="U16:V16"/>
    <mergeCell ref="M16:N16"/>
    <mergeCell ref="O16:P16"/>
    <mergeCell ref="Q16:R16"/>
    <mergeCell ref="S16:T16"/>
    <mergeCell ref="K16:L16"/>
    <mergeCell ref="B9:C9"/>
    <mergeCell ref="I9:L9"/>
    <mergeCell ref="I10:L10"/>
    <mergeCell ref="F9:H9"/>
    <mergeCell ref="B10:C10"/>
    <mergeCell ref="B11:C11"/>
    <mergeCell ref="B15:B17"/>
    <mergeCell ref="C15:C17"/>
    <mergeCell ref="D15:D17"/>
    <mergeCell ref="E15:V15"/>
    <mergeCell ref="B12:C12"/>
    <mergeCell ref="B13:C13"/>
    <mergeCell ref="AJ16:AJ17"/>
    <mergeCell ref="W15:X15"/>
    <mergeCell ref="W16:W17"/>
    <mergeCell ref="X16:X17"/>
    <mergeCell ref="Y16:Z16"/>
    <mergeCell ref="AA16:AB16"/>
    <mergeCell ref="Y15:AB15"/>
    <mergeCell ref="AK16:AK17"/>
    <mergeCell ref="AC15:AC17"/>
    <mergeCell ref="AD16:AD17"/>
    <mergeCell ref="AL15:AN15"/>
    <mergeCell ref="AL16:AL17"/>
    <mergeCell ref="AM16:AM17"/>
    <mergeCell ref="AN16:AN17"/>
    <mergeCell ref="AE16:AE17"/>
    <mergeCell ref="AD15:AE15"/>
    <mergeCell ref="AF15:AG15"/>
    <mergeCell ref="AF16:AF17"/>
    <mergeCell ref="AG16:AG17"/>
    <mergeCell ref="AH15:AI15"/>
    <mergeCell ref="AH16:AH17"/>
    <mergeCell ref="AI16:AI17"/>
    <mergeCell ref="AJ15:AK15"/>
  </mergeCells>
  <conditionalFormatting sqref="D18:D42">
    <cfRule type="expression" priority="1">
      <formula>ISERROR(reference)</formula>
    </cfRule>
  </conditionalFormatting>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Terjadi Kesalahan Mr/Ms." error="Silahkan pilih data semester dengan drop down yang sudah disediakan.">
          <x14:formula1>
            <xm:f>'Master Data'!$F$8:$F$9</xm:f>
          </x14:formula1>
          <xm:sqref>D10</xm:sqref>
        </x14:dataValidation>
        <x14:dataValidation type="list" allowBlank="1" showInputMessage="1" showErrorMessage="1">
          <x14:formula1>
            <xm:f>'Master Data'!$I$8:$I$17</xm:f>
          </x14:formula1>
          <xm:sqref>D11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2:H87"/>
  <sheetViews>
    <sheetView showGridLines="0" showZeros="0" tabSelected="1" view="pageLayout" topLeftCell="A19" zoomScale="85" zoomScaleNormal="85" zoomScalePageLayoutView="85" workbookViewId="0">
      <selection activeCell="E22" sqref="E22"/>
    </sheetView>
  </sheetViews>
  <sheetFormatPr defaultRowHeight="15"/>
  <cols>
    <col min="1" max="1" width="5.5703125" style="24" bestFit="1" customWidth="1"/>
    <col min="2" max="2" width="17.28515625" style="24" customWidth="1"/>
    <col min="3" max="3" width="6.140625" style="24" customWidth="1"/>
    <col min="4" max="4" width="8.5703125" style="24" customWidth="1"/>
    <col min="5" max="5" width="22.42578125" style="24" customWidth="1"/>
    <col min="6" max="6" width="6.28515625" style="24" customWidth="1"/>
    <col min="7" max="7" width="8.42578125" style="24" customWidth="1"/>
    <col min="8" max="8" width="22.28515625" style="24" customWidth="1"/>
    <col min="9" max="16384" width="9.140625" style="24"/>
  </cols>
  <sheetData>
    <row r="2" spans="1:8" ht="19.5">
      <c r="A2" s="131" t="s">
        <v>22</v>
      </c>
      <c r="B2" s="131"/>
      <c r="C2" s="131"/>
      <c r="D2" s="131"/>
      <c r="E2" s="131"/>
      <c r="F2" s="131"/>
      <c r="G2" s="131"/>
      <c r="H2" s="131"/>
    </row>
    <row r="3" spans="1:8" ht="15" customHeight="1">
      <c r="A3" s="25"/>
      <c r="B3" s="25"/>
      <c r="C3" s="25"/>
      <c r="D3" s="25"/>
      <c r="E3" s="25"/>
      <c r="F3" s="25"/>
      <c r="G3" s="25"/>
      <c r="H3" s="25"/>
    </row>
    <row r="4" spans="1:8" ht="15" customHeight="1">
      <c r="A4" s="132" t="s">
        <v>31</v>
      </c>
      <c r="B4" s="132"/>
      <c r="C4" s="27" t="s">
        <v>32</v>
      </c>
      <c r="D4" s="134"/>
      <c r="E4" s="135"/>
      <c r="F4" s="132" t="s">
        <v>38</v>
      </c>
      <c r="G4" s="132"/>
      <c r="H4" s="28" t="str">
        <f>'Master Grade'!D9</f>
        <v>1 (Satu)</v>
      </c>
    </row>
    <row r="5" spans="1:8" ht="15" customHeight="1">
      <c r="A5" s="132" t="s">
        <v>33</v>
      </c>
      <c r="B5" s="132"/>
      <c r="C5" s="27" t="s">
        <v>32</v>
      </c>
      <c r="D5" s="132" t="e">
        <f>INDEX('Master Student'!H8:H32,MATCH('Final Report'!D4:E4,'Master Student'!I8:I32))</f>
        <v>#N/A</v>
      </c>
      <c r="E5" s="132"/>
      <c r="F5" s="132" t="s">
        <v>39</v>
      </c>
      <c r="G5" s="132"/>
      <c r="H5" s="28" t="str">
        <f>'Master Grade'!D10</f>
        <v>I (Satu)</v>
      </c>
    </row>
    <row r="6" spans="1:8" ht="15" customHeight="1">
      <c r="A6" s="132" t="s">
        <v>34</v>
      </c>
      <c r="B6" s="132"/>
      <c r="C6" s="27" t="s">
        <v>32</v>
      </c>
      <c r="D6" s="132" t="s">
        <v>36</v>
      </c>
      <c r="E6" s="132"/>
      <c r="F6" s="132" t="s">
        <v>40</v>
      </c>
      <c r="G6" s="132"/>
      <c r="H6" s="28" t="str">
        <f>'Master Grade'!D11</f>
        <v>2019/2020</v>
      </c>
    </row>
    <row r="7" spans="1:8" ht="15" customHeight="1">
      <c r="A7" s="133" t="s">
        <v>35</v>
      </c>
      <c r="B7" s="133"/>
      <c r="C7" s="27" t="s">
        <v>32</v>
      </c>
      <c r="D7" s="136" t="s">
        <v>37</v>
      </c>
      <c r="E7" s="136"/>
      <c r="F7" s="28"/>
      <c r="G7" s="28"/>
      <c r="H7" s="26"/>
    </row>
    <row r="8" spans="1:8" ht="15" customHeight="1">
      <c r="A8" s="29"/>
      <c r="B8" s="29"/>
      <c r="C8" s="27"/>
      <c r="D8" s="136"/>
      <c r="E8" s="136"/>
      <c r="F8" s="28"/>
      <c r="G8" s="28"/>
      <c r="H8" s="26"/>
    </row>
    <row r="9" spans="1:8" ht="15" customHeight="1">
      <c r="A9" s="29"/>
      <c r="B9" s="29"/>
      <c r="C9" s="27"/>
      <c r="D9" s="84" t="e">
        <f>INDEX('Master Student'!J8:J32,MATCH('Final Report'!D4:E4,'Master Student'!I8:I32))</f>
        <v>#N/A</v>
      </c>
      <c r="E9" s="30"/>
      <c r="F9" s="28"/>
      <c r="G9" s="28"/>
      <c r="H9" s="26"/>
    </row>
    <row r="10" spans="1:8" ht="15" customHeight="1">
      <c r="A10" s="29"/>
      <c r="B10" s="29"/>
      <c r="C10" s="27"/>
      <c r="D10" s="30"/>
      <c r="E10" s="30"/>
      <c r="F10" s="28"/>
      <c r="G10" s="28"/>
      <c r="H10" s="26"/>
    </row>
    <row r="11" spans="1:8" ht="15" customHeight="1">
      <c r="A11" s="31" t="s">
        <v>58</v>
      </c>
      <c r="B11" s="31" t="s">
        <v>59</v>
      </c>
      <c r="C11" s="27"/>
      <c r="D11" s="30"/>
      <c r="E11" s="30"/>
      <c r="F11" s="28"/>
      <c r="G11" s="28"/>
      <c r="H11" s="26"/>
    </row>
    <row r="12" spans="1:8" ht="10.5" customHeight="1">
      <c r="A12" s="31"/>
      <c r="B12" s="31"/>
      <c r="C12" s="27"/>
      <c r="D12" s="30"/>
      <c r="E12" s="30"/>
      <c r="F12" s="28"/>
      <c r="G12" s="28"/>
      <c r="H12" s="26"/>
    </row>
    <row r="13" spans="1:8" ht="15" customHeight="1">
      <c r="A13" s="118" t="s">
        <v>21</v>
      </c>
      <c r="B13" s="118"/>
      <c r="C13" s="118"/>
      <c r="D13" s="118"/>
      <c r="E13" s="118"/>
      <c r="F13" s="118"/>
      <c r="G13" s="118"/>
      <c r="H13" s="118"/>
    </row>
    <row r="14" spans="1:8" ht="45.75" customHeight="1">
      <c r="A14" s="143" t="s">
        <v>60</v>
      </c>
      <c r="B14" s="144"/>
      <c r="C14" s="145" t="e">
        <f>VLOOKUP(D4,'Master Grade'!D18:AN42,20,FALSE)</f>
        <v>#N/A</v>
      </c>
      <c r="D14" s="146"/>
      <c r="E14" s="146"/>
      <c r="F14" s="146"/>
      <c r="G14" s="146"/>
      <c r="H14" s="147"/>
    </row>
    <row r="15" spans="1:8" ht="48" customHeight="1">
      <c r="A15" s="143" t="s">
        <v>61</v>
      </c>
      <c r="B15" s="144"/>
      <c r="C15" s="145" t="e">
        <f>VLOOKUP(D4,'Master Grade'!D18:AN42,21,FALSE)</f>
        <v>#N/A</v>
      </c>
      <c r="D15" s="146"/>
      <c r="E15" s="146"/>
      <c r="F15" s="146"/>
      <c r="G15" s="146"/>
      <c r="H15" s="147"/>
    </row>
    <row r="16" spans="1:8" ht="15" customHeight="1">
      <c r="A16" s="32"/>
      <c r="B16" s="32"/>
      <c r="C16" s="32"/>
      <c r="D16" s="33"/>
      <c r="E16" s="33"/>
      <c r="F16" s="33"/>
      <c r="G16" s="33"/>
      <c r="H16" s="33"/>
    </row>
    <row r="17" spans="1:8" ht="15" customHeight="1">
      <c r="A17" s="32"/>
      <c r="B17" s="32"/>
      <c r="C17" s="32"/>
      <c r="D17" s="33"/>
      <c r="E17" s="33"/>
      <c r="F17" s="33"/>
      <c r="G17" s="33"/>
      <c r="H17" s="33"/>
    </row>
    <row r="18" spans="1:8" ht="15" customHeight="1">
      <c r="A18" s="34" t="s">
        <v>62</v>
      </c>
      <c r="B18" s="34" t="s">
        <v>63</v>
      </c>
      <c r="C18" s="34"/>
      <c r="D18" s="35"/>
      <c r="E18" s="33"/>
      <c r="F18" s="33"/>
      <c r="G18" s="33"/>
      <c r="H18" s="33"/>
    </row>
    <row r="19" spans="1:8" ht="10.5" customHeight="1">
      <c r="A19" s="36"/>
      <c r="B19" s="36"/>
      <c r="C19" s="36"/>
      <c r="D19" s="36"/>
      <c r="E19" s="36"/>
      <c r="F19" s="36"/>
      <c r="G19" s="36"/>
      <c r="H19" s="36"/>
    </row>
    <row r="20" spans="1:8">
      <c r="A20" s="129" t="s">
        <v>15</v>
      </c>
      <c r="B20" s="128" t="s">
        <v>16</v>
      </c>
      <c r="C20" s="129" t="s">
        <v>17</v>
      </c>
      <c r="D20" s="129"/>
      <c r="E20" s="129"/>
      <c r="F20" s="137" t="s">
        <v>18</v>
      </c>
      <c r="G20" s="138"/>
      <c r="H20" s="139"/>
    </row>
    <row r="21" spans="1:8">
      <c r="A21" s="129"/>
      <c r="B21" s="128"/>
      <c r="C21" s="74" t="s">
        <v>19</v>
      </c>
      <c r="D21" s="74" t="s">
        <v>20</v>
      </c>
      <c r="E21" s="74" t="s">
        <v>21</v>
      </c>
      <c r="F21" s="74" t="s">
        <v>19</v>
      </c>
      <c r="G21" s="74" t="s">
        <v>20</v>
      </c>
      <c r="H21" s="74" t="s">
        <v>21</v>
      </c>
    </row>
    <row r="22" spans="1:8" ht="179.25" customHeight="1">
      <c r="A22" s="79">
        <v>1</v>
      </c>
      <c r="B22" s="82" t="str">
        <f>'Master Subject'!H8</f>
        <v>Pendidikan Agama dan Budi Pekerti</v>
      </c>
      <c r="C22" s="79" t="e">
        <f>VLOOKUP(D4,'Master Grade'!D18:V42,2,FALSE)</f>
        <v>#N/A</v>
      </c>
      <c r="D22" s="79" t="e">
        <f>IF(C22&gt;=87.5,"A",IF(C22&gt;=73.5,"B",IF(C22&gt;=59.5,"C","D")))</f>
        <v>#N/A</v>
      </c>
      <c r="E22" s="82" t="e">
        <f>IF(AND(D9="Islam",C22&gt;=87.5),'Kompetensi Dasar'!C4,
IF(AND(D9="Islam",C22&gt;=73.5),'Kompetensi Dasar'!D4,
IF(AND(D9="Islam",C22&gt;=59.5),'Kompetensi Dasar'!E4,
IF(AND(D9="Islam",C22&gt;=0),'Kompetensi Dasar'!F4,
IF(AND(D9="Kristen",C22&gt;=87.5),'Kompetensi Dasar'!C5,
IF(AND(D9="Kristen",C22&gt;=73.5),'Kompetensi Dasar'!D5,
IF(AND(D9="Kristen",C22&gt;=59.5),'Kompetensi Dasar'!E5,
IF(AND(D9="Kristen",C22&gt;=0),'Kompetensi Dasar'!F5,
IF(AND(D9="Katolik",C22&gt;=87.5),'Kompetensi Dasar'!C6,
IF(AND(D9="Katolik",C22&gt;=73.5),'Kompetensi Dasar'!D6,
IF(AND(D9="Katolik",C22&gt;=59.5),'Kompetensi Dasar'!E6,
IF(AND(D9="Katolik",C22&gt;=0),'Kompetensi Dasar'!F6,
IF(AND(D9="Buddha",C22&gt;=87.5),'Kompetensi Dasar'!C7,
IF(AND(D9="Buddha",C22&gt;=73.5),'Kompetensi Dasar'!D7,
IF(AND(D9="Buddha",C22&gt;=59.5),'Kompetensi Dasar'!E7,
IF(AND(D9="Buddha",C22&gt;=0),'Kompetensi Dasar'!F7,
IF(AND(D9="Hindu",C22&gt;=87.5),'Kompetensi Dasar'!C8,
IF(AND(D9="Hindu",C22&gt;=73.5),'Kompetensi Dasar'!D8,
IF(AND(D9="Hindu",C22&gt;=59.5),'Kompetensi Dasar'!E8,
IF(AND(D9="Hindu",C22&gt;=0),'Kompetensi Dasar'!F8,))))))))))))))))))))</f>
        <v>#N/A</v>
      </c>
      <c r="F22" s="79" t="e">
        <f>VLOOKUP(D4,'Master Grade'!D18:V42,3,FALSE)</f>
        <v>#N/A</v>
      </c>
      <c r="G22" s="79" t="e">
        <f>IF(F22&gt;=87.5,"A",IF(F22&gt;=73.5,"B",IF(F22&gt;=59.5,"C","D")))</f>
        <v>#N/A</v>
      </c>
      <c r="H22" s="82" t="e">
        <f>IF(AND(D9="Islam",F22&gt;=87.5),'Kompetensi Dasar'!G4,
IF(AND(D9="Islam",F22&gt;=73.5),'Kompetensi Dasar'!H4,
IF(AND(D9="Islam",F22&gt;=59.5),'Kompetensi Dasar'!I4,
IF(AND(D9="Islam",F22&gt;=0),'Kompetensi Dasar'!J4,
IF(AND(D9="Kristen",F22&gt;=87.5),'Kompetensi Dasar'!G5,
IF(AND(D9="Kristen",F22&gt;=73.5),'Kompetensi Dasar'!H5,
IF(AND(D9="Kristen",F22&gt;=59.5),'Kompetensi Dasar'!I5,
IF(AND(D9="Kristen",F22&gt;=0),'Kompetensi Dasar'!J5,
IF(AND(D9="Katolik",F22&gt;=87.5),'Kompetensi Dasar'!G6,
IF(AND(D9="Katolik",F22&gt;=73.5),'Kompetensi Dasar'!H6,
IF(AND(D9="Katolik",F22&gt;=59.5),'Kompetensi Dasar'!I6,
IF(AND(D9="Katolik",F22&gt;=0),'Kompetensi Dasar'!J6,
IF(AND(D9="Buddha",F22&gt;=87.5),'Kompetensi Dasar'!G7,
IF(AND(D9="Buddha",F22&gt;=73.5),'Kompetensi Dasar'!H7,
IF(AND(D9="Buddha",F22&gt;=59.5),'Kompetensi Dasar'!I7,
IF(AND(D9="Buddha",F22&gt;=0),'Kompetensi Dasar'!J7,
IF(AND(D9="Hindu",F22&gt;=87.5),'Kompetensi Dasar'!G8,
IF(AND(D9="Hindu",F22&gt;=73.5),'Kompetensi Dasar'!H8,
IF(AND(D9="Hindu",F22&gt;=59.5),'Kompetensi Dasar'!I8,
IF(AND(D9="Hindu",F22&gt;=0),'Kompetensi Dasar'!J8,))))))))))))))))))))</f>
        <v>#N/A</v>
      </c>
    </row>
    <row r="23" spans="1:8" ht="180.75" customHeight="1">
      <c r="A23" s="79">
        <v>2</v>
      </c>
      <c r="B23" s="82" t="str">
        <f>'Master Subject'!H9</f>
        <v>Pendidikan Pancasila dan Kewarganegaraan</v>
      </c>
      <c r="C23" s="79" t="e">
        <f>VLOOKUP(D4,'Master Grade'!D18:V42,4,FALSE)</f>
        <v>#N/A</v>
      </c>
      <c r="D23" s="79" t="e">
        <f>IF(C23&gt;=87.5,"A",IF(C23&gt;=73.5,"B",IF(C23&gt;=59.5,"C","D")))</f>
        <v>#N/A</v>
      </c>
      <c r="E23" s="82" t="e">
        <f>IF(C23&gt;=87.5,'Kompetensi Dasar'!C9,
IF(C23&gt;=73.5,'Kompetensi Dasar'!D9,
IF(C23&gt;=59.5,'Kompetensi Dasar'!E9,'Kompetensi Dasar'!F9
)))</f>
        <v>#N/A</v>
      </c>
      <c r="F23" s="79" t="e">
        <f>VLOOKUP(D4,'Master Grade'!D18:V42,5,FALSE)</f>
        <v>#N/A</v>
      </c>
      <c r="G23" s="79" t="e">
        <f>IF(F23&gt;=87.5,"A",IF(F23&gt;=73.5,"B",IF(F23&gt;=59.5,"C","D")))</f>
        <v>#N/A</v>
      </c>
      <c r="H23" s="82" t="e">
        <f>IF(F23&gt;=87.5,'Kompetensi Dasar'!G9,
IF(F23&gt;=73.5,'Kompetensi Dasar'!H9,
IF(F23&gt;=59.5,'Kompetensi Dasar'!I9,'Kompetensi Dasar'!J9
)))</f>
        <v>#N/A</v>
      </c>
    </row>
    <row r="24" spans="1:8" ht="179.25" customHeight="1">
      <c r="A24" s="79">
        <v>3</v>
      </c>
      <c r="B24" s="82" t="str">
        <f>'Master Subject'!H10</f>
        <v>Bahasa Indonesia</v>
      </c>
      <c r="C24" s="79" t="e">
        <f>VLOOKUP(D4,'Master Grade'!D18:V42,6,FALSE)</f>
        <v>#N/A</v>
      </c>
      <c r="D24" s="79" t="e">
        <f t="shared" ref="D24:D27" si="0">IF(C24&gt;=87.5,"A",IF(C24&gt;=73.5,"B",IF(C24&gt;=59.5,"C","D")))</f>
        <v>#N/A</v>
      </c>
      <c r="E24" s="82" t="e">
        <f>IF(C24&gt;=87.5,'Kompetensi Dasar'!C10,
IF(C24&gt;=73.5,'Kompetensi Dasar'!D10,
IF(C24&gt;=59.5,'Kompetensi Dasar'!E10,'Kompetensi Dasar'!F10
)))</f>
        <v>#N/A</v>
      </c>
      <c r="F24" s="79" t="e">
        <f>VLOOKUP(D4,'Master Grade'!D18:V42,7,FALSE)</f>
        <v>#N/A</v>
      </c>
      <c r="G24" s="79" t="e">
        <f t="shared" ref="G24:G27" si="1">IF(F24&gt;=87.5,"A",IF(F24&gt;=73.5,"B",IF(F24&gt;=59.5,"C","D")))</f>
        <v>#N/A</v>
      </c>
      <c r="H24" s="82" t="e">
        <f>IF(F24&gt;=87.5,'Kompetensi Dasar'!G10,
IF(F24&gt;=73.5,'Kompetensi Dasar'!H10,
IF(F24&gt;=59.5,'Kompetensi Dasar'!I10,'Kompetensi Dasar'!J10
)))</f>
        <v>#N/A</v>
      </c>
    </row>
    <row r="25" spans="1:8" ht="213.75" customHeight="1">
      <c r="A25" s="79">
        <v>4</v>
      </c>
      <c r="B25" s="82" t="str">
        <f>'Master Subject'!H11</f>
        <v>Matematika</v>
      </c>
      <c r="C25" s="79" t="e">
        <f>VLOOKUP(D4,'Master Grade'!D18:V42,8,FALSE)</f>
        <v>#N/A</v>
      </c>
      <c r="D25" s="79" t="e">
        <f t="shared" si="0"/>
        <v>#N/A</v>
      </c>
      <c r="E25" s="82" t="e">
        <f>IF(C25&gt;=87.5,'Kompetensi Dasar'!C11,
IF(C25&gt;=73.5,'Kompetensi Dasar'!D11,
IF(C25&gt;=59.5,'Kompetensi Dasar'!E11,'Kompetensi Dasar'!F11
)))</f>
        <v>#N/A</v>
      </c>
      <c r="F25" s="79" t="e">
        <f>VLOOKUP(D4,'Master Grade'!D18:V42,9,FALSE)</f>
        <v>#N/A</v>
      </c>
      <c r="G25" s="79" t="e">
        <f t="shared" si="1"/>
        <v>#N/A</v>
      </c>
      <c r="H25" s="82" t="e">
        <f>IF(F25&gt;=87.5,'Kompetensi Dasar'!G11,
IF(F25&gt;=73.5,'Kompetensi Dasar'!H11,
IF(F25&gt;=59.5,'Kompetensi Dasar'!I11,'Kompetensi Dasar'!J11
)))</f>
        <v>#N/A</v>
      </c>
    </row>
    <row r="26" spans="1:8" ht="153.75" customHeight="1">
      <c r="A26" s="79">
        <v>5</v>
      </c>
      <c r="B26" s="82" t="str">
        <f>'Master Subject'!H12</f>
        <v>Seni Budaya dan Prakarya</v>
      </c>
      <c r="C26" s="79" t="e">
        <f>VLOOKUP(D4,'Master Grade'!D18:V42,10,FALSE)</f>
        <v>#N/A</v>
      </c>
      <c r="D26" s="79" t="e">
        <f t="shared" si="0"/>
        <v>#N/A</v>
      </c>
      <c r="E26" s="82" t="e">
        <f>IF(C26&gt;=87.5,'Kompetensi Dasar'!C12,
IF(C26&gt;=73.5,'Kompetensi Dasar'!D12,
IF(C26&gt;=59.5,'Kompetensi Dasar'!E12,'Kompetensi Dasar'!F12
)))</f>
        <v>#N/A</v>
      </c>
      <c r="F26" s="79" t="e">
        <f>VLOOKUP(D4,'Master Grade'!D18:V42,11,FALSE)</f>
        <v>#N/A</v>
      </c>
      <c r="G26" s="79" t="e">
        <f t="shared" si="1"/>
        <v>#N/A</v>
      </c>
      <c r="H26" s="82" t="e">
        <f>IF(F26&gt;=87.5,'Kompetensi Dasar'!G12,
IF(F26&gt;=73.5,'Kompetensi Dasar'!H12,
IF(F26&gt;=59.5,'Kompetensi Dasar'!I12,'Kompetensi Dasar'!J12
)))</f>
        <v>#N/A</v>
      </c>
    </row>
    <row r="27" spans="1:8" ht="179.25" customHeight="1">
      <c r="A27" s="79">
        <v>6</v>
      </c>
      <c r="B27" s="82" t="str">
        <f>'Master Subject'!H13</f>
        <v>Pendidikan Jasmani, Olahraga dan Kesehatan</v>
      </c>
      <c r="C27" s="79" t="e">
        <f>VLOOKUP(D4,'Master Grade'!D18:V42,12,FALSE)</f>
        <v>#N/A</v>
      </c>
      <c r="D27" s="79" t="e">
        <f t="shared" si="0"/>
        <v>#N/A</v>
      </c>
      <c r="E27" s="82" t="e">
        <f>IF(C27&gt;=87.5,'Kompetensi Dasar'!C13,
IF(C27&gt;=73.5,'Kompetensi Dasar'!D13,
IF(C27&gt;=59.5,'Kompetensi Dasar'!E13,'Kompetensi Dasar'!F13
)))</f>
        <v>#N/A</v>
      </c>
      <c r="F27" s="79" t="e">
        <f>VLOOKUP(D4,'Master Grade'!D18:V42,13,FALSE)</f>
        <v>#N/A</v>
      </c>
      <c r="G27" s="79" t="e">
        <f t="shared" si="1"/>
        <v>#N/A</v>
      </c>
      <c r="H27" s="82" t="e">
        <f>IF(F27&gt;=87.5,'Kompetensi Dasar'!G13,
IF(F27&gt;=73.5,'Kompetensi Dasar'!H13,
IF(F27&gt;=59.5,'Kompetensi Dasar'!I13,'Kompetensi Dasar'!J13
)))</f>
        <v>#N/A</v>
      </c>
    </row>
    <row r="28" spans="1:8" ht="24.75" customHeight="1">
      <c r="A28" s="58"/>
      <c r="B28" s="59"/>
      <c r="C28" s="58"/>
      <c r="D28" s="58"/>
      <c r="E28" s="59"/>
      <c r="F28" s="58"/>
      <c r="G28" s="58"/>
      <c r="H28" s="59"/>
    </row>
    <row r="29" spans="1:8" ht="21.75" customHeight="1">
      <c r="A29" s="130" t="s">
        <v>15</v>
      </c>
      <c r="B29" s="127" t="s">
        <v>57</v>
      </c>
      <c r="C29" s="127"/>
      <c r="D29" s="127"/>
      <c r="E29" s="127"/>
      <c r="F29" s="127"/>
      <c r="G29" s="127"/>
      <c r="H29" s="127"/>
    </row>
    <row r="30" spans="1:8" ht="15.75" customHeight="1">
      <c r="A30" s="130"/>
      <c r="B30" s="128" t="s">
        <v>16</v>
      </c>
      <c r="C30" s="129" t="s">
        <v>17</v>
      </c>
      <c r="D30" s="129"/>
      <c r="E30" s="129"/>
      <c r="F30" s="129" t="s">
        <v>18</v>
      </c>
      <c r="G30" s="129"/>
      <c r="H30" s="129"/>
    </row>
    <row r="31" spans="1:8">
      <c r="A31" s="130"/>
      <c r="B31" s="128"/>
      <c r="C31" s="55" t="s">
        <v>19</v>
      </c>
      <c r="D31" s="55" t="s">
        <v>20</v>
      </c>
      <c r="E31" s="55" t="s">
        <v>21</v>
      </c>
      <c r="F31" s="55" t="s">
        <v>19</v>
      </c>
      <c r="G31" s="55" t="s">
        <v>20</v>
      </c>
      <c r="H31" s="55" t="s">
        <v>21</v>
      </c>
    </row>
    <row r="32" spans="1:8" ht="256.5" customHeight="1">
      <c r="A32" s="39">
        <v>7</v>
      </c>
      <c r="B32" s="60" t="str">
        <f>'Master Subject'!H14</f>
        <v>Bahasa Mandarin</v>
      </c>
      <c r="C32" s="61" t="e">
        <f>VLOOKUP(D4,'Master Grade'!D18:V42,14,FALSE)</f>
        <v>#N/A</v>
      </c>
      <c r="D32" s="63" t="e">
        <f>IF(C32&gt;=87.5,"A",IF(C32&gt;=73.5,"B",IF(C32&gt;=59.5,"C","D")))</f>
        <v>#N/A</v>
      </c>
      <c r="E32" s="38" t="e">
        <f>IF(C27&gt;=87.5,'Kompetensi Dasar'!C14,
IF(C27&gt;=73.5,'Kompetensi Dasar'!D14,
IF(C27&gt;=59.5,'Kompetensi Dasar'!E14,'Kompetensi Dasar'!F14
)))</f>
        <v>#N/A</v>
      </c>
      <c r="F32" s="61" t="e">
        <f>VLOOKUP(D4,'Master Grade'!D18:V42,15,FALSE)</f>
        <v>#N/A</v>
      </c>
      <c r="G32" s="63" t="e">
        <f>IF(F32&gt;=87.5,"A",IF(F32&gt;=73.5,"B",IF(F32&gt;=59.5,"C","D")))</f>
        <v>#N/A</v>
      </c>
      <c r="H32" s="38" t="e">
        <f>IF(F32&gt;=87.5,'Kompetensi Dasar'!G14,
IF(F32&gt;=73.5,'Kompetensi Dasar'!H14,
IF(F32&gt;=59.5,'Kompetensi Dasar'!I14,'Kompetensi Dasar'!J14
)))</f>
        <v>#N/A</v>
      </c>
    </row>
    <row r="33" spans="1:8" ht="192.75" customHeight="1">
      <c r="A33" s="37">
        <v>8</v>
      </c>
      <c r="B33" s="38" t="str">
        <f>'Master Subject'!H15</f>
        <v>Bahasa Inggris</v>
      </c>
      <c r="C33" s="79" t="e">
        <f>VLOOKUP(D4,'Master Grade'!D18:V42,16,FALSE)</f>
        <v>#N/A</v>
      </c>
      <c r="D33" s="75" t="e">
        <f t="shared" ref="D33:D34" si="2">IF(C33&gt;=87.5,"A",IF(C33&gt;=73.5,"B",IF(C33&gt;=59.5,"C","D")))</f>
        <v>#N/A</v>
      </c>
      <c r="E33" s="38" t="e">
        <f>IF(C33&gt;=87.5,'Kompetensi Dasar'!C15,
IF(C33&gt;=73.5,'Kompetensi Dasar'!D15,
IF(C33&gt;=59.5,'Kompetensi Dasar'!E15,'Kompetensi Dasar'!F15
)))</f>
        <v>#N/A</v>
      </c>
      <c r="F33" s="79" t="e">
        <f>VLOOKUP(D4,'Master Grade'!D18:V42,17,FALSE)</f>
        <v>#N/A</v>
      </c>
      <c r="G33" s="75" t="e">
        <f t="shared" ref="G33:G34" si="3">IF(F33&gt;=87.5,"A",IF(F33&gt;=73.5,"B",IF(F33&gt;=59.5,"C","D")))</f>
        <v>#N/A</v>
      </c>
      <c r="H33" s="38" t="e">
        <f>IF(F33&gt;=87.5,'Kompetensi Dasar'!G15,
IF(F33&gt;=73.5,'Kompetensi Dasar'!H15,
IF(F33&gt;=59.5,'Kompetensi Dasar'!I15,'Kompetensi Dasar'!J15
)))</f>
        <v>#N/A</v>
      </c>
    </row>
    <row r="34" spans="1:8" ht="206.25" customHeight="1">
      <c r="A34" s="37">
        <v>9</v>
      </c>
      <c r="B34" s="38" t="str">
        <f>'Master Subject'!H16</f>
        <v>Informatika</v>
      </c>
      <c r="C34" s="79" t="e">
        <f>VLOOKUP(D4,'Master Grade'!D18:V42,18,FALSE)</f>
        <v>#N/A</v>
      </c>
      <c r="D34" s="75" t="e">
        <f t="shared" si="2"/>
        <v>#N/A</v>
      </c>
      <c r="E34" s="38" t="e">
        <f>IF(C34&gt;=87.5,'Kompetensi Dasar'!C16,
IF(C34&gt;=73.5,'Kompetensi Dasar'!D16,
IF(C34&gt;=59.5,'Kompetensi Dasar'!E16,'Kompetensi Dasar'!F16
)))</f>
        <v>#N/A</v>
      </c>
      <c r="F34" s="79" t="e">
        <f>VLOOKUP(D4,'Master Grade'!D18:V42,19,FALSE)</f>
        <v>#N/A</v>
      </c>
      <c r="G34" s="75" t="e">
        <f t="shared" si="3"/>
        <v>#N/A</v>
      </c>
      <c r="H34" s="38" t="e">
        <f>IF(F34&gt;=87.5,'Kompetensi Dasar'!G16,
IF(F34&gt;=73.5,'Kompetensi Dasar'!H16,
IF(F34&gt;=59.5,'Kompetensi Dasar'!I16,'Kompetensi Dasar'!J16
)))</f>
        <v>#N/A</v>
      </c>
    </row>
    <row r="35" spans="1:8">
      <c r="A35" s="26"/>
      <c r="B35" s="26"/>
      <c r="C35" s="26"/>
      <c r="D35" s="26"/>
      <c r="E35" s="26"/>
      <c r="F35" s="26"/>
      <c r="G35" s="26"/>
      <c r="H35" s="26"/>
    </row>
    <row r="36" spans="1:8">
      <c r="A36" s="26"/>
      <c r="B36" s="26"/>
      <c r="C36" s="26"/>
      <c r="D36" s="26"/>
      <c r="E36" s="26"/>
      <c r="F36" s="26"/>
      <c r="G36" s="26"/>
      <c r="H36" s="26"/>
    </row>
    <row r="37" spans="1:8">
      <c r="A37" s="26"/>
      <c r="B37" s="26"/>
      <c r="C37" s="26"/>
      <c r="D37" s="26"/>
      <c r="E37" s="26"/>
      <c r="F37" s="26"/>
      <c r="G37" s="26"/>
      <c r="H37" s="26"/>
    </row>
    <row r="38" spans="1:8">
      <c r="A38" s="31" t="s">
        <v>65</v>
      </c>
      <c r="B38" s="31" t="s">
        <v>117</v>
      </c>
      <c r="C38" s="27"/>
      <c r="D38" s="30"/>
      <c r="E38" s="30"/>
      <c r="F38" s="28"/>
      <c r="G38" s="28"/>
      <c r="H38" s="26"/>
    </row>
    <row r="39" spans="1:8">
      <c r="A39" s="31"/>
      <c r="B39" s="31"/>
      <c r="C39" s="27"/>
      <c r="D39" s="30"/>
      <c r="E39" s="30"/>
      <c r="F39" s="28"/>
      <c r="G39" s="28"/>
      <c r="H39" s="26"/>
    </row>
    <row r="40" spans="1:8">
      <c r="A40" s="62" t="s">
        <v>15</v>
      </c>
      <c r="B40" s="118" t="s">
        <v>118</v>
      </c>
      <c r="C40" s="118"/>
      <c r="D40" s="118"/>
      <c r="E40" s="118" t="s">
        <v>64</v>
      </c>
      <c r="F40" s="118"/>
      <c r="G40" s="118"/>
      <c r="H40" s="118"/>
    </row>
    <row r="41" spans="1:8" ht="15.75" customHeight="1">
      <c r="A41" s="40">
        <v>1</v>
      </c>
      <c r="B41" s="119" t="e">
        <f>VLOOKUP(D4,'Master Grade'!D18:AN42,22,FALSE)</f>
        <v>#N/A</v>
      </c>
      <c r="C41" s="119"/>
      <c r="D41" s="119"/>
      <c r="E41" s="119" t="e">
        <f>VLOOKUP(D4,'Master Grade'!D18:AN42,23,FALSE)</f>
        <v>#N/A</v>
      </c>
      <c r="F41" s="119"/>
      <c r="G41" s="119"/>
      <c r="H41" s="119"/>
    </row>
    <row r="42" spans="1:8" ht="15.75" customHeight="1">
      <c r="A42" s="40">
        <v>2</v>
      </c>
      <c r="B42" s="119" t="e">
        <f>VLOOKUP(D4,'Master Grade'!D18:AN42,24,FALSE)</f>
        <v>#N/A</v>
      </c>
      <c r="C42" s="119"/>
      <c r="D42" s="119"/>
      <c r="E42" s="119" t="e">
        <f>VLOOKUP(D4,'Master Grade'!D18:AN42,25,FALSE)</f>
        <v>#N/A</v>
      </c>
      <c r="F42" s="119"/>
      <c r="G42" s="119"/>
      <c r="H42" s="119"/>
    </row>
    <row r="43" spans="1:8">
      <c r="A43" s="26"/>
      <c r="B43" s="26"/>
      <c r="C43" s="26"/>
      <c r="D43" s="26"/>
      <c r="E43" s="26"/>
      <c r="F43" s="26"/>
      <c r="G43" s="26"/>
      <c r="H43" s="26"/>
    </row>
    <row r="44" spans="1:8">
      <c r="A44" s="26"/>
      <c r="B44" s="26"/>
      <c r="C44" s="26"/>
      <c r="D44" s="26"/>
      <c r="E44" s="26"/>
      <c r="F44" s="26"/>
      <c r="G44" s="26"/>
      <c r="H44" s="26"/>
    </row>
    <row r="45" spans="1:8">
      <c r="A45" s="26"/>
      <c r="B45" s="26"/>
      <c r="C45" s="26"/>
      <c r="D45" s="26"/>
      <c r="E45" s="26"/>
      <c r="F45" s="26"/>
      <c r="G45" s="26"/>
      <c r="H45" s="26"/>
    </row>
    <row r="46" spans="1:8">
      <c r="A46" s="31" t="s">
        <v>66</v>
      </c>
      <c r="B46" s="31" t="s">
        <v>82</v>
      </c>
      <c r="C46" s="27"/>
      <c r="D46" s="30"/>
      <c r="E46" s="30"/>
      <c r="F46" s="28"/>
      <c r="G46" s="28"/>
      <c r="H46" s="26"/>
    </row>
    <row r="47" spans="1:8">
      <c r="A47" s="31"/>
      <c r="B47" s="31"/>
      <c r="C47" s="27"/>
      <c r="D47" s="30"/>
      <c r="E47" s="30"/>
      <c r="F47" s="28"/>
      <c r="G47" s="28"/>
      <c r="H47" s="26"/>
    </row>
    <row r="48" spans="1:8" ht="18" customHeight="1">
      <c r="A48" s="121" t="e">
        <f>VLOOKUP(D4,'Master Grade'!D18:AN42,26,FALSE)</f>
        <v>#N/A</v>
      </c>
      <c r="B48" s="122"/>
      <c r="C48" s="122"/>
      <c r="D48" s="122"/>
      <c r="E48" s="122"/>
      <c r="F48" s="122"/>
      <c r="G48" s="122"/>
      <c r="H48" s="123"/>
    </row>
    <row r="49" spans="1:8" ht="18" customHeight="1">
      <c r="A49" s="124"/>
      <c r="B49" s="125"/>
      <c r="C49" s="125"/>
      <c r="D49" s="125"/>
      <c r="E49" s="125"/>
      <c r="F49" s="125"/>
      <c r="G49" s="125"/>
      <c r="H49" s="126"/>
    </row>
    <row r="50" spans="1:8">
      <c r="A50" s="26"/>
      <c r="B50" s="26"/>
      <c r="C50" s="26"/>
      <c r="D50" s="26"/>
      <c r="E50" s="26"/>
      <c r="F50" s="26"/>
      <c r="G50" s="26"/>
      <c r="H50" s="26"/>
    </row>
    <row r="51" spans="1:8">
      <c r="A51" s="26"/>
      <c r="B51" s="26"/>
      <c r="C51" s="26"/>
      <c r="D51" s="26"/>
      <c r="E51" s="26"/>
      <c r="F51" s="26"/>
      <c r="G51" s="26"/>
      <c r="H51" s="26"/>
    </row>
    <row r="52" spans="1:8">
      <c r="A52" s="31" t="s">
        <v>87</v>
      </c>
      <c r="B52" s="31" t="s">
        <v>83</v>
      </c>
      <c r="C52" s="27"/>
      <c r="D52" s="30"/>
      <c r="E52" s="30"/>
      <c r="F52" s="28"/>
      <c r="G52" s="28"/>
      <c r="H52" s="26"/>
    </row>
    <row r="53" spans="1:8">
      <c r="A53" s="31"/>
      <c r="B53" s="31"/>
      <c r="C53" s="27"/>
      <c r="D53" s="30"/>
      <c r="E53" s="30"/>
      <c r="F53" s="28"/>
      <c r="G53" s="28"/>
      <c r="H53" s="26"/>
    </row>
    <row r="54" spans="1:8">
      <c r="A54" s="41" t="s">
        <v>15</v>
      </c>
      <c r="B54" s="118" t="s">
        <v>67</v>
      </c>
      <c r="C54" s="118"/>
      <c r="D54" s="118"/>
      <c r="E54" s="118" t="s">
        <v>64</v>
      </c>
      <c r="F54" s="118"/>
      <c r="G54" s="118"/>
      <c r="H54" s="118"/>
    </row>
    <row r="55" spans="1:8">
      <c r="A55" s="40">
        <v>1</v>
      </c>
      <c r="B55" s="119" t="s">
        <v>68</v>
      </c>
      <c r="C55" s="119"/>
      <c r="D55" s="119"/>
      <c r="E55" s="120" t="e">
        <f>VLOOKUP(D4,'Master Grade'!D18:AN42,27,FALSE) &amp;" " &amp; "Kg"</f>
        <v>#N/A</v>
      </c>
      <c r="F55" s="120"/>
      <c r="G55" s="120"/>
      <c r="H55" s="120"/>
    </row>
    <row r="56" spans="1:8">
      <c r="A56" s="40">
        <v>2</v>
      </c>
      <c r="B56" s="119" t="s">
        <v>69</v>
      </c>
      <c r="C56" s="119"/>
      <c r="D56" s="119"/>
      <c r="E56" s="120" t="e">
        <f>VLOOKUP(D4,'Master Grade'!D18:AN42,28,FALSE)&amp; " " &amp; "Cm"</f>
        <v>#N/A</v>
      </c>
      <c r="F56" s="120"/>
      <c r="G56" s="120"/>
      <c r="H56" s="120"/>
    </row>
    <row r="57" spans="1:8">
      <c r="A57" s="26"/>
      <c r="B57" s="26"/>
      <c r="C57" s="26"/>
      <c r="D57" s="26"/>
      <c r="E57" s="26"/>
      <c r="F57" s="26"/>
      <c r="G57" s="26"/>
      <c r="H57" s="26"/>
    </row>
    <row r="58" spans="1:8">
      <c r="A58" s="26"/>
      <c r="B58" s="26"/>
      <c r="C58" s="26"/>
      <c r="D58" s="26"/>
      <c r="E58" s="26"/>
      <c r="F58" s="26"/>
      <c r="G58" s="26"/>
      <c r="H58" s="26"/>
    </row>
    <row r="59" spans="1:8">
      <c r="A59" s="31" t="s">
        <v>86</v>
      </c>
      <c r="B59" s="31" t="s">
        <v>85</v>
      </c>
      <c r="C59" s="27"/>
      <c r="D59" s="30"/>
      <c r="E59" s="30"/>
      <c r="F59" s="28"/>
      <c r="G59" s="28"/>
      <c r="H59" s="26"/>
    </row>
    <row r="60" spans="1:8">
      <c r="A60" s="31"/>
      <c r="B60" s="31"/>
      <c r="C60" s="27"/>
      <c r="D60" s="30"/>
      <c r="E60" s="30"/>
      <c r="F60" s="28"/>
      <c r="G60" s="28"/>
      <c r="H60" s="26"/>
    </row>
    <row r="61" spans="1:8">
      <c r="A61" s="42" t="s">
        <v>15</v>
      </c>
      <c r="B61" s="118" t="s">
        <v>90</v>
      </c>
      <c r="C61" s="118"/>
      <c r="D61" s="118"/>
      <c r="E61" s="118" t="s">
        <v>64</v>
      </c>
      <c r="F61" s="118"/>
      <c r="G61" s="118"/>
      <c r="H61" s="118"/>
    </row>
    <row r="62" spans="1:8">
      <c r="A62" s="40">
        <v>1</v>
      </c>
      <c r="B62" s="119" t="s">
        <v>70</v>
      </c>
      <c r="C62" s="119"/>
      <c r="D62" s="119"/>
      <c r="E62" s="119" t="e">
        <f>VLOOKUP(D4,'Master Grade'!D18:AN42,29,FALSE)</f>
        <v>#N/A</v>
      </c>
      <c r="F62" s="119"/>
      <c r="G62" s="119"/>
      <c r="H62" s="119"/>
    </row>
    <row r="63" spans="1:8">
      <c r="A63" s="40">
        <v>2</v>
      </c>
      <c r="B63" s="119" t="s">
        <v>71</v>
      </c>
      <c r="C63" s="119"/>
      <c r="D63" s="119"/>
      <c r="E63" s="119" t="e">
        <f>VLOOKUP(D4,'Master Grade'!D18:AN42,30,FALSE)</f>
        <v>#N/A</v>
      </c>
      <c r="F63" s="119"/>
      <c r="G63" s="119"/>
      <c r="H63" s="119"/>
    </row>
    <row r="64" spans="1:8">
      <c r="A64" s="26"/>
      <c r="B64" s="26"/>
      <c r="C64" s="26"/>
      <c r="D64" s="26"/>
      <c r="E64" s="26"/>
      <c r="F64" s="26"/>
      <c r="G64" s="26"/>
      <c r="H64" s="26"/>
    </row>
    <row r="65" spans="1:8">
      <c r="A65" s="26"/>
      <c r="B65" s="26"/>
      <c r="C65" s="26"/>
      <c r="D65" s="26"/>
      <c r="E65" s="26"/>
      <c r="F65" s="26"/>
      <c r="G65" s="26"/>
      <c r="H65" s="26"/>
    </row>
    <row r="66" spans="1:8">
      <c r="A66" s="31" t="s">
        <v>88</v>
      </c>
      <c r="B66" s="31" t="s">
        <v>72</v>
      </c>
      <c r="C66" s="27"/>
      <c r="D66" s="30"/>
      <c r="E66" s="30"/>
      <c r="F66" s="28"/>
      <c r="G66" s="28"/>
      <c r="H66" s="26"/>
    </row>
    <row r="67" spans="1:8">
      <c r="A67" s="31"/>
      <c r="B67" s="31"/>
      <c r="C67" s="27"/>
      <c r="D67" s="30"/>
      <c r="E67" s="30"/>
      <c r="F67" s="28"/>
      <c r="G67" s="28"/>
      <c r="H67" s="26"/>
    </row>
    <row r="68" spans="1:8">
      <c r="A68" s="42" t="s">
        <v>15</v>
      </c>
      <c r="B68" s="118" t="s">
        <v>91</v>
      </c>
      <c r="C68" s="118"/>
      <c r="D68" s="118"/>
      <c r="E68" s="118" t="s">
        <v>64</v>
      </c>
      <c r="F68" s="118"/>
      <c r="G68" s="118"/>
      <c r="H68" s="118"/>
    </row>
    <row r="69" spans="1:8">
      <c r="A69" s="40">
        <v>1</v>
      </c>
      <c r="B69" s="119" t="e">
        <f>VLOOKUP(D4,'Master Grade'!D18:AN42,31,FALSE)</f>
        <v>#N/A</v>
      </c>
      <c r="C69" s="119"/>
      <c r="D69" s="119"/>
      <c r="E69" s="119" t="e">
        <f>VLOOKUP(D4,'Master Grade'!D18:AN42,32,FALSE)</f>
        <v>#N/A</v>
      </c>
      <c r="F69" s="119"/>
      <c r="G69" s="119"/>
      <c r="H69" s="119"/>
    </row>
    <row r="70" spans="1:8">
      <c r="A70" s="40">
        <v>2</v>
      </c>
      <c r="B70" s="119" t="e">
        <f>VLOOKUP(D4,'Master Grade'!D18:AN42,33,FALSE)</f>
        <v>#N/A</v>
      </c>
      <c r="C70" s="119"/>
      <c r="D70" s="119"/>
      <c r="E70" s="119" t="e">
        <f>VLOOKUP(D4,'Master Grade'!D18:AN42,34,FALSE)</f>
        <v>#N/A</v>
      </c>
      <c r="F70" s="119"/>
      <c r="G70" s="119"/>
      <c r="H70" s="119"/>
    </row>
    <row r="71" spans="1:8">
      <c r="A71" s="26"/>
      <c r="B71" s="26"/>
      <c r="C71" s="26"/>
      <c r="D71" s="26"/>
      <c r="E71" s="26"/>
      <c r="F71" s="26"/>
      <c r="G71" s="26"/>
      <c r="H71" s="26"/>
    </row>
    <row r="72" spans="1:8">
      <c r="A72" s="26"/>
      <c r="B72" s="26"/>
      <c r="C72" s="26"/>
      <c r="D72" s="26"/>
      <c r="E72" s="26"/>
      <c r="F72" s="26"/>
      <c r="G72" s="26"/>
      <c r="H72" s="26"/>
    </row>
    <row r="73" spans="1:8" ht="15.75">
      <c r="A73" s="31" t="s">
        <v>89</v>
      </c>
      <c r="B73" s="31" t="s">
        <v>73</v>
      </c>
      <c r="C73" s="44"/>
      <c r="D73" s="45"/>
      <c r="E73" s="45"/>
      <c r="F73" s="46"/>
      <c r="G73" s="46"/>
    </row>
    <row r="74" spans="1:8" ht="15.75">
      <c r="A74" s="43"/>
      <c r="B74" s="43"/>
      <c r="C74" s="44"/>
      <c r="D74" s="45"/>
      <c r="E74" s="45"/>
      <c r="F74" s="46"/>
      <c r="G74" s="46"/>
    </row>
    <row r="75" spans="1:8">
      <c r="A75" s="114" t="s">
        <v>76</v>
      </c>
      <c r="B75" s="114"/>
      <c r="C75" s="114"/>
      <c r="D75" s="114"/>
      <c r="E75" s="117" t="e">
        <f>VLOOKUP(D4,'Master Grade'!D18:AN42,35,FALSE) &amp; " " &amp; "Hari"</f>
        <v>#N/A</v>
      </c>
      <c r="F75" s="117"/>
      <c r="G75" s="117"/>
      <c r="H75" s="117"/>
    </row>
    <row r="76" spans="1:8">
      <c r="A76" s="114" t="s">
        <v>75</v>
      </c>
      <c r="B76" s="114"/>
      <c r="C76" s="114"/>
      <c r="D76" s="114"/>
      <c r="E76" s="117" t="e">
        <f>VLOOKUP(D4,'Master Grade'!D18:AN42,36,FALSE) &amp; " " &amp; "Hari"</f>
        <v>#N/A</v>
      </c>
      <c r="F76" s="117"/>
      <c r="G76" s="117"/>
      <c r="H76" s="117"/>
    </row>
    <row r="77" spans="1:8">
      <c r="A77" s="114" t="s">
        <v>74</v>
      </c>
      <c r="B77" s="114"/>
      <c r="C77" s="114"/>
      <c r="D77" s="114"/>
      <c r="E77" s="117" t="e">
        <f>VLOOKUP(D4,'Master Grade'!D18:AN42,37,FALSE) &amp; " " &amp; "Hari"</f>
        <v>#N/A</v>
      </c>
      <c r="F77" s="117"/>
      <c r="G77" s="117"/>
      <c r="H77" s="117"/>
    </row>
    <row r="78" spans="1:8">
      <c r="H78" s="51"/>
    </row>
    <row r="80" spans="1:8">
      <c r="G80" s="52" t="s">
        <v>110</v>
      </c>
      <c r="H80" s="53">
        <f>'Master Grade'!D12</f>
        <v>0</v>
      </c>
    </row>
    <row r="81" spans="2:8" ht="6" customHeight="1"/>
    <row r="82" spans="2:8">
      <c r="B82" s="47" t="s">
        <v>77</v>
      </c>
      <c r="C82" s="47"/>
      <c r="D82" s="47"/>
      <c r="E82" s="47" t="s">
        <v>79</v>
      </c>
      <c r="F82" s="47"/>
      <c r="G82" s="116" t="s">
        <v>80</v>
      </c>
      <c r="H82" s="116"/>
    </row>
    <row r="83" spans="2:8">
      <c r="B83" s="47"/>
      <c r="C83" s="47"/>
      <c r="D83" s="47"/>
      <c r="E83" s="47"/>
      <c r="F83" s="47"/>
      <c r="G83" s="47"/>
      <c r="H83" s="47"/>
    </row>
    <row r="84" spans="2:8">
      <c r="B84" s="47"/>
      <c r="C84" s="47"/>
      <c r="D84" s="47"/>
      <c r="E84" s="47"/>
      <c r="F84" s="47"/>
      <c r="G84" s="47"/>
      <c r="H84" s="47"/>
    </row>
    <row r="85" spans="2:8">
      <c r="B85" s="47"/>
      <c r="C85" s="47"/>
      <c r="D85" s="47"/>
      <c r="E85" s="47"/>
      <c r="F85" s="47"/>
      <c r="G85" s="47"/>
      <c r="H85" s="47"/>
    </row>
    <row r="86" spans="2:8">
      <c r="B86" s="47"/>
      <c r="C86" s="47"/>
      <c r="D86" s="47"/>
      <c r="E86" s="47"/>
      <c r="F86" s="47"/>
      <c r="G86" s="47"/>
      <c r="H86" s="47"/>
    </row>
    <row r="87" spans="2:8">
      <c r="B87" s="47" t="s">
        <v>78</v>
      </c>
      <c r="C87" s="47"/>
      <c r="D87" s="47"/>
      <c r="E87" s="48" t="s">
        <v>81</v>
      </c>
      <c r="F87" s="48"/>
      <c r="G87" s="115">
        <f>'Master Grade'!D13</f>
        <v>0</v>
      </c>
      <c r="H87" s="115"/>
    </row>
  </sheetData>
  <sheetProtection selectLockedCells="1"/>
  <dataConsolidate/>
  <mergeCells count="59">
    <mergeCell ref="A20:A21"/>
    <mergeCell ref="B20:B21"/>
    <mergeCell ref="C20:E20"/>
    <mergeCell ref="F20:H20"/>
    <mergeCell ref="F4:G4"/>
    <mergeCell ref="F5:G5"/>
    <mergeCell ref="F6:G6"/>
    <mergeCell ref="A13:H13"/>
    <mergeCell ref="A14:B14"/>
    <mergeCell ref="A15:B15"/>
    <mergeCell ref="C14:H14"/>
    <mergeCell ref="C15:H15"/>
    <mergeCell ref="A2:H2"/>
    <mergeCell ref="A4:B4"/>
    <mergeCell ref="A5:B5"/>
    <mergeCell ref="A6:B6"/>
    <mergeCell ref="A7:B7"/>
    <mergeCell ref="D4:E4"/>
    <mergeCell ref="D5:E5"/>
    <mergeCell ref="D6:E6"/>
    <mergeCell ref="D7:E8"/>
    <mergeCell ref="B29:H29"/>
    <mergeCell ref="B30:B31"/>
    <mergeCell ref="C30:E30"/>
    <mergeCell ref="F30:H30"/>
    <mergeCell ref="A29:A31"/>
    <mergeCell ref="A48:H49"/>
    <mergeCell ref="E40:H40"/>
    <mergeCell ref="B40:D40"/>
    <mergeCell ref="B41:D41"/>
    <mergeCell ref="B42:D42"/>
    <mergeCell ref="E41:H41"/>
    <mergeCell ref="E42:H42"/>
    <mergeCell ref="B54:D54"/>
    <mergeCell ref="E54:H54"/>
    <mergeCell ref="B55:D55"/>
    <mergeCell ref="E55:H55"/>
    <mergeCell ref="B56:D56"/>
    <mergeCell ref="E56:H56"/>
    <mergeCell ref="B61:D61"/>
    <mergeCell ref="E61:H61"/>
    <mergeCell ref="B62:D62"/>
    <mergeCell ref="E62:H62"/>
    <mergeCell ref="B63:D63"/>
    <mergeCell ref="E63:H63"/>
    <mergeCell ref="B68:D68"/>
    <mergeCell ref="E68:H68"/>
    <mergeCell ref="B69:D69"/>
    <mergeCell ref="E69:H69"/>
    <mergeCell ref="B70:D70"/>
    <mergeCell ref="E70:H70"/>
    <mergeCell ref="A77:D77"/>
    <mergeCell ref="G87:H87"/>
    <mergeCell ref="G82:H82"/>
    <mergeCell ref="E75:H75"/>
    <mergeCell ref="E76:H76"/>
    <mergeCell ref="A75:D75"/>
    <mergeCell ref="A76:D76"/>
    <mergeCell ref="E77:H77"/>
  </mergeCells>
  <dataValidations count="1">
    <dataValidation type="list" allowBlank="1" showInputMessage="1" showErrorMessage="1" sqref="D4:E4">
      <formula1>siswa</formula1>
    </dataValidation>
  </dataValidations>
  <pageMargins left="0.20866141699999999" right="0.20866141699999999" top="0.74803149606299202" bottom="0.74803149606299202" header="0.31496062992126" footer="0.31496062992126"/>
  <pageSetup paperSize="9" orientation="portrait" verticalDpi="300" r:id="rId1"/>
  <headerFooter>
    <oddHeader>&amp;C&amp;G</oddHeader>
    <oddFooter>&amp;LNama Siswa/Kelas/Tahun Ajaran&amp;R&amp;P</oddFooter>
  </headerFooter>
  <ignoredErrors>
    <ignoredError sqref="G23" formula="1"/>
  </ignoredErrors>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errorTitle="Kesalahan!" error="Silahkan pilih siswa dengan dropdown" promptTitle="Choose Student" prompt="Choose Student">
          <x14:formula1>
            <xm:f>'Master Student'!$I$8:$I$29</xm:f>
          </x14:formula1>
          <xm:sqref>D4:E4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zoomScaleNormal="100" workbookViewId="0">
      <selection activeCell="C5" sqref="C5"/>
    </sheetView>
  </sheetViews>
  <sheetFormatPr defaultRowHeight="15"/>
  <cols>
    <col min="1" max="1" width="5.42578125" style="65" customWidth="1"/>
    <col min="2" max="2" width="35.5703125" style="65" customWidth="1"/>
    <col min="3" max="10" width="27.140625" style="65" customWidth="1"/>
    <col min="11" max="16384" width="9.140625" style="65"/>
  </cols>
  <sheetData>
    <row r="1" spans="1:10" ht="29.25" customHeight="1">
      <c r="A1" s="140" t="s">
        <v>126</v>
      </c>
      <c r="B1" s="140"/>
      <c r="C1" s="140"/>
      <c r="D1" s="140"/>
      <c r="E1" s="140"/>
      <c r="F1" s="140"/>
      <c r="G1" s="140"/>
    </row>
    <row r="2" spans="1:10" ht="29.25" customHeight="1">
      <c r="A2" s="141" t="s">
        <v>15</v>
      </c>
      <c r="B2" s="141" t="s">
        <v>127</v>
      </c>
      <c r="C2" s="142" t="s">
        <v>128</v>
      </c>
      <c r="D2" s="142"/>
      <c r="E2" s="142"/>
      <c r="F2" s="142"/>
      <c r="G2" s="142" t="s">
        <v>129</v>
      </c>
      <c r="H2" s="142"/>
      <c r="I2" s="142"/>
      <c r="J2" s="142"/>
    </row>
    <row r="3" spans="1:10" ht="15.75">
      <c r="A3" s="141"/>
      <c r="B3" s="141"/>
      <c r="C3" s="83" t="s">
        <v>130</v>
      </c>
      <c r="D3" s="83" t="s">
        <v>125</v>
      </c>
      <c r="E3" s="83" t="s">
        <v>131</v>
      </c>
      <c r="F3" s="83" t="s">
        <v>132</v>
      </c>
      <c r="G3" s="83" t="s">
        <v>130</v>
      </c>
      <c r="H3" s="83" t="s">
        <v>125</v>
      </c>
      <c r="I3" s="83" t="s">
        <v>131</v>
      </c>
      <c r="J3" s="83" t="s">
        <v>132</v>
      </c>
    </row>
    <row r="4" spans="1:10" ht="94.5">
      <c r="A4" s="66">
        <v>1</v>
      </c>
      <c r="B4" s="67" t="s">
        <v>133</v>
      </c>
      <c r="C4" s="68" t="s">
        <v>138</v>
      </c>
      <c r="D4" s="68" t="s">
        <v>139</v>
      </c>
      <c r="E4" s="68" t="s">
        <v>140</v>
      </c>
      <c r="F4" s="68" t="s">
        <v>141</v>
      </c>
      <c r="G4" s="68" t="s">
        <v>145</v>
      </c>
      <c r="H4" s="68" t="s">
        <v>146</v>
      </c>
      <c r="I4" s="68" t="s">
        <v>147</v>
      </c>
      <c r="J4" s="68" t="s">
        <v>148</v>
      </c>
    </row>
    <row r="5" spans="1:10" ht="110.25">
      <c r="A5" s="66">
        <v>2</v>
      </c>
      <c r="B5" s="67" t="s">
        <v>134</v>
      </c>
      <c r="C5" s="68" t="s">
        <v>142</v>
      </c>
      <c r="D5" s="68" t="s">
        <v>149</v>
      </c>
      <c r="E5" s="68" t="s">
        <v>150</v>
      </c>
      <c r="F5" s="68" t="s">
        <v>151</v>
      </c>
      <c r="G5" s="68" t="s">
        <v>152</v>
      </c>
      <c r="H5" s="68" t="s">
        <v>153</v>
      </c>
      <c r="I5" s="68" t="s">
        <v>154</v>
      </c>
      <c r="J5" s="68" t="s">
        <v>155</v>
      </c>
    </row>
    <row r="6" spans="1:10" ht="110.25">
      <c r="A6" s="66">
        <v>3</v>
      </c>
      <c r="B6" s="67" t="s">
        <v>135</v>
      </c>
      <c r="C6" s="68" t="s">
        <v>156</v>
      </c>
      <c r="D6" s="68" t="s">
        <v>157</v>
      </c>
      <c r="E6" s="68" t="s">
        <v>158</v>
      </c>
      <c r="F6" s="68" t="s">
        <v>159</v>
      </c>
      <c r="G6" s="68" t="s">
        <v>160</v>
      </c>
      <c r="H6" s="68" t="s">
        <v>161</v>
      </c>
      <c r="I6" s="68" t="s">
        <v>162</v>
      </c>
      <c r="J6" s="68" t="s">
        <v>163</v>
      </c>
    </row>
    <row r="7" spans="1:10" ht="110.25">
      <c r="A7" s="66">
        <v>4</v>
      </c>
      <c r="B7" s="67" t="s">
        <v>136</v>
      </c>
      <c r="C7" s="68" t="s">
        <v>164</v>
      </c>
      <c r="D7" s="68" t="s">
        <v>165</v>
      </c>
      <c r="E7" s="68" t="s">
        <v>166</v>
      </c>
      <c r="F7" s="68" t="s">
        <v>167</v>
      </c>
      <c r="G7" s="68" t="s">
        <v>168</v>
      </c>
      <c r="H7" s="68" t="s">
        <v>169</v>
      </c>
      <c r="I7" s="68" t="s">
        <v>170</v>
      </c>
      <c r="J7" s="68" t="s">
        <v>171</v>
      </c>
    </row>
    <row r="8" spans="1:10" ht="63">
      <c r="A8" s="66">
        <v>5</v>
      </c>
      <c r="B8" s="67" t="s">
        <v>172</v>
      </c>
      <c r="C8" s="68" t="s">
        <v>173</v>
      </c>
      <c r="D8" s="68" t="s">
        <v>174</v>
      </c>
      <c r="E8" s="68" t="s">
        <v>175</v>
      </c>
      <c r="F8" s="68" t="s">
        <v>176</v>
      </c>
      <c r="G8" s="68" t="s">
        <v>177</v>
      </c>
      <c r="H8" s="68" t="s">
        <v>178</v>
      </c>
      <c r="I8" s="68" t="s">
        <v>179</v>
      </c>
      <c r="J8" s="68" t="s">
        <v>180</v>
      </c>
    </row>
    <row r="9" spans="1:10" ht="157.5">
      <c r="A9" s="66">
        <v>6</v>
      </c>
      <c r="B9" s="69" t="s">
        <v>56</v>
      </c>
      <c r="C9" s="68" t="s">
        <v>181</v>
      </c>
      <c r="D9" s="68" t="s">
        <v>182</v>
      </c>
      <c r="E9" s="68" t="s">
        <v>183</v>
      </c>
      <c r="F9" s="68" t="s">
        <v>184</v>
      </c>
      <c r="G9" s="68" t="s">
        <v>185</v>
      </c>
      <c r="H9" s="68" t="s">
        <v>186</v>
      </c>
      <c r="I9" s="68" t="s">
        <v>187</v>
      </c>
      <c r="J9" s="68" t="s">
        <v>245</v>
      </c>
    </row>
    <row r="10" spans="1:10" ht="252">
      <c r="A10" s="66">
        <v>7</v>
      </c>
      <c r="B10" s="70" t="s">
        <v>25</v>
      </c>
      <c r="C10" s="68" t="s">
        <v>188</v>
      </c>
      <c r="D10" s="68" t="s">
        <v>189</v>
      </c>
      <c r="E10" s="68" t="s">
        <v>190</v>
      </c>
      <c r="F10" s="68" t="s">
        <v>191</v>
      </c>
      <c r="G10" s="68" t="s">
        <v>192</v>
      </c>
      <c r="H10" s="68" t="s">
        <v>193</v>
      </c>
      <c r="I10" s="68" t="s">
        <v>194</v>
      </c>
      <c r="J10" s="68" t="s">
        <v>195</v>
      </c>
    </row>
    <row r="11" spans="1:10" ht="236.25">
      <c r="A11" s="66">
        <v>8</v>
      </c>
      <c r="B11" s="70" t="s">
        <v>26</v>
      </c>
      <c r="C11" s="68" t="s">
        <v>196</v>
      </c>
      <c r="D11" s="68" t="s">
        <v>197</v>
      </c>
      <c r="E11" s="68" t="s">
        <v>198</v>
      </c>
      <c r="F11" s="68" t="s">
        <v>199</v>
      </c>
      <c r="G11" s="68" t="s">
        <v>200</v>
      </c>
      <c r="H11" s="68" t="s">
        <v>201</v>
      </c>
      <c r="I11" s="68" t="s">
        <v>202</v>
      </c>
      <c r="J11" s="68" t="s">
        <v>203</v>
      </c>
    </row>
    <row r="12" spans="1:10" ht="110.25">
      <c r="A12" s="66">
        <v>9</v>
      </c>
      <c r="B12" s="67" t="s">
        <v>27</v>
      </c>
      <c r="C12" s="68" t="s">
        <v>204</v>
      </c>
      <c r="D12" s="68" t="s">
        <v>205</v>
      </c>
      <c r="E12" s="68" t="s">
        <v>206</v>
      </c>
      <c r="F12" s="68" t="s">
        <v>207</v>
      </c>
      <c r="G12" s="68" t="s">
        <v>208</v>
      </c>
      <c r="H12" s="68" t="s">
        <v>209</v>
      </c>
      <c r="I12" s="68" t="s">
        <v>210</v>
      </c>
      <c r="J12" s="68" t="s">
        <v>211</v>
      </c>
    </row>
    <row r="13" spans="1:10" ht="141.75">
      <c r="A13" s="66">
        <v>10</v>
      </c>
      <c r="B13" s="70" t="s">
        <v>28</v>
      </c>
      <c r="C13" s="68" t="s">
        <v>212</v>
      </c>
      <c r="D13" s="68" t="s">
        <v>213</v>
      </c>
      <c r="E13" s="68" t="s">
        <v>214</v>
      </c>
      <c r="F13" s="68" t="s">
        <v>215</v>
      </c>
      <c r="G13" s="68" t="s">
        <v>216</v>
      </c>
      <c r="H13" s="68" t="s">
        <v>217</v>
      </c>
      <c r="I13" s="68" t="s">
        <v>218</v>
      </c>
      <c r="J13" s="68" t="s">
        <v>219</v>
      </c>
    </row>
    <row r="14" spans="1:10" ht="267.75">
      <c r="A14" s="66">
        <v>11</v>
      </c>
      <c r="B14" s="67" t="s">
        <v>29</v>
      </c>
      <c r="C14" s="68" t="s">
        <v>220</v>
      </c>
      <c r="D14" s="68" t="s">
        <v>221</v>
      </c>
      <c r="E14" s="68" t="s">
        <v>222</v>
      </c>
      <c r="F14" s="68" t="s">
        <v>223</v>
      </c>
      <c r="G14" s="68" t="s">
        <v>224</v>
      </c>
      <c r="H14" s="68" t="s">
        <v>225</v>
      </c>
      <c r="I14" s="68" t="s">
        <v>226</v>
      </c>
      <c r="J14" s="68" t="s">
        <v>227</v>
      </c>
    </row>
    <row r="15" spans="1:10" ht="157.5">
      <c r="A15" s="66">
        <v>12</v>
      </c>
      <c r="B15" s="70" t="s">
        <v>30</v>
      </c>
      <c r="C15" s="68" t="s">
        <v>228</v>
      </c>
      <c r="D15" s="68" t="s">
        <v>229</v>
      </c>
      <c r="E15" s="68" t="s">
        <v>230</v>
      </c>
      <c r="F15" s="68" t="s">
        <v>231</v>
      </c>
      <c r="G15" s="68" t="s">
        <v>232</v>
      </c>
      <c r="H15" s="68" t="s">
        <v>233</v>
      </c>
      <c r="I15" s="68" t="s">
        <v>234</v>
      </c>
      <c r="J15" s="68" t="s">
        <v>235</v>
      </c>
    </row>
    <row r="16" spans="1:10" ht="157.5">
      <c r="A16" s="66">
        <v>13</v>
      </c>
      <c r="B16" s="71" t="s">
        <v>137</v>
      </c>
      <c r="C16" s="68" t="s">
        <v>236</v>
      </c>
      <c r="D16" s="68" t="s">
        <v>237</v>
      </c>
      <c r="E16" s="68" t="s">
        <v>238</v>
      </c>
      <c r="F16" s="68" t="s">
        <v>239</v>
      </c>
      <c r="G16" s="68" t="s">
        <v>240</v>
      </c>
      <c r="H16" s="68" t="s">
        <v>241</v>
      </c>
      <c r="I16" s="68" t="s">
        <v>242</v>
      </c>
      <c r="J16" s="68" t="s">
        <v>243</v>
      </c>
    </row>
  </sheetData>
  <sheetProtection sheet="1" objects="1" scenarios="1" selectLockedCells="1" selectUnlockedCells="1"/>
  <mergeCells count="5">
    <mergeCell ref="A1:G1"/>
    <mergeCell ref="A2:A3"/>
    <mergeCell ref="B2:B3"/>
    <mergeCell ref="C2:F2"/>
    <mergeCell ref="G2:J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Dashboard</vt:lpstr>
      <vt:lpstr>Master Student</vt:lpstr>
      <vt:lpstr>Master Subject</vt:lpstr>
      <vt:lpstr>Master Data</vt:lpstr>
      <vt:lpstr>Master Grade</vt:lpstr>
      <vt:lpstr>Final Report</vt:lpstr>
      <vt:lpstr>Kompetensi Dasar</vt:lpstr>
      <vt:lpstr>Kg</vt:lpstr>
      <vt:lpstr>siswa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2020-12-17T12:35:43Z</cp:lastPrinted>
  <dcterms:created xsi:type="dcterms:W3CDTF">2019-12-18T01:28:00Z</dcterms:created>
  <dcterms:modified xsi:type="dcterms:W3CDTF">2020-12-17T14:17:31Z</dcterms:modified>
</cp:coreProperties>
</file>