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PBS_K13_Report_Version_1_1\"/>
    </mc:Choice>
  </mc:AlternateContent>
  <bookViews>
    <workbookView xWindow="0" yWindow="0" windowWidth="20490" windowHeight="8340" firstSheet="2" activeTab="5"/>
  </bookViews>
  <sheets>
    <sheet name="Dashboard" sheetId="7" r:id="rId1"/>
    <sheet name="Master Student" sheetId="3" r:id="rId2"/>
    <sheet name="Master Subject" sheetId="6" r:id="rId3"/>
    <sheet name="Master Data" sheetId="8" r:id="rId4"/>
    <sheet name="Master Grade" sheetId="4" r:id="rId5"/>
    <sheet name="Final Report" sheetId="2" r:id="rId6"/>
    <sheet name="Kompetensi Dasar" sheetId="9" r:id="rId7"/>
  </sheets>
  <definedNames>
    <definedName name="Kg">'Final Report'!$E$55</definedName>
    <definedName name="siswa">'Master Student'!$I$8:$I$32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2" l="1"/>
  <c r="D5" i="2" l="1"/>
  <c r="H81" i="2"/>
  <c r="C40" i="4" l="1"/>
  <c r="D40" i="4" s="1"/>
  <c r="C41" i="4"/>
  <c r="D41" i="4" s="1"/>
  <c r="C42" i="4"/>
  <c r="D42" i="4" s="1"/>
  <c r="G88" i="2"/>
  <c r="B33" i="2"/>
  <c r="H6" i="2" l="1"/>
  <c r="H5" i="2"/>
  <c r="H4" i="2"/>
  <c r="B23" i="2" l="1"/>
  <c r="B24" i="2"/>
  <c r="B25" i="2"/>
  <c r="B26" i="2"/>
  <c r="B27" i="2"/>
  <c r="B28" i="2"/>
  <c r="B29" i="2"/>
  <c r="B34" i="2"/>
  <c r="B35" i="2"/>
  <c r="B22" i="2"/>
  <c r="C39" i="4" l="1"/>
  <c r="D39" i="4" s="1"/>
  <c r="C38" i="4"/>
  <c r="D38" i="4" s="1"/>
  <c r="C37" i="4"/>
  <c r="D37" i="4" s="1"/>
  <c r="C36" i="4"/>
  <c r="D36" i="4" s="1"/>
  <c r="C35" i="4"/>
  <c r="D35" i="4" s="1"/>
  <c r="C34" i="4"/>
  <c r="D34" i="4" s="1"/>
  <c r="C33" i="4"/>
  <c r="D33" i="4" s="1"/>
  <c r="C32" i="4"/>
  <c r="D32" i="4" s="1"/>
  <c r="C31" i="4"/>
  <c r="D31" i="4" s="1"/>
  <c r="C30" i="4"/>
  <c r="D30" i="4" s="1"/>
  <c r="C29" i="4"/>
  <c r="D29" i="4" s="1"/>
  <c r="C28" i="4"/>
  <c r="D28" i="4" s="1"/>
  <c r="C27" i="4"/>
  <c r="D27" i="4" s="1"/>
  <c r="C26" i="4"/>
  <c r="D26" i="4" s="1"/>
  <c r="C25" i="4"/>
  <c r="D25" i="4" s="1"/>
  <c r="C24" i="4"/>
  <c r="D24" i="4" s="1"/>
  <c r="C23" i="4"/>
  <c r="D23" i="4" s="1"/>
  <c r="C22" i="4"/>
  <c r="D22" i="4" s="1"/>
  <c r="C21" i="4"/>
  <c r="D21" i="4" s="1"/>
  <c r="C20" i="4"/>
  <c r="D20" i="4" s="1"/>
  <c r="C19" i="4"/>
  <c r="D19" i="4" s="1"/>
  <c r="C18" i="4"/>
  <c r="D18" i="4" s="1"/>
  <c r="C34" i="2" l="1"/>
  <c r="C29" i="2"/>
  <c r="C27" i="2"/>
  <c r="C25" i="2"/>
  <c r="C23" i="2"/>
  <c r="F29" i="2"/>
  <c r="F25" i="2"/>
  <c r="F34" i="2"/>
  <c r="C35" i="2"/>
  <c r="C26" i="2"/>
  <c r="F35" i="2"/>
  <c r="F33" i="2"/>
  <c r="F28" i="2"/>
  <c r="F26" i="2"/>
  <c r="F24" i="2"/>
  <c r="F22" i="2"/>
  <c r="F27" i="2"/>
  <c r="F23" i="2"/>
  <c r="C33" i="2"/>
  <c r="C28" i="2"/>
  <c r="C24" i="2"/>
  <c r="C22" i="2"/>
  <c r="E78" i="2"/>
  <c r="E76" i="2"/>
  <c r="E56" i="2"/>
  <c r="C14" i="2"/>
  <c r="E62" i="2"/>
  <c r="B70" i="2"/>
  <c r="E77" i="2"/>
  <c r="E55" i="2"/>
  <c r="E63" i="2"/>
  <c r="B69" i="2"/>
  <c r="E70" i="2"/>
  <c r="E69" i="2"/>
  <c r="A48" i="2"/>
  <c r="B43" i="2"/>
  <c r="B42" i="2"/>
  <c r="C15" i="2"/>
  <c r="E43" i="2"/>
  <c r="E42" i="2"/>
  <c r="D25" i="2" l="1"/>
  <c r="E25" i="2"/>
  <c r="G24" i="2"/>
  <c r="H24" i="2"/>
  <c r="G23" i="2"/>
  <c r="H23" i="2"/>
  <c r="G26" i="2"/>
  <c r="H26" i="2"/>
  <c r="D26" i="2"/>
  <c r="E26" i="2"/>
  <c r="G29" i="2"/>
  <c r="H29" i="2"/>
  <c r="E29" i="2"/>
  <c r="D29" i="2"/>
  <c r="D28" i="2"/>
  <c r="E28" i="2"/>
  <c r="H33" i="2"/>
  <c r="G33" i="2"/>
  <c r="G34" i="2"/>
  <c r="H34" i="2"/>
  <c r="E33" i="2"/>
  <c r="D33" i="2"/>
  <c r="H35" i="2"/>
  <c r="G35" i="2"/>
  <c r="G25" i="2"/>
  <c r="H25" i="2"/>
  <c r="D27" i="2"/>
  <c r="E27" i="2"/>
  <c r="D24" i="2"/>
  <c r="E24" i="2"/>
  <c r="G27" i="2"/>
  <c r="H27" i="2"/>
  <c r="G28" i="2"/>
  <c r="H28" i="2"/>
  <c r="E35" i="2"/>
  <c r="D35" i="2"/>
  <c r="D23" i="2"/>
  <c r="E23" i="2"/>
  <c r="E34" i="2"/>
  <c r="D34" i="2"/>
  <c r="G22" i="2"/>
  <c r="H22" i="2"/>
  <c r="D22" i="2"/>
  <c r="E22" i="2"/>
</calcChain>
</file>

<file path=xl/sharedStrings.xml><?xml version="1.0" encoding="utf-8"?>
<sst xmlns="http://schemas.openxmlformats.org/spreadsheetml/2006/main" count="394" uniqueCount="263">
  <si>
    <t>STUDENT'S NAME</t>
  </si>
  <si>
    <t>#</t>
  </si>
  <si>
    <t>MASTER STUDENT</t>
  </si>
  <si>
    <t>AGAMA</t>
  </si>
  <si>
    <t>PPKN</t>
  </si>
  <si>
    <t>B.INDO</t>
  </si>
  <si>
    <t>MATH</t>
  </si>
  <si>
    <t>IPA</t>
  </si>
  <si>
    <t>IPS</t>
  </si>
  <si>
    <t>ART</t>
  </si>
  <si>
    <t>HE</t>
  </si>
  <si>
    <t>MANDARIN</t>
  </si>
  <si>
    <t>ENGLISH</t>
  </si>
  <si>
    <t>ICT</t>
  </si>
  <si>
    <t>Con</t>
  </si>
  <si>
    <t>Pra</t>
  </si>
  <si>
    <t>MASTER GRADE</t>
  </si>
  <si>
    <t>No</t>
  </si>
  <si>
    <t>Muatan Pelajaran</t>
  </si>
  <si>
    <t>Pengetahuan</t>
  </si>
  <si>
    <t>Keterampilan</t>
  </si>
  <si>
    <t>Nilai</t>
  </si>
  <si>
    <t>Predikat</t>
  </si>
  <si>
    <t>Deskripsi</t>
  </si>
  <si>
    <t>RAPOR PESERTA DIDIK DAN PROFIL PESERTA DIDIK</t>
  </si>
  <si>
    <t>MASTER SUBJECT</t>
  </si>
  <si>
    <t>SUBJECT</t>
  </si>
  <si>
    <t>Bahasa Indonesia</t>
  </si>
  <si>
    <t>Matematika</t>
  </si>
  <si>
    <t>Ilmu Pengetahuan Alam</t>
  </si>
  <si>
    <t>Ilmu Pengetahuan Sosial</t>
  </si>
  <si>
    <t>Seni Budaya dan Prakarya</t>
  </si>
  <si>
    <t>Pendidikan Jasmani, Olahraga, dan Kesehatan</t>
  </si>
  <si>
    <t>Bahasa Mandarin</t>
  </si>
  <si>
    <t>Bahasa Inggris</t>
  </si>
  <si>
    <t>Nama Peserta Didik</t>
  </si>
  <si>
    <t>:</t>
  </si>
  <si>
    <t>NISN/NIS</t>
  </si>
  <si>
    <t>Nama Sekolah</t>
  </si>
  <si>
    <t>Alamat Sekolah</t>
  </si>
  <si>
    <t>SDS Peachblossoms</t>
  </si>
  <si>
    <t xml:space="preserve">Kota Harapan Indah RV 2 No.9, Tarumajaya - Bekasi
</t>
  </si>
  <si>
    <t>Kelas</t>
  </si>
  <si>
    <t>Semester</t>
  </si>
  <si>
    <t>Tahun Ajaran</t>
  </si>
  <si>
    <t>2019/2020</t>
  </si>
  <si>
    <t>NO</t>
  </si>
  <si>
    <t>4 (Empat)</t>
  </si>
  <si>
    <t>MASTER SEMESTER</t>
  </si>
  <si>
    <t>SEMESTER</t>
  </si>
  <si>
    <t>MASTER TAHUN AJARAN</t>
  </si>
  <si>
    <t>TAHUN AJARAN</t>
  </si>
  <si>
    <t>2020/2021</t>
  </si>
  <si>
    <t>2021/2022</t>
  </si>
  <si>
    <t>2022/2023</t>
  </si>
  <si>
    <t>2023/2024</t>
  </si>
  <si>
    <t>2024/2025</t>
  </si>
  <si>
    <t>2025/2026</t>
  </si>
  <si>
    <t>2026/2027</t>
  </si>
  <si>
    <t>2027/2028</t>
  </si>
  <si>
    <t>Pendidikan Pancasila dan Kewarganegaraan</t>
  </si>
  <si>
    <t>Muatan Lokal</t>
  </si>
  <si>
    <t>A.</t>
  </si>
  <si>
    <t>SIKAP</t>
  </si>
  <si>
    <t>1. Sikap Spiritual</t>
  </si>
  <si>
    <t>2. Sikap Sosial</t>
  </si>
  <si>
    <t>B.</t>
  </si>
  <si>
    <t>PENGETAHUAN DAN KETERAMPILAN</t>
  </si>
  <si>
    <t>Keterangan</t>
  </si>
  <si>
    <t>C.</t>
  </si>
  <si>
    <t>D.</t>
  </si>
  <si>
    <t>Aspek yang dinilai</t>
  </si>
  <si>
    <t>Berat Badan</t>
  </si>
  <si>
    <t>Tinggi Badan</t>
  </si>
  <si>
    <t>Pendengaran</t>
  </si>
  <si>
    <t>Penglihatan</t>
  </si>
  <si>
    <t>PRESTASI</t>
  </si>
  <si>
    <t>KETIDAKHADIRAN</t>
  </si>
  <si>
    <t>Tanpa Keterangan</t>
  </si>
  <si>
    <t>Izin</t>
  </si>
  <si>
    <t>Sakit</t>
  </si>
  <si>
    <t>Orangtua Siswa</t>
  </si>
  <si>
    <t>______________</t>
  </si>
  <si>
    <t>Kepala Sekolah</t>
  </si>
  <si>
    <t>Wali Kelas</t>
  </si>
  <si>
    <t>Agus R. Wibowo</t>
  </si>
  <si>
    <t>Semester 1</t>
  </si>
  <si>
    <t>SARAN-SARAN</t>
  </si>
  <si>
    <t>TINGGI DAN BERAT BADAN</t>
  </si>
  <si>
    <t>EKSTRA KURIKULER</t>
  </si>
  <si>
    <t>KONDISI KESEHATAN</t>
  </si>
  <si>
    <t>F.</t>
  </si>
  <si>
    <t>E.</t>
  </si>
  <si>
    <t>G.</t>
  </si>
  <si>
    <t>H.</t>
  </si>
  <si>
    <t>Aspek Fisik</t>
  </si>
  <si>
    <t>Jenis Prestasi</t>
  </si>
  <si>
    <t>Tanggal Input</t>
  </si>
  <si>
    <t>Home Room</t>
  </si>
  <si>
    <t>MASTER DATA</t>
  </si>
  <si>
    <t>Komputer</t>
  </si>
  <si>
    <t>SIKAP SPIRITUAL</t>
  </si>
  <si>
    <t>SIKAP SOSIAL</t>
  </si>
  <si>
    <t>EKSTRA KURIKULER 1</t>
  </si>
  <si>
    <t>EKSTRA KURIKULER 2</t>
  </si>
  <si>
    <t>KEGIATAN</t>
  </si>
  <si>
    <t>KETERANGAN</t>
  </si>
  <si>
    <t>BERAT (Kg)</t>
  </si>
  <si>
    <t>BERAT &amp; TINGGI</t>
  </si>
  <si>
    <t>JENIS PRESTASI</t>
  </si>
  <si>
    <t>SAKIT</t>
  </si>
  <si>
    <t>IZIN</t>
  </si>
  <si>
    <t>TANPA KET.</t>
  </si>
  <si>
    <t>PENDENGARAN</t>
  </si>
  <si>
    <t>PENGLIHATAN</t>
  </si>
  <si>
    <t>PRESTASI 1</t>
  </si>
  <si>
    <t>PRESTASI 2</t>
  </si>
  <si>
    <t xml:space="preserve">Bekasi, </t>
  </si>
  <si>
    <t>2028/2029</t>
  </si>
  <si>
    <t>TINGGI (Cm)</t>
  </si>
  <si>
    <t>Kelas (Upper)</t>
  </si>
  <si>
    <t>I (Satu)</t>
  </si>
  <si>
    <t>II (Dua)</t>
  </si>
  <si>
    <t>Lexy</t>
  </si>
  <si>
    <t>Pendidikan Agama dan Budi Pekerti</t>
  </si>
  <si>
    <t>EKSTRAKURIKULER</t>
  </si>
  <si>
    <t>Kegiatan Ekstrakurikuler</t>
  </si>
  <si>
    <t>Version 2.0/PBS/Upper</t>
  </si>
  <si>
    <t>Islam</t>
  </si>
  <si>
    <t>Kristen</t>
  </si>
  <si>
    <t>Katolik</t>
  </si>
  <si>
    <t>Buddha</t>
  </si>
  <si>
    <t>Hindu</t>
  </si>
  <si>
    <t>RELIGION</t>
  </si>
  <si>
    <t>Pendidikan Jasmani, Olahraga dan Kesehatan</t>
  </si>
  <si>
    <t>Mata Pelajaran</t>
  </si>
  <si>
    <t>KD Pengetahuan</t>
  </si>
  <si>
    <t>KD Keterampilan</t>
  </si>
  <si>
    <t>Sangat Mampu</t>
  </si>
  <si>
    <t>Mampu</t>
  </si>
  <si>
    <t>Cukup Mampu</t>
  </si>
  <si>
    <t>Tidak Mampu</t>
  </si>
  <si>
    <t>Pendidikan Agama Islam dan Budi Pekerti</t>
  </si>
  <si>
    <t>Pendidikan Agama Kristen dan Budi Pekerti</t>
  </si>
  <si>
    <t>Pendidikan Agama Katolik dan Budi Pekerti</t>
  </si>
  <si>
    <t>Pendidikan Agama Buddha dan Budi Pekerti</t>
  </si>
  <si>
    <t>Pendidikan Agama Hindu dan Budi Pekerti</t>
  </si>
  <si>
    <t>Rifqy</t>
  </si>
  <si>
    <t>menghargai semangat kebhinnekatunggalikaan dan keragaman agama, suku bangsa pakaian tradisional, bahasa, rumah adat, makanan khas, upacara adat, sosial, dan ekonomi dalam kehidupan bermasyarakat</t>
  </si>
  <si>
    <t>menunjukkan perilaku, disiplin, tanggung jawab, percaya diri, berani mengakui kesalahan, meminta maaf dan memberi maaf yang dijiwai keteladanan pahlawan kemerdekaan RI dalam semangat perjuangan, cinta tanah air, dan rela berkorban sebagai perwujudan nilai dan moral Pancasila</t>
  </si>
  <si>
    <t>Kelas V</t>
  </si>
  <si>
    <t>Siswa sangat mampu memiliki sikap menghargai pendapat sebagai implementasi dari pemahaman Q.S. Az-Zumar ayat 18</t>
  </si>
  <si>
    <t>Siswa mampu memiliki sikap menghargai pendapat sebagai implementasi dari pemahaman Q.S. Az-Zumar ayat 18</t>
  </si>
  <si>
    <t>Siswa cukup mampu memiliki sikap menghargai pendapat sebagai implementasi dari pemahaman Q.S. Az-Zumar ayat 18</t>
  </si>
  <si>
    <t>Siswa tidak mampu memiliki sikap menghargai pendapat sebagai implementasi dari pemahaman Q.S. Az-Zumar ayat 18</t>
  </si>
  <si>
    <t>Siswa sangat mampu mencontohkan sikap menghargai pendapat sebagai implementasi dari pemahaman Q.S. Az-Zumar ayat 18</t>
  </si>
  <si>
    <t>Siswa mampu mencontohkan sikap menghargai pendapat sebagai implementasi dari pemahaman Q.S. Az-Zumar ayat 18</t>
  </si>
  <si>
    <t>Siswa cukup mampu mencontohkan sikap menghargai pendapat sebagai implementasi dari pemahaman Q.S. Az-Zumar ayat 18</t>
  </si>
  <si>
    <t>Siswa tidak mampu mencontohkan sikap menghargai pendapat sebagai implementasi dari pemahaman Q.S. Az-Zumar ayat 18</t>
  </si>
  <si>
    <t>Siswa sangat mampu memahami bahwa semua manusia berdosa sehingga perlu bertobat</t>
  </si>
  <si>
    <t>Siswa mampu memahami bahwa semua manusia berdosa sehingga perlu bertobat</t>
  </si>
  <si>
    <t>Siswa cukup mampu memahami bahwa semua manusia berdosa sehingga perlu bertobat</t>
  </si>
  <si>
    <t>Siswa tidak mampu memahami bahwa semua manusia berdosa sehingga perlu bertobat</t>
  </si>
  <si>
    <t>Siswa sangat mampu menyajikan contoh cara hidup manusia yang sudah bertobat</t>
  </si>
  <si>
    <t>Siswa mampu menyajikan contoh cara hidup manusia yang sudah bertobat</t>
  </si>
  <si>
    <t>Siswa cukup mampu menyajikan contoh cara hidup manusia yang sudah bertobat</t>
  </si>
  <si>
    <t>Siswa tidak mampu menyajikan contoh cara hidup manusia yang sudah bertobat</t>
  </si>
  <si>
    <t xml:space="preserve">Siswa sangat mampu beriman kepada Allah melalui kisah tokoh-tokoh Perjanjian Lama seperti; Daud, Salomo dan Ester. </t>
  </si>
  <si>
    <t xml:space="preserve">Siswa mampu beriman kepada Allah melalui kisah tokoh-tokoh Perjanjian Lama seperti; Daud, Salomo dan Ester. </t>
  </si>
  <si>
    <t xml:space="preserve">Siswa cukup mampu beriman kepada Allah melalui kisah tokoh-tokoh Perjanjian Lama seperti; Daud, Salomo dan Ester. </t>
  </si>
  <si>
    <t xml:space="preserve">Siswa tidak mampu beriman kepada Allah melalui kisah tokoh-tokoh Perjanjian Lama seperti; Daud, Salomo dan Ester. </t>
  </si>
  <si>
    <t>Siswa sangat mampu menceritakan kembali tokoh-tokoh perjanjian Lama seperti dalam kisah Daud, Salomo, atau Ester</t>
  </si>
  <si>
    <t>Siswa mampu menceritakan kembali tokoh-tokoh perjanjian Lama seperti dalam kisah Daud, Salomo, atau Ester</t>
  </si>
  <si>
    <t>Siswa cukup mampu menceritakan kembali tokoh-tokoh perjanjian Lama seperti dalam kisah Daud, Salomo, atau Ester</t>
  </si>
  <si>
    <t>Siswa tidak mampu menceritakan kembali tokoh-tokoh perjanjian Lama seperti dalam kisah Daud, Salomo, atau Ester</t>
  </si>
  <si>
    <t>Siswa sangat mampu memahami delapan kondisi duniawi dan hakikat perbedaan kehidupan menurut ajaran Buddha dalam kehidupan sehari-hari</t>
  </si>
  <si>
    <t>Siswa mampu memahami delapan kondisi duniawi dan hakikat perbedaan kehidupan menurut ajaran Buddha dalam kehidupan sehari-hari</t>
  </si>
  <si>
    <t>Siswa cukup mampu memahami delapan kondisi duniawi dan hakikat perbedaan kehidupan menurut ajaran Buddha dalam kehidupan sehari-hari</t>
  </si>
  <si>
    <t>Siswa tidak mampu memahami delapan kondisi duniawi dan hakikat perbedaan kehidupan menurut ajaran Buddha dalam kehidupan sehari-hari</t>
  </si>
  <si>
    <t>Siswa sangat mampu menunjukkan prilaku jujur dalam menghadapi delapan kondisi duniawi dan hakikat perbedaan kehidupan menurut agama Buddha</t>
  </si>
  <si>
    <t>Siswa mampu menunjukkan prilaku jujur dalam menghadapi delapan kondisi duniawi dan hakikat perbedaan kehidupan menurut agama Buddha</t>
  </si>
  <si>
    <t>Siswa cukup mampu menunjukkan prilaku jujur dalam menghadapi delapan kondisi duniawi dan hakikat perbedaan kehidupan menurut agama Buddha</t>
  </si>
  <si>
    <t>Siswa tidak mampu menunjukkan prilaku jujur dalam menghadapi delapan kondisi duniawi dan hakikat perbedaan kehidupan menurut agama Buddha</t>
  </si>
  <si>
    <t>Siswa sangat mampu memahami hak kewajiban dan tanggung jawab sebagai warga dalam kehidupan sehari-hari di rumah dan sekolah.</t>
  </si>
  <si>
    <t>Siswa mampu memahami hak kewajiban dan tanggung jawab sebagai warga dalam kehidupan sehari-hari di rumah dan sekolah.</t>
  </si>
  <si>
    <t>Siswa cukup mampu memahami hak kewajiban dan tanggung jawab sebagai warga dalam kehidupan sehari-hari di rumah dan sekolah.</t>
  </si>
  <si>
    <t>Siswa tidak mampu memahami hak kewajiban dan tanggung jawab sebagai warga dalam kehidupan sehari-hari di rumah dan sekolah.</t>
  </si>
  <si>
    <t>Siswa sangat mampu melaksanakan kewajiban dan menegakkan aturan di lingkungan rumah dan sekolah.</t>
  </si>
  <si>
    <t>Siswa mampu melaksanakan kewajiban dan menegakkan aturan di lingkungan rumah dan sekolah.</t>
  </si>
  <si>
    <t>Siswa cukup mampu melaksanakan kewajiban dan menegakkan aturan di lingkungan rumah dan sekolah.</t>
  </si>
  <si>
    <t>Siswa tidak mampu melaksanakan kewajiban dan menegakkan aturan di lingkungan rumah dan sekolah.</t>
  </si>
  <si>
    <t>Siswa sangat mampu menguraikan isi teks paparan iklan tentang ekspor impor sebagai kegiatan ekonomi antarbangsa dengan bantuan guru dan teman
dalam bahasa Indonesia lisan dan tulis dengan memilih dan memilah kosakata baku</t>
  </si>
  <si>
    <t>Siswa mampu menguraikan isi teks paparan iklan tentang ekspor impor sebagai kegiatan ekonomi antarbangsa dengan bantuan guru dan teman
dalam bahasa Indonesia lisan dan tulis dengan memilih dan memilah kosakata baku</t>
  </si>
  <si>
    <t>Siswa cukup mampu menguraikan isi teks paparan iklan tentang ekspor impor sebagai kegiatan ekonomi antarbangsa dengan bantuan guru dan teman
dalam bahasa Indonesia lisan dan tulis dengan memilih dan memilah kosakata baku</t>
  </si>
  <si>
    <t>Siswa tidak mampu menguraikan isi teks paparan iklan tentang ekspor impor sebagai kegiatan ekonomi antarbangsa dengan bantuan guru dan teman
dalam bahasa Indonesia lisan dan tulis dengan memilih dan memilah kosakata baku</t>
  </si>
  <si>
    <t>Siswa sangat mampu menyajikan teks paparan iklan tentang ekspor impor sebagai kegiatan ekonomi antarbangsa
secara mandiri dalam bahasa Indonesia lisan dan tulis dengan memilih dan memilah kosakata
baku.</t>
  </si>
  <si>
    <t>Siswa mampu menyajikan teks paparan iklan tentang ekspor impor sebagai kegiatan ekonomi antarbangsa
secara mandiri dalam bahasa Indonesia lisan dan tulis dengan memilih dan memilah kosakata
baku.</t>
  </si>
  <si>
    <t>Siswa cukup mampu menyajikan teks paparan iklan tentang ekspor impor sebagai kegiatan ekonomi antarbangsa
secara mandiri dalam bahasa Indonesia lisan dan tulis dengan memilih dan memilah kosakata
baku.</t>
  </si>
  <si>
    <t>Siswa tidak mampu menyajikan teks paparan iklan tentang ekspor impor sebagai kegiatan ekonomi antarbangsa
secara mandiri dalam bahasa Indonesia lisan dan tulis dengan memilih dan memilah kosakata
baku.</t>
  </si>
  <si>
    <t>Siswa sangat mampu mengenal konsep perbandingan dan skala, perpangkatan dan penarikan akar pangkat tiga serta konsep perbandingan dan skala; memahami dan mengubah berbagai bentuk pecahan (pecahan biasa, campuran, desimal dan persen); mengenal dan menggambar denah letak benda dan sistem koordinat.</t>
  </si>
  <si>
    <t>Siswa mampu mengenal konsep perbandingan dan skala, perpangkatan dan penarikan akar pangkat tiga serta konsep perbandingan dan skala; memahami dan mengubah berbagai bentuk pecahan (pecahan biasa, campuran, desimal dan persen); mengenal dan menggambar denah letak benda dan sistem koordinat.</t>
  </si>
  <si>
    <t>Siswa cukup mampu mengenal konsep perbandingan dan skala, perpangkatan dan penarikan akar pangkat tiga serta konsep perbandingan dan skala; memahami dan mengubah berbagai bentuk pecahan (pecahan biasa, campuran, desimal dan persen); mengenal dan menggambar denah letak benda dan sistem koordinat.</t>
  </si>
  <si>
    <t>Siswa tidak mampu mengenal konsep perbandingan dan skala, perpangkatan dan penarikan akar pangkat tiga serta konsep perbandingan dan skala; memahami dan mengubah berbagai bentuk pecahan (pecahan biasa, campuran, desimal dan persen); mengenal dan menggambar denah letak benda dan sistem koordinat.</t>
  </si>
  <si>
    <t xml:space="preserve">Siswa sangat mampu menggambar denah sederhana menggunakan skala, mempertimbangkan jarak dan waktu dengan berbagai kemungkinan lintasan, serta menentukan letak objek berdasarkan arah mata angin </t>
  </si>
  <si>
    <t xml:space="preserve">Siswa mampu menggambar denah sederhana menggunakan skala, mempertimbangkan jarak dan waktu dengan berbagai kemungkinan lintasan, serta menentukan letak objek berdasarkan arah mata angin </t>
  </si>
  <si>
    <t xml:space="preserve">Siswa cukup mampu menggambar denah sederhana menggunakan skala, mempertimbangkan jarak dan waktu dengan berbagai kemungkinan lintasan, serta menentukan letak objek berdasarkan arah mata angin </t>
  </si>
  <si>
    <t xml:space="preserve">Siswa tidak mampu menggambar denah sederhana menggunakan skala, mempertimbangkan jarak dan waktu dengan berbagai kemungkinan lintasan, serta menentukan letak objek berdasarkan arah mata angin </t>
  </si>
  <si>
    <t>Siswa sangat mampu mendeskripsikan rangka manusia dan fungsinya, sistem pernafasan hewan dan manusia serta penyakit yang berkaitan dengan pernafasan.</t>
  </si>
  <si>
    <t>Siswa mampu mendeskripsikan rangka manusia dan fungsinya, sistem pernafasan hewan dan manusia serta penyakit yang berkaitan dengan pernafasan.</t>
  </si>
  <si>
    <t>Siswa cukup mampu mendeskripsikan rangka manusia dan fungsinya, sistem pernafasan hewan dan manusia serta penyakit yang berkaitan dengan pernafasan.</t>
  </si>
  <si>
    <t>Siswa tidak mampu mendeskripsikan rangka manusia dan fungsinya, sistem pernafasan hewan dan manusia serta penyakit yang berkaitan dengan pernafasan.</t>
  </si>
  <si>
    <t>Siswa sangat mampu membuat bagan rangka dan organ pernapasan manusia beserta fungsinya.</t>
  </si>
  <si>
    <t>Siswa mampu membuat bagan rangka dan organ pernapasan manusia beserta fungsinya.</t>
  </si>
  <si>
    <t>Siswa cukup mampu membuat bagan rangka dan organ pernapasan manusia beserta fungsinya.</t>
  </si>
  <si>
    <t>Siswa tidak mampu membuat bagan rangka dan organ pernapasan manusia beserta fungsinya.</t>
  </si>
  <si>
    <t>Siswa sangat mampu menganalisis bentuk-bentuk interaksi manusia dengan lingkungan dan pengaruhnya terhadap pembangunan sosial, budaya, dan ekonomi masyarakat Indonesia.</t>
  </si>
  <si>
    <t>Siswa mampu menganalisis bentuk-bentuk interaksi manusia dengan lingkungan dan pengaruhnya terhadap pembangunan sosial, budaya, dan ekonomi masyarakat Indonesia.</t>
  </si>
  <si>
    <t>Siswa cukup mampu menganalisis bentuk-bentuk interaksi manusia dengan lingkungan dan pengaruhnya terhadap pembangunan sosial, budaya, dan ekonomi masyarakat Indonesia.</t>
  </si>
  <si>
    <t>Siswa tidak mampu menganalisis bentuk-bentuk interaksi manusia dengan lingkungan dan pengaruhnya terhadap pembangunan sosial, budaya, dan ekonomi masyarakat Indonesia.</t>
  </si>
  <si>
    <t>Siswa sangat mampu Menyajikan hasil analisis tentang interaksi manusia dengan lingkungan dan pengaruhnya terhadap pembangunan sosial, budaya, dan ekonomi masyarakat Indonesia.</t>
  </si>
  <si>
    <t>Siswa mampu menyajikan hasil analisis tentang interaksi manusia dengan lingkungan dan pengaruhnya terhadap pembangunan sosial, budaya, dan ekonomi masyarakat Indonesia.</t>
  </si>
  <si>
    <t>Siswa cukup mampu menyajikan hasil analisis tentang interaksi manusia dengan lingkungan dan pengaruhnya terhadap pembangunan sosial, budaya, dan ekonomi masyarakat Indonesia.</t>
  </si>
  <si>
    <t>Siswa tidak mampu menyajikan hasil analisis tentang interaksi manusia dengan lingkungan dan pengaruhnya terhadap pembangunan sosial, budaya, dan ekonomi masyarakat Indonesia.</t>
  </si>
  <si>
    <t>Siswa sangat mampu mengenal prinsip seni dalam menggambar komik</t>
  </si>
  <si>
    <t>Siswa mampu mengenal prinsip seni dalam menggambar komik</t>
  </si>
  <si>
    <t>Siswa cukup mampu mengenal prinsip seni dalam menggambar komik</t>
  </si>
  <si>
    <t>Siswa tidak mampu mengenal prinsip seni dalam menggambar komik</t>
  </si>
  <si>
    <t>Siswa sangat mampu menggambar ilustrasi dengan menerapkan proporsi dan komposisi berdasarkan hasil
pengamatan</t>
  </si>
  <si>
    <t>Siswa mampu menggambar ilustrasi dengan menerapkan proporsi dan komposisi berdasarkan hasil
pengamatan</t>
  </si>
  <si>
    <t>Siswa cukup mampu menggambar ilustrasi dengan menerapkan proporsi dan komposisi berdasarkan hasil
pengamatan</t>
  </si>
  <si>
    <t>Siswa tidak mampu menggambar ilustrasi dengan menerapkan proporsi dan komposisi berdasarkan hasil
pengamatan</t>
  </si>
  <si>
    <t>Siswa sangat mampu memahami pengaruh aktivitas fisik yang berbeda terhadap tubuh</t>
  </si>
  <si>
    <t>Siswa mampu memahami pengaruh aktivitas fisik yang berbeda terhadap tubuh</t>
  </si>
  <si>
    <t>Siswa cukup mampu memahami pengaruh aktivitas fisik yang berbeda terhadap tubuh</t>
  </si>
  <si>
    <t>Siswa tidak mampu memahami pengaruh aktivitas fisik yang berbeda terhadap tubuh</t>
  </si>
  <si>
    <t>Siswa sangat mampu mempraktikk anaktivitas daya tahan aerobik dan anaerobik untuk pengembangan kebugaran jasmani</t>
  </si>
  <si>
    <t>Siswa mampu mempraktikk anaktivitas daya tahan aerobik dan anaerobik untuk pengembangan kebugaran jasmani</t>
  </si>
  <si>
    <t>Siswa cukup mampu mempraktikk anaktivitas daya tahan aerobik dan anaerobik untuk pengembangan kebugaran jasmani</t>
  </si>
  <si>
    <t>Siswa tidak mampu mempraktikk anaktivitas daya tahan aerobik dan anaerobik untuk pengembangan kebugaran jasmani</t>
  </si>
  <si>
    <t>Siswa sangat mampu memahami cara membaca dan menganalisa struktur penulisan tanggal, bulan dan tahun</t>
  </si>
  <si>
    <t>Siswa mampu memahami cara membaca dan menganalisa struktur penulisan tanggal, bulan dan tahun</t>
  </si>
  <si>
    <t>Siswa cukup mampu memahami cara membaca dan menganalisa struktur penulisan tanggal, bulan dan tahun</t>
  </si>
  <si>
    <t>Siswa tidak mampu memahami cara membaca dan menganalisa struktur penulisan tanggal, bulan dan tahun</t>
  </si>
  <si>
    <t>Siswa sangat mampu mengamati, mengolah dan menyajikan struktur penulisan tanggal, bulan dan tahun untuk membantu dalam penyajian</t>
  </si>
  <si>
    <t>Siswa mampu mengamati, mengolah dan menyajikan struktur penulisan tanggal, bulan dan tahun untuk membantu dalam penyajian</t>
  </si>
  <si>
    <t>Siswa cukup mampu mengamati, mengolah dan menyajikan struktur penulisan tanggal, bulan dan tahun untuk membantu dalam penyajian</t>
  </si>
  <si>
    <t>Siswa tidak mampu mengamati, mengolah dan menyajikan struktur penulisan tanggal, bulan dan tahun untuk membantu dalam penyajian</t>
  </si>
  <si>
    <t>Siswa sangat mampu Memahami penggunaan struktur kalimat perbandingan dengan baik dan benar.</t>
  </si>
  <si>
    <t>Siswa mampu Memahami penggunaan struktur kalimat perbandingan dengan baik dan benar.</t>
  </si>
  <si>
    <t>Siswa cukup mampu Memahami penggunaan struktur kalimat perbandingan dengan baik dan benar.</t>
  </si>
  <si>
    <t>Siswa tidak mampu memahami penggunaan struktur kalimat perbandingan dengan baik dan benar.</t>
  </si>
  <si>
    <t>Siswa sangat mampu mengungkapkan kalimat perbandingan secara lisan maupun tulisan dengan kosakata yang majemuk untuk membantu penyajian.</t>
  </si>
  <si>
    <t>Siswa mampu mengungkapkan kalimat perbandingan secara lisan maupun tulisan dengan kosakata yang majemuk untuk membantu penyajian.</t>
  </si>
  <si>
    <t>Siswa cukup mampu mengungkapkan kalimat perbandingan secara lisan maupun tulisan dengan kosakata yang majemuk untuk membantu penyajian.</t>
  </si>
  <si>
    <t>Siswa tidak mampu mengungkapkan kalimat perbandingan secara lisan maupun tulisan dengan kosakata yang majemuk untuk membantu penyajian.</t>
  </si>
  <si>
    <t xml:space="preserve">Siswa sangat mampu mengingat dan memahami teknik reflection effects, shadow effects dan cover book design yang ada pada program aplikasi adobe photoshop </t>
  </si>
  <si>
    <t xml:space="preserve">Siswa mampu mengingat dan memahami teknik reflection effects, shadow effects dan cover book design yang ada pada program aplikasi adobe photoshop </t>
  </si>
  <si>
    <t xml:space="preserve">Siswa cukup mampu mengingat dan memahami teknik reflection effects, shadow effects dan cover book design yang ada pada program aplikasi adobe photoshop </t>
  </si>
  <si>
    <t xml:space="preserve">Siswa tidak mampu mengingat dan memahami teknik reflection effects, shadow effects dan cover book design yang ada pada program aplikasi adobe photoshop </t>
  </si>
  <si>
    <t>Siswa sangat mampu mengaplikasikan dan menganalisis teknik reflection effects, shadow effects dan book cover design pada objek yang dibuat di aplikasi adobe photoshop</t>
  </si>
  <si>
    <t>Siswa mampu mengaplikasikan dan menganalisis teknik reflection effects, shadow effects dan book cover design pada objek yang dibuat di aplikasi adobe photoshop</t>
  </si>
  <si>
    <t>Siswa cukup mampu mengaplikasikan dan menganalisis teknik reflection effects, shadow effects dan book cover design pada objek yang dibuat di aplikasi adobe photoshop</t>
  </si>
  <si>
    <t>Siswa tidak mampu mengaplikasikan dan menganalisis teknik reflection effects, shadow effects dan book cover design pada objek yang dibuat di aplikasi adobe photoshop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</si>
</sst>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Red]0.00"/>
    <numFmt numFmtId="165" formatCode="[$-409]d\-mmm\-yy;@"/>
    <numFmt numFmtId="166" formatCode="[$-421]dd\ mmmm\ yyyy;@"/>
    <numFmt numFmtId="167" formatCode="[$-409]dd\-mmm\-yy;@"/>
  </numFmts>
  <fonts count="19" x14ac:knownFonts="1">
    <font>
      <sz val="11"/>
      <color theme="1"/>
      <name val="Calibri"/>
      <family val="2"/>
      <scheme val="minor"/>
    </font>
    <font>
      <b/>
      <sz val="11"/>
      <color theme="1"/>
      <name val="Calibri"/>
      <family val="2"/>
      <scheme val="minor"/>
    </font>
    <font>
      <sz val="11"/>
      <color theme="1"/>
      <name val="Calibri"/>
      <family val="2"/>
      <charset val="1"/>
      <scheme val="minor"/>
    </font>
    <font>
      <b/>
      <sz val="15"/>
      <color theme="1"/>
      <name val="Calibri"/>
      <family val="2"/>
      <scheme val="minor"/>
    </font>
    <font>
      <sz val="10"/>
      <name val="Arial"/>
      <family val="2"/>
    </font>
    <font>
      <sz val="10"/>
      <color indexed="8"/>
      <name val="Arial"/>
      <family val="2"/>
    </font>
    <font>
      <sz val="12"/>
      <color theme="1"/>
      <name val="Calibri"/>
      <family val="2"/>
      <scheme val="minor"/>
    </font>
    <font>
      <b/>
      <sz val="12"/>
      <color theme="1"/>
      <name val="Calibri"/>
      <family val="2"/>
      <scheme val="minor"/>
    </font>
    <font>
      <sz val="15"/>
      <color theme="1"/>
      <name val="Calibri"/>
      <family val="2"/>
      <scheme val="minor"/>
    </font>
    <font>
      <b/>
      <i/>
      <sz val="9"/>
      <color theme="1"/>
      <name val="Times New Roman"/>
      <family val="1"/>
    </font>
    <font>
      <b/>
      <i/>
      <sz val="10"/>
      <color theme="1"/>
      <name val="Times New Roman"/>
      <family val="1"/>
    </font>
    <font>
      <sz val="10"/>
      <color theme="1"/>
      <name val="Arial"/>
      <family val="2"/>
    </font>
    <font>
      <b/>
      <sz val="12"/>
      <color theme="1"/>
      <name val="Bookman Old Style"/>
      <family val="1"/>
    </font>
    <font>
      <sz val="11"/>
      <color theme="1"/>
      <name val="Bookman Old Style"/>
      <family val="1"/>
    </font>
    <font>
      <sz val="12"/>
      <color theme="1"/>
      <name val="Bookman Old Style"/>
      <family val="1"/>
    </font>
    <font>
      <sz val="12"/>
      <name val="Bookman Old Style"/>
      <family val="1"/>
    </font>
    <font>
      <sz val="12"/>
      <color indexed="8"/>
      <name val="Bookman Old Style"/>
      <family val="1"/>
    </font>
    <font>
      <sz val="11"/>
      <color theme="0"/>
      <name val="Calibri"/>
      <family val="2"/>
      <scheme val="minor"/>
    </font>
    <font>
      <b/>
      <sz val="15"/>
      <color theme="1"/>
      <name val="Bookman Old Style"/>
      <family val="1"/>
    </font>
  </fonts>
  <fills count="8">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146">
    <xf numFmtId="0" fontId="0" fillId="0" borderId="0" xfId="0"/>
    <xf numFmtId="0" fontId="1" fillId="0" borderId="0" xfId="0" applyFont="1"/>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164" fontId="1"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4" fillId="0" borderId="1" xfId="1" applyFont="1" applyFill="1" applyBorder="1" applyAlignment="1">
      <alignment vertical="center"/>
    </xf>
    <xf numFmtId="0" fontId="5" fillId="0" borderId="1" xfId="1" applyFont="1" applyFill="1" applyBorder="1" applyAlignment="1">
      <alignment vertical="center"/>
    </xf>
    <xf numFmtId="0" fontId="2" fillId="0" borderId="1" xfId="1" applyFont="1" applyFill="1" applyBorder="1" applyAlignment="1">
      <alignment vertical="center"/>
    </xf>
    <xf numFmtId="0" fontId="4" fillId="0" borderId="1" xfId="1" applyFont="1" applyBorder="1" applyAlignment="1">
      <alignment vertical="center"/>
    </xf>
    <xf numFmtId="0" fontId="5" fillId="4" borderId="1" xfId="1" applyFont="1" applyFill="1" applyBorder="1" applyAlignment="1">
      <alignment vertical="center"/>
    </xf>
    <xf numFmtId="164" fontId="1" fillId="5" borderId="1" xfId="0" applyNumberFormat="1" applyFont="1" applyFill="1" applyBorder="1" applyAlignment="1">
      <alignment horizontal="center" vertical="center"/>
    </xf>
    <xf numFmtId="0" fontId="3" fillId="0" borderId="0" xfId="0" applyFont="1" applyAlignment="1">
      <alignment horizontal="center" vertical="center"/>
    </xf>
    <xf numFmtId="0" fontId="1" fillId="6" borderId="1" xfId="0" applyFont="1" applyFill="1" applyBorder="1" applyAlignment="1">
      <alignment horizontal="center" vertical="center"/>
    </xf>
    <xf numFmtId="0" fontId="1" fillId="0" borderId="0" xfId="0" applyFont="1" applyAlignment="1">
      <alignment horizontal="left"/>
    </xf>
    <xf numFmtId="0" fontId="6" fillId="0" borderId="0" xfId="0" applyFont="1" applyAlignment="1">
      <alignment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8" fillId="0" borderId="0" xfId="0" applyFont="1"/>
    <xf numFmtId="0" fontId="3" fillId="0" borderId="0" xfId="0" applyFont="1"/>
    <xf numFmtId="0" fontId="3" fillId="0" borderId="0" xfId="0" applyFont="1" applyBorder="1" applyAlignment="1">
      <alignment horizontal="center" vertical="center"/>
    </xf>
    <xf numFmtId="0" fontId="6" fillId="0" borderId="0" xfId="0" applyFont="1" applyBorder="1" applyAlignment="1">
      <alignment horizontal="left" vertical="center"/>
    </xf>
    <xf numFmtId="0" fontId="6" fillId="0" borderId="0" xfId="0" applyFont="1" applyBorder="1" applyAlignment="1">
      <alignment horizontal="right" vertical="center"/>
    </xf>
    <xf numFmtId="0" fontId="0" fillId="5" borderId="1" xfId="0"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6" fillId="0" borderId="1" xfId="0" applyFont="1" applyBorder="1" applyAlignment="1" applyProtection="1">
      <alignment horizontal="left" vertical="center"/>
      <protection locked="0"/>
    </xf>
    <xf numFmtId="166" fontId="6" fillId="0" borderId="1" xfId="0" applyNumberFormat="1" applyFont="1" applyBorder="1" applyAlignment="1" applyProtection="1">
      <alignment horizontal="left" vertical="center"/>
      <protection locked="0"/>
    </xf>
    <xf numFmtId="0" fontId="0" fillId="0" borderId="0" xfId="0" applyFill="1" applyProtection="1"/>
    <xf numFmtId="0" fontId="3" fillId="0" borderId="0" xfId="0" applyFont="1" applyFill="1" applyAlignment="1" applyProtection="1">
      <alignment horizontal="center" vertical="center"/>
    </xf>
    <xf numFmtId="0" fontId="0" fillId="0" borderId="0" xfId="0" applyFont="1" applyFill="1" applyProtection="1"/>
    <xf numFmtId="0" fontId="0" fillId="0" borderId="0" xfId="0" applyFont="1" applyFill="1" applyAlignment="1" applyProtection="1">
      <alignment horizontal="right"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ont="1" applyFill="1" applyAlignment="1" applyProtection="1">
      <alignment horizontal="left" vertical="top" wrapText="1"/>
    </xf>
    <xf numFmtId="0" fontId="1" fillId="0" borderId="0" xfId="0" applyFont="1" applyFill="1" applyAlignment="1" applyProtection="1">
      <alignment horizontal="left" vertical="top"/>
    </xf>
    <xf numFmtId="0" fontId="0" fillId="0" borderId="0" xfId="0" applyFont="1" applyFill="1" applyBorder="1" applyAlignment="1" applyProtection="1">
      <alignment horizontal="left"/>
    </xf>
    <xf numFmtId="0" fontId="0" fillId="0" borderId="0" xfId="0" applyFont="1" applyFill="1" applyBorder="1" applyAlignment="1" applyProtection="1">
      <alignment horizontal="center" vertical="top" wrapText="1"/>
    </xf>
    <xf numFmtId="0" fontId="1" fillId="0" borderId="0" xfId="0" applyFont="1" applyFill="1" applyBorder="1" applyAlignment="1" applyProtection="1">
      <alignment horizontal="left"/>
    </xf>
    <xf numFmtId="0" fontId="1" fillId="0" borderId="0" xfId="0" applyFont="1" applyFill="1" applyBorder="1" applyAlignment="1" applyProtection="1">
      <alignment horizontal="center" vertical="top" wrapText="1"/>
    </xf>
    <xf numFmtId="0" fontId="0" fillId="0" borderId="0" xfId="0" applyFont="1" applyFill="1" applyAlignment="1" applyProtection="1">
      <alignment horizontal="left"/>
    </xf>
    <xf numFmtId="1" fontId="1" fillId="0" borderId="1" xfId="0" applyNumberFormat="1"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0" fillId="0" borderId="1" xfId="0" applyFont="1" applyFill="1" applyBorder="1" applyAlignment="1" applyProtection="1">
      <alignment vertical="center" wrapText="1"/>
    </xf>
    <xf numFmtId="0" fontId="0" fillId="0" borderId="7" xfId="0" applyFont="1" applyFill="1" applyBorder="1" applyAlignment="1" applyProtection="1">
      <alignment horizontal="center" vertical="center" wrapText="1"/>
    </xf>
    <xf numFmtId="1" fontId="0" fillId="0" borderId="1" xfId="0" applyNumberFormat="1" applyFont="1" applyFill="1" applyBorder="1" applyAlignment="1" applyProtection="1">
      <alignment horizontal="left" vertical="center" wrapText="1"/>
    </xf>
    <xf numFmtId="0" fontId="0"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1" fillId="0" borderId="1" xfId="0" applyFont="1" applyFill="1" applyBorder="1" applyAlignment="1" applyProtection="1">
      <alignment vertical="center"/>
    </xf>
    <xf numFmtId="0" fontId="7" fillId="0" borderId="0" xfId="0" applyFont="1" applyFill="1" applyAlignment="1" applyProtection="1">
      <alignment horizontal="left" vertical="top"/>
    </xf>
    <xf numFmtId="0" fontId="6" fillId="0" borderId="0" xfId="0" applyFont="1" applyFill="1" applyAlignment="1" applyProtection="1">
      <alignment horizontal="right" vertical="center"/>
    </xf>
    <xf numFmtId="0" fontId="6" fillId="0" borderId="0" xfId="0" applyFont="1" applyFill="1" applyAlignment="1" applyProtection="1">
      <alignment horizontal="left" vertical="top" wrapText="1"/>
    </xf>
    <xf numFmtId="0" fontId="6" fillId="0" borderId="0" xfId="0" applyFont="1" applyFill="1" applyAlignment="1" applyProtection="1">
      <alignment horizontal="left" vertical="center"/>
    </xf>
    <xf numFmtId="0" fontId="0" fillId="0" borderId="0" xfId="0" applyFill="1" applyAlignment="1" applyProtection="1">
      <alignment horizontal="center" vertical="center"/>
    </xf>
    <xf numFmtId="0" fontId="1" fillId="0" borderId="0" xfId="0" applyFont="1" applyFill="1" applyAlignment="1" applyProtection="1">
      <alignment horizontal="center" vertical="center"/>
    </xf>
    <xf numFmtId="0" fontId="0" fillId="0" borderId="1" xfId="0" applyBorder="1" applyAlignment="1" applyProtection="1">
      <alignment vertical="center" wrapText="1"/>
      <protection locked="0"/>
    </xf>
    <xf numFmtId="0" fontId="0" fillId="0" borderId="1" xfId="0" applyFont="1" applyBorder="1" applyAlignment="1" applyProtection="1">
      <alignment horizontal="left" vertical="center" wrapText="1"/>
    </xf>
    <xf numFmtId="166" fontId="0" fillId="0" borderId="0" xfId="0" applyNumberFormat="1" applyFill="1" applyProtection="1"/>
    <xf numFmtId="166" fontId="0" fillId="0" borderId="0" xfId="0" applyNumberFormat="1" applyFill="1" applyAlignment="1" applyProtection="1">
      <alignment horizontal="right"/>
    </xf>
    <xf numFmtId="166" fontId="0" fillId="0" borderId="0" xfId="0" applyNumberFormat="1" applyFill="1" applyAlignment="1" applyProtection="1">
      <alignment horizontal="left"/>
    </xf>
    <xf numFmtId="0" fontId="9" fillId="0" borderId="0" xfId="0" applyFont="1"/>
    <xf numFmtId="0" fontId="10" fillId="0" borderId="0" xfId="0" applyFont="1"/>
    <xf numFmtId="0" fontId="11" fillId="0" borderId="1" xfId="0" applyFont="1" applyFill="1" applyBorder="1"/>
    <xf numFmtId="0" fontId="4" fillId="0" borderId="1" xfId="0" applyFont="1" applyFill="1" applyBorder="1"/>
    <xf numFmtId="0" fontId="0" fillId="0" borderId="1" xfId="0" applyFill="1" applyBorder="1"/>
    <xf numFmtId="167" fontId="11" fillId="0" borderId="1" xfId="0" applyNumberFormat="1" applyFont="1" applyFill="1" applyBorder="1"/>
    <xf numFmtId="0" fontId="6" fillId="0" borderId="1" xfId="0" applyFont="1" applyBorder="1" applyAlignment="1" applyProtection="1">
      <alignment horizontal="left" vertical="center"/>
      <protection locked="0"/>
    </xf>
    <xf numFmtId="0" fontId="1" fillId="0" borderId="1" xfId="0" applyFont="1" applyFill="1" applyBorder="1" applyAlignment="1" applyProtection="1">
      <alignment horizontal="center" vertical="center"/>
    </xf>
    <xf numFmtId="0" fontId="0" fillId="0" borderId="1" xfId="0" applyFont="1" applyBorder="1"/>
    <xf numFmtId="0" fontId="13" fillId="0" borderId="0" xfId="0" applyFont="1"/>
    <xf numFmtId="0" fontId="14" fillId="0" borderId="1" xfId="0" applyFont="1" applyBorder="1" applyAlignment="1">
      <alignment horizontal="center" vertical="center"/>
    </xf>
    <xf numFmtId="0" fontId="15" fillId="0" borderId="1" xfId="1" applyFont="1" applyFill="1" applyBorder="1" applyAlignment="1">
      <alignment vertical="center" wrapText="1"/>
    </xf>
    <xf numFmtId="0" fontId="14" fillId="0" borderId="1" xfId="0" applyFont="1" applyBorder="1" applyAlignment="1">
      <alignment horizontal="left" vertical="center" wrapText="1"/>
    </xf>
    <xf numFmtId="0" fontId="16" fillId="0" borderId="1" xfId="1" applyFont="1" applyFill="1" applyBorder="1" applyAlignment="1">
      <alignment vertical="center" wrapText="1"/>
    </xf>
    <xf numFmtId="0" fontId="14" fillId="0" borderId="1" xfId="1" applyFont="1" applyFill="1" applyBorder="1" applyAlignment="1">
      <alignment vertical="center" wrapText="1"/>
    </xf>
    <xf numFmtId="0" fontId="15" fillId="0" borderId="1" xfId="1" applyFont="1" applyBorder="1" applyAlignment="1">
      <alignment vertical="center" wrapText="1"/>
    </xf>
    <xf numFmtId="0" fontId="12" fillId="0" borderId="1" xfId="0" applyFont="1" applyBorder="1" applyAlignment="1">
      <alignment horizontal="center" vertical="center"/>
    </xf>
    <xf numFmtId="1" fontId="0" fillId="0" borderId="1" xfId="0" applyNumberFormat="1" applyFont="1" applyFill="1" applyBorder="1" applyAlignment="1" applyProtection="1">
      <alignment horizontal="center" vertical="center" wrapText="1"/>
    </xf>
    <xf numFmtId="1" fontId="0" fillId="0" borderId="1" xfId="0" applyNumberFormat="1" applyFont="1" applyFill="1" applyBorder="1" applyAlignment="1" applyProtection="1">
      <alignment horizontal="center" vertical="center"/>
    </xf>
    <xf numFmtId="0" fontId="17" fillId="0" borderId="0" xfId="0" applyFont="1" applyFill="1" applyAlignment="1" applyProtection="1">
      <alignment horizontal="left" vertical="top" wrapText="1"/>
    </xf>
    <xf numFmtId="0" fontId="3" fillId="0" borderId="0" xfId="0" applyFont="1" applyAlignment="1">
      <alignment horizontal="center"/>
    </xf>
    <xf numFmtId="0" fontId="1" fillId="0" borderId="0" xfId="0" applyFont="1" applyAlignment="1">
      <alignment horizontal="left"/>
    </xf>
    <xf numFmtId="0" fontId="3" fillId="0" borderId="0" xfId="0" applyFont="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6" fillId="0" borderId="1" xfId="0" applyFont="1" applyBorder="1" applyAlignment="1" applyProtection="1">
      <alignment horizontal="left" vertical="center"/>
      <protection locked="0"/>
    </xf>
    <xf numFmtId="165" fontId="6" fillId="0" borderId="0" xfId="0" applyNumberFormat="1" applyFont="1" applyBorder="1" applyAlignment="1">
      <alignment horizontal="left" vertical="center"/>
    </xf>
    <xf numFmtId="0" fontId="6" fillId="0" borderId="0" xfId="0" applyFont="1" applyBorder="1" applyAlignment="1">
      <alignment horizontal="left"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6" fillId="0" borderId="2"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7" borderId="6" xfId="0" applyFont="1" applyFill="1" applyBorder="1" applyAlignment="1">
      <alignment horizontal="center" vertical="center"/>
    </xf>
    <xf numFmtId="0" fontId="1" fillId="7" borderId="8"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wrapText="1"/>
    </xf>
    <xf numFmtId="1" fontId="1" fillId="0" borderId="1" xfId="0" applyNumberFormat="1" applyFont="1" applyFill="1" applyBorder="1" applyAlignment="1" applyProtection="1">
      <alignment horizontal="center" vertical="center"/>
    </xf>
    <xf numFmtId="1" fontId="1" fillId="0" borderId="1" xfId="0" applyNumberFormat="1" applyFont="1" applyFill="1" applyBorder="1" applyAlignment="1" applyProtection="1">
      <alignment horizontal="center" vertical="center" wrapText="1"/>
    </xf>
    <xf numFmtId="1" fontId="1" fillId="0" borderId="2" xfId="0" applyNumberFormat="1" applyFont="1" applyFill="1" applyBorder="1" applyAlignment="1" applyProtection="1">
      <alignment horizontal="center" vertical="center"/>
    </xf>
    <xf numFmtId="1" fontId="1" fillId="0" borderId="3" xfId="0" applyNumberFormat="1" applyFont="1" applyFill="1" applyBorder="1" applyAlignment="1" applyProtection="1">
      <alignment horizontal="center" vertical="center"/>
    </xf>
    <xf numFmtId="1" fontId="1" fillId="0" borderId="4" xfId="0" applyNumberFormat="1" applyFont="1" applyFill="1" applyBorder="1" applyAlignment="1" applyProtection="1">
      <alignment horizontal="center" vertical="center"/>
    </xf>
    <xf numFmtId="0" fontId="0" fillId="0" borderId="0" xfId="0" applyFont="1" applyFill="1" applyAlignment="1" applyProtection="1">
      <alignment horizontal="left" vertical="center"/>
    </xf>
    <xf numFmtId="0" fontId="1" fillId="0" borderId="1" xfId="0" applyFont="1" applyFill="1" applyBorder="1" applyAlignment="1" applyProtection="1">
      <alignment horizontal="center" vertical="center"/>
    </xf>
    <xf numFmtId="0" fontId="0" fillId="0" borderId="2" xfId="0" applyFont="1" applyFill="1" applyBorder="1" applyAlignment="1" applyProtection="1">
      <alignment horizontal="left" vertical="center"/>
    </xf>
    <xf numFmtId="0" fontId="0" fillId="0" borderId="4" xfId="0" applyFont="1" applyFill="1" applyBorder="1" applyAlignment="1" applyProtection="1">
      <alignment horizontal="left" vertical="center"/>
    </xf>
    <xf numFmtId="0" fontId="0" fillId="0" borderId="2" xfId="0" applyFont="1" applyFill="1" applyBorder="1" applyAlignment="1" applyProtection="1">
      <alignment horizontal="left" vertical="center" wrapText="1"/>
    </xf>
    <xf numFmtId="0" fontId="0" fillId="0" borderId="3" xfId="0" applyFont="1" applyFill="1" applyBorder="1" applyAlignment="1" applyProtection="1">
      <alignment horizontal="left" vertical="center" wrapText="1"/>
    </xf>
    <xf numFmtId="0" fontId="0" fillId="0" borderId="4" xfId="0" applyFont="1" applyFill="1" applyBorder="1" applyAlignment="1" applyProtection="1">
      <alignment horizontal="left" vertical="center" wrapText="1"/>
    </xf>
    <xf numFmtId="0" fontId="3" fillId="0" borderId="0" xfId="0" applyFont="1" applyFill="1" applyAlignment="1" applyProtection="1">
      <alignment horizontal="center" vertical="center"/>
    </xf>
    <xf numFmtId="0" fontId="0" fillId="0" borderId="0" xfId="0" applyFont="1" applyFill="1" applyAlignment="1" applyProtection="1">
      <alignment horizontal="left" vertical="top"/>
    </xf>
    <xf numFmtId="0" fontId="0" fillId="0" borderId="0" xfId="0" applyFill="1" applyAlignment="1" applyProtection="1">
      <alignment horizontal="left" vertical="center"/>
      <protection locked="0"/>
    </xf>
    <xf numFmtId="0" fontId="0" fillId="0" borderId="0" xfId="0" applyFont="1" applyFill="1" applyAlignment="1" applyProtection="1">
      <alignment horizontal="left" vertical="center"/>
      <protection locked="0"/>
    </xf>
    <xf numFmtId="0" fontId="0" fillId="0" borderId="0" xfId="0" applyFont="1" applyFill="1" applyAlignment="1" applyProtection="1">
      <alignment horizontal="left" vertical="top" wrapText="1"/>
    </xf>
    <xf numFmtId="0" fontId="1" fillId="0" borderId="2"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0" fontId="0" fillId="0" borderId="6" xfId="0" applyFont="1" applyFill="1" applyBorder="1" applyAlignment="1" applyProtection="1">
      <alignment horizontal="center" vertical="center" wrapText="1"/>
    </xf>
    <xf numFmtId="0" fontId="0" fillId="0" borderId="8" xfId="0" applyFont="1" applyFill="1" applyBorder="1" applyAlignment="1" applyProtection="1">
      <alignment horizontal="center" vertical="center" wrapText="1"/>
    </xf>
    <xf numFmtId="0" fontId="0" fillId="0" borderId="7" xfId="0" applyFont="1" applyFill="1" applyBorder="1" applyAlignment="1" applyProtection="1">
      <alignment horizontal="center" vertical="center" wrapText="1"/>
    </xf>
    <xf numFmtId="0" fontId="0" fillId="0" borderId="9" xfId="0" applyFont="1" applyFill="1" applyBorder="1" applyAlignment="1" applyProtection="1">
      <alignment horizontal="left" vertical="center"/>
    </xf>
    <xf numFmtId="0" fontId="0" fillId="0" borderId="10" xfId="0" applyFont="1" applyFill="1" applyBorder="1" applyAlignment="1" applyProtection="1">
      <alignment horizontal="left" vertical="center"/>
    </xf>
    <xf numFmtId="0" fontId="0" fillId="0" borderId="11" xfId="0" applyFont="1" applyFill="1" applyBorder="1" applyAlignment="1" applyProtection="1">
      <alignment horizontal="left" vertical="center"/>
    </xf>
    <xf numFmtId="0" fontId="0" fillId="0" borderId="12" xfId="0" applyFont="1" applyFill="1" applyBorder="1" applyAlignment="1" applyProtection="1">
      <alignment horizontal="left" vertical="center"/>
    </xf>
    <xf numFmtId="0" fontId="0" fillId="0" borderId="5" xfId="0" applyFont="1" applyFill="1" applyBorder="1" applyAlignment="1" applyProtection="1">
      <alignment horizontal="left" vertical="center"/>
    </xf>
    <xf numFmtId="0" fontId="0" fillId="0" borderId="13" xfId="0" applyFont="1" applyFill="1" applyBorder="1" applyAlignment="1" applyProtection="1">
      <alignment horizontal="left" vertical="center"/>
    </xf>
    <xf numFmtId="0" fontId="0" fillId="0" borderId="1" xfId="0" applyFont="1" applyFill="1" applyBorder="1" applyAlignment="1" applyProtection="1">
      <alignment horizontal="left"/>
    </xf>
    <xf numFmtId="0" fontId="0" fillId="0" borderId="1" xfId="0" applyFont="1" applyFill="1" applyBorder="1" applyAlignment="1" applyProtection="1">
      <alignment horizontal="center"/>
    </xf>
    <xf numFmtId="0" fontId="0" fillId="0" borderId="1" xfId="0" applyFill="1" applyBorder="1" applyAlignment="1" applyProtection="1">
      <alignment horizontal="left"/>
    </xf>
    <xf numFmtId="0" fontId="1" fillId="0" borderId="0" xfId="0" applyFont="1" applyFill="1" applyAlignment="1" applyProtection="1">
      <alignment horizontal="center" vertical="center"/>
    </xf>
    <xf numFmtId="0" fontId="0" fillId="0" borderId="0" xfId="0" applyFill="1" applyAlignment="1" applyProtection="1">
      <alignment horizontal="center" vertical="center"/>
    </xf>
    <xf numFmtId="0" fontId="0" fillId="0" borderId="1" xfId="0" applyFill="1" applyBorder="1" applyAlignment="1" applyProtection="1">
      <alignment horizontal="center"/>
    </xf>
    <xf numFmtId="0" fontId="12" fillId="0" borderId="1" xfId="0" applyFont="1" applyBorder="1" applyAlignment="1">
      <alignment horizontal="center" vertical="center"/>
    </xf>
    <xf numFmtId="0" fontId="18" fillId="0" borderId="0" xfId="0" applyFont="1" applyBorder="1" applyAlignment="1">
      <alignment horizontal="left" vertical="center"/>
    </xf>
    <xf numFmtId="0" fontId="18" fillId="0" borderId="1" xfId="0" applyFont="1" applyBorder="1" applyAlignment="1">
      <alignment horizontal="center" vertical="center"/>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Master Subject'!A1"/><Relationship Id="rId7" Type="http://schemas.openxmlformats.org/officeDocument/2006/relationships/hyperlink" Target="#'Final Report'!A1"/><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Master Student'!A1"/><Relationship Id="rId6" Type="http://schemas.openxmlformats.org/officeDocument/2006/relationships/image" Target="../media/image3.png"/><Relationship Id="rId11" Type="http://schemas.openxmlformats.org/officeDocument/2006/relationships/hyperlink" Target="#'Master Data'!A1"/><Relationship Id="rId5" Type="http://schemas.openxmlformats.org/officeDocument/2006/relationships/hyperlink" Target="#'Master Grade'!A1"/><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User%20Guide%20Rapor%20K13.mp4"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5.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xdr:rowOff>
    </xdr:from>
    <xdr:to>
      <xdr:col>17</xdr:col>
      <xdr:colOff>276225</xdr:colOff>
      <xdr:row>21</xdr:row>
      <xdr:rowOff>47625</xdr:rowOff>
    </xdr:to>
    <xdr:sp macro="" textlink="">
      <xdr:nvSpPr>
        <xdr:cNvPr id="2" name="Rounded Rectangle 1"/>
        <xdr:cNvSpPr/>
      </xdr:nvSpPr>
      <xdr:spPr>
        <a:xfrm>
          <a:off x="1504950" y="190501"/>
          <a:ext cx="9134475" cy="3857624"/>
        </a:xfrm>
        <a:prstGeom prst="round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solidFill>
              <a:schemeClr val="bg1">
                <a:lumMod val="95000"/>
              </a:schemeClr>
            </a:solidFill>
          </a:endParaRPr>
        </a:p>
      </xdr:txBody>
    </xdr:sp>
    <xdr:clientData/>
  </xdr:twoCellAnchor>
  <xdr:twoCellAnchor>
    <xdr:from>
      <xdr:col>3</xdr:col>
      <xdr:colOff>514350</xdr:colOff>
      <xdr:row>2</xdr:row>
      <xdr:rowOff>73800</xdr:rowOff>
    </xdr:from>
    <xdr:to>
      <xdr:col>6</xdr:col>
      <xdr:colOff>323850</xdr:colOff>
      <xdr:row>10</xdr:row>
      <xdr:rowOff>95250</xdr:rowOff>
    </xdr:to>
    <xdr:grpSp>
      <xdr:nvGrpSpPr>
        <xdr:cNvPr id="8" name="Group 7"/>
        <xdr:cNvGrpSpPr/>
      </xdr:nvGrpSpPr>
      <xdr:grpSpPr>
        <a:xfrm>
          <a:off x="2353089" y="454800"/>
          <a:ext cx="1648239" cy="1545450"/>
          <a:chOff x="2095500" y="1407300"/>
          <a:chExt cx="1638300" cy="1545450"/>
        </a:xfrm>
      </xdr:grpSpPr>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38151" y="1407300"/>
            <a:ext cx="1227304" cy="1227304"/>
          </a:xfrm>
          <a:prstGeom prst="rect">
            <a:avLst/>
          </a:prstGeom>
        </xdr:spPr>
      </xdr:pic>
      <xdr:sp macro="" textlink="">
        <xdr:nvSpPr>
          <xdr:cNvPr id="7" name="Rectangle 6"/>
          <xdr:cNvSpPr/>
        </xdr:nvSpPr>
        <xdr:spPr>
          <a:xfrm>
            <a:off x="2095500" y="25812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STUDENT MASTER</a:t>
            </a:r>
          </a:p>
        </xdr:txBody>
      </xdr:sp>
    </xdr:grpSp>
    <xdr:clientData/>
  </xdr:twoCellAnchor>
  <xdr:twoCellAnchor>
    <xdr:from>
      <xdr:col>6</xdr:col>
      <xdr:colOff>590550</xdr:colOff>
      <xdr:row>2</xdr:row>
      <xdr:rowOff>89121</xdr:rowOff>
    </xdr:from>
    <xdr:to>
      <xdr:col>9</xdr:col>
      <xdr:colOff>400050</xdr:colOff>
      <xdr:row>10</xdr:row>
      <xdr:rowOff>102375</xdr:rowOff>
    </xdr:to>
    <xdr:grpSp>
      <xdr:nvGrpSpPr>
        <xdr:cNvPr id="16" name="Group 15"/>
        <xdr:cNvGrpSpPr/>
      </xdr:nvGrpSpPr>
      <xdr:grpSpPr>
        <a:xfrm>
          <a:off x="4268028" y="470121"/>
          <a:ext cx="1648239" cy="1537254"/>
          <a:chOff x="4000500" y="813021"/>
          <a:chExt cx="1638300" cy="1537254"/>
        </a:xfrm>
      </xdr:grpSpPr>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72747" y="813021"/>
            <a:ext cx="1212590" cy="1212590"/>
          </a:xfrm>
          <a:prstGeom prst="rect">
            <a:avLst/>
          </a:prstGeom>
        </xdr:spPr>
      </xdr:pic>
      <xdr:sp macro="" textlink="">
        <xdr:nvSpPr>
          <xdr:cNvPr id="9" name="Rectangle 8"/>
          <xdr:cNvSpPr/>
        </xdr:nvSpPr>
        <xdr:spPr>
          <a:xfrm>
            <a:off x="400050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SUBJECT MASTER</a:t>
            </a:r>
          </a:p>
        </xdr:txBody>
      </xdr:sp>
    </xdr:grpSp>
    <xdr:clientData/>
  </xdr:twoCellAnchor>
  <xdr:twoCellAnchor>
    <xdr:from>
      <xdr:col>9</xdr:col>
      <xdr:colOff>495300</xdr:colOff>
      <xdr:row>2</xdr:row>
      <xdr:rowOff>91821</xdr:rowOff>
    </xdr:from>
    <xdr:to>
      <xdr:col>12</xdr:col>
      <xdr:colOff>304800</xdr:colOff>
      <xdr:row>10</xdr:row>
      <xdr:rowOff>102375</xdr:rowOff>
    </xdr:to>
    <xdr:grpSp>
      <xdr:nvGrpSpPr>
        <xdr:cNvPr id="17" name="Group 16"/>
        <xdr:cNvGrpSpPr/>
      </xdr:nvGrpSpPr>
      <xdr:grpSpPr>
        <a:xfrm>
          <a:off x="6011517" y="472821"/>
          <a:ext cx="1648240" cy="1534554"/>
          <a:chOff x="5734050" y="815721"/>
          <a:chExt cx="1638300" cy="1534554"/>
        </a:xfrm>
      </xdr:grpSpPr>
      <xdr:pic>
        <xdr:nvPicPr>
          <xdr:cNvPr id="3" name="Picture 2">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89132" y="815721"/>
            <a:ext cx="1203579" cy="1203579"/>
          </a:xfrm>
          <a:prstGeom prst="rect">
            <a:avLst/>
          </a:prstGeom>
        </xdr:spPr>
      </xdr:pic>
      <xdr:sp macro="" textlink="">
        <xdr:nvSpPr>
          <xdr:cNvPr id="10" name="Rectangle 9"/>
          <xdr:cNvSpPr/>
        </xdr:nvSpPr>
        <xdr:spPr>
          <a:xfrm>
            <a:off x="573405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INPUT GRADE</a:t>
            </a:r>
          </a:p>
        </xdr:txBody>
      </xdr:sp>
    </xdr:grpSp>
    <xdr:clientData/>
  </xdr:twoCellAnchor>
  <xdr:twoCellAnchor>
    <xdr:from>
      <xdr:col>13</xdr:col>
      <xdr:colOff>219075</xdr:colOff>
      <xdr:row>1</xdr:row>
      <xdr:rowOff>161925</xdr:rowOff>
    </xdr:from>
    <xdr:to>
      <xdr:col>16</xdr:col>
      <xdr:colOff>28575</xdr:colOff>
      <xdr:row>10</xdr:row>
      <xdr:rowOff>102375</xdr:rowOff>
    </xdr:to>
    <xdr:grpSp>
      <xdr:nvGrpSpPr>
        <xdr:cNvPr id="18" name="Group 17"/>
        <xdr:cNvGrpSpPr/>
      </xdr:nvGrpSpPr>
      <xdr:grpSpPr>
        <a:xfrm>
          <a:off x="8186945" y="352425"/>
          <a:ext cx="1648239" cy="1654950"/>
          <a:chOff x="8143875" y="352425"/>
          <a:chExt cx="1638300" cy="1654950"/>
        </a:xfrm>
      </xdr:grpSpPr>
      <xdr:pic>
        <xdr:nvPicPr>
          <xdr:cNvPr id="4" name="Picture 3">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72450" y="352425"/>
            <a:ext cx="1552574" cy="1552574"/>
          </a:xfrm>
          <a:prstGeom prst="rect">
            <a:avLst/>
          </a:prstGeom>
        </xdr:spPr>
      </xdr:pic>
      <xdr:sp macro="" textlink="">
        <xdr:nvSpPr>
          <xdr:cNvPr id="11" name="Rectangle 10"/>
          <xdr:cNvSpPr/>
        </xdr:nvSpPr>
        <xdr:spPr>
          <a:xfrm>
            <a:off x="8143875" y="16359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FINAL</a:t>
            </a:r>
            <a:r>
              <a:rPr lang="id-ID" sz="1100" b="1" baseline="0">
                <a:solidFill>
                  <a:schemeClr val="accent6">
                    <a:lumMod val="75000"/>
                  </a:schemeClr>
                </a:solidFill>
              </a:rPr>
              <a:t> REPORT</a:t>
            </a:r>
            <a:endParaRPr lang="id-ID" sz="1100" b="1">
              <a:solidFill>
                <a:schemeClr val="accent6">
                  <a:lumMod val="75000"/>
                </a:schemeClr>
              </a:solidFill>
            </a:endParaRPr>
          </a:p>
        </xdr:txBody>
      </xdr:sp>
    </xdr:grpSp>
    <xdr:clientData/>
  </xdr:twoCellAnchor>
  <xdr:twoCellAnchor>
    <xdr:from>
      <xdr:col>10</xdr:col>
      <xdr:colOff>419100</xdr:colOff>
      <xdr:row>12</xdr:row>
      <xdr:rowOff>76200</xdr:rowOff>
    </xdr:from>
    <xdr:to>
      <xdr:col>13</xdr:col>
      <xdr:colOff>228600</xdr:colOff>
      <xdr:row>20</xdr:row>
      <xdr:rowOff>73800</xdr:rowOff>
    </xdr:to>
    <xdr:grpSp>
      <xdr:nvGrpSpPr>
        <xdr:cNvPr id="21" name="Group 20">
          <a:hlinkClick xmlns:r="http://schemas.openxmlformats.org/officeDocument/2006/relationships" r:id="rId9"/>
        </xdr:cNvPr>
        <xdr:cNvGrpSpPr/>
      </xdr:nvGrpSpPr>
      <xdr:grpSpPr>
        <a:xfrm>
          <a:off x="6548230" y="2362200"/>
          <a:ext cx="1648240" cy="1521600"/>
          <a:chOff x="6515100" y="2362200"/>
          <a:chExt cx="1638300" cy="1521600"/>
        </a:xfrm>
      </xdr:grpSpPr>
      <xdr:pic>
        <xdr:nvPicPr>
          <xdr:cNvPr id="12" name="Picture 1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715125" y="2362200"/>
            <a:ext cx="1190625" cy="1190625"/>
          </a:xfrm>
          <a:prstGeom prst="rect">
            <a:avLst/>
          </a:prstGeom>
        </xdr:spPr>
      </xdr:pic>
      <xdr:sp macro="" textlink="">
        <xdr:nvSpPr>
          <xdr:cNvPr id="14" name="Rectangle 13"/>
          <xdr:cNvSpPr/>
        </xdr:nvSpPr>
        <xdr:spPr>
          <a:xfrm>
            <a:off x="6515100" y="351232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USER</a:t>
            </a:r>
            <a:r>
              <a:rPr lang="en-US" sz="1100" b="1" baseline="0">
                <a:solidFill>
                  <a:schemeClr val="accent6">
                    <a:lumMod val="75000"/>
                  </a:schemeClr>
                </a:solidFill>
              </a:rPr>
              <a:t> GUIDE</a:t>
            </a:r>
            <a:endParaRPr lang="id-ID" sz="1100" b="1">
              <a:solidFill>
                <a:schemeClr val="accent6">
                  <a:lumMod val="75000"/>
                </a:schemeClr>
              </a:solidFill>
            </a:endParaRPr>
          </a:p>
        </xdr:txBody>
      </xdr:sp>
    </xdr:grpSp>
    <xdr:clientData/>
  </xdr:twoCellAnchor>
  <xdr:twoCellAnchor>
    <xdr:from>
      <xdr:col>6</xdr:col>
      <xdr:colOff>219075</xdr:colOff>
      <xdr:row>12</xdr:row>
      <xdr:rowOff>92850</xdr:rowOff>
    </xdr:from>
    <xdr:to>
      <xdr:col>9</xdr:col>
      <xdr:colOff>28575</xdr:colOff>
      <xdr:row>20</xdr:row>
      <xdr:rowOff>92850</xdr:rowOff>
    </xdr:to>
    <xdr:grpSp>
      <xdr:nvGrpSpPr>
        <xdr:cNvPr id="20" name="Group 19">
          <a:hlinkClick xmlns:r="http://schemas.openxmlformats.org/officeDocument/2006/relationships" r:id="rId11"/>
        </xdr:cNvPr>
        <xdr:cNvGrpSpPr/>
      </xdr:nvGrpSpPr>
      <xdr:grpSpPr>
        <a:xfrm>
          <a:off x="3896553" y="2378850"/>
          <a:ext cx="1648239" cy="1524000"/>
          <a:chOff x="3876675" y="2378850"/>
          <a:chExt cx="1638300" cy="1524000"/>
        </a:xfrm>
      </xdr:grpSpPr>
      <xdr:pic>
        <xdr:nvPicPr>
          <xdr:cNvPr id="13" name="Picture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12400" y="2378850"/>
            <a:ext cx="1183500" cy="1183500"/>
          </a:xfrm>
          <a:prstGeom prst="rect">
            <a:avLst/>
          </a:prstGeom>
        </xdr:spPr>
      </xdr:pic>
      <xdr:sp macro="" textlink="">
        <xdr:nvSpPr>
          <xdr:cNvPr id="19" name="Rectangle 18"/>
          <xdr:cNvSpPr/>
        </xdr:nvSpPr>
        <xdr:spPr>
          <a:xfrm>
            <a:off x="3876675" y="35313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MASTER</a:t>
            </a:r>
            <a:r>
              <a:rPr lang="en-US" sz="1100" b="1" baseline="0">
                <a:solidFill>
                  <a:schemeClr val="accent6">
                    <a:lumMod val="75000"/>
                  </a:schemeClr>
                </a:solidFill>
              </a:rPr>
              <a:t> DATA</a:t>
            </a:r>
            <a:endParaRPr lang="id-ID" sz="1100" b="1">
              <a:solidFill>
                <a:schemeClr val="accent6">
                  <a:lumMod val="75000"/>
                </a:schemeClr>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354825</xdr:colOff>
      <xdr:row>0</xdr:row>
      <xdr:rowOff>180975</xdr:rowOff>
    </xdr:from>
    <xdr:to>
      <xdr:col>2</xdr:col>
      <xdr:colOff>128700</xdr:colOff>
      <xdr:row>5</xdr:row>
      <xdr:rowOff>42205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825" y="180975"/>
          <a:ext cx="993075" cy="870880"/>
        </a:xfrm>
        <a:prstGeom prst="rect">
          <a:avLst/>
        </a:prstGeom>
      </xdr:spPr>
    </xdr:pic>
    <xdr:clientData/>
  </xdr:twoCellAnchor>
  <xdr:twoCellAnchor editAs="oneCell">
    <xdr:from>
      <xdr:col>0</xdr:col>
      <xdr:colOff>323850</xdr:colOff>
      <xdr:row>6</xdr:row>
      <xdr:rowOff>111900</xdr:rowOff>
    </xdr:from>
    <xdr:to>
      <xdr:col>2</xdr:col>
      <xdr:colOff>97725</xdr:colOff>
      <xdr:row>10</xdr:row>
      <xdr:rowOff>30280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3850" y="1312050"/>
          <a:ext cx="993075" cy="870880"/>
        </a:xfrm>
        <a:prstGeom prst="rect">
          <a:avLst/>
        </a:prstGeom>
      </xdr:spPr>
    </xdr:pic>
    <xdr:clientData/>
  </xdr:twoCellAnchor>
  <xdr:twoCellAnchor editAs="oneCell">
    <xdr:from>
      <xdr:col>2</xdr:col>
      <xdr:colOff>569100</xdr:colOff>
      <xdr:row>0</xdr:row>
      <xdr:rowOff>185700</xdr:rowOff>
    </xdr:from>
    <xdr:to>
      <xdr:col>4</xdr:col>
      <xdr:colOff>342975</xdr:colOff>
      <xdr:row>5</xdr:row>
      <xdr:rowOff>46930</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8300" y="185700"/>
          <a:ext cx="993075" cy="870880"/>
        </a:xfrm>
        <a:prstGeom prst="rect">
          <a:avLst/>
        </a:prstGeom>
      </xdr:spPr>
    </xdr:pic>
    <xdr:clientData/>
  </xdr:twoCellAnchor>
  <xdr:twoCellAnchor editAs="oneCell">
    <xdr:from>
      <xdr:col>2</xdr:col>
      <xdr:colOff>538125</xdr:colOff>
      <xdr:row>6</xdr:row>
      <xdr:rowOff>107100</xdr:rowOff>
    </xdr:from>
    <xdr:to>
      <xdr:col>4</xdr:col>
      <xdr:colOff>312000</xdr:colOff>
      <xdr:row>10</xdr:row>
      <xdr:rowOff>25480</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57325" y="1307250"/>
          <a:ext cx="993075" cy="870880"/>
        </a:xfrm>
        <a:prstGeom prst="rect">
          <a:avLst/>
        </a:prstGeom>
      </xdr:spPr>
    </xdr:pic>
    <xdr:clientData/>
  </xdr:twoCellAnchor>
  <xdr:twoCellAnchor editAs="oneCell">
    <xdr:from>
      <xdr:col>2</xdr:col>
      <xdr:colOff>497625</xdr:colOff>
      <xdr:row>11</xdr:row>
      <xdr:rowOff>9450</xdr:rowOff>
    </xdr:from>
    <xdr:to>
      <xdr:col>4</xdr:col>
      <xdr:colOff>271500</xdr:colOff>
      <xdr:row>14</xdr:row>
      <xdr:rowOff>165955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716825" y="2400225"/>
          <a:ext cx="993075" cy="870880"/>
        </a:xfrm>
        <a:prstGeom prst="rect">
          <a:avLst/>
        </a:prstGeom>
      </xdr:spPr>
    </xdr:pic>
    <xdr:clientData/>
  </xdr:twoCellAnchor>
  <xdr:twoCellAnchor editAs="oneCell">
    <xdr:from>
      <xdr:col>0</xdr:col>
      <xdr:colOff>304725</xdr:colOff>
      <xdr:row>10</xdr:row>
      <xdr:rowOff>235650</xdr:rowOff>
    </xdr:from>
    <xdr:to>
      <xdr:col>2</xdr:col>
      <xdr:colOff>78600</xdr:colOff>
      <xdr:row>14</xdr:row>
      <xdr:rowOff>154030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04725" y="2388300"/>
          <a:ext cx="993075" cy="870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431100</xdr:colOff>
      <xdr:row>1</xdr:row>
      <xdr:rowOff>38100</xdr:rowOff>
    </xdr:from>
    <xdr:to>
      <xdr:col>2</xdr:col>
      <xdr:colOff>204975</xdr:colOff>
      <xdr:row>5</xdr:row>
      <xdr:rowOff>89830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1100" y="228600"/>
          <a:ext cx="993075" cy="870880"/>
        </a:xfrm>
        <a:prstGeom prst="rect">
          <a:avLst/>
        </a:prstGeom>
      </xdr:spPr>
    </xdr:pic>
    <xdr:clientData/>
  </xdr:twoCellAnchor>
  <xdr:twoCellAnchor editAs="oneCell">
    <xdr:from>
      <xdr:col>0</xdr:col>
      <xdr:colOff>400125</xdr:colOff>
      <xdr:row>6</xdr:row>
      <xdr:rowOff>159525</xdr:rowOff>
    </xdr:from>
    <xdr:to>
      <xdr:col>2</xdr:col>
      <xdr:colOff>174000</xdr:colOff>
      <xdr:row>10</xdr:row>
      <xdr:rowOff>77905</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0125" y="1359675"/>
          <a:ext cx="993075" cy="870880"/>
        </a:xfrm>
        <a:prstGeom prst="rect">
          <a:avLst/>
        </a:prstGeom>
      </xdr:spPr>
    </xdr:pic>
    <xdr:clientData/>
  </xdr:twoCellAnchor>
  <xdr:twoCellAnchor editAs="oneCell">
    <xdr:from>
      <xdr:col>3</xdr:col>
      <xdr:colOff>35775</xdr:colOff>
      <xdr:row>1</xdr:row>
      <xdr:rowOff>42825</xdr:rowOff>
    </xdr:from>
    <xdr:to>
      <xdr:col>4</xdr:col>
      <xdr:colOff>419250</xdr:colOff>
      <xdr:row>5</xdr:row>
      <xdr:rowOff>94555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64575" y="233325"/>
          <a:ext cx="993075" cy="870880"/>
        </a:xfrm>
        <a:prstGeom prst="rect">
          <a:avLst/>
        </a:prstGeom>
      </xdr:spPr>
    </xdr:pic>
    <xdr:clientData/>
  </xdr:twoCellAnchor>
  <xdr:twoCellAnchor editAs="oneCell">
    <xdr:from>
      <xdr:col>3</xdr:col>
      <xdr:colOff>4800</xdr:colOff>
      <xdr:row>6</xdr:row>
      <xdr:rowOff>154725</xdr:rowOff>
    </xdr:from>
    <xdr:to>
      <xdr:col>4</xdr:col>
      <xdr:colOff>388275</xdr:colOff>
      <xdr:row>10</xdr:row>
      <xdr:rowOff>73105</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33600" y="1354875"/>
          <a:ext cx="993075" cy="870880"/>
        </a:xfrm>
        <a:prstGeom prst="rect">
          <a:avLst/>
        </a:prstGeom>
      </xdr:spPr>
    </xdr:pic>
    <xdr:clientData/>
  </xdr:twoCellAnchor>
  <xdr:twoCellAnchor editAs="oneCell">
    <xdr:from>
      <xdr:col>3</xdr:col>
      <xdr:colOff>11925</xdr:colOff>
      <xdr:row>11</xdr:row>
      <xdr:rowOff>38025</xdr:rowOff>
    </xdr:from>
    <xdr:to>
      <xdr:col>4</xdr:col>
      <xdr:colOff>395400</xdr:colOff>
      <xdr:row>14</xdr:row>
      <xdr:rowOff>194530</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40725" y="2428800"/>
          <a:ext cx="993075" cy="870880"/>
        </a:xfrm>
        <a:prstGeom prst="rect">
          <a:avLst/>
        </a:prstGeom>
      </xdr:spPr>
    </xdr:pic>
    <xdr:clientData/>
  </xdr:twoCellAnchor>
  <xdr:twoCellAnchor editAs="oneCell">
    <xdr:from>
      <xdr:col>0</xdr:col>
      <xdr:colOff>381000</xdr:colOff>
      <xdr:row>11</xdr:row>
      <xdr:rowOff>45150</xdr:rowOff>
    </xdr:from>
    <xdr:to>
      <xdr:col>2</xdr:col>
      <xdr:colOff>154875</xdr:colOff>
      <xdr:row>14</xdr:row>
      <xdr:rowOff>201655</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81000" y="2435925"/>
          <a:ext cx="993075" cy="870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152400</xdr:colOff>
      <xdr:row>1</xdr:row>
      <xdr:rowOff>95250</xdr:rowOff>
    </xdr:from>
    <xdr:to>
      <xdr:col>6</xdr:col>
      <xdr:colOff>114300</xdr:colOff>
      <xdr:row>4</xdr:row>
      <xdr:rowOff>47625</xdr:rowOff>
    </xdr:to>
    <xdr:sp macro="" textlink="">
      <xdr:nvSpPr>
        <xdr:cNvPr id="6145" name="CommandButton1" hidden="1">
          <a:extLst>
            <a:ext uri="{63B3BB69-23CF-44E3-9099-C40C66FF867C}">
              <a14:compatExt xmlns:a14="http://schemas.microsoft.com/office/drawing/2010/main" spid="_x0000_s614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10</xdr:col>
      <xdr:colOff>193389</xdr:colOff>
      <xdr:row>0</xdr:row>
      <xdr:rowOff>61705</xdr:rowOff>
    </xdr:from>
    <xdr:to>
      <xdr:col>13</xdr:col>
      <xdr:colOff>43464</xdr:colOff>
      <xdr:row>5</xdr:row>
      <xdr:rowOff>47174</xdr:rowOff>
    </xdr:to>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22789" y="61705"/>
          <a:ext cx="993075" cy="871294"/>
        </a:xfrm>
        <a:prstGeom prst="rect">
          <a:avLst/>
        </a:prstGeom>
      </xdr:spPr>
    </xdr:pic>
    <xdr:clientData/>
  </xdr:twoCellAnchor>
  <xdr:twoCellAnchor editAs="oneCell">
    <xdr:from>
      <xdr:col>10</xdr:col>
      <xdr:colOff>162414</xdr:colOff>
      <xdr:row>6</xdr:row>
      <xdr:rowOff>66345</xdr:rowOff>
    </xdr:from>
    <xdr:to>
      <xdr:col>13</xdr:col>
      <xdr:colOff>12489</xdr:colOff>
      <xdr:row>10</xdr:row>
      <xdr:rowOff>175225</xdr:rowOff>
    </xdr:to>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91814" y="1190295"/>
          <a:ext cx="993075" cy="870880"/>
        </a:xfrm>
        <a:prstGeom prst="rect">
          <a:avLst/>
        </a:prstGeom>
      </xdr:spPr>
    </xdr:pic>
    <xdr:clientData/>
  </xdr:twoCellAnchor>
  <xdr:twoCellAnchor editAs="oneCell">
    <xdr:from>
      <xdr:col>14</xdr:col>
      <xdr:colOff>102864</xdr:colOff>
      <xdr:row>0</xdr:row>
      <xdr:rowOff>66430</xdr:rowOff>
    </xdr:from>
    <xdr:to>
      <xdr:col>16</xdr:col>
      <xdr:colOff>333939</xdr:colOff>
      <xdr:row>5</xdr:row>
      <xdr:rowOff>51899</xdr:rowOff>
    </xdr:to>
    <xdr:pic>
      <xdr:nvPicPr>
        <xdr:cNvPr id="7" name="Picture 6">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56264" y="66430"/>
          <a:ext cx="993075" cy="871294"/>
        </a:xfrm>
        <a:prstGeom prst="rect">
          <a:avLst/>
        </a:prstGeom>
      </xdr:spPr>
    </xdr:pic>
    <xdr:clientData/>
  </xdr:twoCellAnchor>
  <xdr:twoCellAnchor editAs="oneCell">
    <xdr:from>
      <xdr:col>14</xdr:col>
      <xdr:colOff>71889</xdr:colOff>
      <xdr:row>6</xdr:row>
      <xdr:rowOff>61545</xdr:rowOff>
    </xdr:from>
    <xdr:to>
      <xdr:col>16</xdr:col>
      <xdr:colOff>302964</xdr:colOff>
      <xdr:row>10</xdr:row>
      <xdr:rowOff>170425</xdr:rowOff>
    </xdr:to>
    <xdr:pic>
      <xdr:nvPicPr>
        <xdr:cNvPr id="8" name="Picture 7">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25289" y="1185495"/>
          <a:ext cx="993075" cy="870880"/>
        </a:xfrm>
        <a:prstGeom prst="rect">
          <a:avLst/>
        </a:prstGeom>
      </xdr:spPr>
    </xdr:pic>
    <xdr:clientData/>
  </xdr:twoCellAnchor>
  <xdr:twoCellAnchor editAs="oneCell">
    <xdr:from>
      <xdr:col>14</xdr:col>
      <xdr:colOff>98064</xdr:colOff>
      <xdr:row>12</xdr:row>
      <xdr:rowOff>11520</xdr:rowOff>
    </xdr:from>
    <xdr:to>
      <xdr:col>16</xdr:col>
      <xdr:colOff>329139</xdr:colOff>
      <xdr:row>16</xdr:row>
      <xdr:rowOff>120400</xdr:rowOff>
    </xdr:to>
    <xdr:pic>
      <xdr:nvPicPr>
        <xdr:cNvPr id="9" name="Picture 8">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251464" y="1764120"/>
          <a:ext cx="993075" cy="870880"/>
        </a:xfrm>
        <a:prstGeom prst="rect">
          <a:avLst/>
        </a:prstGeom>
      </xdr:spPr>
    </xdr:pic>
    <xdr:clientData/>
  </xdr:twoCellAnchor>
  <xdr:twoCellAnchor editAs="oneCell">
    <xdr:from>
      <xdr:col>10</xdr:col>
      <xdr:colOff>143289</xdr:colOff>
      <xdr:row>11</xdr:row>
      <xdr:rowOff>190095</xdr:rowOff>
    </xdr:from>
    <xdr:to>
      <xdr:col>12</xdr:col>
      <xdr:colOff>374364</xdr:colOff>
      <xdr:row>16</xdr:row>
      <xdr:rowOff>108475</xdr:rowOff>
    </xdr:to>
    <xdr:pic>
      <xdr:nvPicPr>
        <xdr:cNvPr id="10" name="Picture 9">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772689" y="1752195"/>
          <a:ext cx="993075" cy="870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152400</xdr:colOff>
          <xdr:row>1</xdr:row>
          <xdr:rowOff>95250</xdr:rowOff>
        </xdr:from>
        <xdr:to>
          <xdr:col>5</xdr:col>
          <xdr:colOff>161925</xdr:colOff>
          <xdr:row>1</xdr:row>
          <xdr:rowOff>104775</xdr:rowOff>
        </xdr:to>
        <xdr:sp macro="" textlink="">
          <xdr:nvSpPr>
            <xdr:cNvPr id="2" name="CommandButton1" hidden="1">
              <a:extLst>
                <a:ext uri="{63B3BB69-23CF-44E3-9099-C40C66FF867C}">
                  <a14:compatExt spid="_x0000_s61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50100</xdr:colOff>
      <xdr:row>0</xdr:row>
      <xdr:rowOff>0</xdr:rowOff>
    </xdr:from>
    <xdr:to>
      <xdr:col>2</xdr:col>
      <xdr:colOff>490725</xdr:colOff>
      <xdr:row>4</xdr:row>
      <xdr:rowOff>108880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100" y="0"/>
          <a:ext cx="993075" cy="870880"/>
        </a:xfrm>
        <a:prstGeom prst="rect">
          <a:avLst/>
        </a:prstGeom>
      </xdr:spPr>
    </xdr:pic>
    <xdr:clientData/>
  </xdr:twoCellAnchor>
  <xdr:twoCellAnchor editAs="oneCell">
    <xdr:from>
      <xdr:col>3</xdr:col>
      <xdr:colOff>1362150</xdr:colOff>
      <xdr:row>0</xdr:row>
      <xdr:rowOff>0</xdr:rowOff>
    </xdr:from>
    <xdr:to>
      <xdr:col>3</xdr:col>
      <xdr:colOff>2355225</xdr:colOff>
      <xdr:row>4</xdr:row>
      <xdr:rowOff>108880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05200" y="0"/>
          <a:ext cx="993075" cy="870880"/>
        </a:xfrm>
        <a:prstGeom prst="rect">
          <a:avLst/>
        </a:prstGeom>
      </xdr:spPr>
    </xdr:pic>
    <xdr:clientData/>
  </xdr:twoCellAnchor>
  <xdr:twoCellAnchor editAs="oneCell">
    <xdr:from>
      <xdr:col>2</xdr:col>
      <xdr:colOff>931125</xdr:colOff>
      <xdr:row>0</xdr:row>
      <xdr:rowOff>4725</xdr:rowOff>
    </xdr:from>
    <xdr:to>
      <xdr:col>3</xdr:col>
      <xdr:colOff>838350</xdr:colOff>
      <xdr:row>4</xdr:row>
      <xdr:rowOff>113605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83575" y="4725"/>
          <a:ext cx="993075" cy="870880"/>
        </a:xfrm>
        <a:prstGeom prst="rect">
          <a:avLst/>
        </a:prstGeom>
      </xdr:spPr>
    </xdr:pic>
    <xdr:clientData/>
  </xdr:twoCellAnchor>
  <xdr:twoCellAnchor editAs="oneCell">
    <xdr:from>
      <xdr:col>5</xdr:col>
      <xdr:colOff>271500</xdr:colOff>
      <xdr:row>0</xdr:row>
      <xdr:rowOff>2325</xdr:rowOff>
    </xdr:from>
    <xdr:to>
      <xdr:col>8</xdr:col>
      <xdr:colOff>121575</xdr:colOff>
      <xdr:row>4</xdr:row>
      <xdr:rowOff>111205</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10100" y="2325"/>
          <a:ext cx="993075" cy="870880"/>
        </a:xfrm>
        <a:prstGeom prst="rect">
          <a:avLst/>
        </a:prstGeom>
      </xdr:spPr>
    </xdr:pic>
    <xdr:clientData/>
  </xdr:twoCellAnchor>
  <xdr:twoCellAnchor editAs="oneCell">
    <xdr:from>
      <xdr:col>13</xdr:col>
      <xdr:colOff>316725</xdr:colOff>
      <xdr:row>0</xdr:row>
      <xdr:rowOff>0</xdr:rowOff>
    </xdr:from>
    <xdr:to>
      <xdr:col>16</xdr:col>
      <xdr:colOff>166800</xdr:colOff>
      <xdr:row>4</xdr:row>
      <xdr:rowOff>108880</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012925" y="0"/>
          <a:ext cx="993075" cy="870880"/>
        </a:xfrm>
        <a:prstGeom prst="rect">
          <a:avLst/>
        </a:prstGeom>
      </xdr:spPr>
    </xdr:pic>
    <xdr:clientData/>
  </xdr:twoCellAnchor>
  <xdr:twoCellAnchor editAs="oneCell">
    <xdr:from>
      <xdr:col>9</xdr:col>
      <xdr:colOff>304800</xdr:colOff>
      <xdr:row>0</xdr:row>
      <xdr:rowOff>0</xdr:rowOff>
    </xdr:from>
    <xdr:to>
      <xdr:col>12</xdr:col>
      <xdr:colOff>154875</xdr:colOff>
      <xdr:row>4</xdr:row>
      <xdr:rowOff>108880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477000" y="0"/>
          <a:ext cx="993075" cy="870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E22:P22"/>
  <sheetViews>
    <sheetView showGridLines="0" topLeftCell="C1" zoomScale="115" zoomScaleNormal="115" zoomScaleSheetLayoutView="100" workbookViewId="0">
      <selection activeCell="G23" sqref="G23"/>
    </sheetView>
  </sheetViews>
  <sheetFormatPr defaultRowHeight="15" x14ac:dyDescent="0.25"/>
  <sheetData>
    <row r="22" spans="5:16" x14ac:dyDescent="0.25">
      <c r="E22" s="62" t="s">
        <v>127</v>
      </c>
      <c r="P22" s="61"/>
    </row>
  </sheetData>
  <sheetProtection sheet="1" objects="1" scenarios="1" selectLockedCells="1" selectUnlockedCells="1"/>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G5:J74"/>
  <sheetViews>
    <sheetView showGridLines="0" workbookViewId="0">
      <selection activeCell="D24" sqref="D24"/>
    </sheetView>
  </sheetViews>
  <sheetFormatPr defaultRowHeight="15" x14ac:dyDescent="0.25"/>
  <cols>
    <col min="1" max="5" width="9.140625" style="1"/>
    <col min="6" max="6" width="9" style="1" customWidth="1"/>
    <col min="7" max="7" width="6" style="1" customWidth="1"/>
    <col min="8" max="8" width="23.42578125" style="1" customWidth="1"/>
    <col min="9" max="9" width="48.42578125" style="1" customWidth="1"/>
    <col min="10" max="10" width="24.140625" style="1" customWidth="1"/>
    <col min="11" max="16384" width="9.140625" style="1"/>
  </cols>
  <sheetData>
    <row r="5" spans="7:10" ht="19.5" x14ac:dyDescent="0.3">
      <c r="G5" s="81" t="s">
        <v>2</v>
      </c>
      <c r="H5" s="81"/>
      <c r="I5" s="81"/>
    </row>
    <row r="7" spans="7:10" ht="18.75" customHeight="1" x14ac:dyDescent="0.25">
      <c r="G7" s="2" t="s">
        <v>1</v>
      </c>
      <c r="H7" s="2" t="s">
        <v>37</v>
      </c>
      <c r="I7" s="2" t="s">
        <v>0</v>
      </c>
      <c r="J7" s="2" t="s">
        <v>133</v>
      </c>
    </row>
    <row r="8" spans="7:10" ht="18.75" customHeight="1" x14ac:dyDescent="0.25">
      <c r="G8" s="7">
        <v>1</v>
      </c>
      <c r="H8" s="6">
        <v>1234</v>
      </c>
      <c r="I8" s="63" t="s">
        <v>123</v>
      </c>
      <c r="J8" s="4" t="s">
        <v>128</v>
      </c>
    </row>
    <row r="9" spans="7:10" ht="18.75" customHeight="1" x14ac:dyDescent="0.25">
      <c r="G9" s="7">
        <v>2</v>
      </c>
      <c r="H9" s="6">
        <v>1235</v>
      </c>
      <c r="I9" s="63" t="s">
        <v>147</v>
      </c>
      <c r="J9" s="4" t="s">
        <v>131</v>
      </c>
    </row>
    <row r="10" spans="7:10" ht="18.75" customHeight="1" x14ac:dyDescent="0.25">
      <c r="G10" s="7">
        <v>3</v>
      </c>
      <c r="H10" s="6"/>
      <c r="I10" s="64"/>
      <c r="J10" s="4"/>
    </row>
    <row r="11" spans="7:10" ht="18.75" customHeight="1" x14ac:dyDescent="0.25">
      <c r="G11" s="7">
        <v>4</v>
      </c>
      <c r="H11" s="6"/>
      <c r="I11" s="64"/>
      <c r="J11" s="69"/>
    </row>
    <row r="12" spans="7:10" ht="18.75" customHeight="1" x14ac:dyDescent="0.25">
      <c r="G12" s="7">
        <v>5</v>
      </c>
      <c r="H12" s="6"/>
      <c r="I12" s="64"/>
      <c r="J12" s="69"/>
    </row>
    <row r="13" spans="7:10" ht="18.75" customHeight="1" x14ac:dyDescent="0.25">
      <c r="G13" s="7">
        <v>6</v>
      </c>
      <c r="H13" s="6"/>
      <c r="I13" s="64"/>
      <c r="J13" s="69"/>
    </row>
    <row r="14" spans="7:10" ht="18.75" customHeight="1" x14ac:dyDescent="0.25">
      <c r="G14" s="7">
        <v>7</v>
      </c>
      <c r="H14" s="6"/>
      <c r="I14" s="64"/>
      <c r="J14" s="69"/>
    </row>
    <row r="15" spans="7:10" ht="18.75" customHeight="1" x14ac:dyDescent="0.25">
      <c r="G15" s="7">
        <v>8</v>
      </c>
      <c r="H15" s="6"/>
      <c r="I15" s="64"/>
      <c r="J15" s="69"/>
    </row>
    <row r="16" spans="7:10" ht="18.75" customHeight="1" x14ac:dyDescent="0.25">
      <c r="G16" s="7">
        <v>9</v>
      </c>
      <c r="H16" s="6"/>
      <c r="I16" s="63"/>
      <c r="J16" s="69"/>
    </row>
    <row r="17" spans="7:10" ht="18.75" customHeight="1" x14ac:dyDescent="0.25">
      <c r="G17" s="7">
        <v>10</v>
      </c>
      <c r="H17" s="6"/>
      <c r="I17" s="64"/>
      <c r="J17" s="69"/>
    </row>
    <row r="18" spans="7:10" ht="18.75" customHeight="1" x14ac:dyDescent="0.25">
      <c r="G18" s="7">
        <v>11</v>
      </c>
      <c r="H18" s="6"/>
      <c r="I18" s="63"/>
      <c r="J18" s="69"/>
    </row>
    <row r="19" spans="7:10" ht="18.75" customHeight="1" x14ac:dyDescent="0.25">
      <c r="G19" s="7">
        <v>12</v>
      </c>
      <c r="H19" s="6"/>
      <c r="I19" s="63"/>
      <c r="J19" s="69"/>
    </row>
    <row r="20" spans="7:10" ht="18.75" customHeight="1" x14ac:dyDescent="0.25">
      <c r="G20" s="7">
        <v>13</v>
      </c>
      <c r="H20" s="6"/>
      <c r="I20" s="64"/>
      <c r="J20" s="69"/>
    </row>
    <row r="21" spans="7:10" ht="18.75" customHeight="1" x14ac:dyDescent="0.25">
      <c r="G21" s="7">
        <v>14</v>
      </c>
      <c r="H21" s="6"/>
      <c r="I21" s="64"/>
      <c r="J21" s="69"/>
    </row>
    <row r="22" spans="7:10" ht="18.75" customHeight="1" x14ac:dyDescent="0.25">
      <c r="G22" s="7">
        <v>15</v>
      </c>
      <c r="H22" s="6"/>
      <c r="I22" s="63"/>
      <c r="J22" s="69"/>
    </row>
    <row r="23" spans="7:10" ht="18.75" customHeight="1" x14ac:dyDescent="0.25">
      <c r="G23" s="7">
        <v>16</v>
      </c>
      <c r="H23" s="6"/>
      <c r="I23" s="65"/>
      <c r="J23" s="69"/>
    </row>
    <row r="24" spans="7:10" ht="18.75" customHeight="1" x14ac:dyDescent="0.25">
      <c r="G24" s="7">
        <v>17</v>
      </c>
      <c r="H24" s="6"/>
      <c r="I24" s="64"/>
      <c r="J24" s="69"/>
    </row>
    <row r="25" spans="7:10" ht="18.75" customHeight="1" x14ac:dyDescent="0.25">
      <c r="G25" s="7">
        <v>18</v>
      </c>
      <c r="H25" s="6"/>
      <c r="I25" s="66"/>
      <c r="J25" s="69"/>
    </row>
    <row r="26" spans="7:10" ht="18.75" customHeight="1" x14ac:dyDescent="0.25">
      <c r="G26" s="7">
        <v>19</v>
      </c>
      <c r="H26" s="6"/>
      <c r="I26" s="10"/>
      <c r="J26" s="69"/>
    </row>
    <row r="27" spans="7:10" ht="18.75" customHeight="1" x14ac:dyDescent="0.25">
      <c r="G27" s="7">
        <v>20</v>
      </c>
      <c r="H27" s="6"/>
      <c r="I27" s="10"/>
      <c r="J27" s="69"/>
    </row>
    <row r="28" spans="7:10" ht="18.75" customHeight="1" x14ac:dyDescent="0.25">
      <c r="G28" s="7">
        <v>21</v>
      </c>
      <c r="H28" s="6"/>
      <c r="I28" s="12"/>
      <c r="J28" s="69"/>
    </row>
    <row r="29" spans="7:10" ht="18.75" customHeight="1" x14ac:dyDescent="0.25">
      <c r="G29" s="7">
        <v>22</v>
      </c>
      <c r="H29" s="6"/>
      <c r="I29" s="10"/>
      <c r="J29" s="69"/>
    </row>
    <row r="30" spans="7:10" ht="18.75" customHeight="1" x14ac:dyDescent="0.25">
      <c r="G30" s="7">
        <v>23</v>
      </c>
      <c r="H30" s="6"/>
      <c r="I30" s="69"/>
      <c r="J30" s="69"/>
    </row>
    <row r="31" spans="7:10" ht="18.75" customHeight="1" x14ac:dyDescent="0.25">
      <c r="G31" s="7">
        <v>24</v>
      </c>
      <c r="H31" s="6"/>
      <c r="I31" s="69"/>
      <c r="J31" s="69"/>
    </row>
    <row r="32" spans="7:10" ht="18.75" customHeight="1" x14ac:dyDescent="0.25">
      <c r="G32" s="7">
        <v>25</v>
      </c>
      <c r="H32" s="6"/>
      <c r="I32" s="69"/>
      <c r="J32" s="69"/>
    </row>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sheetData>
  <sheetProtection formatCells="0" formatColumns="0" formatRows="0" insertColumns="0" insertRows="0" insertHyperlinks="0" deleteColumns="0" deleteRows="0" sort="0" autoFilter="0" pivotTables="0"/>
  <mergeCells count="1">
    <mergeCell ref="G5:I5"/>
  </mergeCells>
  <pageMargins left="0.7" right="0.7" top="0.75" bottom="0.75" header="0.3" footer="0.3"/>
  <pageSetup orientation="portrait"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Klik dropdown untuk memilih agama" promptTitle="Petunjuk." prompt="Klik button dropdown untuk memilih agama">
          <x14:formula1>
            <xm:f>'Master Data'!$C$8:$C$12</xm:f>
          </x14:formula1>
          <xm:sqref>J8:J32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39997558519241921"/>
  </sheetPr>
  <dimension ref="G5:H63"/>
  <sheetViews>
    <sheetView showGridLines="0" workbookViewId="0">
      <selection activeCell="J12" sqref="J12"/>
    </sheetView>
  </sheetViews>
  <sheetFormatPr defaultRowHeight="15" x14ac:dyDescent="0.25"/>
  <cols>
    <col min="1" max="5" width="9.140625" style="1"/>
    <col min="6" max="6" width="9" style="1" customWidth="1"/>
    <col min="7" max="7" width="7.42578125" style="1" customWidth="1"/>
    <col min="8" max="8" width="67.28515625" style="1" customWidth="1"/>
    <col min="9" max="16384" width="9.140625" style="1"/>
  </cols>
  <sheetData>
    <row r="5" spans="7:8" ht="19.5" x14ac:dyDescent="0.3">
      <c r="G5" s="81" t="s">
        <v>25</v>
      </c>
      <c r="H5" s="81"/>
    </row>
    <row r="7" spans="7:8" ht="18.75" customHeight="1" x14ac:dyDescent="0.25">
      <c r="G7" s="2" t="s">
        <v>1</v>
      </c>
      <c r="H7" s="2" t="s">
        <v>26</v>
      </c>
    </row>
    <row r="8" spans="7:8" ht="18.75" customHeight="1" x14ac:dyDescent="0.25">
      <c r="G8" s="6">
        <v>1</v>
      </c>
      <c r="H8" s="8" t="s">
        <v>124</v>
      </c>
    </row>
    <row r="9" spans="7:8" ht="18.75" customHeight="1" x14ac:dyDescent="0.25">
      <c r="G9" s="6">
        <v>2</v>
      </c>
      <c r="H9" s="9" t="s">
        <v>60</v>
      </c>
    </row>
    <row r="10" spans="7:8" ht="18.75" customHeight="1" x14ac:dyDescent="0.25">
      <c r="G10" s="6">
        <v>3</v>
      </c>
      <c r="H10" s="10" t="s">
        <v>27</v>
      </c>
    </row>
    <row r="11" spans="7:8" ht="18.75" customHeight="1" x14ac:dyDescent="0.25">
      <c r="G11" s="6">
        <v>4</v>
      </c>
      <c r="H11" s="10" t="s">
        <v>28</v>
      </c>
    </row>
    <row r="12" spans="7:8" ht="18.75" customHeight="1" x14ac:dyDescent="0.25">
      <c r="G12" s="6">
        <v>5</v>
      </c>
      <c r="H12" s="10" t="s">
        <v>29</v>
      </c>
    </row>
    <row r="13" spans="7:8" ht="18.75" customHeight="1" x14ac:dyDescent="0.25">
      <c r="G13" s="6">
        <v>6</v>
      </c>
      <c r="H13" s="10" t="s">
        <v>30</v>
      </c>
    </row>
    <row r="14" spans="7:8" ht="18.75" customHeight="1" x14ac:dyDescent="0.25">
      <c r="G14" s="6">
        <v>7</v>
      </c>
      <c r="H14" s="8" t="s">
        <v>31</v>
      </c>
    </row>
    <row r="15" spans="7:8" ht="18.75" customHeight="1" x14ac:dyDescent="0.25">
      <c r="G15" s="6">
        <v>8</v>
      </c>
      <c r="H15" s="10" t="s">
        <v>134</v>
      </c>
    </row>
    <row r="16" spans="7:8" ht="18.75" customHeight="1" x14ac:dyDescent="0.25">
      <c r="G16" s="6">
        <v>9</v>
      </c>
      <c r="H16" s="8" t="s">
        <v>33</v>
      </c>
    </row>
    <row r="17" spans="7:8" ht="18.75" customHeight="1" x14ac:dyDescent="0.25">
      <c r="G17" s="6">
        <v>10</v>
      </c>
      <c r="H17" s="10" t="s">
        <v>34</v>
      </c>
    </row>
    <row r="18" spans="7:8" ht="18.75" customHeight="1" x14ac:dyDescent="0.25">
      <c r="G18" s="6">
        <v>11</v>
      </c>
      <c r="H18" s="11" t="s">
        <v>100</v>
      </c>
    </row>
    <row r="19" spans="7:8" ht="18.75" customHeight="1" x14ac:dyDescent="0.25"/>
    <row r="20" spans="7:8" ht="18.75" customHeight="1" x14ac:dyDescent="0.25"/>
    <row r="21" spans="7:8" ht="18.75" customHeight="1" x14ac:dyDescent="0.25"/>
    <row r="22" spans="7:8" ht="18.75" customHeight="1" x14ac:dyDescent="0.25"/>
    <row r="23" spans="7:8" ht="18.75" customHeight="1" x14ac:dyDescent="0.25"/>
    <row r="24" spans="7:8" ht="18.75" customHeight="1" x14ac:dyDescent="0.25"/>
    <row r="25" spans="7:8" ht="18.75" customHeight="1" x14ac:dyDescent="0.25"/>
    <row r="26" spans="7:8" ht="18.75" customHeight="1" x14ac:dyDescent="0.25"/>
    <row r="27" spans="7:8" ht="18.75" customHeight="1" x14ac:dyDescent="0.25"/>
    <row r="28" spans="7:8" ht="18.75" customHeight="1" x14ac:dyDescent="0.25"/>
    <row r="29" spans="7:8" ht="18.75" customHeight="1" x14ac:dyDescent="0.25"/>
    <row r="30" spans="7:8" ht="18.75" customHeight="1" x14ac:dyDescent="0.25"/>
    <row r="31" spans="7:8" ht="18.75" customHeight="1" x14ac:dyDescent="0.25"/>
    <row r="32" spans="7:8"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sheetData>
  <sheetProtection sheet="1" objects="1" scenarios="1" selectLockedCells="1" selectUnlockedCells="1"/>
  <mergeCells count="1">
    <mergeCell ref="G5:H5"/>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59999389629810485"/>
  </sheetPr>
  <dimension ref="B3:I17"/>
  <sheetViews>
    <sheetView showGridLines="0" workbookViewId="0">
      <selection activeCell="G18" sqref="G18"/>
    </sheetView>
  </sheetViews>
  <sheetFormatPr defaultRowHeight="15" x14ac:dyDescent="0.25"/>
  <cols>
    <col min="1" max="1" width="2.28515625" customWidth="1"/>
    <col min="2" max="2" width="8.28515625" customWidth="1"/>
    <col min="3" max="3" width="18.28515625" customWidth="1"/>
    <col min="4" max="5" width="5.7109375" customWidth="1"/>
    <col min="6" max="6" width="18" customWidth="1"/>
    <col min="7" max="8" width="5.7109375" customWidth="1"/>
    <col min="9" max="9" width="24" customWidth="1"/>
    <col min="10" max="26" width="5.7109375" customWidth="1"/>
  </cols>
  <sheetData>
    <row r="3" spans="2:9" ht="19.5" x14ac:dyDescent="0.3">
      <c r="B3" s="21" t="s">
        <v>99</v>
      </c>
      <c r="C3" s="20"/>
      <c r="D3" s="20"/>
      <c r="E3" s="20"/>
    </row>
    <row r="5" spans="2:9" ht="5.25" customHeight="1" x14ac:dyDescent="0.25"/>
    <row r="6" spans="2:9" ht="23.25" customHeight="1" x14ac:dyDescent="0.25">
      <c r="B6" s="82" t="s">
        <v>3</v>
      </c>
      <c r="C6" s="82"/>
      <c r="E6" s="82" t="s">
        <v>48</v>
      </c>
      <c r="F6" s="82"/>
      <c r="H6" s="16" t="s">
        <v>50</v>
      </c>
    </row>
    <row r="7" spans="2:9" x14ac:dyDescent="0.25">
      <c r="B7" s="15" t="s">
        <v>46</v>
      </c>
      <c r="C7" s="15" t="s">
        <v>3</v>
      </c>
      <c r="E7" s="15" t="s">
        <v>46</v>
      </c>
      <c r="F7" s="15" t="s">
        <v>49</v>
      </c>
      <c r="H7" s="15" t="s">
        <v>46</v>
      </c>
      <c r="I7" s="15" t="s">
        <v>51</v>
      </c>
    </row>
    <row r="8" spans="2:9" x14ac:dyDescent="0.25">
      <c r="B8" s="3">
        <v>1</v>
      </c>
      <c r="C8" s="4" t="s">
        <v>128</v>
      </c>
      <c r="E8" s="3">
        <v>1</v>
      </c>
      <c r="F8" s="4" t="s">
        <v>121</v>
      </c>
      <c r="H8" s="3">
        <v>1</v>
      </c>
      <c r="I8" s="4" t="s">
        <v>45</v>
      </c>
    </row>
    <row r="9" spans="2:9" x14ac:dyDescent="0.25">
      <c r="B9" s="3">
        <v>2</v>
      </c>
      <c r="C9" s="4" t="s">
        <v>129</v>
      </c>
      <c r="E9" s="3">
        <v>2</v>
      </c>
      <c r="F9" s="4" t="s">
        <v>122</v>
      </c>
      <c r="H9" s="3">
        <v>2</v>
      </c>
      <c r="I9" s="4" t="s">
        <v>52</v>
      </c>
    </row>
    <row r="10" spans="2:9" x14ac:dyDescent="0.25">
      <c r="B10" s="3">
        <v>3</v>
      </c>
      <c r="C10" s="4" t="s">
        <v>130</v>
      </c>
      <c r="H10" s="3">
        <v>3</v>
      </c>
      <c r="I10" s="4" t="s">
        <v>53</v>
      </c>
    </row>
    <row r="11" spans="2:9" x14ac:dyDescent="0.25">
      <c r="B11" s="3">
        <v>4</v>
      </c>
      <c r="C11" s="65" t="s">
        <v>131</v>
      </c>
      <c r="H11" s="3">
        <v>4</v>
      </c>
      <c r="I11" s="4" t="s">
        <v>54</v>
      </c>
    </row>
    <row r="12" spans="2:9" x14ac:dyDescent="0.25">
      <c r="B12" s="3">
        <v>5</v>
      </c>
      <c r="C12" s="65" t="s">
        <v>132</v>
      </c>
      <c r="H12" s="3">
        <v>5</v>
      </c>
      <c r="I12" s="4" t="s">
        <v>55</v>
      </c>
    </row>
    <row r="13" spans="2:9" x14ac:dyDescent="0.25">
      <c r="H13" s="3">
        <v>6</v>
      </c>
      <c r="I13" s="4" t="s">
        <v>56</v>
      </c>
    </row>
    <row r="14" spans="2:9" x14ac:dyDescent="0.25">
      <c r="H14" s="3">
        <v>7</v>
      </c>
      <c r="I14" s="4" t="s">
        <v>57</v>
      </c>
    </row>
    <row r="15" spans="2:9" x14ac:dyDescent="0.25">
      <c r="H15" s="3">
        <v>8</v>
      </c>
      <c r="I15" s="4" t="s">
        <v>58</v>
      </c>
    </row>
    <row r="16" spans="2:9" x14ac:dyDescent="0.25">
      <c r="H16" s="3">
        <v>9</v>
      </c>
      <c r="I16" s="4" t="s">
        <v>59</v>
      </c>
    </row>
    <row r="17" spans="8:9" x14ac:dyDescent="0.25">
      <c r="H17" s="3">
        <v>10</v>
      </c>
      <c r="I17" s="4" t="s">
        <v>118</v>
      </c>
    </row>
  </sheetData>
  <sheetProtection selectLockedCells="1" selectUnlockedCells="1"/>
  <mergeCells count="2">
    <mergeCell ref="B6:C6"/>
    <mergeCell ref="E6:F6"/>
  </mergeCells>
  <pageMargins left="0.7" right="0.7" top="0.75" bottom="0.75" header="0.3" footer="0.3"/>
  <pageSetup orientation="portrait" horizontalDpi="0" verticalDpi="0" r:id="rId1"/>
  <drawing r:id="rId2"/>
  <legacyDrawing r:id="rId3"/>
  <controls>
    <mc:AlternateContent xmlns:mc="http://schemas.openxmlformats.org/markup-compatibility/2006">
      <mc:Choice Requires="x14">
        <control shapeId="2" r:id="rId4" name="CommandButton1">
          <controlPr defaultSize="0" autoLine="0" r:id="rId5">
            <anchor moveWithCells="1">
              <from>
                <xdr:col>5</xdr:col>
                <xdr:colOff>152400</xdr:colOff>
                <xdr:row>1</xdr:row>
                <xdr:rowOff>95250</xdr:rowOff>
              </from>
              <to>
                <xdr:col>5</xdr:col>
                <xdr:colOff>161925</xdr:colOff>
                <xdr:row>1</xdr:row>
                <xdr:rowOff>104775</xdr:rowOff>
              </to>
            </anchor>
          </controlPr>
        </control>
      </mc:Choice>
      <mc:Fallback>
        <control shapeId="6145" r:id="rId4" name="CommandButton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R42"/>
  <sheetViews>
    <sheetView showGridLines="0" topLeftCell="A7" workbookViewId="0">
      <pane xSplit="4" topLeftCell="E1" activePane="topRight" state="frozen"/>
      <selection pane="topRight" activeCell="I23" sqref="I23"/>
    </sheetView>
  </sheetViews>
  <sheetFormatPr defaultRowHeight="15" x14ac:dyDescent="0.25"/>
  <cols>
    <col min="1" max="1" width="2.28515625" customWidth="1"/>
    <col min="2" max="2" width="6" customWidth="1"/>
    <col min="3" max="3" width="16.28515625" customWidth="1"/>
    <col min="4" max="4" width="40.85546875" customWidth="1"/>
    <col min="5" max="26" width="5.7109375" customWidth="1"/>
    <col min="27" max="27" width="41.42578125" customWidth="1"/>
    <col min="28" max="28" width="38.85546875" customWidth="1"/>
    <col min="29" max="29" width="31.140625" customWidth="1"/>
    <col min="30" max="30" width="36.28515625" customWidth="1"/>
    <col min="31" max="31" width="23.28515625" customWidth="1"/>
    <col min="32" max="32" width="38.140625" customWidth="1"/>
    <col min="33" max="33" width="46.85546875" customWidth="1"/>
    <col min="34" max="34" width="10.5703125" bestFit="1" customWidth="1"/>
    <col min="35" max="35" width="11.85546875" bestFit="1" customWidth="1"/>
    <col min="36" max="36" width="27.85546875" customWidth="1"/>
    <col min="37" max="37" width="26.85546875" customWidth="1"/>
    <col min="38" max="38" width="26.42578125" customWidth="1"/>
    <col min="39" max="39" width="26.5703125" customWidth="1"/>
    <col min="40" max="40" width="28.7109375" customWidth="1"/>
    <col min="41" max="41" width="25.5703125" customWidth="1"/>
    <col min="44" max="44" width="9.140625" customWidth="1"/>
  </cols>
  <sheetData>
    <row r="1" spans="1:44" x14ac:dyDescent="0.25">
      <c r="A1" s="1"/>
    </row>
    <row r="7" spans="1:44" ht="30.75" customHeight="1" x14ac:dyDescent="0.25">
      <c r="B7" s="83" t="s">
        <v>16</v>
      </c>
      <c r="C7" s="83"/>
      <c r="D7" s="83"/>
      <c r="E7" s="83"/>
      <c r="F7" s="83"/>
      <c r="G7" s="83"/>
      <c r="H7" s="83"/>
      <c r="I7" s="83"/>
      <c r="J7" s="83"/>
      <c r="K7" s="83"/>
      <c r="L7" s="83"/>
      <c r="M7" s="83"/>
      <c r="N7" s="83"/>
      <c r="O7" s="83"/>
      <c r="P7" s="83"/>
      <c r="Q7" s="83"/>
      <c r="R7" s="83"/>
      <c r="S7" s="83"/>
      <c r="T7" s="83"/>
      <c r="U7" s="83"/>
      <c r="V7" s="83"/>
      <c r="W7" s="83"/>
      <c r="X7" s="83"/>
      <c r="Y7" s="83"/>
      <c r="Z7" s="83"/>
    </row>
    <row r="8" spans="1:44" ht="14.25" customHeight="1" x14ac:dyDescent="0.25">
      <c r="B8" s="14"/>
      <c r="C8" s="14"/>
      <c r="D8" s="14"/>
      <c r="E8" s="14"/>
      <c r="F8" s="14"/>
      <c r="G8" s="14"/>
      <c r="H8" s="14"/>
      <c r="I8" s="14"/>
      <c r="J8" s="14"/>
      <c r="K8" s="14"/>
      <c r="L8" s="14"/>
      <c r="M8" s="14"/>
      <c r="N8" s="14"/>
      <c r="O8" s="14"/>
      <c r="P8" s="14"/>
      <c r="Q8" s="14"/>
      <c r="R8" s="14"/>
      <c r="S8" s="14"/>
      <c r="T8" s="14"/>
      <c r="U8" s="14"/>
      <c r="V8" s="14"/>
      <c r="W8" s="14"/>
      <c r="X8" s="14"/>
      <c r="Y8" s="14"/>
      <c r="Z8" s="14"/>
    </row>
    <row r="9" spans="1:44" ht="15" customHeight="1" x14ac:dyDescent="0.25">
      <c r="B9" s="86" t="s">
        <v>120</v>
      </c>
      <c r="C9" s="86"/>
      <c r="D9" s="27" t="s">
        <v>47</v>
      </c>
      <c r="E9" s="17"/>
      <c r="F9" s="88"/>
      <c r="G9" s="88"/>
      <c r="H9" s="88"/>
      <c r="I9" s="87"/>
      <c r="J9" s="87"/>
      <c r="K9" s="87"/>
      <c r="L9" s="87"/>
      <c r="M9" s="22"/>
      <c r="N9" s="14"/>
      <c r="O9" s="14"/>
      <c r="P9" s="14"/>
      <c r="Q9" s="14"/>
      <c r="R9" s="14"/>
      <c r="S9" s="14"/>
      <c r="T9" s="14"/>
      <c r="U9" s="14"/>
      <c r="V9" s="14"/>
      <c r="W9" s="14"/>
      <c r="X9" s="14"/>
      <c r="Y9" s="14"/>
      <c r="Z9" s="14"/>
    </row>
    <row r="10" spans="1:44" ht="15" customHeight="1" x14ac:dyDescent="0.25">
      <c r="B10" s="86" t="s">
        <v>43</v>
      </c>
      <c r="C10" s="86"/>
      <c r="D10" s="27" t="s">
        <v>86</v>
      </c>
      <c r="E10" s="17"/>
      <c r="F10" s="23"/>
      <c r="G10" s="23"/>
      <c r="H10" s="23"/>
      <c r="I10" s="88"/>
      <c r="J10" s="88"/>
      <c r="K10" s="88"/>
      <c r="L10" s="88"/>
      <c r="M10" s="22"/>
      <c r="N10" s="14"/>
      <c r="O10" s="14"/>
      <c r="P10" s="14"/>
      <c r="Q10" s="14"/>
      <c r="R10" s="14"/>
      <c r="S10" s="14"/>
      <c r="T10" s="14"/>
      <c r="U10" s="14"/>
      <c r="V10" s="14"/>
      <c r="W10" s="14"/>
      <c r="X10" s="14"/>
      <c r="Y10" s="14"/>
      <c r="Z10" s="14"/>
    </row>
    <row r="11" spans="1:44" ht="15" customHeight="1" x14ac:dyDescent="0.25">
      <c r="B11" s="86" t="s">
        <v>44</v>
      </c>
      <c r="C11" s="86"/>
      <c r="D11" s="27" t="s">
        <v>45</v>
      </c>
      <c r="E11" s="14"/>
      <c r="F11" s="14"/>
      <c r="G11" s="14"/>
      <c r="H11" s="14"/>
      <c r="I11" s="14"/>
      <c r="J11" s="14"/>
      <c r="K11" s="14"/>
      <c r="L11" s="14"/>
      <c r="M11" s="14"/>
      <c r="N11" s="14"/>
      <c r="O11" s="14"/>
      <c r="P11" s="14"/>
      <c r="Q11" s="14"/>
      <c r="R11" s="14"/>
      <c r="S11" s="14"/>
      <c r="T11" s="14"/>
      <c r="U11" s="14"/>
      <c r="V11" s="14"/>
      <c r="W11" s="14"/>
      <c r="X11" s="14"/>
      <c r="Y11" s="14"/>
      <c r="Z11" s="14"/>
    </row>
    <row r="12" spans="1:44" ht="15" customHeight="1" x14ac:dyDescent="0.25">
      <c r="B12" s="95" t="s">
        <v>97</v>
      </c>
      <c r="C12" s="96"/>
      <c r="D12" s="28"/>
      <c r="E12" s="18"/>
      <c r="F12" s="18"/>
      <c r="G12" s="18"/>
      <c r="H12" s="18"/>
      <c r="I12" s="18"/>
      <c r="J12" s="18"/>
      <c r="K12" s="18"/>
      <c r="L12" s="18"/>
      <c r="M12" s="18"/>
      <c r="N12" s="18"/>
      <c r="O12" s="18"/>
      <c r="P12" s="18"/>
      <c r="Q12" s="18"/>
      <c r="R12" s="18"/>
      <c r="S12" s="18"/>
      <c r="T12" s="18"/>
      <c r="U12" s="18"/>
      <c r="V12" s="18"/>
      <c r="W12" s="18"/>
      <c r="X12" s="18"/>
      <c r="Y12" s="18"/>
      <c r="Z12" s="18"/>
    </row>
    <row r="13" spans="1:44" ht="15" customHeight="1" x14ac:dyDescent="0.25">
      <c r="B13" s="95" t="s">
        <v>98</v>
      </c>
      <c r="C13" s="96"/>
      <c r="D13" s="67"/>
      <c r="E13" s="18"/>
      <c r="F13" s="18"/>
      <c r="G13" s="18"/>
      <c r="H13" s="18"/>
      <c r="I13" s="18"/>
      <c r="J13" s="18"/>
      <c r="K13" s="18"/>
      <c r="L13" s="18"/>
      <c r="M13" s="18"/>
      <c r="N13" s="18"/>
      <c r="O13" s="18"/>
      <c r="P13" s="18"/>
      <c r="Q13" s="18"/>
      <c r="R13" s="18"/>
      <c r="S13" s="18"/>
      <c r="T13" s="18"/>
      <c r="U13" s="18"/>
      <c r="V13" s="18"/>
      <c r="W13" s="18"/>
      <c r="X13" s="18"/>
      <c r="Y13" s="18"/>
      <c r="Z13" s="18"/>
    </row>
    <row r="14" spans="1:44" ht="15" customHeight="1" x14ac:dyDescent="0.25">
      <c r="B14" s="23"/>
      <c r="C14" s="23"/>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row>
    <row r="15" spans="1:44" ht="12.75" customHeight="1" x14ac:dyDescent="0.25">
      <c r="B15" s="89" t="s">
        <v>1</v>
      </c>
      <c r="C15" s="89" t="s">
        <v>37</v>
      </c>
      <c r="D15" s="89" t="s">
        <v>0</v>
      </c>
      <c r="E15" s="92" t="s">
        <v>67</v>
      </c>
      <c r="F15" s="93"/>
      <c r="G15" s="93"/>
      <c r="H15" s="93"/>
      <c r="I15" s="93"/>
      <c r="J15" s="93"/>
      <c r="K15" s="93"/>
      <c r="L15" s="93"/>
      <c r="M15" s="93"/>
      <c r="N15" s="93"/>
      <c r="O15" s="93"/>
      <c r="P15" s="93"/>
      <c r="Q15" s="93"/>
      <c r="R15" s="93"/>
      <c r="S15" s="93"/>
      <c r="T15" s="93"/>
      <c r="U15" s="93"/>
      <c r="V15" s="93"/>
      <c r="W15" s="93"/>
      <c r="X15" s="93"/>
      <c r="Y15" s="93"/>
      <c r="Z15" s="94"/>
      <c r="AA15" s="92" t="s">
        <v>63</v>
      </c>
      <c r="AB15" s="94"/>
      <c r="AC15" s="92" t="s">
        <v>89</v>
      </c>
      <c r="AD15" s="93"/>
      <c r="AE15" s="93"/>
      <c r="AF15" s="94"/>
      <c r="AG15" s="103" t="s">
        <v>87</v>
      </c>
      <c r="AH15" s="92" t="s">
        <v>108</v>
      </c>
      <c r="AI15" s="94"/>
      <c r="AJ15" s="92" t="s">
        <v>90</v>
      </c>
      <c r="AK15" s="94"/>
      <c r="AL15" s="92" t="s">
        <v>115</v>
      </c>
      <c r="AM15" s="94"/>
      <c r="AN15" s="92" t="s">
        <v>116</v>
      </c>
      <c r="AO15" s="94"/>
      <c r="AP15" s="106" t="s">
        <v>77</v>
      </c>
      <c r="AQ15" s="106"/>
      <c r="AR15" s="106"/>
    </row>
    <row r="16" spans="1:44" x14ac:dyDescent="0.25">
      <c r="B16" s="90"/>
      <c r="C16" s="90"/>
      <c r="D16" s="90"/>
      <c r="E16" s="84" t="s">
        <v>3</v>
      </c>
      <c r="F16" s="84"/>
      <c r="G16" s="85" t="s">
        <v>4</v>
      </c>
      <c r="H16" s="85"/>
      <c r="I16" s="84" t="s">
        <v>5</v>
      </c>
      <c r="J16" s="84"/>
      <c r="K16" s="84" t="s">
        <v>6</v>
      </c>
      <c r="L16" s="84"/>
      <c r="M16" s="84" t="s">
        <v>7</v>
      </c>
      <c r="N16" s="84"/>
      <c r="O16" s="84" t="s">
        <v>8</v>
      </c>
      <c r="P16" s="84"/>
      <c r="Q16" s="84" t="s">
        <v>9</v>
      </c>
      <c r="R16" s="84"/>
      <c r="S16" s="84" t="s">
        <v>10</v>
      </c>
      <c r="T16" s="84"/>
      <c r="U16" s="84" t="s">
        <v>11</v>
      </c>
      <c r="V16" s="84"/>
      <c r="W16" s="84" t="s">
        <v>12</v>
      </c>
      <c r="X16" s="84"/>
      <c r="Y16" s="84" t="s">
        <v>13</v>
      </c>
      <c r="Z16" s="84"/>
      <c r="AA16" s="99" t="s">
        <v>101</v>
      </c>
      <c r="AB16" s="99" t="s">
        <v>102</v>
      </c>
      <c r="AC16" s="101" t="s">
        <v>103</v>
      </c>
      <c r="AD16" s="102"/>
      <c r="AE16" s="101" t="s">
        <v>104</v>
      </c>
      <c r="AF16" s="102"/>
      <c r="AG16" s="104"/>
      <c r="AH16" s="99" t="s">
        <v>107</v>
      </c>
      <c r="AI16" s="99" t="s">
        <v>119</v>
      </c>
      <c r="AJ16" s="99" t="s">
        <v>113</v>
      </c>
      <c r="AK16" s="99" t="s">
        <v>114</v>
      </c>
      <c r="AL16" s="97" t="s">
        <v>109</v>
      </c>
      <c r="AM16" s="99" t="s">
        <v>106</v>
      </c>
      <c r="AN16" s="97" t="s">
        <v>109</v>
      </c>
      <c r="AO16" s="99" t="s">
        <v>106</v>
      </c>
      <c r="AP16" s="85" t="s">
        <v>110</v>
      </c>
      <c r="AQ16" s="85" t="s">
        <v>111</v>
      </c>
      <c r="AR16" s="107" t="s">
        <v>112</v>
      </c>
    </row>
    <row r="17" spans="2:44" x14ac:dyDescent="0.25">
      <c r="B17" s="91"/>
      <c r="C17" s="91"/>
      <c r="D17" s="91"/>
      <c r="E17" s="13" t="s">
        <v>14</v>
      </c>
      <c r="F17" s="5" t="s">
        <v>15</v>
      </c>
      <c r="G17" s="13" t="s">
        <v>14</v>
      </c>
      <c r="H17" s="5" t="s">
        <v>15</v>
      </c>
      <c r="I17" s="13" t="s">
        <v>14</v>
      </c>
      <c r="J17" s="5" t="s">
        <v>15</v>
      </c>
      <c r="K17" s="13" t="s">
        <v>14</v>
      </c>
      <c r="L17" s="5" t="s">
        <v>15</v>
      </c>
      <c r="M17" s="13" t="s">
        <v>14</v>
      </c>
      <c r="N17" s="5" t="s">
        <v>15</v>
      </c>
      <c r="O17" s="13" t="s">
        <v>14</v>
      </c>
      <c r="P17" s="5" t="s">
        <v>15</v>
      </c>
      <c r="Q17" s="13" t="s">
        <v>14</v>
      </c>
      <c r="R17" s="5" t="s">
        <v>15</v>
      </c>
      <c r="S17" s="13" t="s">
        <v>14</v>
      </c>
      <c r="T17" s="5" t="s">
        <v>15</v>
      </c>
      <c r="U17" s="13" t="s">
        <v>14</v>
      </c>
      <c r="V17" s="5" t="s">
        <v>15</v>
      </c>
      <c r="W17" s="13" t="s">
        <v>14</v>
      </c>
      <c r="X17" s="5" t="s">
        <v>15</v>
      </c>
      <c r="Y17" s="13" t="s">
        <v>14</v>
      </c>
      <c r="Z17" s="5" t="s">
        <v>15</v>
      </c>
      <c r="AA17" s="100"/>
      <c r="AB17" s="100"/>
      <c r="AC17" s="19" t="s">
        <v>105</v>
      </c>
      <c r="AD17" s="19" t="s">
        <v>106</v>
      </c>
      <c r="AE17" s="19" t="s">
        <v>105</v>
      </c>
      <c r="AF17" s="19" t="s">
        <v>106</v>
      </c>
      <c r="AG17" s="105"/>
      <c r="AH17" s="100"/>
      <c r="AI17" s="100"/>
      <c r="AJ17" s="100"/>
      <c r="AK17" s="100"/>
      <c r="AL17" s="98"/>
      <c r="AM17" s="100"/>
      <c r="AN17" s="98"/>
      <c r="AO17" s="100"/>
      <c r="AP17" s="85"/>
      <c r="AQ17" s="85"/>
      <c r="AR17" s="107"/>
    </row>
    <row r="18" spans="2:44" ht="26.25" customHeight="1" x14ac:dyDescent="0.25">
      <c r="B18" s="3">
        <v>1</v>
      </c>
      <c r="C18" s="3">
        <f>'Master Student'!H8</f>
        <v>1234</v>
      </c>
      <c r="D18" s="57" t="str">
        <f>IFERROR(VLOOKUP(C18,'Master Student'!H8:I29,2,FALSE),"Data Siswa di Student Master Masih Kosong")</f>
        <v>Lexy</v>
      </c>
      <c r="E18" s="25">
        <v>90</v>
      </c>
      <c r="F18" s="26">
        <v>90</v>
      </c>
      <c r="G18" s="25">
        <v>90</v>
      </c>
      <c r="H18" s="26">
        <v>90</v>
      </c>
      <c r="I18" s="25">
        <v>90</v>
      </c>
      <c r="J18" s="26">
        <v>90</v>
      </c>
      <c r="K18" s="25">
        <v>90</v>
      </c>
      <c r="L18" s="26">
        <v>90</v>
      </c>
      <c r="M18" s="25">
        <v>90</v>
      </c>
      <c r="N18" s="26">
        <v>90</v>
      </c>
      <c r="O18" s="25">
        <v>90</v>
      </c>
      <c r="P18" s="26">
        <v>90</v>
      </c>
      <c r="Q18" s="25">
        <v>90</v>
      </c>
      <c r="R18" s="26">
        <v>90</v>
      </c>
      <c r="S18" s="25">
        <v>90</v>
      </c>
      <c r="T18" s="26">
        <v>90</v>
      </c>
      <c r="U18" s="25">
        <v>90</v>
      </c>
      <c r="V18" s="26">
        <v>90</v>
      </c>
      <c r="W18" s="25">
        <v>90</v>
      </c>
      <c r="X18" s="26">
        <v>90</v>
      </c>
      <c r="Y18" s="25">
        <v>90</v>
      </c>
      <c r="Z18" s="26">
        <v>90</v>
      </c>
      <c r="AA18" s="56" t="s">
        <v>148</v>
      </c>
      <c r="AB18" s="56" t="s">
        <v>149</v>
      </c>
      <c r="AC18" s="56"/>
      <c r="AD18" s="56"/>
      <c r="AE18" s="56"/>
      <c r="AF18" s="56"/>
      <c r="AG18" s="56"/>
      <c r="AH18" s="56"/>
      <c r="AI18" s="56"/>
      <c r="AJ18" s="56"/>
      <c r="AK18" s="56"/>
      <c r="AL18" s="56"/>
      <c r="AM18" s="56"/>
      <c r="AN18" s="56"/>
      <c r="AO18" s="56"/>
      <c r="AP18" s="56"/>
      <c r="AQ18" s="56"/>
      <c r="AR18" s="56"/>
    </row>
    <row r="19" spans="2:44" ht="26.25" customHeight="1" x14ac:dyDescent="0.25">
      <c r="B19" s="3">
        <v>2</v>
      </c>
      <c r="C19" s="3">
        <f>'Master Student'!H9</f>
        <v>1235</v>
      </c>
      <c r="D19" s="57" t="str">
        <f>IFERROR(VLOOKUP(C19,'Master Student'!H9:I30,2,FALSE),"Data Siswa di Student Master Masih Kosong")</f>
        <v>Rifqy</v>
      </c>
      <c r="E19" s="25">
        <v>90</v>
      </c>
      <c r="F19" s="26">
        <v>90</v>
      </c>
      <c r="G19" s="25">
        <v>90</v>
      </c>
      <c r="H19" s="26">
        <v>90</v>
      </c>
      <c r="I19" s="25">
        <v>90</v>
      </c>
      <c r="J19" s="26">
        <v>90</v>
      </c>
      <c r="K19" s="25">
        <v>90</v>
      </c>
      <c r="L19" s="26">
        <v>90</v>
      </c>
      <c r="M19" s="25">
        <v>90</v>
      </c>
      <c r="N19" s="26">
        <v>90</v>
      </c>
      <c r="O19" s="25">
        <v>90</v>
      </c>
      <c r="P19" s="26">
        <v>90</v>
      </c>
      <c r="Q19" s="25">
        <v>90</v>
      </c>
      <c r="R19" s="26">
        <v>90</v>
      </c>
      <c r="S19" s="25">
        <v>90</v>
      </c>
      <c r="T19" s="26">
        <v>90</v>
      </c>
      <c r="U19" s="25">
        <v>90</v>
      </c>
      <c r="V19" s="26">
        <v>90</v>
      </c>
      <c r="W19" s="25">
        <v>90</v>
      </c>
      <c r="X19" s="26">
        <v>90</v>
      </c>
      <c r="Y19" s="25">
        <v>90</v>
      </c>
      <c r="Z19" s="26">
        <v>90</v>
      </c>
      <c r="AA19" s="56" t="s">
        <v>148</v>
      </c>
      <c r="AB19" s="56" t="s">
        <v>149</v>
      </c>
      <c r="AC19" s="56"/>
      <c r="AD19" s="56"/>
      <c r="AE19" s="56"/>
      <c r="AF19" s="56"/>
      <c r="AG19" s="56"/>
      <c r="AH19" s="56"/>
      <c r="AI19" s="56"/>
      <c r="AJ19" s="56"/>
      <c r="AK19" s="56"/>
      <c r="AL19" s="56"/>
      <c r="AM19" s="56"/>
      <c r="AN19" s="56"/>
      <c r="AO19" s="56"/>
      <c r="AP19" s="56"/>
      <c r="AQ19" s="56"/>
      <c r="AR19" s="56"/>
    </row>
    <row r="20" spans="2:44" ht="26.25" customHeight="1" x14ac:dyDescent="0.25">
      <c r="B20" s="3">
        <v>3</v>
      </c>
      <c r="C20" s="3">
        <f>'Master Student'!H10</f>
        <v>0</v>
      </c>
      <c r="D20" s="57" t="str">
        <f>IFERROR(VLOOKUP(C20,'Master Student'!H10:I31,2,FALSE),"Data Siswa di Student Master Masih Kosong")</f>
        <v>Data Siswa di Student Master Masih Kosong</v>
      </c>
      <c r="E20" s="25">
        <v>90</v>
      </c>
      <c r="F20" s="26">
        <v>90</v>
      </c>
      <c r="G20" s="25">
        <v>90</v>
      </c>
      <c r="H20" s="26">
        <v>90</v>
      </c>
      <c r="I20" s="25">
        <v>90</v>
      </c>
      <c r="J20" s="26">
        <v>90</v>
      </c>
      <c r="K20" s="25">
        <v>90</v>
      </c>
      <c r="L20" s="26">
        <v>90</v>
      </c>
      <c r="M20" s="25">
        <v>90</v>
      </c>
      <c r="N20" s="26">
        <v>90</v>
      </c>
      <c r="O20" s="25">
        <v>90</v>
      </c>
      <c r="P20" s="26">
        <v>90</v>
      </c>
      <c r="Q20" s="25">
        <v>90</v>
      </c>
      <c r="R20" s="26">
        <v>90</v>
      </c>
      <c r="S20" s="25">
        <v>90</v>
      </c>
      <c r="T20" s="26">
        <v>90</v>
      </c>
      <c r="U20" s="25">
        <v>90</v>
      </c>
      <c r="V20" s="26">
        <v>90</v>
      </c>
      <c r="W20" s="25">
        <v>90</v>
      </c>
      <c r="X20" s="26">
        <v>90</v>
      </c>
      <c r="Y20" s="25">
        <v>90</v>
      </c>
      <c r="Z20" s="26">
        <v>90</v>
      </c>
      <c r="AA20" s="56" t="s">
        <v>148</v>
      </c>
      <c r="AB20" s="56" t="s">
        <v>149</v>
      </c>
      <c r="AC20" s="56"/>
      <c r="AD20" s="56"/>
      <c r="AE20" s="56"/>
      <c r="AF20" s="56"/>
      <c r="AG20" s="56"/>
      <c r="AH20" s="56"/>
      <c r="AI20" s="56"/>
      <c r="AJ20" s="56"/>
      <c r="AK20" s="56"/>
      <c r="AL20" s="56"/>
      <c r="AM20" s="56"/>
      <c r="AN20" s="56"/>
      <c r="AO20" s="56"/>
      <c r="AP20" s="56"/>
      <c r="AQ20" s="56"/>
      <c r="AR20" s="56"/>
    </row>
    <row r="21" spans="2:44" ht="26.25" customHeight="1" x14ac:dyDescent="0.25">
      <c r="B21" s="3">
        <v>4</v>
      </c>
      <c r="C21" s="3">
        <f>'Master Student'!H11</f>
        <v>0</v>
      </c>
      <c r="D21" s="57" t="str">
        <f>IFERROR(VLOOKUP(C21,'Master Student'!H11:I32,2,FALSE),"Data Siswa di Student Master Masih Kosong")</f>
        <v>Data Siswa di Student Master Masih Kosong</v>
      </c>
      <c r="E21" s="25">
        <v>90</v>
      </c>
      <c r="F21" s="26">
        <v>90</v>
      </c>
      <c r="G21" s="25">
        <v>90</v>
      </c>
      <c r="H21" s="26">
        <v>90</v>
      </c>
      <c r="I21" s="25">
        <v>90</v>
      </c>
      <c r="J21" s="26">
        <v>90</v>
      </c>
      <c r="K21" s="25">
        <v>90</v>
      </c>
      <c r="L21" s="26">
        <v>90</v>
      </c>
      <c r="M21" s="25">
        <v>90</v>
      </c>
      <c r="N21" s="26">
        <v>90</v>
      </c>
      <c r="O21" s="25">
        <v>90</v>
      </c>
      <c r="P21" s="26">
        <v>90</v>
      </c>
      <c r="Q21" s="25">
        <v>90</v>
      </c>
      <c r="R21" s="26">
        <v>90</v>
      </c>
      <c r="S21" s="25">
        <v>90</v>
      </c>
      <c r="T21" s="26">
        <v>90</v>
      </c>
      <c r="U21" s="25">
        <v>90</v>
      </c>
      <c r="V21" s="26">
        <v>90</v>
      </c>
      <c r="W21" s="25">
        <v>90</v>
      </c>
      <c r="X21" s="26">
        <v>90</v>
      </c>
      <c r="Y21" s="25">
        <v>90</v>
      </c>
      <c r="Z21" s="26">
        <v>90</v>
      </c>
      <c r="AA21" s="56" t="s">
        <v>148</v>
      </c>
      <c r="AB21" s="56" t="s">
        <v>149</v>
      </c>
      <c r="AC21" s="56"/>
      <c r="AD21" s="56"/>
      <c r="AE21" s="56"/>
      <c r="AF21" s="56"/>
      <c r="AG21" s="56"/>
      <c r="AH21" s="56"/>
      <c r="AI21" s="56"/>
      <c r="AJ21" s="56"/>
      <c r="AK21" s="56"/>
      <c r="AL21" s="56"/>
      <c r="AM21" s="56"/>
      <c r="AN21" s="56"/>
      <c r="AO21" s="56"/>
      <c r="AP21" s="56"/>
      <c r="AQ21" s="56"/>
      <c r="AR21" s="56"/>
    </row>
    <row r="22" spans="2:44" ht="26.25" customHeight="1" x14ac:dyDescent="0.25">
      <c r="B22" s="3">
        <v>5</v>
      </c>
      <c r="C22" s="3">
        <f>'Master Student'!H12</f>
        <v>0</v>
      </c>
      <c r="D22" s="57" t="str">
        <f>IFERROR(VLOOKUP(C22,'Master Student'!H12:I33,2,FALSE),"Data Siswa di Student Master Masih Kosong")</f>
        <v>Data Siswa di Student Master Masih Kosong</v>
      </c>
      <c r="E22" s="25">
        <v>90</v>
      </c>
      <c r="F22" s="26">
        <v>90</v>
      </c>
      <c r="G22" s="25">
        <v>90</v>
      </c>
      <c r="H22" s="26">
        <v>90</v>
      </c>
      <c r="I22" s="25">
        <v>90</v>
      </c>
      <c r="J22" s="26">
        <v>90</v>
      </c>
      <c r="K22" s="25">
        <v>90</v>
      </c>
      <c r="L22" s="26">
        <v>90</v>
      </c>
      <c r="M22" s="25">
        <v>90</v>
      </c>
      <c r="N22" s="26">
        <v>90</v>
      </c>
      <c r="O22" s="25">
        <v>90</v>
      </c>
      <c r="P22" s="26">
        <v>90</v>
      </c>
      <c r="Q22" s="25">
        <v>90</v>
      </c>
      <c r="R22" s="26">
        <v>90</v>
      </c>
      <c r="S22" s="25">
        <v>90</v>
      </c>
      <c r="T22" s="26">
        <v>90</v>
      </c>
      <c r="U22" s="25">
        <v>90</v>
      </c>
      <c r="V22" s="26">
        <v>90</v>
      </c>
      <c r="W22" s="25">
        <v>90</v>
      </c>
      <c r="X22" s="26">
        <v>90</v>
      </c>
      <c r="Y22" s="25">
        <v>90</v>
      </c>
      <c r="Z22" s="26">
        <v>90</v>
      </c>
      <c r="AA22" s="56" t="s">
        <v>148</v>
      </c>
      <c r="AB22" s="56" t="s">
        <v>149</v>
      </c>
      <c r="AC22" s="56"/>
      <c r="AD22" s="56"/>
      <c r="AE22" s="56"/>
      <c r="AF22" s="56"/>
      <c r="AG22" s="56"/>
      <c r="AH22" s="56"/>
      <c r="AI22" s="56"/>
      <c r="AJ22" s="56"/>
      <c r="AK22" s="56"/>
      <c r="AL22" s="56"/>
      <c r="AM22" s="56"/>
      <c r="AN22" s="56"/>
      <c r="AO22" s="56"/>
      <c r="AP22" s="56"/>
      <c r="AQ22" s="56"/>
      <c r="AR22" s="56"/>
    </row>
    <row r="23" spans="2:44" ht="26.25" customHeight="1" x14ac:dyDescent="0.25">
      <c r="B23" s="3">
        <v>6</v>
      </c>
      <c r="C23" s="3">
        <f>'Master Student'!H13</f>
        <v>0</v>
      </c>
      <c r="D23" s="57" t="str">
        <f>IFERROR(VLOOKUP(C23,'Master Student'!H13:I34,2,FALSE),"Data Siswa di Student Master Masih Kosong")</f>
        <v>Data Siswa di Student Master Masih Kosong</v>
      </c>
      <c r="E23" s="25">
        <v>90</v>
      </c>
      <c r="F23" s="26">
        <v>90</v>
      </c>
      <c r="G23" s="25">
        <v>90</v>
      </c>
      <c r="H23" s="26">
        <v>90</v>
      </c>
      <c r="I23" s="25">
        <v>90</v>
      </c>
      <c r="J23" s="26">
        <v>90</v>
      </c>
      <c r="K23" s="25">
        <v>90</v>
      </c>
      <c r="L23" s="26">
        <v>90</v>
      </c>
      <c r="M23" s="25">
        <v>90</v>
      </c>
      <c r="N23" s="26">
        <v>90</v>
      </c>
      <c r="O23" s="25">
        <v>90</v>
      </c>
      <c r="P23" s="26">
        <v>90</v>
      </c>
      <c r="Q23" s="25">
        <v>90</v>
      </c>
      <c r="R23" s="26">
        <v>90</v>
      </c>
      <c r="S23" s="25">
        <v>90</v>
      </c>
      <c r="T23" s="26">
        <v>90</v>
      </c>
      <c r="U23" s="25">
        <v>90</v>
      </c>
      <c r="V23" s="26">
        <v>90</v>
      </c>
      <c r="W23" s="25">
        <v>90</v>
      </c>
      <c r="X23" s="26">
        <v>90</v>
      </c>
      <c r="Y23" s="25">
        <v>90</v>
      </c>
      <c r="Z23" s="26">
        <v>90</v>
      </c>
      <c r="AA23" s="56" t="s">
        <v>148</v>
      </c>
      <c r="AB23" s="56" t="s">
        <v>149</v>
      </c>
      <c r="AC23" s="56"/>
      <c r="AD23" s="56"/>
      <c r="AE23" s="56"/>
      <c r="AF23" s="56"/>
      <c r="AG23" s="56"/>
      <c r="AH23" s="56"/>
      <c r="AI23" s="56"/>
      <c r="AJ23" s="56"/>
      <c r="AK23" s="56"/>
      <c r="AL23" s="56"/>
      <c r="AM23" s="56"/>
      <c r="AN23" s="56"/>
      <c r="AO23" s="56"/>
      <c r="AP23" s="56"/>
      <c r="AQ23" s="56"/>
      <c r="AR23" s="56"/>
    </row>
    <row r="24" spans="2:44" ht="26.25" customHeight="1" x14ac:dyDescent="0.25">
      <c r="B24" s="3">
        <v>7</v>
      </c>
      <c r="C24" s="3">
        <f>'Master Student'!H14</f>
        <v>0</v>
      </c>
      <c r="D24" s="57" t="str">
        <f>IFERROR(VLOOKUP(C24,'Master Student'!H14:I35,2,FALSE),"Data Siswa di Student Master Masih Kosong")</f>
        <v>Data Siswa di Student Master Masih Kosong</v>
      </c>
      <c r="E24" s="25">
        <v>90</v>
      </c>
      <c r="F24" s="26">
        <v>90</v>
      </c>
      <c r="G24" s="25">
        <v>90</v>
      </c>
      <c r="H24" s="26">
        <v>90</v>
      </c>
      <c r="I24" s="25">
        <v>90</v>
      </c>
      <c r="J24" s="26">
        <v>90</v>
      </c>
      <c r="K24" s="25">
        <v>90</v>
      </c>
      <c r="L24" s="26">
        <v>90</v>
      </c>
      <c r="M24" s="25">
        <v>90</v>
      </c>
      <c r="N24" s="26">
        <v>90</v>
      </c>
      <c r="O24" s="25">
        <v>90</v>
      </c>
      <c r="P24" s="26">
        <v>90</v>
      </c>
      <c r="Q24" s="25">
        <v>90</v>
      </c>
      <c r="R24" s="26">
        <v>90</v>
      </c>
      <c r="S24" s="25">
        <v>90</v>
      </c>
      <c r="T24" s="26">
        <v>90</v>
      </c>
      <c r="U24" s="25">
        <v>90</v>
      </c>
      <c r="V24" s="26">
        <v>90</v>
      </c>
      <c r="W24" s="25">
        <v>90</v>
      </c>
      <c r="X24" s="26">
        <v>90</v>
      </c>
      <c r="Y24" s="25">
        <v>90</v>
      </c>
      <c r="Z24" s="26">
        <v>90</v>
      </c>
      <c r="AA24" s="56" t="s">
        <v>148</v>
      </c>
      <c r="AB24" s="56" t="s">
        <v>149</v>
      </c>
      <c r="AC24" s="56"/>
      <c r="AD24" s="56"/>
      <c r="AE24" s="56"/>
      <c r="AF24" s="56"/>
      <c r="AG24" s="56"/>
      <c r="AH24" s="56"/>
      <c r="AI24" s="56"/>
      <c r="AJ24" s="56"/>
      <c r="AK24" s="56"/>
      <c r="AL24" s="56"/>
      <c r="AM24" s="56"/>
      <c r="AN24" s="56"/>
      <c r="AO24" s="56"/>
      <c r="AP24" s="56"/>
      <c r="AQ24" s="56"/>
      <c r="AR24" s="56"/>
    </row>
    <row r="25" spans="2:44" ht="26.25" customHeight="1" x14ac:dyDescent="0.25">
      <c r="B25" s="3">
        <v>8</v>
      </c>
      <c r="C25" s="3">
        <f>'Master Student'!H15</f>
        <v>0</v>
      </c>
      <c r="D25" s="57" t="str">
        <f>IFERROR(VLOOKUP(C25,'Master Student'!H15:I36,2,FALSE),"Data Siswa di Student Master Masih Kosong")</f>
        <v>Data Siswa di Student Master Masih Kosong</v>
      </c>
      <c r="E25" s="25">
        <v>90</v>
      </c>
      <c r="F25" s="26">
        <v>90</v>
      </c>
      <c r="G25" s="25">
        <v>90</v>
      </c>
      <c r="H25" s="26">
        <v>90</v>
      </c>
      <c r="I25" s="25">
        <v>90</v>
      </c>
      <c r="J25" s="26">
        <v>90</v>
      </c>
      <c r="K25" s="25">
        <v>90</v>
      </c>
      <c r="L25" s="26">
        <v>90</v>
      </c>
      <c r="M25" s="25">
        <v>90</v>
      </c>
      <c r="N25" s="26">
        <v>90</v>
      </c>
      <c r="O25" s="25">
        <v>90</v>
      </c>
      <c r="P25" s="26">
        <v>90</v>
      </c>
      <c r="Q25" s="25">
        <v>90</v>
      </c>
      <c r="R25" s="26">
        <v>90</v>
      </c>
      <c r="S25" s="25">
        <v>90</v>
      </c>
      <c r="T25" s="26">
        <v>90</v>
      </c>
      <c r="U25" s="25">
        <v>90</v>
      </c>
      <c r="V25" s="26">
        <v>90</v>
      </c>
      <c r="W25" s="25">
        <v>90</v>
      </c>
      <c r="X25" s="26">
        <v>90</v>
      </c>
      <c r="Y25" s="25">
        <v>90</v>
      </c>
      <c r="Z25" s="26">
        <v>90</v>
      </c>
      <c r="AA25" s="56" t="s">
        <v>148</v>
      </c>
      <c r="AB25" s="56" t="s">
        <v>149</v>
      </c>
      <c r="AC25" s="56"/>
      <c r="AD25" s="56"/>
      <c r="AE25" s="56"/>
      <c r="AF25" s="56"/>
      <c r="AG25" s="56"/>
      <c r="AH25" s="56"/>
      <c r="AI25" s="56"/>
      <c r="AJ25" s="56"/>
      <c r="AK25" s="56"/>
      <c r="AL25" s="56"/>
      <c r="AM25" s="56"/>
      <c r="AN25" s="56"/>
      <c r="AO25" s="56"/>
      <c r="AP25" s="56"/>
      <c r="AQ25" s="56"/>
      <c r="AR25" s="56"/>
    </row>
    <row r="26" spans="2:44" ht="26.25" customHeight="1" x14ac:dyDescent="0.25">
      <c r="B26" s="3">
        <v>9</v>
      </c>
      <c r="C26" s="3">
        <f>'Master Student'!H16</f>
        <v>0</v>
      </c>
      <c r="D26" s="57" t="str">
        <f>IFERROR(VLOOKUP(C26,'Master Student'!H16:I37,2,FALSE),"Data Siswa di Student Master Masih Kosong")</f>
        <v>Data Siswa di Student Master Masih Kosong</v>
      </c>
      <c r="E26" s="25">
        <v>90</v>
      </c>
      <c r="F26" s="26">
        <v>90</v>
      </c>
      <c r="G26" s="25">
        <v>90</v>
      </c>
      <c r="H26" s="26">
        <v>90</v>
      </c>
      <c r="I26" s="25">
        <v>90</v>
      </c>
      <c r="J26" s="26">
        <v>90</v>
      </c>
      <c r="K26" s="25">
        <v>90</v>
      </c>
      <c r="L26" s="26">
        <v>90</v>
      </c>
      <c r="M26" s="25">
        <v>90</v>
      </c>
      <c r="N26" s="26">
        <v>90</v>
      </c>
      <c r="O26" s="25">
        <v>90</v>
      </c>
      <c r="P26" s="26">
        <v>90</v>
      </c>
      <c r="Q26" s="25">
        <v>90</v>
      </c>
      <c r="R26" s="26">
        <v>90</v>
      </c>
      <c r="S26" s="25">
        <v>90</v>
      </c>
      <c r="T26" s="26">
        <v>90</v>
      </c>
      <c r="U26" s="25">
        <v>90</v>
      </c>
      <c r="V26" s="26">
        <v>90</v>
      </c>
      <c r="W26" s="25">
        <v>90</v>
      </c>
      <c r="X26" s="26">
        <v>90</v>
      </c>
      <c r="Y26" s="25">
        <v>90</v>
      </c>
      <c r="Z26" s="26">
        <v>90</v>
      </c>
      <c r="AA26" s="56" t="s">
        <v>148</v>
      </c>
      <c r="AB26" s="56" t="s">
        <v>149</v>
      </c>
      <c r="AC26" s="56"/>
      <c r="AD26" s="56"/>
      <c r="AE26" s="56"/>
      <c r="AF26" s="56"/>
      <c r="AG26" s="56"/>
      <c r="AH26" s="56"/>
      <c r="AI26" s="56"/>
      <c r="AJ26" s="56"/>
      <c r="AK26" s="56"/>
      <c r="AL26" s="56"/>
      <c r="AM26" s="56"/>
      <c r="AN26" s="56"/>
      <c r="AO26" s="56"/>
      <c r="AP26" s="56"/>
      <c r="AQ26" s="56"/>
      <c r="AR26" s="56"/>
    </row>
    <row r="27" spans="2:44" ht="26.25" customHeight="1" x14ac:dyDescent="0.25">
      <c r="B27" s="3">
        <v>10</v>
      </c>
      <c r="C27" s="3">
        <f>'Master Student'!H17</f>
        <v>0</v>
      </c>
      <c r="D27" s="57" t="str">
        <f>IFERROR(VLOOKUP(C27,'Master Student'!H17:I38,2,FALSE),"Data Siswa di Student Master Masih Kosong")</f>
        <v>Data Siswa di Student Master Masih Kosong</v>
      </c>
      <c r="E27" s="25">
        <v>90</v>
      </c>
      <c r="F27" s="26">
        <v>90</v>
      </c>
      <c r="G27" s="25">
        <v>90</v>
      </c>
      <c r="H27" s="26">
        <v>90</v>
      </c>
      <c r="I27" s="25">
        <v>90</v>
      </c>
      <c r="J27" s="26">
        <v>90</v>
      </c>
      <c r="K27" s="25">
        <v>90</v>
      </c>
      <c r="L27" s="26">
        <v>90</v>
      </c>
      <c r="M27" s="25">
        <v>90</v>
      </c>
      <c r="N27" s="26">
        <v>90</v>
      </c>
      <c r="O27" s="25">
        <v>90</v>
      </c>
      <c r="P27" s="26">
        <v>90</v>
      </c>
      <c r="Q27" s="25">
        <v>90</v>
      </c>
      <c r="R27" s="26">
        <v>90</v>
      </c>
      <c r="S27" s="25">
        <v>90</v>
      </c>
      <c r="T27" s="26">
        <v>90</v>
      </c>
      <c r="U27" s="25">
        <v>90</v>
      </c>
      <c r="V27" s="26">
        <v>90</v>
      </c>
      <c r="W27" s="25">
        <v>90</v>
      </c>
      <c r="X27" s="26">
        <v>90</v>
      </c>
      <c r="Y27" s="25">
        <v>90</v>
      </c>
      <c r="Z27" s="26">
        <v>90</v>
      </c>
      <c r="AA27" s="56" t="s">
        <v>148</v>
      </c>
      <c r="AB27" s="56" t="s">
        <v>149</v>
      </c>
      <c r="AC27" s="56"/>
      <c r="AD27" s="56"/>
      <c r="AE27" s="56"/>
      <c r="AF27" s="56"/>
      <c r="AG27" s="56"/>
      <c r="AH27" s="56"/>
      <c r="AI27" s="56"/>
      <c r="AJ27" s="56"/>
      <c r="AK27" s="56"/>
      <c r="AL27" s="56"/>
      <c r="AM27" s="56"/>
      <c r="AN27" s="56"/>
      <c r="AO27" s="56"/>
      <c r="AP27" s="56"/>
      <c r="AQ27" s="56"/>
      <c r="AR27" s="56"/>
    </row>
    <row r="28" spans="2:44" ht="26.25" customHeight="1" x14ac:dyDescent="0.25">
      <c r="B28" s="3">
        <v>11</v>
      </c>
      <c r="C28" s="3">
        <f>'Master Student'!H18</f>
        <v>0</v>
      </c>
      <c r="D28" s="57" t="str">
        <f>IFERROR(VLOOKUP(C28,'Master Student'!H18:I39,2,FALSE),"Data Siswa di Student Master Masih Kosong")</f>
        <v>Data Siswa di Student Master Masih Kosong</v>
      </c>
      <c r="E28" s="25">
        <v>90</v>
      </c>
      <c r="F28" s="26">
        <v>90</v>
      </c>
      <c r="G28" s="25">
        <v>90</v>
      </c>
      <c r="H28" s="26">
        <v>90</v>
      </c>
      <c r="I28" s="25">
        <v>90</v>
      </c>
      <c r="J28" s="26">
        <v>90</v>
      </c>
      <c r="K28" s="25">
        <v>90</v>
      </c>
      <c r="L28" s="26">
        <v>90</v>
      </c>
      <c r="M28" s="25">
        <v>90</v>
      </c>
      <c r="N28" s="26">
        <v>90</v>
      </c>
      <c r="O28" s="25">
        <v>90</v>
      </c>
      <c r="P28" s="26">
        <v>90</v>
      </c>
      <c r="Q28" s="25">
        <v>90</v>
      </c>
      <c r="R28" s="26">
        <v>90</v>
      </c>
      <c r="S28" s="25">
        <v>90</v>
      </c>
      <c r="T28" s="26">
        <v>90</v>
      </c>
      <c r="U28" s="25">
        <v>90</v>
      </c>
      <c r="V28" s="26">
        <v>90</v>
      </c>
      <c r="W28" s="25">
        <v>90</v>
      </c>
      <c r="X28" s="26">
        <v>90</v>
      </c>
      <c r="Y28" s="25">
        <v>90</v>
      </c>
      <c r="Z28" s="26">
        <v>90</v>
      </c>
      <c r="AA28" s="56" t="s">
        <v>148</v>
      </c>
      <c r="AB28" s="56" t="s">
        <v>149</v>
      </c>
      <c r="AC28" s="56"/>
      <c r="AD28" s="56"/>
      <c r="AE28" s="56"/>
      <c r="AF28" s="56"/>
      <c r="AG28" s="56"/>
      <c r="AH28" s="56"/>
      <c r="AI28" s="56"/>
      <c r="AJ28" s="56"/>
      <c r="AK28" s="56"/>
      <c r="AL28" s="56"/>
      <c r="AM28" s="56"/>
      <c r="AN28" s="56"/>
      <c r="AO28" s="56"/>
      <c r="AP28" s="56"/>
      <c r="AQ28" s="56"/>
      <c r="AR28" s="56"/>
    </row>
    <row r="29" spans="2:44" ht="26.25" customHeight="1" x14ac:dyDescent="0.25">
      <c r="B29" s="3">
        <v>12</v>
      </c>
      <c r="C29" s="3">
        <f>'Master Student'!H19</f>
        <v>0</v>
      </c>
      <c r="D29" s="57" t="str">
        <f>IFERROR(VLOOKUP(C29,'Master Student'!H19:I40,2,FALSE),"Data Siswa di Student Master Masih Kosong")</f>
        <v>Data Siswa di Student Master Masih Kosong</v>
      </c>
      <c r="E29" s="25">
        <v>90</v>
      </c>
      <c r="F29" s="26">
        <v>90</v>
      </c>
      <c r="G29" s="25">
        <v>90</v>
      </c>
      <c r="H29" s="26">
        <v>90</v>
      </c>
      <c r="I29" s="25">
        <v>90</v>
      </c>
      <c r="J29" s="26">
        <v>90</v>
      </c>
      <c r="K29" s="25">
        <v>90</v>
      </c>
      <c r="L29" s="26">
        <v>90</v>
      </c>
      <c r="M29" s="25">
        <v>90</v>
      </c>
      <c r="N29" s="26">
        <v>90</v>
      </c>
      <c r="O29" s="25">
        <v>90</v>
      </c>
      <c r="P29" s="26">
        <v>90</v>
      </c>
      <c r="Q29" s="25">
        <v>90</v>
      </c>
      <c r="R29" s="26">
        <v>90</v>
      </c>
      <c r="S29" s="25">
        <v>90</v>
      </c>
      <c r="T29" s="26">
        <v>90</v>
      </c>
      <c r="U29" s="25">
        <v>90</v>
      </c>
      <c r="V29" s="26">
        <v>90</v>
      </c>
      <c r="W29" s="25">
        <v>90</v>
      </c>
      <c r="X29" s="26">
        <v>90</v>
      </c>
      <c r="Y29" s="25">
        <v>90</v>
      </c>
      <c r="Z29" s="26">
        <v>90</v>
      </c>
      <c r="AA29" s="56" t="s">
        <v>148</v>
      </c>
      <c r="AB29" s="56" t="s">
        <v>149</v>
      </c>
      <c r="AC29" s="56"/>
      <c r="AD29" s="56"/>
      <c r="AE29" s="56"/>
      <c r="AF29" s="56"/>
      <c r="AG29" s="56"/>
      <c r="AH29" s="56"/>
      <c r="AI29" s="56"/>
      <c r="AJ29" s="56"/>
      <c r="AK29" s="56"/>
      <c r="AL29" s="56"/>
      <c r="AM29" s="56"/>
      <c r="AN29" s="56"/>
      <c r="AO29" s="56"/>
      <c r="AP29" s="56"/>
      <c r="AQ29" s="56"/>
      <c r="AR29" s="56"/>
    </row>
    <row r="30" spans="2:44" ht="26.25" customHeight="1" x14ac:dyDescent="0.25">
      <c r="B30" s="3">
        <v>13</v>
      </c>
      <c r="C30" s="3">
        <f>'Master Student'!H20</f>
        <v>0</v>
      </c>
      <c r="D30" s="57" t="str">
        <f>IFERROR(VLOOKUP(C30,'Master Student'!H20:I41,2,FALSE),"Data Siswa di Student Master Masih Kosong")</f>
        <v>Data Siswa di Student Master Masih Kosong</v>
      </c>
      <c r="E30" s="25">
        <v>90</v>
      </c>
      <c r="F30" s="26">
        <v>90</v>
      </c>
      <c r="G30" s="25">
        <v>90</v>
      </c>
      <c r="H30" s="26">
        <v>90</v>
      </c>
      <c r="I30" s="25">
        <v>90</v>
      </c>
      <c r="J30" s="26">
        <v>90</v>
      </c>
      <c r="K30" s="25">
        <v>90</v>
      </c>
      <c r="L30" s="26">
        <v>90</v>
      </c>
      <c r="M30" s="25">
        <v>90</v>
      </c>
      <c r="N30" s="26">
        <v>90</v>
      </c>
      <c r="O30" s="25">
        <v>90</v>
      </c>
      <c r="P30" s="26">
        <v>90</v>
      </c>
      <c r="Q30" s="25">
        <v>90</v>
      </c>
      <c r="R30" s="26">
        <v>90</v>
      </c>
      <c r="S30" s="25">
        <v>90</v>
      </c>
      <c r="T30" s="26">
        <v>90</v>
      </c>
      <c r="U30" s="25">
        <v>90</v>
      </c>
      <c r="V30" s="26">
        <v>90</v>
      </c>
      <c r="W30" s="25">
        <v>90</v>
      </c>
      <c r="X30" s="26">
        <v>90</v>
      </c>
      <c r="Y30" s="25">
        <v>90</v>
      </c>
      <c r="Z30" s="26">
        <v>90</v>
      </c>
      <c r="AA30" s="56" t="s">
        <v>148</v>
      </c>
      <c r="AB30" s="56" t="s">
        <v>149</v>
      </c>
      <c r="AC30" s="56"/>
      <c r="AD30" s="56"/>
      <c r="AE30" s="56"/>
      <c r="AF30" s="56"/>
      <c r="AG30" s="56"/>
      <c r="AH30" s="56"/>
      <c r="AI30" s="56"/>
      <c r="AJ30" s="56"/>
      <c r="AK30" s="56"/>
      <c r="AL30" s="56"/>
      <c r="AM30" s="56"/>
      <c r="AN30" s="56"/>
      <c r="AO30" s="56"/>
      <c r="AP30" s="56"/>
      <c r="AQ30" s="56"/>
      <c r="AR30" s="56"/>
    </row>
    <row r="31" spans="2:44" ht="26.25" customHeight="1" x14ac:dyDescent="0.25">
      <c r="B31" s="3">
        <v>14</v>
      </c>
      <c r="C31" s="3">
        <f>'Master Student'!H21</f>
        <v>0</v>
      </c>
      <c r="D31" s="57" t="str">
        <f>IFERROR(VLOOKUP(C31,'Master Student'!H21:I42,2,FALSE),"Data Siswa di Student Master Masih Kosong")</f>
        <v>Data Siswa di Student Master Masih Kosong</v>
      </c>
      <c r="E31" s="25">
        <v>90</v>
      </c>
      <c r="F31" s="26">
        <v>90</v>
      </c>
      <c r="G31" s="25">
        <v>90</v>
      </c>
      <c r="H31" s="26">
        <v>90</v>
      </c>
      <c r="I31" s="25">
        <v>90</v>
      </c>
      <c r="J31" s="26">
        <v>90</v>
      </c>
      <c r="K31" s="25">
        <v>90</v>
      </c>
      <c r="L31" s="26">
        <v>90</v>
      </c>
      <c r="M31" s="25">
        <v>90</v>
      </c>
      <c r="N31" s="26">
        <v>90</v>
      </c>
      <c r="O31" s="25">
        <v>90</v>
      </c>
      <c r="P31" s="26">
        <v>90</v>
      </c>
      <c r="Q31" s="25">
        <v>90</v>
      </c>
      <c r="R31" s="26">
        <v>90</v>
      </c>
      <c r="S31" s="25">
        <v>90</v>
      </c>
      <c r="T31" s="26">
        <v>90</v>
      </c>
      <c r="U31" s="25">
        <v>90</v>
      </c>
      <c r="V31" s="26">
        <v>90</v>
      </c>
      <c r="W31" s="25">
        <v>90</v>
      </c>
      <c r="X31" s="26">
        <v>90</v>
      </c>
      <c r="Y31" s="25">
        <v>90</v>
      </c>
      <c r="Z31" s="26">
        <v>90</v>
      </c>
      <c r="AA31" s="56" t="s">
        <v>148</v>
      </c>
      <c r="AB31" s="56" t="s">
        <v>149</v>
      </c>
      <c r="AC31" s="56"/>
      <c r="AD31" s="56"/>
      <c r="AE31" s="56"/>
      <c r="AF31" s="56"/>
      <c r="AG31" s="56"/>
      <c r="AH31" s="56"/>
      <c r="AI31" s="56"/>
      <c r="AJ31" s="56"/>
      <c r="AK31" s="56"/>
      <c r="AL31" s="56"/>
      <c r="AM31" s="56"/>
      <c r="AN31" s="56"/>
      <c r="AO31" s="56"/>
      <c r="AP31" s="56"/>
      <c r="AQ31" s="56"/>
      <c r="AR31" s="56"/>
    </row>
    <row r="32" spans="2:44" ht="26.25" customHeight="1" x14ac:dyDescent="0.25">
      <c r="B32" s="3">
        <v>15</v>
      </c>
      <c r="C32" s="3">
        <f>'Master Student'!H22</f>
        <v>0</v>
      </c>
      <c r="D32" s="57" t="str">
        <f>IFERROR(VLOOKUP(C32,'Master Student'!H22:I43,2,FALSE),"Data Siswa di Student Master Masih Kosong")</f>
        <v>Data Siswa di Student Master Masih Kosong</v>
      </c>
      <c r="E32" s="25">
        <v>90</v>
      </c>
      <c r="F32" s="26">
        <v>90</v>
      </c>
      <c r="G32" s="25">
        <v>90</v>
      </c>
      <c r="H32" s="26">
        <v>90</v>
      </c>
      <c r="I32" s="25">
        <v>90</v>
      </c>
      <c r="J32" s="26">
        <v>90</v>
      </c>
      <c r="K32" s="25">
        <v>90</v>
      </c>
      <c r="L32" s="26">
        <v>90</v>
      </c>
      <c r="M32" s="25">
        <v>90</v>
      </c>
      <c r="N32" s="26">
        <v>90</v>
      </c>
      <c r="O32" s="25">
        <v>90</v>
      </c>
      <c r="P32" s="26">
        <v>90</v>
      </c>
      <c r="Q32" s="25">
        <v>90</v>
      </c>
      <c r="R32" s="26">
        <v>90</v>
      </c>
      <c r="S32" s="25">
        <v>90</v>
      </c>
      <c r="T32" s="26">
        <v>90</v>
      </c>
      <c r="U32" s="25">
        <v>90</v>
      </c>
      <c r="V32" s="26">
        <v>90</v>
      </c>
      <c r="W32" s="25">
        <v>90</v>
      </c>
      <c r="X32" s="26">
        <v>90</v>
      </c>
      <c r="Y32" s="25">
        <v>90</v>
      </c>
      <c r="Z32" s="26">
        <v>90</v>
      </c>
      <c r="AA32" s="56" t="s">
        <v>148</v>
      </c>
      <c r="AB32" s="56" t="s">
        <v>149</v>
      </c>
      <c r="AC32" s="56"/>
      <c r="AD32" s="56"/>
      <c r="AE32" s="56"/>
      <c r="AF32" s="56"/>
      <c r="AG32" s="56"/>
      <c r="AH32" s="56"/>
      <c r="AI32" s="56"/>
      <c r="AJ32" s="56"/>
      <c r="AK32" s="56"/>
      <c r="AL32" s="56"/>
      <c r="AM32" s="56"/>
      <c r="AN32" s="56"/>
      <c r="AO32" s="56"/>
      <c r="AP32" s="56"/>
      <c r="AQ32" s="56"/>
      <c r="AR32" s="56"/>
    </row>
    <row r="33" spans="2:44" ht="26.25" customHeight="1" x14ac:dyDescent="0.25">
      <c r="B33" s="3">
        <v>16</v>
      </c>
      <c r="C33" s="3">
        <f>'Master Student'!H23</f>
        <v>0</v>
      </c>
      <c r="D33" s="57" t="str">
        <f>IFERROR(VLOOKUP(C33,'Master Student'!H23:I44,2,FALSE),"Data Siswa di Student Master Masih Kosong")</f>
        <v>Data Siswa di Student Master Masih Kosong</v>
      </c>
      <c r="E33" s="25">
        <v>90</v>
      </c>
      <c r="F33" s="26">
        <v>90</v>
      </c>
      <c r="G33" s="25">
        <v>90</v>
      </c>
      <c r="H33" s="26">
        <v>90</v>
      </c>
      <c r="I33" s="25">
        <v>90</v>
      </c>
      <c r="J33" s="26">
        <v>90</v>
      </c>
      <c r="K33" s="25">
        <v>90</v>
      </c>
      <c r="L33" s="26">
        <v>90</v>
      </c>
      <c r="M33" s="25">
        <v>90</v>
      </c>
      <c r="N33" s="26">
        <v>90</v>
      </c>
      <c r="O33" s="25">
        <v>90</v>
      </c>
      <c r="P33" s="26">
        <v>90</v>
      </c>
      <c r="Q33" s="25">
        <v>90</v>
      </c>
      <c r="R33" s="26">
        <v>90</v>
      </c>
      <c r="S33" s="25">
        <v>90</v>
      </c>
      <c r="T33" s="26">
        <v>90</v>
      </c>
      <c r="U33" s="25">
        <v>90</v>
      </c>
      <c r="V33" s="26">
        <v>90</v>
      </c>
      <c r="W33" s="25">
        <v>90</v>
      </c>
      <c r="X33" s="26">
        <v>90</v>
      </c>
      <c r="Y33" s="25">
        <v>90</v>
      </c>
      <c r="Z33" s="26">
        <v>90</v>
      </c>
      <c r="AA33" s="56" t="s">
        <v>148</v>
      </c>
      <c r="AB33" s="56" t="s">
        <v>149</v>
      </c>
      <c r="AC33" s="56"/>
      <c r="AD33" s="56"/>
      <c r="AE33" s="56"/>
      <c r="AF33" s="56"/>
      <c r="AG33" s="56"/>
      <c r="AH33" s="56"/>
      <c r="AI33" s="56"/>
      <c r="AJ33" s="56"/>
      <c r="AK33" s="56"/>
      <c r="AL33" s="56"/>
      <c r="AM33" s="56"/>
      <c r="AN33" s="56"/>
      <c r="AO33" s="56"/>
      <c r="AP33" s="56"/>
      <c r="AQ33" s="56"/>
      <c r="AR33" s="56"/>
    </row>
    <row r="34" spans="2:44" ht="26.25" customHeight="1" x14ac:dyDescent="0.25">
      <c r="B34" s="3">
        <v>17</v>
      </c>
      <c r="C34" s="3">
        <f>'Master Student'!H24</f>
        <v>0</v>
      </c>
      <c r="D34" s="57" t="str">
        <f>IFERROR(VLOOKUP(C34,'Master Student'!H24:I45,2,FALSE),"Data Siswa di Student Master Masih Kosong")</f>
        <v>Data Siswa di Student Master Masih Kosong</v>
      </c>
      <c r="E34" s="25">
        <v>90</v>
      </c>
      <c r="F34" s="26">
        <v>90</v>
      </c>
      <c r="G34" s="25">
        <v>90</v>
      </c>
      <c r="H34" s="26">
        <v>90</v>
      </c>
      <c r="I34" s="25">
        <v>90</v>
      </c>
      <c r="J34" s="26">
        <v>90</v>
      </c>
      <c r="K34" s="25">
        <v>90</v>
      </c>
      <c r="L34" s="26">
        <v>90</v>
      </c>
      <c r="M34" s="25">
        <v>90</v>
      </c>
      <c r="N34" s="26">
        <v>90</v>
      </c>
      <c r="O34" s="25">
        <v>90</v>
      </c>
      <c r="P34" s="26">
        <v>90</v>
      </c>
      <c r="Q34" s="25">
        <v>90</v>
      </c>
      <c r="R34" s="26">
        <v>90</v>
      </c>
      <c r="S34" s="25">
        <v>90</v>
      </c>
      <c r="T34" s="26">
        <v>90</v>
      </c>
      <c r="U34" s="25">
        <v>90</v>
      </c>
      <c r="V34" s="26">
        <v>90</v>
      </c>
      <c r="W34" s="25">
        <v>90</v>
      </c>
      <c r="X34" s="26">
        <v>90</v>
      </c>
      <c r="Y34" s="25">
        <v>90</v>
      </c>
      <c r="Z34" s="26">
        <v>90</v>
      </c>
      <c r="AA34" s="56" t="s">
        <v>148</v>
      </c>
      <c r="AB34" s="56" t="s">
        <v>149</v>
      </c>
      <c r="AC34" s="56"/>
      <c r="AD34" s="56"/>
      <c r="AE34" s="56"/>
      <c r="AF34" s="56"/>
      <c r="AG34" s="56"/>
      <c r="AH34" s="56"/>
      <c r="AI34" s="56"/>
      <c r="AJ34" s="56"/>
      <c r="AK34" s="56"/>
      <c r="AL34" s="56"/>
      <c r="AM34" s="56"/>
      <c r="AN34" s="56"/>
      <c r="AO34" s="56"/>
      <c r="AP34" s="56"/>
      <c r="AQ34" s="56"/>
      <c r="AR34" s="56"/>
    </row>
    <row r="35" spans="2:44" ht="26.25" customHeight="1" x14ac:dyDescent="0.25">
      <c r="B35" s="3">
        <v>18</v>
      </c>
      <c r="C35" s="3">
        <f>'Master Student'!H25</f>
        <v>0</v>
      </c>
      <c r="D35" s="57" t="str">
        <f>IFERROR(VLOOKUP(C35,'Master Student'!H25:I46,2,FALSE),"Data Siswa di Student Master Masih Kosong")</f>
        <v>Data Siswa di Student Master Masih Kosong</v>
      </c>
      <c r="E35" s="25">
        <v>90</v>
      </c>
      <c r="F35" s="26">
        <v>90</v>
      </c>
      <c r="G35" s="25">
        <v>90</v>
      </c>
      <c r="H35" s="26">
        <v>90</v>
      </c>
      <c r="I35" s="25">
        <v>90</v>
      </c>
      <c r="J35" s="26">
        <v>90</v>
      </c>
      <c r="K35" s="25">
        <v>90</v>
      </c>
      <c r="L35" s="26">
        <v>90</v>
      </c>
      <c r="M35" s="25">
        <v>90</v>
      </c>
      <c r="N35" s="26">
        <v>90</v>
      </c>
      <c r="O35" s="25">
        <v>90</v>
      </c>
      <c r="P35" s="26">
        <v>90</v>
      </c>
      <c r="Q35" s="25">
        <v>90</v>
      </c>
      <c r="R35" s="26">
        <v>90</v>
      </c>
      <c r="S35" s="25">
        <v>90</v>
      </c>
      <c r="T35" s="26">
        <v>90</v>
      </c>
      <c r="U35" s="25">
        <v>90</v>
      </c>
      <c r="V35" s="26">
        <v>90</v>
      </c>
      <c r="W35" s="25">
        <v>90</v>
      </c>
      <c r="X35" s="26">
        <v>90</v>
      </c>
      <c r="Y35" s="25">
        <v>90</v>
      </c>
      <c r="Z35" s="26">
        <v>90</v>
      </c>
      <c r="AA35" s="56" t="s">
        <v>148</v>
      </c>
      <c r="AB35" s="56" t="s">
        <v>149</v>
      </c>
      <c r="AC35" s="56"/>
      <c r="AD35" s="56"/>
      <c r="AE35" s="56"/>
      <c r="AF35" s="56"/>
      <c r="AG35" s="56"/>
      <c r="AH35" s="56"/>
      <c r="AI35" s="56"/>
      <c r="AJ35" s="56"/>
      <c r="AK35" s="56"/>
      <c r="AL35" s="56"/>
      <c r="AM35" s="56"/>
      <c r="AN35" s="56"/>
      <c r="AO35" s="56"/>
      <c r="AP35" s="56"/>
      <c r="AQ35" s="56"/>
      <c r="AR35" s="56"/>
    </row>
    <row r="36" spans="2:44" ht="26.25" customHeight="1" x14ac:dyDescent="0.25">
      <c r="B36" s="3">
        <v>19</v>
      </c>
      <c r="C36" s="3">
        <f>'Master Student'!H26</f>
        <v>0</v>
      </c>
      <c r="D36" s="57" t="str">
        <f>IFERROR(VLOOKUP(C36,'Master Student'!H26:I47,2,FALSE),"Data Siswa di Student Master Masih Kosong")</f>
        <v>Data Siswa di Student Master Masih Kosong</v>
      </c>
      <c r="E36" s="25">
        <v>90</v>
      </c>
      <c r="F36" s="26">
        <v>90</v>
      </c>
      <c r="G36" s="25">
        <v>90</v>
      </c>
      <c r="H36" s="26">
        <v>90</v>
      </c>
      <c r="I36" s="25">
        <v>90</v>
      </c>
      <c r="J36" s="26">
        <v>90</v>
      </c>
      <c r="K36" s="25">
        <v>90</v>
      </c>
      <c r="L36" s="26">
        <v>90</v>
      </c>
      <c r="M36" s="25">
        <v>90</v>
      </c>
      <c r="N36" s="26">
        <v>90</v>
      </c>
      <c r="O36" s="25">
        <v>90</v>
      </c>
      <c r="P36" s="26">
        <v>90</v>
      </c>
      <c r="Q36" s="25">
        <v>90</v>
      </c>
      <c r="R36" s="26">
        <v>90</v>
      </c>
      <c r="S36" s="25">
        <v>90</v>
      </c>
      <c r="T36" s="26">
        <v>90</v>
      </c>
      <c r="U36" s="25">
        <v>90</v>
      </c>
      <c r="V36" s="26">
        <v>90</v>
      </c>
      <c r="W36" s="25">
        <v>90</v>
      </c>
      <c r="X36" s="26">
        <v>90</v>
      </c>
      <c r="Y36" s="25">
        <v>90</v>
      </c>
      <c r="Z36" s="26">
        <v>90</v>
      </c>
      <c r="AA36" s="56" t="s">
        <v>148</v>
      </c>
      <c r="AB36" s="56" t="s">
        <v>149</v>
      </c>
      <c r="AC36" s="56"/>
      <c r="AD36" s="56"/>
      <c r="AE36" s="56"/>
      <c r="AF36" s="56"/>
      <c r="AG36" s="56"/>
      <c r="AH36" s="56"/>
      <c r="AI36" s="56"/>
      <c r="AJ36" s="56"/>
      <c r="AK36" s="56"/>
      <c r="AL36" s="56"/>
      <c r="AM36" s="56"/>
      <c r="AN36" s="56"/>
      <c r="AO36" s="56"/>
      <c r="AP36" s="56"/>
      <c r="AQ36" s="56"/>
      <c r="AR36" s="56"/>
    </row>
    <row r="37" spans="2:44" ht="26.25" customHeight="1" x14ac:dyDescent="0.25">
      <c r="B37" s="3">
        <v>20</v>
      </c>
      <c r="C37" s="3">
        <f>'Master Student'!H27</f>
        <v>0</v>
      </c>
      <c r="D37" s="57" t="str">
        <f>IFERROR(VLOOKUP(C37,'Master Student'!H27:I48,2,FALSE),"Data Siswa di Student Master Masih Kosong")</f>
        <v>Data Siswa di Student Master Masih Kosong</v>
      </c>
      <c r="E37" s="25">
        <v>90</v>
      </c>
      <c r="F37" s="26">
        <v>90</v>
      </c>
      <c r="G37" s="25">
        <v>90</v>
      </c>
      <c r="H37" s="26">
        <v>90</v>
      </c>
      <c r="I37" s="25">
        <v>90</v>
      </c>
      <c r="J37" s="26">
        <v>90</v>
      </c>
      <c r="K37" s="25">
        <v>90</v>
      </c>
      <c r="L37" s="26">
        <v>90</v>
      </c>
      <c r="M37" s="25">
        <v>90</v>
      </c>
      <c r="N37" s="26">
        <v>90</v>
      </c>
      <c r="O37" s="25">
        <v>90</v>
      </c>
      <c r="P37" s="26">
        <v>90</v>
      </c>
      <c r="Q37" s="25">
        <v>90</v>
      </c>
      <c r="R37" s="26">
        <v>90</v>
      </c>
      <c r="S37" s="25">
        <v>90</v>
      </c>
      <c r="T37" s="26">
        <v>90</v>
      </c>
      <c r="U37" s="25">
        <v>90</v>
      </c>
      <c r="V37" s="26">
        <v>90</v>
      </c>
      <c r="W37" s="25">
        <v>90</v>
      </c>
      <c r="X37" s="26">
        <v>90</v>
      </c>
      <c r="Y37" s="25">
        <v>90</v>
      </c>
      <c r="Z37" s="26">
        <v>90</v>
      </c>
      <c r="AA37" s="56" t="s">
        <v>148</v>
      </c>
      <c r="AB37" s="56" t="s">
        <v>149</v>
      </c>
      <c r="AC37" s="56"/>
      <c r="AD37" s="56"/>
      <c r="AE37" s="56"/>
      <c r="AF37" s="56"/>
      <c r="AG37" s="56"/>
      <c r="AH37" s="56"/>
      <c r="AI37" s="56"/>
      <c r="AJ37" s="56"/>
      <c r="AK37" s="56"/>
      <c r="AL37" s="56"/>
      <c r="AM37" s="56"/>
      <c r="AN37" s="56"/>
      <c r="AO37" s="56"/>
      <c r="AP37" s="56"/>
      <c r="AQ37" s="56"/>
      <c r="AR37" s="56"/>
    </row>
    <row r="38" spans="2:44" ht="26.25" customHeight="1" x14ac:dyDescent="0.25">
      <c r="B38" s="3">
        <v>21</v>
      </c>
      <c r="C38" s="3">
        <f>'Master Student'!H28</f>
        <v>0</v>
      </c>
      <c r="D38" s="57" t="str">
        <f>IFERROR(VLOOKUP(C38,'Master Student'!H28:I49,2,FALSE),"Data Siswa di Student Master Masih Kosong")</f>
        <v>Data Siswa di Student Master Masih Kosong</v>
      </c>
      <c r="E38" s="25">
        <v>90</v>
      </c>
      <c r="F38" s="26">
        <v>90</v>
      </c>
      <c r="G38" s="25">
        <v>90</v>
      </c>
      <c r="H38" s="26">
        <v>90</v>
      </c>
      <c r="I38" s="25">
        <v>90</v>
      </c>
      <c r="J38" s="26">
        <v>90</v>
      </c>
      <c r="K38" s="25">
        <v>90</v>
      </c>
      <c r="L38" s="26">
        <v>90</v>
      </c>
      <c r="M38" s="25">
        <v>90</v>
      </c>
      <c r="N38" s="26">
        <v>90</v>
      </c>
      <c r="O38" s="25">
        <v>90</v>
      </c>
      <c r="P38" s="26">
        <v>90</v>
      </c>
      <c r="Q38" s="25">
        <v>90</v>
      </c>
      <c r="R38" s="26">
        <v>90</v>
      </c>
      <c r="S38" s="25">
        <v>90</v>
      </c>
      <c r="T38" s="26">
        <v>90</v>
      </c>
      <c r="U38" s="25">
        <v>90</v>
      </c>
      <c r="V38" s="26">
        <v>90</v>
      </c>
      <c r="W38" s="25">
        <v>90</v>
      </c>
      <c r="X38" s="26">
        <v>90</v>
      </c>
      <c r="Y38" s="25">
        <v>90</v>
      </c>
      <c r="Z38" s="26">
        <v>90</v>
      </c>
      <c r="AA38" s="56" t="s">
        <v>148</v>
      </c>
      <c r="AB38" s="56" t="s">
        <v>149</v>
      </c>
      <c r="AC38" s="56"/>
      <c r="AD38" s="56"/>
      <c r="AE38" s="56"/>
      <c r="AF38" s="56"/>
      <c r="AG38" s="56"/>
      <c r="AH38" s="56"/>
      <c r="AI38" s="56"/>
      <c r="AJ38" s="56"/>
      <c r="AK38" s="56"/>
      <c r="AL38" s="56"/>
      <c r="AM38" s="56"/>
      <c r="AN38" s="56"/>
      <c r="AO38" s="56"/>
      <c r="AP38" s="56"/>
      <c r="AQ38" s="56"/>
      <c r="AR38" s="56"/>
    </row>
    <row r="39" spans="2:44" ht="26.25" customHeight="1" x14ac:dyDescent="0.25">
      <c r="B39" s="3">
        <v>22</v>
      </c>
      <c r="C39" s="3">
        <f>'Master Student'!H29</f>
        <v>0</v>
      </c>
      <c r="D39" s="57" t="str">
        <f>IFERROR(VLOOKUP(C39,'Master Student'!H29:I50,2,FALSE),"Data Siswa di Student Master Masih Kosong")</f>
        <v>Data Siswa di Student Master Masih Kosong</v>
      </c>
      <c r="E39" s="25">
        <v>90</v>
      </c>
      <c r="F39" s="26">
        <v>90</v>
      </c>
      <c r="G39" s="25">
        <v>90</v>
      </c>
      <c r="H39" s="26">
        <v>90</v>
      </c>
      <c r="I39" s="25">
        <v>90</v>
      </c>
      <c r="J39" s="26">
        <v>90</v>
      </c>
      <c r="K39" s="25">
        <v>90</v>
      </c>
      <c r="L39" s="26">
        <v>90</v>
      </c>
      <c r="M39" s="25">
        <v>90</v>
      </c>
      <c r="N39" s="26">
        <v>90</v>
      </c>
      <c r="O39" s="25">
        <v>90</v>
      </c>
      <c r="P39" s="26">
        <v>90</v>
      </c>
      <c r="Q39" s="25">
        <v>90</v>
      </c>
      <c r="R39" s="26">
        <v>90</v>
      </c>
      <c r="S39" s="25">
        <v>90</v>
      </c>
      <c r="T39" s="26">
        <v>90</v>
      </c>
      <c r="U39" s="25">
        <v>90</v>
      </c>
      <c r="V39" s="26">
        <v>90</v>
      </c>
      <c r="W39" s="25">
        <v>90</v>
      </c>
      <c r="X39" s="26">
        <v>90</v>
      </c>
      <c r="Y39" s="25">
        <v>90</v>
      </c>
      <c r="Z39" s="26">
        <v>90</v>
      </c>
      <c r="AA39" s="56" t="s">
        <v>148</v>
      </c>
      <c r="AB39" s="56" t="s">
        <v>149</v>
      </c>
      <c r="AC39" s="56"/>
      <c r="AD39" s="56"/>
      <c r="AE39" s="56"/>
      <c r="AF39" s="56"/>
      <c r="AG39" s="56"/>
      <c r="AH39" s="56"/>
      <c r="AI39" s="56"/>
      <c r="AJ39" s="56"/>
      <c r="AK39" s="56"/>
      <c r="AL39" s="56"/>
      <c r="AM39" s="56"/>
      <c r="AN39" s="56"/>
      <c r="AO39" s="56"/>
      <c r="AP39" s="56"/>
      <c r="AQ39" s="56"/>
      <c r="AR39" s="56"/>
    </row>
    <row r="40" spans="2:44" ht="26.25" customHeight="1" x14ac:dyDescent="0.25">
      <c r="B40" s="3">
        <v>23</v>
      </c>
      <c r="C40" s="3">
        <f>'Master Student'!H30</f>
        <v>0</v>
      </c>
      <c r="D40" s="57" t="str">
        <f>IFERROR(VLOOKUP(C40,'Master Student'!H30:I51,2,FALSE),"Data Siswa di Student Master Masih Kosong")</f>
        <v>Data Siswa di Student Master Masih Kosong</v>
      </c>
      <c r="E40" s="25">
        <v>90</v>
      </c>
      <c r="F40" s="26">
        <v>90</v>
      </c>
      <c r="G40" s="25">
        <v>90</v>
      </c>
      <c r="H40" s="26">
        <v>90</v>
      </c>
      <c r="I40" s="25">
        <v>90</v>
      </c>
      <c r="J40" s="26">
        <v>90</v>
      </c>
      <c r="K40" s="25">
        <v>90</v>
      </c>
      <c r="L40" s="26">
        <v>90</v>
      </c>
      <c r="M40" s="25">
        <v>90</v>
      </c>
      <c r="N40" s="26">
        <v>90</v>
      </c>
      <c r="O40" s="25">
        <v>90</v>
      </c>
      <c r="P40" s="26">
        <v>90</v>
      </c>
      <c r="Q40" s="25">
        <v>90</v>
      </c>
      <c r="R40" s="26">
        <v>90</v>
      </c>
      <c r="S40" s="25">
        <v>90</v>
      </c>
      <c r="T40" s="26">
        <v>90</v>
      </c>
      <c r="U40" s="25">
        <v>90</v>
      </c>
      <c r="V40" s="26">
        <v>90</v>
      </c>
      <c r="W40" s="25">
        <v>90</v>
      </c>
      <c r="X40" s="26">
        <v>90</v>
      </c>
      <c r="Y40" s="25">
        <v>90</v>
      </c>
      <c r="Z40" s="26">
        <v>90</v>
      </c>
      <c r="AA40" s="56" t="s">
        <v>148</v>
      </c>
      <c r="AB40" s="56" t="s">
        <v>149</v>
      </c>
      <c r="AC40" s="56"/>
      <c r="AD40" s="56"/>
      <c r="AE40" s="56"/>
      <c r="AF40" s="56"/>
      <c r="AG40" s="56"/>
      <c r="AH40" s="56"/>
      <c r="AI40" s="56"/>
      <c r="AJ40" s="56"/>
      <c r="AK40" s="56"/>
      <c r="AL40" s="56"/>
      <c r="AM40" s="56"/>
      <c r="AN40" s="56"/>
      <c r="AO40" s="56"/>
      <c r="AP40" s="56"/>
      <c r="AQ40" s="56"/>
      <c r="AR40" s="56"/>
    </row>
    <row r="41" spans="2:44" ht="26.25" customHeight="1" x14ac:dyDescent="0.25">
      <c r="B41" s="3">
        <v>24</v>
      </c>
      <c r="C41" s="3">
        <f>'Master Student'!H31</f>
        <v>0</v>
      </c>
      <c r="D41" s="57" t="str">
        <f>IFERROR(VLOOKUP(C41,'Master Student'!H31:I52,2,FALSE),"Data Siswa di Student Master Masih Kosong")</f>
        <v>Data Siswa di Student Master Masih Kosong</v>
      </c>
      <c r="E41" s="25">
        <v>90</v>
      </c>
      <c r="F41" s="26">
        <v>90</v>
      </c>
      <c r="G41" s="25">
        <v>90</v>
      </c>
      <c r="H41" s="26">
        <v>90</v>
      </c>
      <c r="I41" s="25">
        <v>90</v>
      </c>
      <c r="J41" s="26">
        <v>90</v>
      </c>
      <c r="K41" s="25">
        <v>90</v>
      </c>
      <c r="L41" s="26">
        <v>90</v>
      </c>
      <c r="M41" s="25">
        <v>90</v>
      </c>
      <c r="N41" s="26">
        <v>90</v>
      </c>
      <c r="O41" s="25">
        <v>90</v>
      </c>
      <c r="P41" s="26">
        <v>90</v>
      </c>
      <c r="Q41" s="25">
        <v>90</v>
      </c>
      <c r="R41" s="26">
        <v>90</v>
      </c>
      <c r="S41" s="25">
        <v>90</v>
      </c>
      <c r="T41" s="26">
        <v>90</v>
      </c>
      <c r="U41" s="25">
        <v>90</v>
      </c>
      <c r="V41" s="26">
        <v>90</v>
      </c>
      <c r="W41" s="25">
        <v>90</v>
      </c>
      <c r="X41" s="26">
        <v>90</v>
      </c>
      <c r="Y41" s="25">
        <v>90</v>
      </c>
      <c r="Z41" s="26">
        <v>90</v>
      </c>
      <c r="AA41" s="56" t="s">
        <v>148</v>
      </c>
      <c r="AB41" s="56" t="s">
        <v>149</v>
      </c>
      <c r="AC41" s="56"/>
      <c r="AD41" s="56"/>
      <c r="AE41" s="56"/>
      <c r="AF41" s="56"/>
      <c r="AG41" s="56"/>
      <c r="AH41" s="56"/>
      <c r="AI41" s="56"/>
      <c r="AJ41" s="56"/>
      <c r="AK41" s="56"/>
      <c r="AL41" s="56"/>
      <c r="AM41" s="56"/>
      <c r="AN41" s="56"/>
      <c r="AO41" s="56"/>
      <c r="AP41" s="56"/>
      <c r="AQ41" s="56"/>
      <c r="AR41" s="56"/>
    </row>
    <row r="42" spans="2:44" ht="26.25" customHeight="1" x14ac:dyDescent="0.25">
      <c r="B42" s="3">
        <v>25</v>
      </c>
      <c r="C42" s="3">
        <f>'Master Student'!H32</f>
        <v>0</v>
      </c>
      <c r="D42" s="57" t="str">
        <f>IFERROR(VLOOKUP(C42,'Master Student'!H32:I53,2,FALSE),"Data Siswa di Student Master Masih Kosong")</f>
        <v>Data Siswa di Student Master Masih Kosong</v>
      </c>
      <c r="E42" s="25">
        <v>90</v>
      </c>
      <c r="F42" s="26">
        <v>90</v>
      </c>
      <c r="G42" s="25">
        <v>90</v>
      </c>
      <c r="H42" s="26">
        <v>90</v>
      </c>
      <c r="I42" s="25">
        <v>90</v>
      </c>
      <c r="J42" s="26">
        <v>90</v>
      </c>
      <c r="K42" s="25">
        <v>90</v>
      </c>
      <c r="L42" s="26">
        <v>90</v>
      </c>
      <c r="M42" s="25">
        <v>90</v>
      </c>
      <c r="N42" s="26">
        <v>90</v>
      </c>
      <c r="O42" s="25">
        <v>90</v>
      </c>
      <c r="P42" s="26">
        <v>90</v>
      </c>
      <c r="Q42" s="25">
        <v>90</v>
      </c>
      <c r="R42" s="26">
        <v>90</v>
      </c>
      <c r="S42" s="25">
        <v>90</v>
      </c>
      <c r="T42" s="26">
        <v>90</v>
      </c>
      <c r="U42" s="25">
        <v>90</v>
      </c>
      <c r="V42" s="26">
        <v>90</v>
      </c>
      <c r="W42" s="25">
        <v>90</v>
      </c>
      <c r="X42" s="26">
        <v>90</v>
      </c>
      <c r="Y42" s="25">
        <v>90</v>
      </c>
      <c r="Z42" s="26">
        <v>90</v>
      </c>
      <c r="AA42" s="56" t="s">
        <v>148</v>
      </c>
      <c r="AB42" s="56" t="s">
        <v>149</v>
      </c>
      <c r="AC42" s="56"/>
      <c r="AD42" s="56"/>
      <c r="AE42" s="56"/>
      <c r="AF42" s="56"/>
      <c r="AG42" s="56"/>
      <c r="AH42" s="56"/>
      <c r="AI42" s="56"/>
      <c r="AJ42" s="56"/>
      <c r="AK42" s="56"/>
      <c r="AL42" s="56"/>
      <c r="AM42" s="56"/>
      <c r="AN42" s="56"/>
      <c r="AO42" s="56"/>
      <c r="AP42" s="56"/>
      <c r="AQ42" s="56"/>
      <c r="AR42" s="56"/>
    </row>
  </sheetData>
  <sheetProtection sheet="1" scenarios="1" selectLockedCells="1"/>
  <mergeCells count="47">
    <mergeCell ref="AO16:AO17"/>
    <mergeCell ref="AG15:AG17"/>
    <mergeCell ref="AH16:AH17"/>
    <mergeCell ref="AP15:AR15"/>
    <mergeCell ref="AP16:AP17"/>
    <mergeCell ref="AQ16:AQ17"/>
    <mergeCell ref="AR16:AR17"/>
    <mergeCell ref="AI16:AI17"/>
    <mergeCell ref="AH15:AI15"/>
    <mergeCell ref="AJ15:AK15"/>
    <mergeCell ref="AJ16:AJ17"/>
    <mergeCell ref="AK16:AK17"/>
    <mergeCell ref="AL15:AM15"/>
    <mergeCell ref="AL16:AL17"/>
    <mergeCell ref="AM16:AM17"/>
    <mergeCell ref="AN15:AO15"/>
    <mergeCell ref="E15:Z15"/>
    <mergeCell ref="B12:C12"/>
    <mergeCell ref="B13:C13"/>
    <mergeCell ref="AN16:AN17"/>
    <mergeCell ref="AA15:AB15"/>
    <mergeCell ref="AA16:AA17"/>
    <mergeCell ref="AB16:AB17"/>
    <mergeCell ref="AC16:AD16"/>
    <mergeCell ref="AE16:AF16"/>
    <mergeCell ref="AC15:AF15"/>
    <mergeCell ref="B10:C10"/>
    <mergeCell ref="B11:C11"/>
    <mergeCell ref="B15:B17"/>
    <mergeCell ref="C15:C17"/>
    <mergeCell ref="D15:D17"/>
    <mergeCell ref="B7:Z7"/>
    <mergeCell ref="E16:F16"/>
    <mergeCell ref="G16:H16"/>
    <mergeCell ref="I16:J16"/>
    <mergeCell ref="Y16:Z16"/>
    <mergeCell ref="M16:N16"/>
    <mergeCell ref="O16:P16"/>
    <mergeCell ref="Q16:R16"/>
    <mergeCell ref="S16:T16"/>
    <mergeCell ref="U16:V16"/>
    <mergeCell ref="W16:X16"/>
    <mergeCell ref="K16:L16"/>
    <mergeCell ref="B9:C9"/>
    <mergeCell ref="I9:L9"/>
    <mergeCell ref="I10:L10"/>
    <mergeCell ref="F9:H9"/>
  </mergeCells>
  <conditionalFormatting sqref="D18:D42">
    <cfRule type="expression" priority="1">
      <formula>ISERROR(reference)</formula>
    </cfRule>
  </conditionalFormatting>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errorTitle="Terjadi Kesalahan Mr/Ms." error="Silahkan pilih data semester dengan drop down yang sudah disediakan.">
          <x14:formula1>
            <xm:f>'Master Data'!$F$8:$F$9</xm:f>
          </x14:formula1>
          <xm:sqref>D10</xm:sqref>
        </x14:dataValidation>
        <x14:dataValidation type="list" allowBlank="1" showInputMessage="1" showErrorMessage="1">
          <x14:formula1>
            <xm:f>'Master Data'!$I$8:$I$17</xm:f>
          </x14:formula1>
          <xm:sqref>D11</xm:sqref>
        </x14:dataValidation>
        <x14:dataValidation type="list" allowBlank="1" showInputMessage="1" showErrorMessage="1" errorTitle="Terjadi Kesalahan Mr/Ms." error="Silahkan pilih data kelas dari drop down yang sudah disediakan">
          <x14:formula1>
            <xm:f>'Master Data'!$C$8:$C$10</xm:f>
          </x14:formula1>
          <xm:sqref>D9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2:H88"/>
  <sheetViews>
    <sheetView showGridLines="0" showZeros="0" tabSelected="1" view="pageLayout" topLeftCell="A73" zoomScale="70" zoomScaleNormal="85" zoomScalePageLayoutView="70" workbookViewId="0">
      <selection activeCell="E45" sqref="E45"/>
    </sheetView>
  </sheetViews>
  <sheetFormatPr defaultRowHeight="15" x14ac:dyDescent="0.25"/>
  <cols>
    <col min="1" max="1" width="3.85546875" style="29" bestFit="1" customWidth="1"/>
    <col min="2" max="2" width="17.28515625" style="29" customWidth="1"/>
    <col min="3" max="3" width="6.140625" style="29" customWidth="1"/>
    <col min="4" max="4" width="8.5703125" style="29" customWidth="1"/>
    <col min="5" max="5" width="22.42578125" style="29" customWidth="1"/>
    <col min="6" max="6" width="6.28515625" style="29" customWidth="1"/>
    <col min="7" max="7" width="8.42578125" style="29" customWidth="1"/>
    <col min="8" max="8" width="22.28515625" style="29" customWidth="1"/>
    <col min="9" max="16384" width="9.140625" style="29"/>
  </cols>
  <sheetData>
    <row r="2" spans="1:8" ht="19.5" x14ac:dyDescent="0.25">
      <c r="A2" s="120" t="s">
        <v>24</v>
      </c>
      <c r="B2" s="120"/>
      <c r="C2" s="120"/>
      <c r="D2" s="120"/>
      <c r="E2" s="120"/>
      <c r="F2" s="120"/>
      <c r="G2" s="120"/>
      <c r="H2" s="120"/>
    </row>
    <row r="3" spans="1:8" ht="15" customHeight="1" x14ac:dyDescent="0.25">
      <c r="A3" s="30"/>
      <c r="B3" s="30"/>
      <c r="C3" s="30"/>
      <c r="D3" s="30"/>
      <c r="E3" s="30"/>
      <c r="F3" s="30"/>
      <c r="G3" s="30"/>
      <c r="H3" s="30"/>
    </row>
    <row r="4" spans="1:8" ht="15" customHeight="1" x14ac:dyDescent="0.25">
      <c r="A4" s="113" t="s">
        <v>35</v>
      </c>
      <c r="B4" s="113"/>
      <c r="C4" s="32" t="s">
        <v>36</v>
      </c>
      <c r="D4" s="122" t="s">
        <v>147</v>
      </c>
      <c r="E4" s="123"/>
      <c r="F4" s="113" t="s">
        <v>42</v>
      </c>
      <c r="G4" s="113"/>
      <c r="H4" s="33" t="str">
        <f>'Master Grade'!D9</f>
        <v>4 (Empat)</v>
      </c>
    </row>
    <row r="5" spans="1:8" ht="15" customHeight="1" x14ac:dyDescent="0.25">
      <c r="A5" s="113" t="s">
        <v>37</v>
      </c>
      <c r="B5" s="113"/>
      <c r="C5" s="32" t="s">
        <v>36</v>
      </c>
      <c r="D5" s="113">
        <f>INDEX('Master Student'!H8:H32,MATCH('Final Report'!D4:E4,'Master Student'!I8:I32))</f>
        <v>1235</v>
      </c>
      <c r="E5" s="113"/>
      <c r="F5" s="113" t="s">
        <v>43</v>
      </c>
      <c r="G5" s="113"/>
      <c r="H5" s="33" t="str">
        <f>'Master Grade'!D10</f>
        <v>Semester 1</v>
      </c>
    </row>
    <row r="6" spans="1:8" ht="15" customHeight="1" x14ac:dyDescent="0.25">
      <c r="A6" s="113" t="s">
        <v>38</v>
      </c>
      <c r="B6" s="113"/>
      <c r="C6" s="32" t="s">
        <v>36</v>
      </c>
      <c r="D6" s="113" t="s">
        <v>40</v>
      </c>
      <c r="E6" s="113"/>
      <c r="F6" s="113" t="s">
        <v>44</v>
      </c>
      <c r="G6" s="113"/>
      <c r="H6" s="33" t="str">
        <f>'Master Grade'!D11</f>
        <v>2019/2020</v>
      </c>
    </row>
    <row r="7" spans="1:8" ht="15" customHeight="1" x14ac:dyDescent="0.25">
      <c r="A7" s="121" t="s">
        <v>39</v>
      </c>
      <c r="B7" s="121"/>
      <c r="C7" s="32" t="s">
        <v>36</v>
      </c>
      <c r="D7" s="124" t="s">
        <v>41</v>
      </c>
      <c r="E7" s="124"/>
      <c r="F7" s="33"/>
      <c r="G7" s="33"/>
      <c r="H7" s="31"/>
    </row>
    <row r="8" spans="1:8" ht="15" customHeight="1" x14ac:dyDescent="0.25">
      <c r="A8" s="34"/>
      <c r="B8" s="34"/>
      <c r="C8" s="32"/>
      <c r="D8" s="124"/>
      <c r="E8" s="124"/>
      <c r="F8" s="33"/>
      <c r="G8" s="33"/>
      <c r="H8" s="31"/>
    </row>
    <row r="9" spans="1:8" ht="15" customHeight="1" x14ac:dyDescent="0.25">
      <c r="A9" s="34"/>
      <c r="B9" s="34"/>
      <c r="C9" s="32"/>
      <c r="D9" s="80" t="str">
        <f>INDEX('Master Student'!J8:J32,MATCH('Final Report'!D4:E4,'Master Student'!I8:I32))</f>
        <v>Buddha</v>
      </c>
      <c r="E9" s="35"/>
      <c r="F9" s="33"/>
      <c r="G9" s="33"/>
      <c r="H9" s="31"/>
    </row>
    <row r="10" spans="1:8" ht="15" customHeight="1" x14ac:dyDescent="0.25">
      <c r="A10" s="34"/>
      <c r="B10" s="34"/>
      <c r="C10" s="32"/>
      <c r="D10" s="35"/>
      <c r="E10" s="35"/>
      <c r="F10" s="33"/>
      <c r="G10" s="33"/>
      <c r="H10" s="31"/>
    </row>
    <row r="11" spans="1:8" ht="15" customHeight="1" x14ac:dyDescent="0.25">
      <c r="A11" s="36" t="s">
        <v>62</v>
      </c>
      <c r="B11" s="36" t="s">
        <v>63</v>
      </c>
      <c r="C11" s="32"/>
      <c r="D11" s="35"/>
      <c r="E11" s="35"/>
      <c r="F11" s="33"/>
      <c r="G11" s="33"/>
      <c r="H11" s="31"/>
    </row>
    <row r="12" spans="1:8" ht="10.5" customHeight="1" x14ac:dyDescent="0.25">
      <c r="A12" s="36"/>
      <c r="B12" s="36"/>
      <c r="C12" s="32"/>
      <c r="D12" s="35"/>
      <c r="E12" s="35"/>
      <c r="F12" s="33"/>
      <c r="G12" s="33"/>
      <c r="H12" s="31"/>
    </row>
    <row r="13" spans="1:8" ht="15" customHeight="1" x14ac:dyDescent="0.25">
      <c r="A13" s="114" t="s">
        <v>23</v>
      </c>
      <c r="B13" s="114"/>
      <c r="C13" s="114"/>
      <c r="D13" s="114"/>
      <c r="E13" s="114"/>
      <c r="F13" s="114"/>
      <c r="G13" s="114"/>
      <c r="H13" s="114"/>
    </row>
    <row r="14" spans="1:8" ht="78.75" customHeight="1" x14ac:dyDescent="0.25">
      <c r="A14" s="115" t="s">
        <v>64</v>
      </c>
      <c r="B14" s="116"/>
      <c r="C14" s="117" t="str">
        <f>VLOOKUP(D4,'Master Grade'!D18:AR42,24,FALSE)</f>
        <v>menghargai semangat kebhinnekatunggalikaan dan keragaman agama, suku bangsa pakaian tradisional, bahasa, rumah adat, makanan khas, upacara adat, sosial, dan ekonomi dalam kehidupan bermasyarakat</v>
      </c>
      <c r="D14" s="118"/>
      <c r="E14" s="118"/>
      <c r="F14" s="118"/>
      <c r="G14" s="118"/>
      <c r="H14" s="119"/>
    </row>
    <row r="15" spans="1:8" ht="78.75" customHeight="1" x14ac:dyDescent="0.25">
      <c r="A15" s="115" t="s">
        <v>65</v>
      </c>
      <c r="B15" s="116"/>
      <c r="C15" s="117" t="str">
        <f>VLOOKUP(D4,'Master Grade'!D18:AR42,25,FALSE)</f>
        <v>menunjukkan perilaku, disiplin, tanggung jawab, percaya diri, berani mengakui kesalahan, meminta maaf dan memberi maaf yang dijiwai keteladanan pahlawan kemerdekaan RI dalam semangat perjuangan, cinta tanah air, dan rela berkorban sebagai perwujudan nilai dan moral Pancasila</v>
      </c>
      <c r="D15" s="118"/>
      <c r="E15" s="118"/>
      <c r="F15" s="118"/>
      <c r="G15" s="118"/>
      <c r="H15" s="119"/>
    </row>
    <row r="16" spans="1:8" ht="15" customHeight="1" x14ac:dyDescent="0.25">
      <c r="A16" s="37"/>
      <c r="B16" s="37"/>
      <c r="C16" s="37"/>
      <c r="D16" s="38"/>
      <c r="E16" s="38"/>
      <c r="F16" s="38"/>
      <c r="G16" s="38"/>
      <c r="H16" s="38"/>
    </row>
    <row r="17" spans="1:8" ht="15" customHeight="1" x14ac:dyDescent="0.25">
      <c r="A17" s="37"/>
      <c r="B17" s="37"/>
      <c r="C17" s="37"/>
      <c r="D17" s="38"/>
      <c r="E17" s="38"/>
      <c r="F17" s="38"/>
      <c r="G17" s="38"/>
      <c r="H17" s="38"/>
    </row>
    <row r="18" spans="1:8" ht="15" customHeight="1" x14ac:dyDescent="0.25">
      <c r="A18" s="39" t="s">
        <v>66</v>
      </c>
      <c r="B18" s="39" t="s">
        <v>67</v>
      </c>
      <c r="C18" s="39"/>
      <c r="D18" s="40"/>
      <c r="E18" s="38"/>
      <c r="F18" s="38"/>
      <c r="G18" s="38"/>
      <c r="H18" s="38"/>
    </row>
    <row r="19" spans="1:8" ht="10.5" customHeight="1" x14ac:dyDescent="0.25">
      <c r="A19" s="41"/>
      <c r="B19" s="41"/>
      <c r="C19" s="41"/>
      <c r="D19" s="41"/>
      <c r="E19" s="41"/>
      <c r="F19" s="41"/>
      <c r="G19" s="41"/>
      <c r="H19" s="41"/>
    </row>
    <row r="20" spans="1:8" x14ac:dyDescent="0.25">
      <c r="A20" s="108" t="s">
        <v>17</v>
      </c>
      <c r="B20" s="109" t="s">
        <v>18</v>
      </c>
      <c r="C20" s="108" t="s">
        <v>19</v>
      </c>
      <c r="D20" s="108"/>
      <c r="E20" s="108"/>
      <c r="F20" s="110" t="s">
        <v>20</v>
      </c>
      <c r="G20" s="111"/>
      <c r="H20" s="112"/>
    </row>
    <row r="21" spans="1:8" x14ac:dyDescent="0.25">
      <c r="A21" s="108"/>
      <c r="B21" s="109"/>
      <c r="C21" s="42" t="s">
        <v>21</v>
      </c>
      <c r="D21" s="42" t="s">
        <v>22</v>
      </c>
      <c r="E21" s="42" t="s">
        <v>23</v>
      </c>
      <c r="F21" s="42" t="s">
        <v>21</v>
      </c>
      <c r="G21" s="42" t="s">
        <v>22</v>
      </c>
      <c r="H21" s="42" t="s">
        <v>23</v>
      </c>
    </row>
    <row r="22" spans="1:8" ht="179.25" customHeight="1" x14ac:dyDescent="0.25">
      <c r="A22" s="43">
        <v>1</v>
      </c>
      <c r="B22" s="44" t="str">
        <f>'Master Subject'!H8</f>
        <v>Pendidikan Agama dan Budi Pekerti</v>
      </c>
      <c r="C22" s="78">
        <f>VLOOKUP(D4,'Master Grade'!D18:Z42,2,FALSE)</f>
        <v>90</v>
      </c>
      <c r="D22" s="43" t="str">
        <f>IF(C22&gt;=87.5,"A",IF(C22&gt;=73.5,"B",IF(C22&gt;=59.5,"C","D")))</f>
        <v>A</v>
      </c>
      <c r="E22" s="44" t="str">
        <f>IF(AND(D9="Islam",C22&gt;=87.5),'Kompetensi Dasar'!C4,
IF(AND(D9="Islam",C22&gt;=73.5),'Kompetensi Dasar'!D4,
IF(AND(D9="Islam",C22&gt;=59.5),'Kompetensi Dasar'!E4,
IF(AND(D9="Islam",C22&gt;=0),'Kompetensi Dasar'!F4,
IF(AND(D9="Kristen",C22&gt;=87.5),'Kompetensi Dasar'!C5,
IF(AND(D9="Kristen",C22&gt;=73.5),'Kompetensi Dasar'!D5,
IF(AND(D9="Kristen",C22&gt;=59.5),'Kompetensi Dasar'!E5,
IF(AND(D9="Kristen",C22&gt;=0),'Kompetensi Dasar'!F5,
IF(AND(D9="Katolik",C22&gt;=87.5),'Kompetensi Dasar'!C6,
IF(AND(D9="Katolik",C22&gt;=73.5),'Kompetensi Dasar'!D6,
IF(AND(D9="Katolik",C22&gt;=59.5),'Kompetensi Dasar'!E6,
IF(AND(D9="Katolik",C22&gt;=0),'Kompetensi Dasar'!F6,
IF(AND(D9="Buddha",C22&gt;=87.5),'Kompetensi Dasar'!C7,
IF(AND(D9="Buddha",C22&gt;=73.5),'Kompetensi Dasar'!D7,
IF(AND(D9="Buddha",C22&gt;=59.5),'Kompetensi Dasar'!E7,
IF(AND(D9="Buddha",C22&gt;=0),'Kompetensi Dasar'!F7,
IF(AND(D9="Hindu",C22&gt;=87.5),'Kompetensi Dasar'!C8,
IF(AND(D9="Hindu",C22&gt;=73.5),'Kompetensi Dasar'!D8,
IF(AND(D9="Hindu",C22&gt;=59.5),'Kompetensi Dasar'!E8,
IF(AND(D9="Hindu",C22&gt;=0),'Kompetensi Dasar'!F8,))))))))))))))))))))</f>
        <v>Siswa sangat mampu memahami delapan kondisi duniawi dan hakikat perbedaan kehidupan menurut ajaran Buddha dalam kehidupan sehari-hari</v>
      </c>
      <c r="F22" s="78">
        <f>VLOOKUP(D4,'Master Grade'!D18:Z42,3,FALSE)</f>
        <v>90</v>
      </c>
      <c r="G22" s="43" t="str">
        <f>IF(F22&gt;=87.5,"A",IF(F22&gt;=73.5,"B",IF(F22&gt;=59.5,"C","D")))</f>
        <v>A</v>
      </c>
      <c r="H22" s="44" t="str">
        <f>IF(AND(D9="Islam",F22&gt;=87.5),'Kompetensi Dasar'!G4,
IF(AND(D9="Islam",F22&gt;=73.5),'Kompetensi Dasar'!H4,
IF(AND(D9="Islam",F22&gt;=59.5),'Kompetensi Dasar'!I4,
IF(AND(D9="Islam",F22&gt;=0),'Kompetensi Dasar'!J4,
IF(AND(D9="Kristen",F22&gt;=87.5),'Kompetensi Dasar'!G5,
IF(AND(D9="Kristen",F22&gt;=73.5),'Kompetensi Dasar'!H5,
IF(AND(D9="Kristen",F22&gt;=59.5),'Kompetensi Dasar'!I5,
IF(AND(D9="Kristen",F22&gt;=0),'Kompetensi Dasar'!J5,
IF(AND(D9="Katolik",F22&gt;=87.5),'Kompetensi Dasar'!G6,
IF(AND(D9="Katolik",F22&gt;=73.5),'Kompetensi Dasar'!H6,
IF(AND(D9="Katolik",F22&gt;=59.5),'Kompetensi Dasar'!I6,
IF(AND(D9="Katolik",F22&gt;=0),'Kompetensi Dasar'!J6,
IF(AND(D9="Buddha",F22&gt;=87.5),'Kompetensi Dasar'!G7,
IF(AND(D9="Buddha",F22&gt;=73.5),'Kompetensi Dasar'!H7,
IF(AND(D9="Buddha",F22&gt;=59.5),'Kompetensi Dasar'!I7,
IF(AND(D9="Buddha",F22&gt;=0),'Kompetensi Dasar'!J7,
IF(AND(D9="Hindu",F22&gt;=87.5),'Kompetensi Dasar'!G8,
IF(AND(D9="Hindu",F22&gt;=73.5),'Kompetensi Dasar'!H8,
IF(AND(D9="Hindu",F22&gt;=59.5),'Kompetensi Dasar'!I8,
IF(AND(D9="Hindu",F22&gt;=0),'Kompetensi Dasar'!J8,))))))))))))))))))))</f>
        <v>Siswa sangat mampu menunjukkan prilaku jujur dalam menghadapi delapan kondisi duniawi dan hakikat perbedaan kehidupan menurut agama Buddha</v>
      </c>
    </row>
    <row r="23" spans="1:8" ht="220.5" customHeight="1" x14ac:dyDescent="0.25">
      <c r="A23" s="43">
        <v>2</v>
      </c>
      <c r="B23" s="44" t="str">
        <f>'Master Subject'!H9</f>
        <v>Pendidikan Pancasila dan Kewarganegaraan</v>
      </c>
      <c r="C23" s="78">
        <f>VLOOKUP(D4,'Master Grade'!D18:Z42,4,FALSE)</f>
        <v>90</v>
      </c>
      <c r="D23" s="43" t="str">
        <f>IF(C23&gt;=87.5,"A",IF(C23&gt;=73.5,"B",IF(C23&gt;=59.5,"C","D")))</f>
        <v>A</v>
      </c>
      <c r="E23" s="44" t="str">
        <f>IF(C23&gt;=87.5,'Kompetensi Dasar'!C9,
IF(C23&gt;=73.5,'Kompetensi Dasar'!D9,
IF(C23&gt;=59.5,'Kompetensi Dasar'!E9,'Kompetensi Dasar'!F9
)))</f>
        <v>Siswa sangat mampu memahami hak kewajiban dan tanggung jawab sebagai warga dalam kehidupan sehari-hari di rumah dan sekolah.</v>
      </c>
      <c r="F23" s="78">
        <f>VLOOKUP(D4,'Master Grade'!D18:Z42,5,FALSE)</f>
        <v>90</v>
      </c>
      <c r="G23" s="43" t="str">
        <f t="shared" ref="G23:G28" si="0">IF(F23&gt;=87.5,"A",IF(F23&gt;=73.5,"B",IF(F23&gt;=59.5,"C","D")))</f>
        <v>A</v>
      </c>
      <c r="H23" s="44" t="str">
        <f>IF(F23&gt;=87.5,'Kompetensi Dasar'!G9,
IF(F23&gt;=73.5,'Kompetensi Dasar'!H9,
IF(F23&gt;=59.5,'Kompetensi Dasar'!I9,'Kompetensi Dasar'!J9
)))</f>
        <v>Siswa sangat mampu melaksanakan kewajiban dan menegakkan aturan di lingkungan rumah dan sekolah.</v>
      </c>
    </row>
    <row r="24" spans="1:8" ht="226.5" customHeight="1" x14ac:dyDescent="0.25">
      <c r="A24" s="43">
        <v>3</v>
      </c>
      <c r="B24" s="44" t="str">
        <f>'Master Subject'!H10</f>
        <v>Bahasa Indonesia</v>
      </c>
      <c r="C24" s="43">
        <f>VLOOKUP(D4,'Master Grade'!D18:Z42,6,FALSE)</f>
        <v>90</v>
      </c>
      <c r="D24" s="43" t="str">
        <f t="shared" ref="D24:D28" si="1">IF(C24&gt;=87.5,"A",IF(C24&gt;=73.5,"B",IF(C24&gt;=59.5,"C","D")))</f>
        <v>A</v>
      </c>
      <c r="E24" s="44" t="str">
        <f>IF(C24&gt;=87.5,'Kompetensi Dasar'!C10,
IF(C24&gt;=73.5,'Kompetensi Dasar'!D10,
IF(C24&gt;=59.5,'Kompetensi Dasar'!E10,'Kompetensi Dasar'!F10
)))</f>
        <v>Siswa sangat mampu menguraikan isi teks paparan iklan tentang ekspor impor sebagai kegiatan ekonomi antarbangsa dengan bantuan guru dan teman
dalam bahasa Indonesia lisan dan tulis dengan memilih dan memilah kosakata baku</v>
      </c>
      <c r="F24" s="78">
        <f>VLOOKUP(D4,'Master Grade'!D18:Z42,7,FALSE)</f>
        <v>90</v>
      </c>
      <c r="G24" s="43" t="str">
        <f t="shared" si="0"/>
        <v>A</v>
      </c>
      <c r="H24" s="44" t="str">
        <f>IF(F24&gt;=87.5,'Kompetensi Dasar'!G10,
IF(F24&gt;=73.5,'Kompetensi Dasar'!H10,
IF(F24&gt;=59.5,'Kompetensi Dasar'!I10,'Kompetensi Dasar'!J10
)))</f>
        <v>Siswa sangat mampu menyajikan teks paparan iklan tentang ekspor impor sebagai kegiatan ekonomi antarbangsa
secara mandiri dalam bahasa Indonesia lisan dan tulis dengan memilih dan memilah kosakata
baku.</v>
      </c>
    </row>
    <row r="25" spans="1:8" ht="308.25" customHeight="1" x14ac:dyDescent="0.25">
      <c r="A25" s="43">
        <v>4</v>
      </c>
      <c r="B25" s="44" t="str">
        <f>'Master Subject'!H11</f>
        <v>Matematika</v>
      </c>
      <c r="C25" s="43">
        <f>VLOOKUP(D4,'Master Grade'!D18:Z42,8,FALSE)</f>
        <v>90</v>
      </c>
      <c r="D25" s="43" t="str">
        <f t="shared" si="1"/>
        <v>A</v>
      </c>
      <c r="E25" s="44" t="str">
        <f>IF(C25&gt;=87.5,'Kompetensi Dasar'!C11,
IF(C25&gt;=73.5,'Kompetensi Dasar'!D11,
IF(C25&gt;=59.5,'Kompetensi Dasar'!E11,'Kompetensi Dasar'!F11
)))</f>
        <v>Siswa sangat mampu mengenal konsep perbandingan dan skala, perpangkatan dan penarikan akar pangkat tiga serta konsep perbandingan dan skala; memahami dan mengubah berbagai bentuk pecahan (pecahan biasa, campuran, desimal dan persen); mengenal dan menggambar denah letak benda dan sistem koordinat.</v>
      </c>
      <c r="F25" s="78">
        <f>VLOOKUP(D4,'Master Grade'!D18:Z42,9,FALSE)</f>
        <v>90</v>
      </c>
      <c r="G25" s="43" t="str">
        <f t="shared" si="0"/>
        <v>A</v>
      </c>
      <c r="H25" s="44" t="str">
        <f>IF(F25&gt;=87.5,'Kompetensi Dasar'!G11,
IF(F25&gt;=73.5,'Kompetensi Dasar'!H11,
IF(F25&gt;=59.5,'Kompetensi Dasar'!I11,'Kompetensi Dasar'!J11
)))</f>
        <v xml:space="preserve">Siswa sangat mampu menggambar denah sederhana menggunakan skala, mempertimbangkan jarak dan waktu dengan berbagai kemungkinan lintasan, serta menentukan letak objek berdasarkan arah mata angin </v>
      </c>
    </row>
    <row r="26" spans="1:8" ht="180.75" customHeight="1" x14ac:dyDescent="0.25">
      <c r="A26" s="43">
        <v>5</v>
      </c>
      <c r="B26" s="44" t="str">
        <f>'Master Subject'!H12</f>
        <v>Ilmu Pengetahuan Alam</v>
      </c>
      <c r="C26" s="43">
        <f>VLOOKUP(D4,'Master Grade'!D18:Z42,10,FALSE)</f>
        <v>90</v>
      </c>
      <c r="D26" s="43" t="str">
        <f t="shared" si="1"/>
        <v>A</v>
      </c>
      <c r="E26" s="44" t="str">
        <f>IF(C26&gt;=87.5,'Kompetensi Dasar'!C12,
IF(C26&gt;=73.5,'Kompetensi Dasar'!D12,
IF(C26&gt;=59.5,'Kompetensi Dasar'!E12,'Kompetensi Dasar'!F12
)))</f>
        <v>Siswa sangat mampu mendeskripsikan rangka manusia dan fungsinya, sistem pernafasan hewan dan manusia serta penyakit yang berkaitan dengan pernafasan.</v>
      </c>
      <c r="F26" s="78">
        <f>VLOOKUP(D4,'Master Grade'!D18:Z42,11,FALSE)</f>
        <v>90</v>
      </c>
      <c r="G26" s="43" t="str">
        <f t="shared" si="0"/>
        <v>A</v>
      </c>
      <c r="H26" s="44" t="str">
        <f>IF(F26&gt;=87.5,'Kompetensi Dasar'!G12,
IF(F26&gt;=73.5,'Kompetensi Dasar'!H12,
IF(F26&gt;=59.5,'Kompetensi Dasar'!I12,'Kompetensi Dasar'!J12
)))</f>
        <v>Siswa sangat mampu membuat bagan rangka dan organ pernapasan manusia beserta fungsinya.</v>
      </c>
    </row>
    <row r="27" spans="1:8" ht="211.5" customHeight="1" x14ac:dyDescent="0.25">
      <c r="A27" s="43">
        <v>6</v>
      </c>
      <c r="B27" s="44" t="str">
        <f>'Master Subject'!H13</f>
        <v>Ilmu Pengetahuan Sosial</v>
      </c>
      <c r="C27" s="43">
        <f>VLOOKUP(D4,'Master Grade'!D18:Z42,12,FALSE)</f>
        <v>90</v>
      </c>
      <c r="D27" s="43" t="str">
        <f t="shared" si="1"/>
        <v>A</v>
      </c>
      <c r="E27" s="44" t="str">
        <f>IF(C27&gt;=87.5,'Kompetensi Dasar'!C13,
IF(C27&gt;=73.5,'Kompetensi Dasar'!D13,
IF(C27&gt;=59.5,'Kompetensi Dasar'!E13,'Kompetensi Dasar'!F13
)))</f>
        <v>Siswa sangat mampu menganalisis bentuk-bentuk interaksi manusia dengan lingkungan dan pengaruhnya terhadap pembangunan sosial, budaya, dan ekonomi masyarakat Indonesia.</v>
      </c>
      <c r="F27" s="78">
        <f>VLOOKUP(D4,'Master Grade'!D18:Z42,13,FALSE)</f>
        <v>90</v>
      </c>
      <c r="G27" s="43" t="str">
        <f t="shared" si="0"/>
        <v>A</v>
      </c>
      <c r="H27" s="44" t="str">
        <f>IF(F27&gt;=87.5,'Kompetensi Dasar'!G13,
IF(F27&gt;=73.5,'Kompetensi Dasar'!H13,
IF(F27&gt;=59.5,'Kompetensi Dasar'!I13,'Kompetensi Dasar'!J13
)))</f>
        <v>Siswa sangat mampu Menyajikan hasil analisis tentang interaksi manusia dengan lingkungan dan pengaruhnya terhadap pembangunan sosial, budaya, dan ekonomi masyarakat Indonesia.</v>
      </c>
    </row>
    <row r="28" spans="1:8" ht="159.75" customHeight="1" x14ac:dyDescent="0.25">
      <c r="A28" s="43">
        <v>7</v>
      </c>
      <c r="B28" s="44" t="str">
        <f>'Master Subject'!H14</f>
        <v>Seni Budaya dan Prakarya</v>
      </c>
      <c r="C28" s="43">
        <f>VLOOKUP(D4,'Master Grade'!D18:Z42,14,FALSE)</f>
        <v>90</v>
      </c>
      <c r="D28" s="43" t="str">
        <f t="shared" si="1"/>
        <v>A</v>
      </c>
      <c r="E28" s="44" t="str">
        <f>IF(C28&gt;=87.5,'Kompetensi Dasar'!C14,
IF(C28&gt;=73.5,'Kompetensi Dasar'!D14,
IF(C28&gt;=59.5,'Kompetensi Dasar'!E14,'Kompetensi Dasar'!F14
)))</f>
        <v>Siswa sangat mampu mengenal prinsip seni dalam menggambar komik</v>
      </c>
      <c r="F28" s="78">
        <f>VLOOKUP(D4,'Master Grade'!D18:Z42,15,FALSE)</f>
        <v>90</v>
      </c>
      <c r="G28" s="43" t="str">
        <f t="shared" si="0"/>
        <v>A</v>
      </c>
      <c r="H28" s="44" t="str">
        <f>IF(F28&gt;=87.5,'Kompetensi Dasar'!G14,
IF(F28&gt;=73.5,'Kompetensi Dasar'!H14,
IF(F28&gt;=59.5,'Kompetensi Dasar'!I14,'Kompetensi Dasar'!J14
)))</f>
        <v>Siswa sangat mampu menggambar ilustrasi dengan menerapkan proporsi dan komposisi berdasarkan hasil
pengamatan</v>
      </c>
    </row>
    <row r="29" spans="1:8" ht="191.25" customHeight="1" x14ac:dyDescent="0.25">
      <c r="A29" s="43">
        <v>8</v>
      </c>
      <c r="B29" s="44" t="str">
        <f>'Master Subject'!H15</f>
        <v>Pendidikan Jasmani, Olahraga dan Kesehatan</v>
      </c>
      <c r="C29" s="78">
        <f>VLOOKUP(D4,'Master Grade'!D18:Z42,16,FALSE)</f>
        <v>90</v>
      </c>
      <c r="D29" s="43" t="str">
        <f>IF(C29&gt;=87.5,"A",IF(C29&gt;=73.5,"B",IF(C29&gt;=59.5,"C","D")))</f>
        <v>A</v>
      </c>
      <c r="E29" s="44" t="str">
        <f>IF(C29&gt;=87.5,'Kompetensi Dasar'!C15,
IF(C29&gt;=73.5,'Kompetensi Dasar'!D15,
IF(C29&gt;=59.5,'Kompetensi Dasar'!E15,'Kompetensi Dasar'!F15
)))</f>
        <v>Siswa sangat mampu memahami pengaruh aktivitas fisik yang berbeda terhadap tubuh</v>
      </c>
      <c r="F29" s="78">
        <f>VLOOKUP(D4,'Master Grade'!D18:Z42,17,FALSE)</f>
        <v>90</v>
      </c>
      <c r="G29" s="43" t="str">
        <f>IF(F29&gt;=87.5,"A",IF(F29&gt;=73.5,"B",IF(F29&gt;=59.5,"C","D")))</f>
        <v>A</v>
      </c>
      <c r="H29" s="44" t="str">
        <f>IF(F29&gt;=87.5,'Kompetensi Dasar'!G15,
IF(F29&gt;=73.5,'Kompetensi Dasar'!H15,
IF(F29&gt;=59.5,'Kompetensi Dasar'!I15,'Kompetensi Dasar'!J15
)))</f>
        <v>Siswa sangat mampu mempraktikk anaktivitas daya tahan aerobik dan anaerobik untuk pengembangan kebugaran jasmani</v>
      </c>
    </row>
    <row r="30" spans="1:8" x14ac:dyDescent="0.25">
      <c r="A30" s="128" t="s">
        <v>17</v>
      </c>
      <c r="B30" s="125" t="s">
        <v>61</v>
      </c>
      <c r="C30" s="126"/>
      <c r="D30" s="126"/>
      <c r="E30" s="126"/>
      <c r="F30" s="126"/>
      <c r="G30" s="126"/>
      <c r="H30" s="127"/>
    </row>
    <row r="31" spans="1:8" ht="15.75" customHeight="1" x14ac:dyDescent="0.25">
      <c r="A31" s="129"/>
      <c r="B31" s="109" t="s">
        <v>18</v>
      </c>
      <c r="C31" s="108" t="s">
        <v>19</v>
      </c>
      <c r="D31" s="108"/>
      <c r="E31" s="108"/>
      <c r="F31" s="110" t="s">
        <v>20</v>
      </c>
      <c r="G31" s="111"/>
      <c r="H31" s="112"/>
    </row>
    <row r="32" spans="1:8" x14ac:dyDescent="0.25">
      <c r="A32" s="130"/>
      <c r="B32" s="109"/>
      <c r="C32" s="42" t="s">
        <v>21</v>
      </c>
      <c r="D32" s="42" t="s">
        <v>22</v>
      </c>
      <c r="E32" s="42" t="s">
        <v>23</v>
      </c>
      <c r="F32" s="42" t="s">
        <v>21</v>
      </c>
      <c r="G32" s="42" t="s">
        <v>22</v>
      </c>
      <c r="H32" s="42" t="s">
        <v>23</v>
      </c>
    </row>
    <row r="33" spans="1:8" ht="133.5" customHeight="1" x14ac:dyDescent="0.25">
      <c r="A33" s="45">
        <v>9</v>
      </c>
      <c r="B33" s="46" t="str">
        <f>'Master Subject'!H16</f>
        <v>Bahasa Mandarin</v>
      </c>
      <c r="C33" s="79">
        <f>VLOOKUP(D4,'Master Grade'!D18:Z42,18,FALSE)</f>
        <v>90</v>
      </c>
      <c r="D33" s="43" t="str">
        <f>IF(C33&gt;=87.5,"A",IF(C33&gt;=73.5,"B",IF(C33&gt;=59.5,"C","D")))</f>
        <v>A</v>
      </c>
      <c r="E33" s="44" t="str">
        <f>IF(C33&gt;=87.5,'Kompetensi Dasar'!C16,
IF(C33&gt;=73.5,'Kompetensi Dasar'!D16,
IF(C33&gt;=59.5,'Kompetensi Dasar'!E16,'Kompetensi Dasar'!F16
)))</f>
        <v>Siswa sangat mampu memahami cara membaca dan menganalisa struktur penulisan tanggal, bulan dan tahun</v>
      </c>
      <c r="F33" s="79">
        <f>VLOOKUP(D4,'Master Grade'!D18:Z42,19,FALSE)</f>
        <v>90</v>
      </c>
      <c r="G33" s="43" t="str">
        <f>IF(F33&gt;=87.5,"A",IF(F33&gt;=73.5,"B",IF(F33&gt;=59.5,"C","D")))</f>
        <v>A</v>
      </c>
      <c r="H33" s="44" t="str">
        <f>IF(F33&gt;=87.5,'Kompetensi Dasar'!G16,
IF(F33&gt;=73.5,'Kompetensi Dasar'!H16,
IF(F33&gt;=59.5,'Kompetensi Dasar'!I16,'Kompetensi Dasar'!J16
)))</f>
        <v>Siswa sangat mampu mengamati, mengolah dan menyajikan struktur penulisan tanggal, bulan dan tahun untuk membantu dalam penyajian</v>
      </c>
    </row>
    <row r="34" spans="1:8" ht="155.25" customHeight="1" x14ac:dyDescent="0.25">
      <c r="A34" s="43">
        <v>10</v>
      </c>
      <c r="B34" s="44" t="str">
        <f>'Master Subject'!H17</f>
        <v>Bahasa Inggris</v>
      </c>
      <c r="C34" s="43">
        <f>VLOOKUP(D4,'Master Grade'!D18:Z42,20,FALSE)</f>
        <v>90</v>
      </c>
      <c r="D34" s="43" t="str">
        <f t="shared" ref="D34:D35" si="2">IF(C34&gt;=87.5,"A",IF(C34&gt;=73.5,"B",IF(C34&gt;=59.5,"C","D")))</f>
        <v>A</v>
      </c>
      <c r="E34" s="44" t="str">
        <f>IF(C34&gt;=87.5,'Kompetensi Dasar'!C17,
IF(C34&gt;=73.5,'Kompetensi Dasar'!D17,
IF(C34&gt;=59.5,'Kompetensi Dasar'!E17,'Kompetensi Dasar'!F17
)))</f>
        <v>Siswa sangat mampu Memahami penggunaan struktur kalimat perbandingan dengan baik dan benar.</v>
      </c>
      <c r="F34" s="43">
        <f>VLOOKUP(D4,'Master Grade'!D18:Z42,21,FALSE)</f>
        <v>90</v>
      </c>
      <c r="G34" s="43" t="str">
        <f t="shared" ref="G34:G35" si="3">IF(F34&gt;=87.5,"A",IF(F34&gt;=73.5,"B",IF(F34&gt;=59.5,"C","D")))</f>
        <v>A</v>
      </c>
      <c r="H34" s="44" t="str">
        <f>IF(F34&gt;=87.5,'Kompetensi Dasar'!G17,
IF(F34&gt;=73.5,'Kompetensi Dasar'!H17,
IF(F34&gt;=59.5,'Kompetensi Dasar'!I17,'Kompetensi Dasar'!J17
)))</f>
        <v>Siswa sangat mampu mengungkapkan kalimat perbandingan secara lisan maupun tulisan dengan kosakata yang majemuk untuk membantu penyajian.</v>
      </c>
    </row>
    <row r="35" spans="1:8" ht="185.25" customHeight="1" x14ac:dyDescent="0.25">
      <c r="A35" s="43">
        <v>11</v>
      </c>
      <c r="B35" s="44" t="str">
        <f>'Master Subject'!H18</f>
        <v>Komputer</v>
      </c>
      <c r="C35" s="78">
        <f>VLOOKUP(D4,'Master Grade'!D18:Z42,22,FALSE)</f>
        <v>90</v>
      </c>
      <c r="D35" s="43" t="str">
        <f t="shared" si="2"/>
        <v>A</v>
      </c>
      <c r="E35" s="44" t="str">
        <f>IF(C35&gt;=87.5,'Kompetensi Dasar'!C18,
IF(C35&gt;=73.5,'Kompetensi Dasar'!D18,
IF(C35&gt;=59.5,'Kompetensi Dasar'!E18,'Kompetensi Dasar'!F18
)))</f>
        <v xml:space="preserve">Siswa sangat mampu mengingat dan memahami teknik reflection effects, shadow effects dan cover book design yang ada pada program aplikasi adobe photoshop </v>
      </c>
      <c r="F35" s="78">
        <f>VLOOKUP(D4,'Master Grade'!D18:Z42,23,FALSE)</f>
        <v>90</v>
      </c>
      <c r="G35" s="43" t="str">
        <f t="shared" si="3"/>
        <v>A</v>
      </c>
      <c r="H35" s="44" t="str">
        <f>IF(F35&gt;=87.5,'Kompetensi Dasar'!G18,
IF(F35&gt;=73.5,'Kompetensi Dasar'!H18,
IF(F35&gt;=59.5,'Kompetensi Dasar'!I18,'Kompetensi Dasar'!J18
)))</f>
        <v>Siswa sangat mampu mengaplikasikan dan menganalisis teknik reflection effects, shadow effects dan book cover design pada objek yang dibuat di aplikasi adobe photoshop</v>
      </c>
    </row>
    <row r="36" spans="1:8" x14ac:dyDescent="0.25">
      <c r="A36" s="31"/>
      <c r="B36" s="31"/>
      <c r="C36" s="31"/>
      <c r="D36" s="31"/>
      <c r="E36" s="31"/>
      <c r="F36" s="31"/>
      <c r="G36" s="31"/>
      <c r="H36" s="31"/>
    </row>
    <row r="37" spans="1:8" x14ac:dyDescent="0.25">
      <c r="A37" s="31"/>
      <c r="B37" s="31"/>
      <c r="C37" s="31"/>
      <c r="D37" s="31"/>
      <c r="E37" s="31"/>
      <c r="F37" s="31"/>
      <c r="G37" s="31"/>
      <c r="H37" s="31"/>
    </row>
    <row r="38" spans="1:8" x14ac:dyDescent="0.25">
      <c r="A38" s="31"/>
      <c r="B38" s="31"/>
      <c r="C38" s="31"/>
      <c r="D38" s="31"/>
      <c r="E38" s="31"/>
      <c r="F38" s="31"/>
      <c r="G38" s="31"/>
      <c r="H38" s="31"/>
    </row>
    <row r="39" spans="1:8" x14ac:dyDescent="0.25">
      <c r="A39" s="36" t="s">
        <v>69</v>
      </c>
      <c r="B39" s="36" t="s">
        <v>125</v>
      </c>
      <c r="C39" s="32"/>
      <c r="D39" s="35"/>
      <c r="E39" s="35"/>
      <c r="F39" s="33"/>
      <c r="G39" s="33"/>
      <c r="H39" s="31"/>
    </row>
    <row r="40" spans="1:8" x14ac:dyDescent="0.25">
      <c r="A40" s="36"/>
      <c r="B40" s="36"/>
      <c r="C40" s="32"/>
      <c r="D40" s="35"/>
      <c r="E40" s="35"/>
      <c r="F40" s="33"/>
      <c r="G40" s="33"/>
      <c r="H40" s="31"/>
    </row>
    <row r="41" spans="1:8" x14ac:dyDescent="0.25">
      <c r="A41" s="68" t="s">
        <v>17</v>
      </c>
      <c r="B41" s="114" t="s">
        <v>126</v>
      </c>
      <c r="C41" s="114"/>
      <c r="D41" s="114"/>
      <c r="E41" s="114" t="s">
        <v>68</v>
      </c>
      <c r="F41" s="114"/>
      <c r="G41" s="114"/>
      <c r="H41" s="114"/>
    </row>
    <row r="42" spans="1:8" ht="15.75" customHeight="1" x14ac:dyDescent="0.25">
      <c r="A42" s="47">
        <v>1</v>
      </c>
      <c r="B42" s="137">
        <f>VLOOKUP(D4,'Master Grade'!D18:AR42,26,FALSE)</f>
        <v>0</v>
      </c>
      <c r="C42" s="137"/>
      <c r="D42" s="137"/>
      <c r="E42" s="137">
        <f>VLOOKUP(D4,'Master Grade'!D18:AR42,27,FALSE)</f>
        <v>0</v>
      </c>
      <c r="F42" s="137"/>
      <c r="G42" s="137"/>
      <c r="H42" s="137"/>
    </row>
    <row r="43" spans="1:8" ht="15.75" customHeight="1" x14ac:dyDescent="0.25">
      <c r="A43" s="47">
        <v>2</v>
      </c>
      <c r="B43" s="137">
        <f>VLOOKUP(D4,'Master Grade'!D18:AR42,28,FALSE)</f>
        <v>0</v>
      </c>
      <c r="C43" s="137"/>
      <c r="D43" s="137"/>
      <c r="E43" s="137">
        <f>VLOOKUP(D4,'Master Grade'!D18:AR42,29,FALSE)</f>
        <v>0</v>
      </c>
      <c r="F43" s="137"/>
      <c r="G43" s="137"/>
      <c r="H43" s="137"/>
    </row>
    <row r="44" spans="1:8" x14ac:dyDescent="0.25">
      <c r="A44" s="31"/>
      <c r="B44" s="31"/>
      <c r="C44" s="31"/>
      <c r="D44" s="31"/>
      <c r="E44" s="31"/>
      <c r="F44" s="31"/>
      <c r="G44" s="31"/>
      <c r="H44" s="31"/>
    </row>
    <row r="45" spans="1:8" x14ac:dyDescent="0.25">
      <c r="A45" s="31"/>
      <c r="B45" s="31"/>
      <c r="C45" s="31"/>
      <c r="D45" s="31"/>
      <c r="E45" s="31"/>
      <c r="F45" s="31"/>
      <c r="G45" s="31"/>
      <c r="H45" s="31"/>
    </row>
    <row r="46" spans="1:8" x14ac:dyDescent="0.25">
      <c r="A46" s="36" t="s">
        <v>70</v>
      </c>
      <c r="B46" s="36" t="s">
        <v>87</v>
      </c>
      <c r="C46" s="32"/>
      <c r="D46" s="35"/>
      <c r="E46" s="35"/>
      <c r="F46" s="33"/>
      <c r="G46" s="33"/>
      <c r="H46" s="31"/>
    </row>
    <row r="47" spans="1:8" x14ac:dyDescent="0.25">
      <c r="A47" s="36"/>
      <c r="B47" s="36"/>
      <c r="C47" s="32"/>
      <c r="D47" s="35"/>
      <c r="E47" s="35"/>
      <c r="F47" s="33"/>
      <c r="G47" s="33"/>
      <c r="H47" s="31"/>
    </row>
    <row r="48" spans="1:8" ht="18" customHeight="1" x14ac:dyDescent="0.25">
      <c r="A48" s="131">
        <f>VLOOKUP(D4,'Master Grade'!D18:AR42,30,FALSE)</f>
        <v>0</v>
      </c>
      <c r="B48" s="132"/>
      <c r="C48" s="132"/>
      <c r="D48" s="132"/>
      <c r="E48" s="132"/>
      <c r="F48" s="132"/>
      <c r="G48" s="132"/>
      <c r="H48" s="133"/>
    </row>
    <row r="49" spans="1:8" ht="18" customHeight="1" x14ac:dyDescent="0.25">
      <c r="A49" s="134"/>
      <c r="B49" s="135"/>
      <c r="C49" s="135"/>
      <c r="D49" s="135"/>
      <c r="E49" s="135"/>
      <c r="F49" s="135"/>
      <c r="G49" s="135"/>
      <c r="H49" s="136"/>
    </row>
    <row r="50" spans="1:8" x14ac:dyDescent="0.25">
      <c r="A50" s="31"/>
      <c r="B50" s="31"/>
      <c r="C50" s="31"/>
      <c r="D50" s="31"/>
      <c r="E50" s="31"/>
      <c r="F50" s="31"/>
      <c r="G50" s="31"/>
      <c r="H50" s="31"/>
    </row>
    <row r="51" spans="1:8" x14ac:dyDescent="0.25">
      <c r="A51" s="31"/>
      <c r="B51" s="31"/>
      <c r="C51" s="31"/>
      <c r="D51" s="31"/>
      <c r="E51" s="31"/>
      <c r="F51" s="31"/>
      <c r="G51" s="31"/>
      <c r="H51" s="31"/>
    </row>
    <row r="52" spans="1:8" x14ac:dyDescent="0.25">
      <c r="A52" s="36" t="s">
        <v>92</v>
      </c>
      <c r="B52" s="36" t="s">
        <v>88</v>
      </c>
      <c r="C52" s="32"/>
      <c r="D52" s="35"/>
      <c r="E52" s="35"/>
      <c r="F52" s="33"/>
      <c r="G52" s="33"/>
      <c r="H52" s="31"/>
    </row>
    <row r="53" spans="1:8" x14ac:dyDescent="0.25">
      <c r="A53" s="36"/>
      <c r="B53" s="36"/>
      <c r="C53" s="32"/>
      <c r="D53" s="35"/>
      <c r="E53" s="35"/>
      <c r="F53" s="33"/>
      <c r="G53" s="33"/>
      <c r="H53" s="31"/>
    </row>
    <row r="54" spans="1:8" x14ac:dyDescent="0.25">
      <c r="A54" s="48" t="s">
        <v>17</v>
      </c>
      <c r="B54" s="114" t="s">
        <v>71</v>
      </c>
      <c r="C54" s="114"/>
      <c r="D54" s="114"/>
      <c r="E54" s="114" t="s">
        <v>68</v>
      </c>
      <c r="F54" s="114"/>
      <c r="G54" s="114"/>
      <c r="H54" s="114"/>
    </row>
    <row r="55" spans="1:8" x14ac:dyDescent="0.25">
      <c r="A55" s="47">
        <v>1</v>
      </c>
      <c r="B55" s="137" t="s">
        <v>72</v>
      </c>
      <c r="C55" s="137"/>
      <c r="D55" s="137"/>
      <c r="E55" s="138" t="str">
        <f>VLOOKUP(D4,'Master Grade'!D18:AR42,31,FALSE) &amp;" " &amp; "Kg"</f>
        <v xml:space="preserve"> Kg</v>
      </c>
      <c r="F55" s="138"/>
      <c r="G55" s="138"/>
      <c r="H55" s="138"/>
    </row>
    <row r="56" spans="1:8" x14ac:dyDescent="0.25">
      <c r="A56" s="47">
        <v>2</v>
      </c>
      <c r="B56" s="137" t="s">
        <v>73</v>
      </c>
      <c r="C56" s="137"/>
      <c r="D56" s="137"/>
      <c r="E56" s="138" t="str">
        <f>VLOOKUP(D4,'Master Grade'!D18:AR42,32,FALSE)&amp; " " &amp; "Cm"</f>
        <v xml:space="preserve"> Cm</v>
      </c>
      <c r="F56" s="138"/>
      <c r="G56" s="138"/>
      <c r="H56" s="138"/>
    </row>
    <row r="57" spans="1:8" x14ac:dyDescent="0.25">
      <c r="A57" s="31"/>
      <c r="B57" s="31"/>
      <c r="C57" s="31"/>
      <c r="D57" s="31"/>
      <c r="E57" s="31"/>
      <c r="F57" s="31"/>
      <c r="G57" s="31"/>
      <c r="H57" s="31"/>
    </row>
    <row r="58" spans="1:8" x14ac:dyDescent="0.25">
      <c r="A58" s="31"/>
      <c r="B58" s="31"/>
      <c r="C58" s="31"/>
      <c r="D58" s="31"/>
      <c r="E58" s="31"/>
      <c r="F58" s="31"/>
      <c r="G58" s="31"/>
      <c r="H58" s="31"/>
    </row>
    <row r="59" spans="1:8" x14ac:dyDescent="0.25">
      <c r="A59" s="36" t="s">
        <v>91</v>
      </c>
      <c r="B59" s="36" t="s">
        <v>90</v>
      </c>
      <c r="C59" s="32"/>
      <c r="D59" s="35"/>
      <c r="E59" s="35"/>
      <c r="F59" s="33"/>
      <c r="G59" s="33"/>
      <c r="H59" s="31"/>
    </row>
    <row r="60" spans="1:8" x14ac:dyDescent="0.25">
      <c r="A60" s="36"/>
      <c r="B60" s="36"/>
      <c r="C60" s="32"/>
      <c r="D60" s="35"/>
      <c r="E60" s="35"/>
      <c r="F60" s="33"/>
      <c r="G60" s="33"/>
      <c r="H60" s="31"/>
    </row>
    <row r="61" spans="1:8" x14ac:dyDescent="0.25">
      <c r="A61" s="49" t="s">
        <v>17</v>
      </c>
      <c r="B61" s="114" t="s">
        <v>95</v>
      </c>
      <c r="C61" s="114"/>
      <c r="D61" s="114"/>
      <c r="E61" s="114" t="s">
        <v>68</v>
      </c>
      <c r="F61" s="114"/>
      <c r="G61" s="114"/>
      <c r="H61" s="114"/>
    </row>
    <row r="62" spans="1:8" x14ac:dyDescent="0.25">
      <c r="A62" s="47">
        <v>1</v>
      </c>
      <c r="B62" s="137" t="s">
        <v>74</v>
      </c>
      <c r="C62" s="137"/>
      <c r="D62" s="137"/>
      <c r="E62" s="137">
        <f>VLOOKUP(D4,'Master Grade'!D18:AR42,33,FALSE)</f>
        <v>0</v>
      </c>
      <c r="F62" s="137"/>
      <c r="G62" s="137"/>
      <c r="H62" s="137"/>
    </row>
    <row r="63" spans="1:8" x14ac:dyDescent="0.25">
      <c r="A63" s="47">
        <v>2</v>
      </c>
      <c r="B63" s="137" t="s">
        <v>75</v>
      </c>
      <c r="C63" s="137"/>
      <c r="D63" s="137"/>
      <c r="E63" s="137">
        <f>VLOOKUP(D4,'Master Grade'!D18:AR42,34,FALSE)</f>
        <v>0</v>
      </c>
      <c r="F63" s="137"/>
      <c r="G63" s="137"/>
      <c r="H63" s="137"/>
    </row>
    <row r="64" spans="1:8" x14ac:dyDescent="0.25">
      <c r="A64" s="31"/>
      <c r="B64" s="31"/>
      <c r="C64" s="31"/>
      <c r="D64" s="31"/>
      <c r="E64" s="31"/>
      <c r="F64" s="31"/>
      <c r="G64" s="31"/>
      <c r="H64" s="31"/>
    </row>
    <row r="65" spans="1:8" x14ac:dyDescent="0.25">
      <c r="A65" s="31"/>
      <c r="B65" s="31"/>
      <c r="C65" s="31"/>
      <c r="D65" s="31"/>
      <c r="E65" s="31"/>
      <c r="F65" s="31"/>
      <c r="G65" s="31"/>
      <c r="H65" s="31"/>
    </row>
    <row r="66" spans="1:8" x14ac:dyDescent="0.25">
      <c r="A66" s="36" t="s">
        <v>93</v>
      </c>
      <c r="B66" s="36" t="s">
        <v>76</v>
      </c>
      <c r="C66" s="32"/>
      <c r="D66" s="35"/>
      <c r="E66" s="35"/>
      <c r="F66" s="33"/>
      <c r="G66" s="33"/>
      <c r="H66" s="31"/>
    </row>
    <row r="67" spans="1:8" x14ac:dyDescent="0.25">
      <c r="A67" s="36"/>
      <c r="B67" s="36"/>
      <c r="C67" s="32"/>
      <c r="D67" s="35"/>
      <c r="E67" s="35"/>
      <c r="F67" s="33"/>
      <c r="G67" s="33"/>
      <c r="H67" s="31"/>
    </row>
    <row r="68" spans="1:8" x14ac:dyDescent="0.25">
      <c r="A68" s="49" t="s">
        <v>17</v>
      </c>
      <c r="B68" s="114" t="s">
        <v>96</v>
      </c>
      <c r="C68" s="114"/>
      <c r="D68" s="114"/>
      <c r="E68" s="114" t="s">
        <v>68</v>
      </c>
      <c r="F68" s="114"/>
      <c r="G68" s="114"/>
      <c r="H68" s="114"/>
    </row>
    <row r="69" spans="1:8" x14ac:dyDescent="0.25">
      <c r="A69" s="47">
        <v>1</v>
      </c>
      <c r="B69" s="137">
        <f>VLOOKUP(D4,'Master Grade'!D18:AR42,35,FALSE)</f>
        <v>0</v>
      </c>
      <c r="C69" s="137"/>
      <c r="D69" s="137"/>
      <c r="E69" s="137">
        <f>VLOOKUP(D4,'Master Grade'!D18:AR42,36,FALSE)</f>
        <v>0</v>
      </c>
      <c r="F69" s="137"/>
      <c r="G69" s="137"/>
      <c r="H69" s="137"/>
    </row>
    <row r="70" spans="1:8" x14ac:dyDescent="0.25">
      <c r="A70" s="47">
        <v>2</v>
      </c>
      <c r="B70" s="137">
        <f>VLOOKUP(D4,'Master Grade'!D18:AR42,37,FALSE)</f>
        <v>0</v>
      </c>
      <c r="C70" s="137"/>
      <c r="D70" s="137"/>
      <c r="E70" s="137">
        <f>VLOOKUP(D4,'Master Grade'!D18:AR42,38,FALSE)</f>
        <v>0</v>
      </c>
      <c r="F70" s="137"/>
      <c r="G70" s="137"/>
      <c r="H70" s="137"/>
    </row>
    <row r="71" spans="1:8" x14ac:dyDescent="0.25">
      <c r="A71" s="31"/>
      <c r="B71" s="31"/>
      <c r="C71" s="31"/>
      <c r="D71" s="31"/>
      <c r="E71" s="31"/>
      <c r="F71" s="31"/>
      <c r="G71" s="31"/>
      <c r="H71" s="31"/>
    </row>
    <row r="72" spans="1:8" x14ac:dyDescent="0.25">
      <c r="A72" s="31"/>
      <c r="B72" s="31"/>
      <c r="C72" s="31"/>
      <c r="D72" s="31"/>
      <c r="E72" s="31"/>
      <c r="F72" s="31"/>
      <c r="G72" s="31"/>
      <c r="H72" s="31"/>
    </row>
    <row r="73" spans="1:8" x14ac:dyDescent="0.25">
      <c r="A73" s="31"/>
      <c r="B73" s="31"/>
      <c r="C73" s="31"/>
      <c r="D73" s="31"/>
      <c r="E73" s="31"/>
      <c r="F73" s="31"/>
      <c r="G73" s="31"/>
      <c r="H73" s="31"/>
    </row>
    <row r="74" spans="1:8" ht="15.75" x14ac:dyDescent="0.25">
      <c r="A74" s="36" t="s">
        <v>94</v>
      </c>
      <c r="B74" s="36" t="s">
        <v>77</v>
      </c>
      <c r="C74" s="51"/>
      <c r="D74" s="52"/>
      <c r="E74" s="52"/>
      <c r="F74" s="53"/>
      <c r="G74" s="53"/>
    </row>
    <row r="75" spans="1:8" ht="15.75" x14ac:dyDescent="0.25">
      <c r="A75" s="50"/>
      <c r="B75" s="50"/>
      <c r="C75" s="51"/>
      <c r="D75" s="52"/>
      <c r="E75" s="52"/>
      <c r="F75" s="53"/>
      <c r="G75" s="53"/>
    </row>
    <row r="76" spans="1:8" x14ac:dyDescent="0.25">
      <c r="A76" s="139" t="s">
        <v>80</v>
      </c>
      <c r="B76" s="139"/>
      <c r="C76" s="139"/>
      <c r="D76" s="139"/>
      <c r="E76" s="142" t="str">
        <f>VLOOKUP(D4,'Master Grade'!D18:AR42,39,FALSE) &amp; " " &amp; "Hari"</f>
        <v xml:space="preserve"> Hari</v>
      </c>
      <c r="F76" s="142"/>
      <c r="G76" s="142"/>
      <c r="H76" s="142"/>
    </row>
    <row r="77" spans="1:8" x14ac:dyDescent="0.25">
      <c r="A77" s="139" t="s">
        <v>79</v>
      </c>
      <c r="B77" s="139"/>
      <c r="C77" s="139"/>
      <c r="D77" s="139"/>
      <c r="E77" s="142" t="str">
        <f>VLOOKUP(D4,'Master Grade'!D18:AR42,40,FALSE) &amp; " " &amp; "Hari"</f>
        <v xml:space="preserve"> Hari</v>
      </c>
      <c r="F77" s="142"/>
      <c r="G77" s="142"/>
      <c r="H77" s="142"/>
    </row>
    <row r="78" spans="1:8" x14ac:dyDescent="0.25">
      <c r="A78" s="139" t="s">
        <v>78</v>
      </c>
      <c r="B78" s="139"/>
      <c r="C78" s="139"/>
      <c r="D78" s="139"/>
      <c r="E78" s="142" t="str">
        <f>VLOOKUP(D4,'Master Grade'!D18:AR42,41,FALSE) &amp; " " &amp; "Hari"</f>
        <v xml:space="preserve"> Hari</v>
      </c>
      <c r="F78" s="142"/>
      <c r="G78" s="142"/>
      <c r="H78" s="142"/>
    </row>
    <row r="79" spans="1:8" x14ac:dyDescent="0.25">
      <c r="H79" s="58"/>
    </row>
    <row r="81" spans="2:8" x14ac:dyDescent="0.25">
      <c r="G81" s="59" t="s">
        <v>117</v>
      </c>
      <c r="H81" s="60">
        <f>'Master Grade'!D12</f>
        <v>0</v>
      </c>
    </row>
    <row r="82" spans="2:8" ht="6" customHeight="1" x14ac:dyDescent="0.25"/>
    <row r="83" spans="2:8" x14ac:dyDescent="0.25">
      <c r="B83" s="54" t="s">
        <v>81</v>
      </c>
      <c r="C83" s="54"/>
      <c r="D83" s="54"/>
      <c r="E83" s="54" t="s">
        <v>83</v>
      </c>
      <c r="F83" s="54"/>
      <c r="G83" s="141" t="s">
        <v>84</v>
      </c>
      <c r="H83" s="141"/>
    </row>
    <row r="84" spans="2:8" x14ac:dyDescent="0.25">
      <c r="B84" s="54"/>
      <c r="C84" s="54"/>
      <c r="D84" s="54"/>
      <c r="E84" s="54"/>
      <c r="F84" s="54"/>
      <c r="G84" s="54"/>
      <c r="H84" s="54"/>
    </row>
    <row r="85" spans="2:8" x14ac:dyDescent="0.25">
      <c r="B85" s="54"/>
      <c r="C85" s="54"/>
      <c r="D85" s="54"/>
      <c r="E85" s="54"/>
      <c r="F85" s="54"/>
      <c r="G85" s="54"/>
      <c r="H85" s="54"/>
    </row>
    <row r="86" spans="2:8" x14ac:dyDescent="0.25">
      <c r="B86" s="54"/>
      <c r="C86" s="54"/>
      <c r="D86" s="54"/>
      <c r="E86" s="54"/>
      <c r="F86" s="54"/>
      <c r="G86" s="54"/>
      <c r="H86" s="54"/>
    </row>
    <row r="87" spans="2:8" x14ac:dyDescent="0.25">
      <c r="B87" s="54"/>
      <c r="C87" s="54"/>
      <c r="D87" s="54"/>
      <c r="E87" s="54"/>
      <c r="F87" s="54"/>
      <c r="G87" s="54"/>
      <c r="H87" s="54"/>
    </row>
    <row r="88" spans="2:8" x14ac:dyDescent="0.25">
      <c r="B88" s="54" t="s">
        <v>82</v>
      </c>
      <c r="C88" s="54"/>
      <c r="D88" s="54"/>
      <c r="E88" s="55" t="s">
        <v>85</v>
      </c>
      <c r="F88" s="55"/>
      <c r="G88" s="140">
        <f>'Master Grade'!D13</f>
        <v>0</v>
      </c>
      <c r="H88" s="140"/>
    </row>
  </sheetData>
  <sheetProtection selectLockedCells="1"/>
  <dataConsolidate/>
  <mergeCells count="59">
    <mergeCell ref="A78:D78"/>
    <mergeCell ref="G88:H88"/>
    <mergeCell ref="G83:H83"/>
    <mergeCell ref="E76:H76"/>
    <mergeCell ref="E77:H77"/>
    <mergeCell ref="A76:D76"/>
    <mergeCell ref="A77:D77"/>
    <mergeCell ref="E78:H78"/>
    <mergeCell ref="B68:D68"/>
    <mergeCell ref="E68:H68"/>
    <mergeCell ref="B69:D69"/>
    <mergeCell ref="E69:H69"/>
    <mergeCell ref="B70:D70"/>
    <mergeCell ref="E70:H70"/>
    <mergeCell ref="B61:D61"/>
    <mergeCell ref="E61:H61"/>
    <mergeCell ref="B62:D62"/>
    <mergeCell ref="E62:H62"/>
    <mergeCell ref="B63:D63"/>
    <mergeCell ref="E63:H63"/>
    <mergeCell ref="B54:D54"/>
    <mergeCell ref="E54:H54"/>
    <mergeCell ref="B55:D55"/>
    <mergeCell ref="E55:H55"/>
    <mergeCell ref="B56:D56"/>
    <mergeCell ref="E56:H56"/>
    <mergeCell ref="A48:H49"/>
    <mergeCell ref="E41:H41"/>
    <mergeCell ref="B41:D41"/>
    <mergeCell ref="B42:D42"/>
    <mergeCell ref="B43:D43"/>
    <mergeCell ref="E42:H42"/>
    <mergeCell ref="E43:H43"/>
    <mergeCell ref="B30:H30"/>
    <mergeCell ref="B31:B32"/>
    <mergeCell ref="C31:E31"/>
    <mergeCell ref="F31:H31"/>
    <mergeCell ref="A30:A32"/>
    <mergeCell ref="A2:H2"/>
    <mergeCell ref="A4:B4"/>
    <mergeCell ref="A5:B5"/>
    <mergeCell ref="A6:B6"/>
    <mergeCell ref="A7:B7"/>
    <mergeCell ref="D4:E4"/>
    <mergeCell ref="D5:E5"/>
    <mergeCell ref="D6:E6"/>
    <mergeCell ref="D7:E8"/>
    <mergeCell ref="A20:A21"/>
    <mergeCell ref="B20:B21"/>
    <mergeCell ref="C20:E20"/>
    <mergeCell ref="F20:H20"/>
    <mergeCell ref="F4:G4"/>
    <mergeCell ref="F5:G5"/>
    <mergeCell ref="F6:G6"/>
    <mergeCell ref="A13:H13"/>
    <mergeCell ref="A14:B14"/>
    <mergeCell ref="C14:H14"/>
    <mergeCell ref="A15:B15"/>
    <mergeCell ref="C15:H15"/>
  </mergeCells>
  <dataValidations count="1">
    <dataValidation type="list" allowBlank="1" showInputMessage="1" showErrorMessage="1" sqref="D4:E4">
      <formula1>siswa</formula1>
    </dataValidation>
  </dataValidations>
  <pageMargins left="0.20866141699999999" right="0.20866141699999999" top="0.74803149606299202" bottom="0.74803149606299202" header="0.31496062992126" footer="0.31496062992126"/>
  <pageSetup paperSize="9" orientation="portrait" verticalDpi="300" r:id="rId1"/>
  <headerFooter>
    <oddHeader>&amp;C&amp;G</oddHeader>
    <oddFooter>&amp;L&amp;10Nama Siswa/Kelas/Tahun Ajaran&amp;R&amp;P</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errorTitle="Kesalahan!" error="Silahkan pilih siswa dengan dropdown" promptTitle="Choose Student" prompt="Choose Student">
          <x14:formula1>
            <xm:f>'Master Student'!$I$8:$I$29</xm:f>
          </x14:formula1>
          <xm:sqref>D4:E4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70" zoomScaleNormal="70" workbookViewId="0">
      <selection activeCell="C6" sqref="C6"/>
    </sheetView>
  </sheetViews>
  <sheetFormatPr defaultRowHeight="15" x14ac:dyDescent="0.25"/>
  <cols>
    <col min="1" max="1" width="5.42578125" style="70" customWidth="1"/>
    <col min="2" max="2" width="41.140625" style="70" customWidth="1"/>
    <col min="3" max="10" width="38.140625" style="70" customWidth="1"/>
    <col min="11" max="16384" width="9.140625" style="70"/>
  </cols>
  <sheetData>
    <row r="1" spans="1:10" ht="30" customHeight="1" x14ac:dyDescent="0.25">
      <c r="A1" s="144" t="s">
        <v>150</v>
      </c>
      <c r="B1" s="144"/>
      <c r="C1" s="144"/>
      <c r="D1" s="144"/>
      <c r="E1" s="144"/>
      <c r="F1" s="144"/>
      <c r="G1" s="144"/>
    </row>
    <row r="2" spans="1:10" ht="30" customHeight="1" x14ac:dyDescent="0.25">
      <c r="A2" s="143" t="s">
        <v>17</v>
      </c>
      <c r="B2" s="143" t="s">
        <v>135</v>
      </c>
      <c r="C2" s="145" t="s">
        <v>136</v>
      </c>
      <c r="D2" s="145"/>
      <c r="E2" s="145"/>
      <c r="F2" s="145"/>
      <c r="G2" s="145" t="s">
        <v>137</v>
      </c>
      <c r="H2" s="145"/>
      <c r="I2" s="145"/>
      <c r="J2" s="145"/>
    </row>
    <row r="3" spans="1:10" ht="15.75" x14ac:dyDescent="0.25">
      <c r="A3" s="143"/>
      <c r="B3" s="143"/>
      <c r="C3" s="77" t="s">
        <v>138</v>
      </c>
      <c r="D3" s="77" t="s">
        <v>139</v>
      </c>
      <c r="E3" s="77" t="s">
        <v>140</v>
      </c>
      <c r="F3" s="77" t="s">
        <v>141</v>
      </c>
      <c r="G3" s="77" t="s">
        <v>138</v>
      </c>
      <c r="H3" s="77" t="s">
        <v>139</v>
      </c>
      <c r="I3" s="77" t="s">
        <v>140</v>
      </c>
      <c r="J3" s="77" t="s">
        <v>141</v>
      </c>
    </row>
    <row r="4" spans="1:10" ht="78.75" x14ac:dyDescent="0.25">
      <c r="A4" s="71">
        <v>1</v>
      </c>
      <c r="B4" s="72" t="s">
        <v>142</v>
      </c>
      <c r="C4" s="73" t="s">
        <v>151</v>
      </c>
      <c r="D4" s="73" t="s">
        <v>152</v>
      </c>
      <c r="E4" s="73" t="s">
        <v>153</v>
      </c>
      <c r="F4" s="73" t="s">
        <v>154</v>
      </c>
      <c r="G4" s="73" t="s">
        <v>155</v>
      </c>
      <c r="H4" s="73" t="s">
        <v>156</v>
      </c>
      <c r="I4" s="73" t="s">
        <v>157</v>
      </c>
      <c r="J4" s="73" t="s">
        <v>158</v>
      </c>
    </row>
    <row r="5" spans="1:10" ht="63" x14ac:dyDescent="0.25">
      <c r="A5" s="71">
        <v>2</v>
      </c>
      <c r="B5" s="72" t="s">
        <v>143</v>
      </c>
      <c r="C5" s="73" t="s">
        <v>159</v>
      </c>
      <c r="D5" s="73" t="s">
        <v>160</v>
      </c>
      <c r="E5" s="73" t="s">
        <v>161</v>
      </c>
      <c r="F5" s="73" t="s">
        <v>162</v>
      </c>
      <c r="G5" s="73" t="s">
        <v>163</v>
      </c>
      <c r="H5" s="73" t="s">
        <v>164</v>
      </c>
      <c r="I5" s="73" t="s">
        <v>165</v>
      </c>
      <c r="J5" s="73" t="s">
        <v>166</v>
      </c>
    </row>
    <row r="6" spans="1:10" ht="78.75" x14ac:dyDescent="0.25">
      <c r="A6" s="71">
        <v>3</v>
      </c>
      <c r="B6" s="72" t="s">
        <v>144</v>
      </c>
      <c r="C6" s="73" t="s">
        <v>167</v>
      </c>
      <c r="D6" s="73" t="s">
        <v>168</v>
      </c>
      <c r="E6" s="73" t="s">
        <v>169</v>
      </c>
      <c r="F6" s="73" t="s">
        <v>170</v>
      </c>
      <c r="G6" s="73" t="s">
        <v>171</v>
      </c>
      <c r="H6" s="73" t="s">
        <v>172</v>
      </c>
      <c r="I6" s="73" t="s">
        <v>173</v>
      </c>
      <c r="J6" s="73" t="s">
        <v>174</v>
      </c>
    </row>
    <row r="7" spans="1:10" ht="94.5" x14ac:dyDescent="0.25">
      <c r="A7" s="71">
        <v>4</v>
      </c>
      <c r="B7" s="72" t="s">
        <v>145</v>
      </c>
      <c r="C7" s="73" t="s">
        <v>175</v>
      </c>
      <c r="D7" s="73" t="s">
        <v>176</v>
      </c>
      <c r="E7" s="73" t="s">
        <v>177</v>
      </c>
      <c r="F7" s="73" t="s">
        <v>178</v>
      </c>
      <c r="G7" s="73" t="s">
        <v>179</v>
      </c>
      <c r="H7" s="73" t="s">
        <v>180</v>
      </c>
      <c r="I7" s="73" t="s">
        <v>181</v>
      </c>
      <c r="J7" s="73" t="s">
        <v>182</v>
      </c>
    </row>
    <row r="8" spans="1:10" ht="31.5" x14ac:dyDescent="0.25">
      <c r="A8" s="71">
        <v>5</v>
      </c>
      <c r="B8" s="72" t="s">
        <v>146</v>
      </c>
      <c r="C8" s="73"/>
      <c r="D8" s="73"/>
      <c r="E8" s="73"/>
      <c r="F8" s="73"/>
      <c r="G8" s="73"/>
      <c r="H8" s="73"/>
      <c r="I8" s="73"/>
      <c r="J8" s="73"/>
    </row>
    <row r="9" spans="1:10" ht="78.75" x14ac:dyDescent="0.25">
      <c r="A9" s="71">
        <v>6</v>
      </c>
      <c r="B9" s="74" t="s">
        <v>60</v>
      </c>
      <c r="C9" s="73" t="s">
        <v>183</v>
      </c>
      <c r="D9" s="73" t="s">
        <v>184</v>
      </c>
      <c r="E9" s="73" t="s">
        <v>185</v>
      </c>
      <c r="F9" s="73" t="s">
        <v>186</v>
      </c>
      <c r="G9" s="73" t="s">
        <v>187</v>
      </c>
      <c r="H9" s="73" t="s">
        <v>188</v>
      </c>
      <c r="I9" s="73" t="s">
        <v>189</v>
      </c>
      <c r="J9" s="73" t="s">
        <v>190</v>
      </c>
    </row>
    <row r="10" spans="1:10" ht="141.75" x14ac:dyDescent="0.25">
      <c r="A10" s="71">
        <v>7</v>
      </c>
      <c r="B10" s="75" t="s">
        <v>27</v>
      </c>
      <c r="C10" s="73" t="s">
        <v>191</v>
      </c>
      <c r="D10" s="73" t="s">
        <v>192</v>
      </c>
      <c r="E10" s="73" t="s">
        <v>193</v>
      </c>
      <c r="F10" s="73" t="s">
        <v>194</v>
      </c>
      <c r="G10" s="73" t="s">
        <v>195</v>
      </c>
      <c r="H10" s="73" t="s">
        <v>196</v>
      </c>
      <c r="I10" s="73" t="s">
        <v>197</v>
      </c>
      <c r="J10" s="73" t="s">
        <v>198</v>
      </c>
    </row>
    <row r="11" spans="1:10" ht="189" x14ac:dyDescent="0.25">
      <c r="A11" s="71">
        <v>8</v>
      </c>
      <c r="B11" s="75" t="s">
        <v>28</v>
      </c>
      <c r="C11" s="73" t="s">
        <v>199</v>
      </c>
      <c r="D11" s="73" t="s">
        <v>200</v>
      </c>
      <c r="E11" s="73" t="s">
        <v>201</v>
      </c>
      <c r="F11" s="73" t="s">
        <v>202</v>
      </c>
      <c r="G11" s="73" t="s">
        <v>203</v>
      </c>
      <c r="H11" s="73" t="s">
        <v>204</v>
      </c>
      <c r="I11" s="73" t="s">
        <v>205</v>
      </c>
      <c r="J11" s="73" t="s">
        <v>206</v>
      </c>
    </row>
    <row r="12" spans="1:10" ht="94.5" x14ac:dyDescent="0.25">
      <c r="A12" s="71">
        <v>9</v>
      </c>
      <c r="B12" s="75" t="s">
        <v>29</v>
      </c>
      <c r="C12" s="73" t="s">
        <v>207</v>
      </c>
      <c r="D12" s="73" t="s">
        <v>208</v>
      </c>
      <c r="E12" s="73" t="s">
        <v>209</v>
      </c>
      <c r="F12" s="73" t="s">
        <v>210</v>
      </c>
      <c r="G12" s="73" t="s">
        <v>211</v>
      </c>
      <c r="H12" s="73" t="s">
        <v>212</v>
      </c>
      <c r="I12" s="73" t="s">
        <v>213</v>
      </c>
      <c r="J12" s="73" t="s">
        <v>214</v>
      </c>
    </row>
    <row r="13" spans="1:10" ht="126" x14ac:dyDescent="0.25">
      <c r="A13" s="71">
        <v>10</v>
      </c>
      <c r="B13" s="75" t="s">
        <v>30</v>
      </c>
      <c r="C13" s="73" t="s">
        <v>215</v>
      </c>
      <c r="D13" s="73" t="s">
        <v>216</v>
      </c>
      <c r="E13" s="73" t="s">
        <v>217</v>
      </c>
      <c r="F13" s="73" t="s">
        <v>218</v>
      </c>
      <c r="G13" s="73" t="s">
        <v>219</v>
      </c>
      <c r="H13" s="73" t="s">
        <v>220</v>
      </c>
      <c r="I13" s="73" t="s">
        <v>221</v>
      </c>
      <c r="J13" s="73" t="s">
        <v>222</v>
      </c>
    </row>
    <row r="14" spans="1:10" ht="78.75" x14ac:dyDescent="0.25">
      <c r="A14" s="71">
        <v>11</v>
      </c>
      <c r="B14" s="72" t="s">
        <v>31</v>
      </c>
      <c r="C14" s="73" t="s">
        <v>223</v>
      </c>
      <c r="D14" s="73" t="s">
        <v>224</v>
      </c>
      <c r="E14" s="73" t="s">
        <v>225</v>
      </c>
      <c r="F14" s="73" t="s">
        <v>226</v>
      </c>
      <c r="G14" s="73" t="s">
        <v>227</v>
      </c>
      <c r="H14" s="73" t="s">
        <v>228</v>
      </c>
      <c r="I14" s="73" t="s">
        <v>229</v>
      </c>
      <c r="J14" s="73" t="s">
        <v>230</v>
      </c>
    </row>
    <row r="15" spans="1:10" ht="78.75" x14ac:dyDescent="0.25">
      <c r="A15" s="71">
        <v>12</v>
      </c>
      <c r="B15" s="75" t="s">
        <v>32</v>
      </c>
      <c r="C15" s="73" t="s">
        <v>231</v>
      </c>
      <c r="D15" s="73" t="s">
        <v>232</v>
      </c>
      <c r="E15" s="73" t="s">
        <v>233</v>
      </c>
      <c r="F15" s="73" t="s">
        <v>234</v>
      </c>
      <c r="G15" s="73" t="s">
        <v>235</v>
      </c>
      <c r="H15" s="73" t="s">
        <v>236</v>
      </c>
      <c r="I15" s="73" t="s">
        <v>237</v>
      </c>
      <c r="J15" s="73" t="s">
        <v>238</v>
      </c>
    </row>
    <row r="16" spans="1:10" ht="94.5" x14ac:dyDescent="0.25">
      <c r="A16" s="71">
        <v>13</v>
      </c>
      <c r="B16" s="72" t="s">
        <v>33</v>
      </c>
      <c r="C16" s="73" t="s">
        <v>239</v>
      </c>
      <c r="D16" s="73" t="s">
        <v>240</v>
      </c>
      <c r="E16" s="73" t="s">
        <v>241</v>
      </c>
      <c r="F16" s="73" t="s">
        <v>242</v>
      </c>
      <c r="G16" s="73" t="s">
        <v>243</v>
      </c>
      <c r="H16" s="73" t="s">
        <v>244</v>
      </c>
      <c r="I16" s="73" t="s">
        <v>245</v>
      </c>
      <c r="J16" s="73" t="s">
        <v>246</v>
      </c>
    </row>
    <row r="17" spans="1:10" ht="94.5" x14ac:dyDescent="0.25">
      <c r="A17" s="71">
        <v>14</v>
      </c>
      <c r="B17" s="75" t="s">
        <v>34</v>
      </c>
      <c r="C17" s="73" t="s">
        <v>247</v>
      </c>
      <c r="D17" s="73" t="s">
        <v>248</v>
      </c>
      <c r="E17" s="73" t="s">
        <v>249</v>
      </c>
      <c r="F17" s="73" t="s">
        <v>250</v>
      </c>
      <c r="G17" s="73" t="s">
        <v>251</v>
      </c>
      <c r="H17" s="73" t="s">
        <v>252</v>
      </c>
      <c r="I17" s="73" t="s">
        <v>253</v>
      </c>
      <c r="J17" s="73" t="s">
        <v>254</v>
      </c>
    </row>
    <row r="18" spans="1:10" ht="110.25" x14ac:dyDescent="0.25">
      <c r="A18" s="71">
        <v>15</v>
      </c>
      <c r="B18" s="76" t="s">
        <v>100</v>
      </c>
      <c r="C18" s="73" t="s">
        <v>255</v>
      </c>
      <c r="D18" s="73" t="s">
        <v>256</v>
      </c>
      <c r="E18" s="73" t="s">
        <v>257</v>
      </c>
      <c r="F18" s="73" t="s">
        <v>258</v>
      </c>
      <c r="G18" s="73" t="s">
        <v>259</v>
      </c>
      <c r="H18" s="73" t="s">
        <v>260</v>
      </c>
      <c r="I18" s="73" t="s">
        <v>261</v>
      </c>
      <c r="J18" s="73" t="s">
        <v>262</v>
      </c>
    </row>
  </sheetData>
  <mergeCells count="5">
    <mergeCell ref="A1:G1"/>
    <mergeCell ref="A2:A3"/>
    <mergeCell ref="B2:B3"/>
    <mergeCell ref="C2:F2"/>
    <mergeCell ref="G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Master Student</vt:lpstr>
      <vt:lpstr>Master Subject</vt:lpstr>
      <vt:lpstr>Master Data</vt:lpstr>
      <vt:lpstr>Master Grade</vt:lpstr>
      <vt:lpstr>Final Report</vt:lpstr>
      <vt:lpstr>Kompetensi Dasar</vt:lpstr>
      <vt:lpstr>Kg</vt:lpstr>
      <vt:lpstr>siswa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2020-12-17T14:04:44Z</cp:lastPrinted>
  <dcterms:created xsi:type="dcterms:W3CDTF">2019-12-18T01:28:00Z</dcterms:created>
  <dcterms:modified xsi:type="dcterms:W3CDTF">2020-12-17T15:41:35Z</dcterms:modified>
</cp:coreProperties>
</file>