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Git from Snowball\"/>
    </mc:Choice>
  </mc:AlternateContent>
  <xr:revisionPtr revIDLastSave="0" documentId="13_ncr:1_{A3A2C5D2-C676-43BB-A445-CE7F949CE519}" xr6:coauthVersionLast="47" xr6:coauthVersionMax="47" xr10:uidLastSave="{00000000-0000-0000-0000-000000000000}"/>
  <bookViews>
    <workbookView xWindow="-120" yWindow="-120" windowWidth="29040" windowHeight="15840" firstSheet="5" activeTab="6" xr2:uid="{D2BD1ABA-D59C-A14B-B4BB-93378A3E5EF6}"/>
  </bookViews>
  <sheets>
    <sheet name="Example" sheetId="1" r:id="rId1"/>
    <sheet name="23yrs-15 endowment" sheetId="2" r:id="rId2"/>
    <sheet name="30yrs-15 endowment (2)" sheetId="3" state="hidden" r:id="rId3"/>
    <sheet name="40yrs-15 endowment (3)" sheetId="4" state="hidden" r:id="rId4"/>
    <sheet name="Sheet3" sheetId="5" state="hidden" r:id="rId5"/>
    <sheet name="Template" sheetId="6" r:id="rId6"/>
    <sheet name="Endownment Dynamic" sheetId="7" r:id="rId7"/>
    <sheet name="Whole-Life" sheetId="8" r:id="rId8"/>
    <sheet name="Anticipated Endowment_NA" sheetId="9" r:id="rId9"/>
    <sheet name="Amrit Barsha Money Back" sheetId="10" r:id="rId10"/>
    <sheet name="Table1" sheetId="12" r:id="rId11"/>
  </sheets>
  <definedNames>
    <definedName name="ExternalData_1" localSheetId="10" hidden="1">Table1!$B$2:$D$58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S6" i="7"/>
  <c r="T6" i="7"/>
  <c r="U6" i="7"/>
  <c r="V6" i="7"/>
  <c r="W6" i="7"/>
  <c r="X6" i="7"/>
  <c r="Y6" i="7"/>
  <c r="Z6" i="7"/>
  <c r="AA6" i="7"/>
  <c r="AB6" i="7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C23" i="10"/>
  <c r="T22" i="10"/>
  <c r="T25" i="10"/>
  <c r="T26" i="10"/>
  <c r="K39" i="10"/>
  <c r="K37" i="10"/>
  <c r="K36" i="10"/>
  <c r="K35" i="10"/>
  <c r="K33" i="10"/>
  <c r="K32" i="10"/>
  <c r="K31" i="10"/>
  <c r="K30" i="10"/>
  <c r="D4" i="10"/>
  <c r="D10" i="10" s="1"/>
  <c r="K21" i="9"/>
  <c r="F11" i="9"/>
  <c r="D4" i="9"/>
  <c r="D6" i="9" s="1"/>
  <c r="D7" i="6"/>
  <c r="D6" i="8"/>
  <c r="D8" i="8" s="1"/>
  <c r="E4" i="8"/>
  <c r="D4" i="8"/>
  <c r="K22" i="8"/>
  <c r="K23" i="8"/>
  <c r="K24" i="8"/>
  <c r="K25" i="8"/>
  <c r="K26" i="8"/>
  <c r="K27" i="8"/>
  <c r="K28" i="8"/>
  <c r="K29" i="8"/>
  <c r="K30" i="8"/>
  <c r="K21" i="8"/>
  <c r="F11" i="8"/>
  <c r="I11" i="8" s="1"/>
  <c r="K32" i="8"/>
  <c r="K22" i="7"/>
  <c r="K23" i="7"/>
  <c r="K28" i="7"/>
  <c r="K30" i="7"/>
  <c r="K31" i="7"/>
  <c r="K32" i="7"/>
  <c r="K21" i="7"/>
  <c r="F11" i="7"/>
  <c r="I11" i="7" s="1"/>
  <c r="D4" i="7"/>
  <c r="E4" i="7" s="1"/>
  <c r="F4" i="7" s="1"/>
  <c r="I10" i="6"/>
  <c r="F10" i="6"/>
  <c r="E5" i="6"/>
  <c r="E17" i="6" s="1"/>
  <c r="D5" i="6"/>
  <c r="D17" i="6" s="1"/>
  <c r="D6" i="10" l="1"/>
  <c r="D9" i="10" s="1"/>
  <c r="T21" i="10"/>
  <c r="T24" i="10"/>
  <c r="T27" i="10"/>
  <c r="T23" i="10"/>
  <c r="E4" i="10"/>
  <c r="E10" i="10" s="1"/>
  <c r="I11" i="9"/>
  <c r="K22" i="9"/>
  <c r="D8" i="9"/>
  <c r="D18" i="9"/>
  <c r="E4" i="9"/>
  <c r="D18" i="8"/>
  <c r="H29" i="7"/>
  <c r="K26" i="7"/>
  <c r="J29" i="7"/>
  <c r="K25" i="7"/>
  <c r="D6" i="7"/>
  <c r="D8" i="7" s="1"/>
  <c r="E6" i="7"/>
  <c r="E8" i="7" s="1"/>
  <c r="E24" i="2"/>
  <c r="F5" i="6"/>
  <c r="E7" i="6"/>
  <c r="E23" i="2"/>
  <c r="G5" i="6"/>
  <c r="G17" i="6" s="1"/>
  <c r="H5" i="6"/>
  <c r="H17" i="6" s="1"/>
  <c r="I5" i="6"/>
  <c r="I17" i="6" s="1"/>
  <c r="J5" i="6"/>
  <c r="K5" i="6"/>
  <c r="K17" i="6" s="1"/>
  <c r="L5" i="6"/>
  <c r="L17" i="6" s="1"/>
  <c r="M5" i="6"/>
  <c r="N5" i="6"/>
  <c r="N17" i="6" s="1"/>
  <c r="O5" i="6"/>
  <c r="O17" i="6" s="1"/>
  <c r="P5" i="6"/>
  <c r="P17" i="6" s="1"/>
  <c r="Q5" i="6"/>
  <c r="R5" i="6"/>
  <c r="E6" i="2"/>
  <c r="E25" i="2"/>
  <c r="F25" i="2"/>
  <c r="G22" i="2"/>
  <c r="F2" i="2"/>
  <c r="F22" i="2"/>
  <c r="H25" i="2"/>
  <c r="H24" i="2"/>
  <c r="E2" i="2"/>
  <c r="T21" i="2"/>
  <c r="G28" i="2"/>
  <c r="G29" i="2" s="1"/>
  <c r="M14" i="2"/>
  <c r="L13" i="2"/>
  <c r="K12" i="2"/>
  <c r="J11" i="2"/>
  <c r="I10" i="2"/>
  <c r="H9" i="2"/>
  <c r="G8" i="2"/>
  <c r="F7" i="2"/>
  <c r="S20" i="2"/>
  <c r="T7" i="2"/>
  <c r="T6" i="2"/>
  <c r="F1" i="2"/>
  <c r="D6" i="2"/>
  <c r="D12" i="10" l="1"/>
  <c r="D8" i="10"/>
  <c r="E6" i="10"/>
  <c r="E9" i="10" s="1"/>
  <c r="F4" i="10"/>
  <c r="F10" i="10" s="1"/>
  <c r="E6" i="9"/>
  <c r="F4" i="9"/>
  <c r="E6" i="8"/>
  <c r="F4" i="8"/>
  <c r="D18" i="7"/>
  <c r="N7" i="6"/>
  <c r="F7" i="6"/>
  <c r="F17" i="6"/>
  <c r="R7" i="6"/>
  <c r="R17" i="6"/>
  <c r="J7" i="6"/>
  <c r="J17" i="6"/>
  <c r="Q17" i="6"/>
  <c r="Q7" i="6"/>
  <c r="M7" i="6"/>
  <c r="M17" i="6"/>
  <c r="E26" i="2"/>
  <c r="H7" i="6"/>
  <c r="L7" i="6"/>
  <c r="P7" i="6"/>
  <c r="G7" i="6"/>
  <c r="E7" i="2"/>
  <c r="E8" i="2" s="1"/>
  <c r="E9" i="2" s="1"/>
  <c r="I52" i="2"/>
  <c r="J40" i="2"/>
  <c r="J39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5" i="2"/>
  <c r="G28" i="4"/>
  <c r="G29" i="4" s="1"/>
  <c r="T20" i="4"/>
  <c r="T19" i="4"/>
  <c r="T18" i="4"/>
  <c r="T17" i="4"/>
  <c r="T16" i="4"/>
  <c r="T15" i="4"/>
  <c r="D15" i="4"/>
  <c r="T14" i="4"/>
  <c r="D14" i="4"/>
  <c r="T13" i="4"/>
  <c r="D13" i="4"/>
  <c r="T12" i="4"/>
  <c r="D12" i="4"/>
  <c r="T11" i="4"/>
  <c r="D11" i="4"/>
  <c r="T10" i="4"/>
  <c r="D10" i="4"/>
  <c r="T9" i="4"/>
  <c r="D9" i="4"/>
  <c r="T8" i="4"/>
  <c r="E24" i="4" s="1"/>
  <c r="D8" i="4"/>
  <c r="G2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T7" i="4"/>
  <c r="D7" i="4"/>
  <c r="T6" i="4"/>
  <c r="D6" i="4"/>
  <c r="E2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O2" i="4"/>
  <c r="O16" i="4" s="1"/>
  <c r="O17" i="4" s="1"/>
  <c r="O18" i="4" s="1"/>
  <c r="O19" i="4" s="1"/>
  <c r="O20" i="4" s="1"/>
  <c r="M2" i="4"/>
  <c r="M14" i="4" s="1"/>
  <c r="M15" i="4" s="1"/>
  <c r="M16" i="4" s="1"/>
  <c r="M17" i="4" s="1"/>
  <c r="M18" i="4" s="1"/>
  <c r="M19" i="4" s="1"/>
  <c r="M20" i="4" s="1"/>
  <c r="S1" i="4"/>
  <c r="S2" i="4" s="1"/>
  <c r="S20" i="4" s="1"/>
  <c r="R1" i="4"/>
  <c r="R2" i="4" s="1"/>
  <c r="R19" i="4" s="1"/>
  <c r="R20" i="4" s="1"/>
  <c r="Q1" i="4"/>
  <c r="Q2" i="4" s="1"/>
  <c r="Q18" i="4" s="1"/>
  <c r="Q19" i="4" s="1"/>
  <c r="Q20" i="4" s="1"/>
  <c r="P1" i="4"/>
  <c r="P2" i="4" s="1"/>
  <c r="P17" i="4" s="1"/>
  <c r="P18" i="4" s="1"/>
  <c r="P19" i="4" s="1"/>
  <c r="P20" i="4" s="1"/>
  <c r="O1" i="4"/>
  <c r="N1" i="4"/>
  <c r="N2" i="4" s="1"/>
  <c r="N15" i="4" s="1"/>
  <c r="N16" i="4" s="1"/>
  <c r="N17" i="4" s="1"/>
  <c r="N18" i="4" s="1"/>
  <c r="N19" i="4" s="1"/>
  <c r="N20" i="4" s="1"/>
  <c r="M1" i="4"/>
  <c r="L1" i="4"/>
  <c r="L2" i="4" s="1"/>
  <c r="L13" i="4" s="1"/>
  <c r="L14" i="4" s="1"/>
  <c r="L15" i="4" s="1"/>
  <c r="L16" i="4" s="1"/>
  <c r="L17" i="4" s="1"/>
  <c r="L18" i="4" s="1"/>
  <c r="L19" i="4" s="1"/>
  <c r="L20" i="4" s="1"/>
  <c r="K1" i="4"/>
  <c r="K2" i="4" s="1"/>
  <c r="K12" i="4" s="1"/>
  <c r="K13" i="4" s="1"/>
  <c r="K14" i="4" s="1"/>
  <c r="K15" i="4" s="1"/>
  <c r="K16" i="4" s="1"/>
  <c r="K17" i="4" s="1"/>
  <c r="K18" i="4" s="1"/>
  <c r="K19" i="4" s="1"/>
  <c r="K20" i="4" s="1"/>
  <c r="J1" i="4"/>
  <c r="I1" i="4"/>
  <c r="I2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1" i="4"/>
  <c r="H2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G1" i="4"/>
  <c r="F1" i="4"/>
  <c r="G28" i="3"/>
  <c r="G29" i="3" s="1"/>
  <c r="T20" i="3"/>
  <c r="T19" i="3"/>
  <c r="T18" i="3"/>
  <c r="T17" i="3"/>
  <c r="T16" i="3"/>
  <c r="T15" i="3"/>
  <c r="D15" i="3"/>
  <c r="T14" i="3"/>
  <c r="D14" i="3"/>
  <c r="T13" i="3"/>
  <c r="D13" i="3"/>
  <c r="T12" i="3"/>
  <c r="D12" i="3"/>
  <c r="T11" i="3"/>
  <c r="D11" i="3"/>
  <c r="T10" i="3"/>
  <c r="D10" i="3"/>
  <c r="T9" i="3"/>
  <c r="D9" i="3"/>
  <c r="T8" i="3"/>
  <c r="D8" i="3"/>
  <c r="T7" i="3"/>
  <c r="D7" i="3"/>
  <c r="T6" i="3"/>
  <c r="D6" i="3"/>
  <c r="E2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P2" i="3"/>
  <c r="P17" i="3" s="1"/>
  <c r="P18" i="3" s="1"/>
  <c r="P19" i="3" s="1"/>
  <c r="P20" i="3" s="1"/>
  <c r="F2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S1" i="3"/>
  <c r="S2" i="3" s="1"/>
  <c r="S20" i="3" s="1"/>
  <c r="R1" i="3"/>
  <c r="R2" i="3" s="1"/>
  <c r="R19" i="3" s="1"/>
  <c r="R20" i="3" s="1"/>
  <c r="Q1" i="3"/>
  <c r="Q2" i="3" s="1"/>
  <c r="Q18" i="3" s="1"/>
  <c r="Q19" i="3" s="1"/>
  <c r="Q20" i="3" s="1"/>
  <c r="P1" i="3"/>
  <c r="O1" i="3"/>
  <c r="O2" i="3" s="1"/>
  <c r="O16" i="3" s="1"/>
  <c r="O17" i="3" s="1"/>
  <c r="O18" i="3" s="1"/>
  <c r="O19" i="3" s="1"/>
  <c r="O20" i="3" s="1"/>
  <c r="N1" i="3"/>
  <c r="N2" i="3" s="1"/>
  <c r="N15" i="3" s="1"/>
  <c r="N16" i="3" s="1"/>
  <c r="N17" i="3" s="1"/>
  <c r="N18" i="3" s="1"/>
  <c r="N19" i="3" s="1"/>
  <c r="N20" i="3" s="1"/>
  <c r="M1" i="3"/>
  <c r="M2" i="3" s="1"/>
  <c r="M14" i="3" s="1"/>
  <c r="M15" i="3" s="1"/>
  <c r="M16" i="3" s="1"/>
  <c r="M17" i="3" s="1"/>
  <c r="M18" i="3" s="1"/>
  <c r="M19" i="3" s="1"/>
  <c r="M20" i="3" s="1"/>
  <c r="L1" i="3"/>
  <c r="L2" i="3" s="1"/>
  <c r="L13" i="3" s="1"/>
  <c r="L14" i="3" s="1"/>
  <c r="L15" i="3" s="1"/>
  <c r="L16" i="3" s="1"/>
  <c r="L17" i="3" s="1"/>
  <c r="L18" i="3" s="1"/>
  <c r="L19" i="3" s="1"/>
  <c r="L20" i="3" s="1"/>
  <c r="K1" i="3"/>
  <c r="K2" i="3" s="1"/>
  <c r="K12" i="3" s="1"/>
  <c r="K13" i="3" s="1"/>
  <c r="K14" i="3" s="1"/>
  <c r="K15" i="3" s="1"/>
  <c r="K16" i="3" s="1"/>
  <c r="K17" i="3" s="1"/>
  <c r="K18" i="3" s="1"/>
  <c r="K19" i="3" s="1"/>
  <c r="K20" i="3" s="1"/>
  <c r="J1" i="3"/>
  <c r="I1" i="3"/>
  <c r="H1" i="3"/>
  <c r="G1" i="3"/>
  <c r="F1" i="3"/>
  <c r="E8" i="10" l="1"/>
  <c r="E12" i="10"/>
  <c r="F6" i="10"/>
  <c r="G4" i="10"/>
  <c r="F6" i="9"/>
  <c r="G4" i="9"/>
  <c r="E8" i="9"/>
  <c r="E18" i="9"/>
  <c r="F6" i="8"/>
  <c r="G4" i="8"/>
  <c r="E8" i="8"/>
  <c r="E18" i="8"/>
  <c r="E18" i="7"/>
  <c r="G4" i="7"/>
  <c r="F6" i="7"/>
  <c r="I9" i="6"/>
  <c r="I12" i="6" s="1"/>
  <c r="O7" i="6"/>
  <c r="K7" i="6"/>
  <c r="I7" i="6"/>
  <c r="F9" i="6" s="1"/>
  <c r="H52" i="2"/>
  <c r="F2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J2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G2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H2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E23" i="4"/>
  <c r="E26" i="4" s="1"/>
  <c r="E28" i="4" s="1"/>
  <c r="T21" i="4"/>
  <c r="E24" i="3"/>
  <c r="T21" i="3"/>
  <c r="J2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2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 s="1"/>
  <c r="E26" i="3" s="1"/>
  <c r="E28" i="3" s="1"/>
  <c r="F12" i="10" l="1"/>
  <c r="F9" i="10"/>
  <c r="G10" i="10"/>
  <c r="G6" i="10"/>
  <c r="H4" i="10"/>
  <c r="H14" i="10" s="1"/>
  <c r="F8" i="10"/>
  <c r="G6" i="9"/>
  <c r="H4" i="9"/>
  <c r="F8" i="9"/>
  <c r="F18" i="9"/>
  <c r="G6" i="8"/>
  <c r="H4" i="8"/>
  <c r="F8" i="8"/>
  <c r="F18" i="8"/>
  <c r="F8" i="7"/>
  <c r="F18" i="7"/>
  <c r="H4" i="7"/>
  <c r="G6" i="7"/>
  <c r="F12" i="6"/>
  <c r="F14" i="6" s="1"/>
  <c r="D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1" i="2"/>
  <c r="G2" i="2" s="1"/>
  <c r="G9" i="2" s="1"/>
  <c r="G10" i="2" s="1"/>
  <c r="H1" i="2"/>
  <c r="I1" i="2"/>
  <c r="J1" i="2"/>
  <c r="K1" i="2"/>
  <c r="L1" i="2"/>
  <c r="M1" i="2"/>
  <c r="N1" i="2"/>
  <c r="O1" i="2"/>
  <c r="O2" i="2" s="1"/>
  <c r="O16" i="2" s="1"/>
  <c r="O17" i="2" s="1"/>
  <c r="O18" i="2" s="1"/>
  <c r="O19" i="2" s="1"/>
  <c r="O20" i="2" s="1"/>
  <c r="P1" i="2"/>
  <c r="P2" i="2" s="1"/>
  <c r="P17" i="2" s="1"/>
  <c r="P18" i="2" s="1"/>
  <c r="Q1" i="2"/>
  <c r="Q2" i="2" s="1"/>
  <c r="Q18" i="2" s="1"/>
  <c r="Q19" i="2" s="1"/>
  <c r="R1" i="2"/>
  <c r="R2" i="2" s="1"/>
  <c r="R19" i="2" s="1"/>
  <c r="R20" i="2" s="1"/>
  <c r="S1" i="2"/>
  <c r="S2" i="2" s="1"/>
  <c r="T20" i="2"/>
  <c r="T19" i="2"/>
  <c r="T18" i="2"/>
  <c r="T17" i="2"/>
  <c r="T16" i="2"/>
  <c r="T15" i="2"/>
  <c r="D15" i="2"/>
  <c r="T14" i="2"/>
  <c r="D14" i="2"/>
  <c r="T13" i="2"/>
  <c r="D13" i="2"/>
  <c r="T12" i="2"/>
  <c r="D12" i="2"/>
  <c r="T11" i="2"/>
  <c r="D11" i="2"/>
  <c r="T10" i="2"/>
  <c r="D10" i="2"/>
  <c r="T9" i="2"/>
  <c r="D9" i="2"/>
  <c r="T8" i="2"/>
  <c r="D8" i="2"/>
  <c r="Q20" i="2"/>
  <c r="P19" i="2"/>
  <c r="P20" i="2" s="1"/>
  <c r="S20" i="1"/>
  <c r="R19" i="1"/>
  <c r="R20" i="1" s="1"/>
  <c r="Q18" i="1"/>
  <c r="Q19" i="1" s="1"/>
  <c r="Q20" i="1" s="1"/>
  <c r="P17" i="1"/>
  <c r="P18" i="1" s="1"/>
  <c r="P19" i="1" s="1"/>
  <c r="P20" i="1" s="1"/>
  <c r="O16" i="1"/>
  <c r="O17" i="1" s="1"/>
  <c r="O18" i="1" s="1"/>
  <c r="O19" i="1" s="1"/>
  <c r="O20" i="1" s="1"/>
  <c r="G12" i="10" l="1"/>
  <c r="G9" i="10"/>
  <c r="G13" i="10"/>
  <c r="G14" i="10" s="1"/>
  <c r="H10" i="10"/>
  <c r="H6" i="10"/>
  <c r="H12" i="10" s="1"/>
  <c r="I4" i="10"/>
  <c r="G8" i="10"/>
  <c r="H6" i="9"/>
  <c r="I4" i="9"/>
  <c r="G18" i="9"/>
  <c r="G8" i="9"/>
  <c r="H6" i="8"/>
  <c r="I4" i="8"/>
  <c r="G18" i="8"/>
  <c r="G8" i="8"/>
  <c r="G8" i="7"/>
  <c r="G18" i="7"/>
  <c r="I4" i="7"/>
  <c r="H6" i="7"/>
  <c r="N2" i="2"/>
  <c r="N15" i="2" s="1"/>
  <c r="N16" i="2" s="1"/>
  <c r="N17" i="2" s="1"/>
  <c r="N18" i="2" s="1"/>
  <c r="N19" i="2" s="1"/>
  <c r="N20" i="2" s="1"/>
  <c r="J2" i="2"/>
  <c r="J12" i="2" s="1"/>
  <c r="J13" i="2" s="1"/>
  <c r="J14" i="2" s="1"/>
  <c r="J15" i="2" s="1"/>
  <c r="J16" i="2" s="1"/>
  <c r="J17" i="2" s="1"/>
  <c r="J18" i="2" s="1"/>
  <c r="J19" i="2" s="1"/>
  <c r="J20" i="2" s="1"/>
  <c r="K2" i="2"/>
  <c r="K13" i="2" s="1"/>
  <c r="K14" i="2" s="1"/>
  <c r="K15" i="2" s="1"/>
  <c r="K16" i="2" s="1"/>
  <c r="K17" i="2" s="1"/>
  <c r="K18" i="2" s="1"/>
  <c r="K19" i="2" s="1"/>
  <c r="K20" i="2" s="1"/>
  <c r="I2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M2" i="2"/>
  <c r="M15" i="2" s="1"/>
  <c r="L2" i="2"/>
  <c r="L14" i="2" s="1"/>
  <c r="L15" i="2" s="1"/>
  <c r="L16" i="2" s="1"/>
  <c r="L17" i="2" s="1"/>
  <c r="L18" i="2" s="1"/>
  <c r="L19" i="2" s="1"/>
  <c r="L20" i="2" s="1"/>
  <c r="H2" i="2"/>
  <c r="H10" i="2" s="1"/>
  <c r="H11" i="2" s="1"/>
  <c r="H12" i="2" s="1"/>
  <c r="H13" i="2" s="1"/>
  <c r="H14" i="2" s="1"/>
  <c r="H15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1" i="1"/>
  <c r="R1" i="1"/>
  <c r="Q1" i="1"/>
  <c r="P1" i="1"/>
  <c r="O1" i="1"/>
  <c r="J1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1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7" i="1"/>
  <c r="D8" i="1"/>
  <c r="H1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D9" i="1"/>
  <c r="I1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D10" i="1"/>
  <c r="D11" i="1"/>
  <c r="K1" i="1" s="1"/>
  <c r="K12" i="1" s="1"/>
  <c r="K13" i="1" s="1"/>
  <c r="K14" i="1" s="1"/>
  <c r="K15" i="1" s="1"/>
  <c r="K16" i="1" s="1"/>
  <c r="K17" i="1" s="1"/>
  <c r="K18" i="1" s="1"/>
  <c r="K19" i="1" s="1"/>
  <c r="K20" i="1" s="1"/>
  <c r="D12" i="1"/>
  <c r="L1" i="1" s="1"/>
  <c r="L13" i="1" s="1"/>
  <c r="L14" i="1" s="1"/>
  <c r="L15" i="1" s="1"/>
  <c r="L16" i="1" s="1"/>
  <c r="L17" i="1" s="1"/>
  <c r="L18" i="1" s="1"/>
  <c r="L19" i="1" s="1"/>
  <c r="L20" i="1" s="1"/>
  <c r="D13" i="1"/>
  <c r="M1" i="1" s="1"/>
  <c r="M14" i="1" s="1"/>
  <c r="M15" i="1" s="1"/>
  <c r="M16" i="1" s="1"/>
  <c r="M17" i="1" s="1"/>
  <c r="M18" i="1" s="1"/>
  <c r="M19" i="1" s="1"/>
  <c r="M20" i="1" s="1"/>
  <c r="D14" i="1"/>
  <c r="N1" i="1" s="1"/>
  <c r="N15" i="1" s="1"/>
  <c r="N16" i="1" s="1"/>
  <c r="N17" i="1" s="1"/>
  <c r="N18" i="1" s="1"/>
  <c r="N19" i="1" s="1"/>
  <c r="N20" i="1" s="1"/>
  <c r="D6" i="1"/>
  <c r="F1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5" i="1"/>
  <c r="E1" i="1" s="1"/>
  <c r="I10" i="10" l="1"/>
  <c r="I14" i="10"/>
  <c r="I6" i="10"/>
  <c r="I12" i="10" s="1"/>
  <c r="J4" i="10"/>
  <c r="H9" i="10"/>
  <c r="H8" i="10"/>
  <c r="I6" i="9"/>
  <c r="J4" i="9"/>
  <c r="H8" i="9"/>
  <c r="H18" i="9"/>
  <c r="I6" i="8"/>
  <c r="J4" i="8"/>
  <c r="H8" i="8"/>
  <c r="H18" i="8"/>
  <c r="H8" i="7"/>
  <c r="H18" i="7"/>
  <c r="J4" i="7"/>
  <c r="I6" i="7"/>
  <c r="H16" i="2"/>
  <c r="H17" i="2" s="1"/>
  <c r="H18" i="2" s="1"/>
  <c r="H19" i="2" s="1"/>
  <c r="H20" i="2" s="1"/>
  <c r="M16" i="2"/>
  <c r="M17" i="2" s="1"/>
  <c r="M18" i="2" s="1"/>
  <c r="M19" i="2" s="1"/>
  <c r="M20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  <c r="E25" i="1" s="1"/>
  <c r="E23" i="1"/>
  <c r="J10" i="10" l="1"/>
  <c r="J6" i="10"/>
  <c r="J12" i="10" s="1"/>
  <c r="K4" i="10"/>
  <c r="K13" i="10" s="1"/>
  <c r="K14" i="10" s="1"/>
  <c r="I9" i="10"/>
  <c r="I8" i="10"/>
  <c r="J6" i="9"/>
  <c r="K4" i="9"/>
  <c r="I8" i="9"/>
  <c r="I18" i="9"/>
  <c r="J6" i="8"/>
  <c r="K4" i="8"/>
  <c r="I8" i="8"/>
  <c r="I18" i="8"/>
  <c r="I8" i="7"/>
  <c r="I18" i="7"/>
  <c r="K4" i="7"/>
  <c r="J6" i="7"/>
  <c r="E28" i="2"/>
  <c r="G24" i="2"/>
  <c r="J13" i="10" l="1"/>
  <c r="J14" i="10" s="1"/>
  <c r="K10" i="10"/>
  <c r="K6" i="10"/>
  <c r="K12" i="10" s="1"/>
  <c r="L4" i="10"/>
  <c r="J9" i="10"/>
  <c r="J8" i="10"/>
  <c r="K6" i="9"/>
  <c r="L4" i="9"/>
  <c r="J8" i="9"/>
  <c r="J18" i="9"/>
  <c r="K6" i="8"/>
  <c r="L4" i="8"/>
  <c r="J8" i="8"/>
  <c r="J18" i="8"/>
  <c r="J8" i="7"/>
  <c r="J18" i="7"/>
  <c r="L4" i="7"/>
  <c r="K6" i="7"/>
  <c r="L10" i="10" l="1"/>
  <c r="L13" i="10"/>
  <c r="L14" i="10" s="1"/>
  <c r="K9" i="10"/>
  <c r="L6" i="10"/>
  <c r="L12" i="10" s="1"/>
  <c r="M4" i="10"/>
  <c r="K8" i="10"/>
  <c r="L6" i="9"/>
  <c r="M4" i="9"/>
  <c r="K18" i="9"/>
  <c r="K8" i="9"/>
  <c r="L6" i="8"/>
  <c r="M4" i="8"/>
  <c r="K18" i="8"/>
  <c r="K8" i="8"/>
  <c r="K8" i="7"/>
  <c r="K18" i="7"/>
  <c r="M4" i="7"/>
  <c r="L6" i="7"/>
  <c r="M10" i="10" l="1"/>
  <c r="L9" i="10"/>
  <c r="L8" i="10"/>
  <c r="M6" i="10"/>
  <c r="M12" i="10" s="1"/>
  <c r="M13" i="10" s="1"/>
  <c r="M14" i="10" s="1"/>
  <c r="N4" i="10"/>
  <c r="M6" i="9"/>
  <c r="N4" i="9"/>
  <c r="L8" i="9"/>
  <c r="L18" i="9"/>
  <c r="M6" i="8"/>
  <c r="N4" i="8"/>
  <c r="L8" i="8"/>
  <c r="L18" i="8"/>
  <c r="L8" i="7"/>
  <c r="L18" i="7"/>
  <c r="N4" i="7"/>
  <c r="M6" i="7"/>
  <c r="N10" i="10" l="1"/>
  <c r="N13" i="10"/>
  <c r="N14" i="10" s="1"/>
  <c r="M9" i="10"/>
  <c r="N6" i="10"/>
  <c r="N12" i="10" s="1"/>
  <c r="O4" i="10"/>
  <c r="M8" i="10"/>
  <c r="N6" i="9"/>
  <c r="O4" i="9"/>
  <c r="M8" i="9"/>
  <c r="M18" i="9"/>
  <c r="N6" i="8"/>
  <c r="O4" i="8"/>
  <c r="M8" i="8"/>
  <c r="M18" i="8"/>
  <c r="M8" i="7"/>
  <c r="M18" i="7"/>
  <c r="O4" i="7"/>
  <c r="N6" i="7"/>
  <c r="O10" i="10" l="1"/>
  <c r="O13" i="10"/>
  <c r="O14" i="10" s="1"/>
  <c r="N9" i="10"/>
  <c r="O6" i="10"/>
  <c r="O12" i="10" s="1"/>
  <c r="P4" i="10"/>
  <c r="N8" i="10"/>
  <c r="O6" i="9"/>
  <c r="P4" i="9"/>
  <c r="N8" i="9"/>
  <c r="N18" i="9"/>
  <c r="O6" i="8"/>
  <c r="P4" i="8"/>
  <c r="N8" i="8"/>
  <c r="N18" i="8"/>
  <c r="N8" i="7"/>
  <c r="N18" i="7"/>
  <c r="P4" i="7"/>
  <c r="O6" i="7"/>
  <c r="P10" i="10" l="1"/>
  <c r="O9" i="10"/>
  <c r="P6" i="10"/>
  <c r="P12" i="10" s="1"/>
  <c r="P13" i="10" s="1"/>
  <c r="P14" i="10" s="1"/>
  <c r="Q4" i="10"/>
  <c r="O8" i="10"/>
  <c r="P6" i="9"/>
  <c r="Q4" i="9"/>
  <c r="O18" i="9"/>
  <c r="O8" i="9"/>
  <c r="P6" i="8"/>
  <c r="Q4" i="8"/>
  <c r="O18" i="8"/>
  <c r="O8" i="8"/>
  <c r="O8" i="7"/>
  <c r="O18" i="7"/>
  <c r="Q4" i="7"/>
  <c r="P6" i="7"/>
  <c r="Q10" i="10" l="1"/>
  <c r="Q13" i="10"/>
  <c r="Q14" i="10" s="1"/>
  <c r="P9" i="10"/>
  <c r="Q6" i="10"/>
  <c r="Q12" i="10" s="1"/>
  <c r="R4" i="10"/>
  <c r="P8" i="10"/>
  <c r="Q6" i="9"/>
  <c r="R4" i="9"/>
  <c r="P8" i="9"/>
  <c r="P18" i="9"/>
  <c r="Q6" i="8"/>
  <c r="R4" i="8"/>
  <c r="P8" i="8"/>
  <c r="P18" i="8"/>
  <c r="P8" i="7"/>
  <c r="P18" i="7"/>
  <c r="R4" i="7"/>
  <c r="Q6" i="7"/>
  <c r="R10" i="10" l="1"/>
  <c r="R13" i="10"/>
  <c r="R14" i="10" s="1"/>
  <c r="Q9" i="10"/>
  <c r="R6" i="10"/>
  <c r="R12" i="10" s="1"/>
  <c r="S4" i="10"/>
  <c r="Q8" i="10"/>
  <c r="R6" i="9"/>
  <c r="S4" i="9"/>
  <c r="Q8" i="9"/>
  <c r="Q18" i="9"/>
  <c r="R6" i="8"/>
  <c r="S4" i="8"/>
  <c r="Q8" i="8"/>
  <c r="Q18" i="8"/>
  <c r="Q8" i="7"/>
  <c r="Q18" i="7"/>
  <c r="S4" i="7"/>
  <c r="R6" i="7"/>
  <c r="S10" i="10" l="1"/>
  <c r="R9" i="10"/>
  <c r="S6" i="10"/>
  <c r="S12" i="10" s="1"/>
  <c r="S13" i="10" s="1"/>
  <c r="S14" i="10" s="1"/>
  <c r="T4" i="10"/>
  <c r="R8" i="10"/>
  <c r="S6" i="9"/>
  <c r="T4" i="9"/>
  <c r="R8" i="9"/>
  <c r="R18" i="9"/>
  <c r="S6" i="8"/>
  <c r="T4" i="8"/>
  <c r="R8" i="8"/>
  <c r="R18" i="8"/>
  <c r="R8" i="7"/>
  <c r="R18" i="7"/>
  <c r="T4" i="7"/>
  <c r="T10" i="10" l="1"/>
  <c r="T13" i="10"/>
  <c r="T14" i="10" s="1"/>
  <c r="S9" i="10"/>
  <c r="T6" i="10"/>
  <c r="T12" i="10" s="1"/>
  <c r="U4" i="10"/>
  <c r="S8" i="10"/>
  <c r="T6" i="9"/>
  <c r="U4" i="9"/>
  <c r="S18" i="9"/>
  <c r="S8" i="9"/>
  <c r="T6" i="8"/>
  <c r="U4" i="8"/>
  <c r="S18" i="8"/>
  <c r="S8" i="8"/>
  <c r="S8" i="7"/>
  <c r="S18" i="7"/>
  <c r="U4" i="7"/>
  <c r="U10" i="10" l="1"/>
  <c r="U13" i="10"/>
  <c r="U14" i="10" s="1"/>
  <c r="T9" i="10"/>
  <c r="U6" i="10"/>
  <c r="U12" i="10" s="1"/>
  <c r="V4" i="10"/>
  <c r="T8" i="10"/>
  <c r="U6" i="9"/>
  <c r="V4" i="9"/>
  <c r="T8" i="9"/>
  <c r="T18" i="9"/>
  <c r="U6" i="8"/>
  <c r="V4" i="8"/>
  <c r="T8" i="8"/>
  <c r="T18" i="8"/>
  <c r="T8" i="7"/>
  <c r="T18" i="7"/>
  <c r="V4" i="7"/>
  <c r="W4" i="7" s="1"/>
  <c r="V10" i="10" l="1"/>
  <c r="U9" i="10"/>
  <c r="V6" i="10"/>
  <c r="V12" i="10" s="1"/>
  <c r="V13" i="10" s="1"/>
  <c r="V14" i="10" s="1"/>
  <c r="W4" i="10"/>
  <c r="U8" i="10"/>
  <c r="V6" i="9"/>
  <c r="W4" i="9"/>
  <c r="U8" i="9"/>
  <c r="U18" i="9"/>
  <c r="V6" i="8"/>
  <c r="W4" i="8"/>
  <c r="U8" i="8"/>
  <c r="U18" i="8"/>
  <c r="U8" i="7"/>
  <c r="U18" i="7"/>
  <c r="W10" i="10" l="1"/>
  <c r="W13" i="10"/>
  <c r="W14" i="10" s="1"/>
  <c r="W6" i="10"/>
  <c r="W12" i="10" s="1"/>
  <c r="X4" i="10"/>
  <c r="V9" i="10"/>
  <c r="V8" i="10"/>
  <c r="W6" i="9"/>
  <c r="X4" i="9"/>
  <c r="V8" i="9"/>
  <c r="V18" i="9"/>
  <c r="W6" i="8"/>
  <c r="X4" i="8"/>
  <c r="V8" i="8"/>
  <c r="V18" i="8"/>
  <c r="V8" i="7"/>
  <c r="V18" i="7"/>
  <c r="X4" i="7"/>
  <c r="W18" i="7"/>
  <c r="X10" i="10" l="1"/>
  <c r="X13" i="10"/>
  <c r="X14" i="10" s="1"/>
  <c r="X6" i="10"/>
  <c r="X12" i="10" s="1"/>
  <c r="Y4" i="10"/>
  <c r="W9" i="10"/>
  <c r="W8" i="10"/>
  <c r="X6" i="9"/>
  <c r="Y4" i="9"/>
  <c r="W18" i="9"/>
  <c r="W8" i="9"/>
  <c r="X6" i="8"/>
  <c r="Y4" i="8"/>
  <c r="W18" i="8"/>
  <c r="W8" i="8"/>
  <c r="W8" i="7"/>
  <c r="Y4" i="7"/>
  <c r="Z4" i="7" s="1"/>
  <c r="X18" i="7"/>
  <c r="Y10" i="10" l="1"/>
  <c r="Y6" i="10"/>
  <c r="Y12" i="10" s="1"/>
  <c r="Y13" i="10" s="1"/>
  <c r="Y14" i="10" s="1"/>
  <c r="Z4" i="10"/>
  <c r="X9" i="10"/>
  <c r="X8" i="10"/>
  <c r="Y6" i="9"/>
  <c r="Z4" i="9"/>
  <c r="X8" i="9"/>
  <c r="X18" i="9"/>
  <c r="Y6" i="8"/>
  <c r="Z4" i="8"/>
  <c r="X8" i="8"/>
  <c r="X18" i="8"/>
  <c r="X8" i="7"/>
  <c r="Z10" i="10" l="1"/>
  <c r="Z13" i="10"/>
  <c r="Z14" i="10" s="1"/>
  <c r="Z6" i="10"/>
  <c r="Z12" i="10" s="1"/>
  <c r="AA4" i="10"/>
  <c r="Y9" i="10"/>
  <c r="Y8" i="10"/>
  <c r="Z6" i="9"/>
  <c r="AA4" i="9"/>
  <c r="Y8" i="9"/>
  <c r="Y18" i="9"/>
  <c r="Z6" i="8"/>
  <c r="AA4" i="8"/>
  <c r="Y8" i="8"/>
  <c r="Y18" i="8"/>
  <c r="Y8" i="7"/>
  <c r="Y18" i="7"/>
  <c r="AA4" i="7"/>
  <c r="AA10" i="10" l="1"/>
  <c r="AA13" i="10"/>
  <c r="AA14" i="10" s="1"/>
  <c r="AA6" i="10"/>
  <c r="AA12" i="10" s="1"/>
  <c r="AB4" i="10"/>
  <c r="Z9" i="10"/>
  <c r="Z8" i="10"/>
  <c r="AA6" i="9"/>
  <c r="AB4" i="9"/>
  <c r="AB6" i="9" s="1"/>
  <c r="Z8" i="9"/>
  <c r="Z18" i="9"/>
  <c r="AA6" i="8"/>
  <c r="AB4" i="8"/>
  <c r="AB6" i="8" s="1"/>
  <c r="Z8" i="8"/>
  <c r="Z18" i="8"/>
  <c r="Z8" i="7"/>
  <c r="Z18" i="7"/>
  <c r="AB4" i="7"/>
  <c r="AB10" i="10" l="1"/>
  <c r="C10" i="10" s="1"/>
  <c r="F20" i="10" s="1"/>
  <c r="I20" i="10" s="1"/>
  <c r="AB6" i="10"/>
  <c r="AB12" i="10" s="1"/>
  <c r="C12" i="10" s="1"/>
  <c r="AA9" i="10"/>
  <c r="AA8" i="10"/>
  <c r="AB8" i="9"/>
  <c r="AB18" i="9"/>
  <c r="AA18" i="9"/>
  <c r="AA8" i="9"/>
  <c r="AB8" i="8"/>
  <c r="AB18" i="8"/>
  <c r="AA18" i="8"/>
  <c r="AA8" i="8"/>
  <c r="AA8" i="7"/>
  <c r="AA18" i="7"/>
  <c r="AB8" i="7"/>
  <c r="AB18" i="7"/>
  <c r="D17" i="7" s="1"/>
  <c r="AB13" i="10" l="1"/>
  <c r="AB14" i="10" s="1"/>
  <c r="C14" i="10" s="1"/>
  <c r="AB8" i="10"/>
  <c r="AB9" i="10"/>
  <c r="C9" i="10" s="1"/>
  <c r="I19" i="10" s="1"/>
  <c r="I10" i="9"/>
  <c r="F10" i="9"/>
  <c r="I10" i="7"/>
  <c r="I29" i="7" s="1"/>
  <c r="K29" i="7" s="1"/>
  <c r="I10" i="8"/>
  <c r="F10" i="8"/>
  <c r="K27" i="7"/>
  <c r="F10" i="7"/>
  <c r="G29" i="7" s="1"/>
  <c r="K24" i="7"/>
  <c r="F19" i="10" l="1"/>
  <c r="F22" i="10" s="1"/>
  <c r="I22" i="10"/>
  <c r="I24" i="10" s="1"/>
  <c r="K23" i="9"/>
  <c r="K24" i="9"/>
  <c r="K26" i="9"/>
  <c r="K27" i="9"/>
  <c r="K28" i="9"/>
  <c r="K30" i="9"/>
  <c r="F13" i="9"/>
  <c r="F15" i="9" s="1"/>
  <c r="I13" i="9"/>
  <c r="I13" i="7"/>
  <c r="F13" i="8"/>
  <c r="F15" i="8" s="1"/>
  <c r="I13" i="8"/>
  <c r="F13" i="7"/>
  <c r="F15" i="7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tc={14AEE837-9F73-4571-80A0-1190D8EB6F66}</author>
  </authors>
  <commentList>
    <comment ref="B11" authorId="0" shapeId="0" xr:uid="{14AEE837-9F73-4571-80A0-1190D8EB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tc={C22AA6DC-E544-43C7-B667-FDE3199E5600}</author>
  </authors>
  <commentList>
    <comment ref="B11" authorId="0" shapeId="0" xr:uid="{C22AA6DC-E544-43C7-B667-FDE3199E5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tc={4539C57F-59CA-437C-8B65-41813DC7BFF0}</author>
  </authors>
  <commentList>
    <comment ref="B11" authorId="0" shapeId="0" xr:uid="{4539C57F-59CA-437C-8B65-41813DC7BF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tc={0863F0AC-80F5-4783-AF7B-969FDDA82C92}</author>
    <author>tc={E3983E48-7886-422A-B61B-60329D4F87BC}</author>
  </authors>
  <commentList>
    <comment ref="B6" authorId="0" shapeId="0" xr:uid="{0863F0AC-80F5-4783-AF7B-969FDDA82C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Premium-Management Expenses - Commission Expenses</t>
      </text>
    </comment>
    <comment ref="B20" authorId="1" shapeId="0" xr:uid="{E3983E48-7886-422A-B61B-60329D4F87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602F6-DC52-4B67-9D43-719B4604E8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<sst xmlns="http://schemas.openxmlformats.org/spreadsheetml/2006/main" count="450" uniqueCount="84">
  <si>
    <t xml:space="preserve">Investment Return </t>
  </si>
  <si>
    <t xml:space="preserve">Bonus </t>
  </si>
  <si>
    <t xml:space="preserve">Premium </t>
  </si>
  <si>
    <t xml:space="preserve">Sum Insured </t>
  </si>
  <si>
    <t xml:space="preserve">Commission </t>
  </si>
  <si>
    <t xml:space="preserve">Total In Flow </t>
  </si>
  <si>
    <t xml:space="preserve">Total Out Flow </t>
  </si>
  <si>
    <t>Profit/Loss</t>
  </si>
  <si>
    <t xml:space="preserve">Annuity Accumulation Factor </t>
  </si>
  <si>
    <t xml:space="preserve">Management Expense </t>
  </si>
  <si>
    <t xml:space="preserve">Term </t>
  </si>
  <si>
    <t xml:space="preserve"> </t>
  </si>
  <si>
    <t xml:space="preserve">Age </t>
  </si>
  <si>
    <t xml:space="preserve">Endowment </t>
  </si>
  <si>
    <t xml:space="preserve">Money Back </t>
  </si>
  <si>
    <t xml:space="preserve">Child </t>
  </si>
  <si>
    <t xml:space="preserve">Whole Life </t>
  </si>
  <si>
    <t xml:space="preserve">Pension </t>
  </si>
  <si>
    <t xml:space="preserve">SA </t>
  </si>
  <si>
    <t xml:space="preserve">Coverage </t>
  </si>
  <si>
    <t>Variables</t>
  </si>
  <si>
    <t>Constants</t>
  </si>
  <si>
    <t>PV</t>
  </si>
  <si>
    <t>Earnings</t>
  </si>
  <si>
    <t>Commission</t>
  </si>
  <si>
    <t>%P/L</t>
  </si>
  <si>
    <t>Year</t>
  </si>
  <si>
    <t>Premium Amount (Rs.)</t>
  </si>
  <si>
    <t>PV of Outflow</t>
  </si>
  <si>
    <t>PV of Inflow</t>
  </si>
  <si>
    <t>PV of Inflows</t>
  </si>
  <si>
    <t>Bonus Rate</t>
  </si>
  <si>
    <t>Term (Years)</t>
  </si>
  <si>
    <t>Age</t>
  </si>
  <si>
    <t>Term</t>
  </si>
  <si>
    <t>Premium</t>
  </si>
  <si>
    <t>National Life</t>
  </si>
  <si>
    <t>Total Inflows</t>
  </si>
  <si>
    <t>Total Outflows</t>
  </si>
  <si>
    <t>PV of Outflows</t>
  </si>
  <si>
    <t>P/L %</t>
  </si>
  <si>
    <t>https://nationallife.com.np/prmcalcV2/index.html</t>
  </si>
  <si>
    <t>NA</t>
  </si>
  <si>
    <t>Endowment</t>
  </si>
  <si>
    <t>Money Back</t>
  </si>
  <si>
    <t>Amrit Barsha</t>
  </si>
  <si>
    <t>Child</t>
  </si>
  <si>
    <t>Bal Amrit</t>
  </si>
  <si>
    <t>Whole-Life</t>
  </si>
  <si>
    <t>Jeevan Amrit</t>
  </si>
  <si>
    <t>Bachat Amrit??</t>
  </si>
  <si>
    <t xml:space="preserve">Sum Assured </t>
  </si>
  <si>
    <t>Endowment cum whole life</t>
  </si>
  <si>
    <t>Whole-Life Liability?</t>
  </si>
  <si>
    <t>Means Endowment cum whole life</t>
  </si>
  <si>
    <t>https://nationallife.com.np/jeevan-amrit-endowment-cum-whole-life1</t>
  </si>
  <si>
    <t>Amrit Barsha??</t>
  </si>
  <si>
    <t>Anticipated Endowment (Money Back)</t>
  </si>
  <si>
    <t>Amrit Barsha ??</t>
  </si>
  <si>
    <t>Liability??</t>
  </si>
  <si>
    <t>Money Back Per Thousand</t>
  </si>
  <si>
    <t>Reference</t>
  </si>
  <si>
    <t>Term Duration</t>
  </si>
  <si>
    <t>Sum</t>
  </si>
  <si>
    <t>Amrit Barsha Money Back</t>
  </si>
  <si>
    <t>Earnings/Inflows</t>
  </si>
  <si>
    <t>Commission ??</t>
  </si>
  <si>
    <t xml:space="preserve">Total InFlow </t>
  </si>
  <si>
    <t>4</t>
  </si>
  <si>
    <t>7</t>
  </si>
  <si>
    <t>10</t>
  </si>
  <si>
    <t>13</t>
  </si>
  <si>
    <t>16</t>
  </si>
  <si>
    <t>19</t>
  </si>
  <si>
    <t>22</t>
  </si>
  <si>
    <t>25</t>
  </si>
  <si>
    <t>Value</t>
  </si>
  <si>
    <t>Money Back Period</t>
  </si>
  <si>
    <t>Remaining</t>
  </si>
  <si>
    <t xml:space="preserve">Total Out Flow?? </t>
  </si>
  <si>
    <t>https://www.youtube.com/watch?v=TAchV0mGL_0&amp;ab_channel=SanjeevChaudhary</t>
  </si>
  <si>
    <t>Balance</t>
  </si>
  <si>
    <t>Earnings from Balance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</si>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</sst>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PR&quot;\ #,##0.00;[Red]\-&quot;NPR&quot;\ #,##0.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7" borderId="1" applyNumberFormat="0" applyAlignment="0" applyProtection="0"/>
  </cellStyleXfs>
  <cellXfs count="6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/>
    <xf numFmtId="9" fontId="0" fillId="3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Fill="1"/>
    <xf numFmtId="165" fontId="0" fillId="3" borderId="0" xfId="1" applyNumberFormat="1" applyFont="1" applyFill="1"/>
    <xf numFmtId="0" fontId="5" fillId="0" borderId="0" xfId="0" applyFont="1"/>
    <xf numFmtId="165" fontId="0" fillId="8" borderId="0" xfId="0" applyNumberFormat="1" applyFill="1"/>
    <xf numFmtId="165" fontId="0" fillId="9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5" xfId="1" applyNumberFormat="1" applyFont="1" applyFill="1" applyBorder="1"/>
    <xf numFmtId="0" fontId="4" fillId="7" borderId="1" xfId="3"/>
    <xf numFmtId="165" fontId="4" fillId="7" borderId="1" xfId="3" applyNumberFormat="1"/>
    <xf numFmtId="0" fontId="0" fillId="5" borderId="0" xfId="0" applyFill="1"/>
    <xf numFmtId="0" fontId="0" fillId="9" borderId="0" xfId="0" applyFill="1"/>
    <xf numFmtId="0" fontId="0" fillId="6" borderId="0" xfId="0" applyFill="1"/>
    <xf numFmtId="0" fontId="5" fillId="11" borderId="0" xfId="0" applyFont="1" applyFill="1"/>
    <xf numFmtId="4" fontId="0" fillId="0" borderId="0" xfId="0" applyNumberFormat="1"/>
    <xf numFmtId="43" fontId="0" fillId="0" borderId="0" xfId="2" applyNumberFormat="1" applyFont="1"/>
    <xf numFmtId="43" fontId="0" fillId="0" borderId="0" xfId="1" applyFont="1" applyFill="1"/>
    <xf numFmtId="0" fontId="0" fillId="12" borderId="0" xfId="0" applyFill="1"/>
    <xf numFmtId="43" fontId="0" fillId="5" borderId="0" xfId="1" applyFont="1" applyFill="1"/>
    <xf numFmtId="9" fontId="0" fillId="13" borderId="0" xfId="0" applyNumberFormat="1" applyFill="1"/>
    <xf numFmtId="0" fontId="5" fillId="0" borderId="9" xfId="0" applyFont="1" applyBorder="1"/>
    <xf numFmtId="165" fontId="0" fillId="0" borderId="0" xfId="1" applyNumberFormat="1" applyFont="1" applyBorder="1"/>
    <xf numFmtId="0" fontId="5" fillId="0" borderId="8" xfId="0" applyFont="1" applyBorder="1"/>
    <xf numFmtId="0" fontId="0" fillId="13" borderId="0" xfId="0" applyFill="1"/>
    <xf numFmtId="0" fontId="5" fillId="0" borderId="2" xfId="0" applyFont="1" applyBorder="1"/>
    <xf numFmtId="0" fontId="5" fillId="0" borderId="4" xfId="0" applyFont="1" applyBorder="1"/>
    <xf numFmtId="1" fontId="5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5" fillId="14" borderId="0" xfId="0" applyFont="1" applyFill="1"/>
    <xf numFmtId="0" fontId="5" fillId="2" borderId="2" xfId="0" applyFont="1" applyFill="1" applyBorder="1"/>
    <xf numFmtId="0" fontId="5" fillId="13" borderId="4" xfId="0" applyFont="1" applyFill="1" applyBorder="1"/>
    <xf numFmtId="165" fontId="0" fillId="13" borderId="5" xfId="0" applyNumberForma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0" fillId="2" borderId="0" xfId="0" applyNumberFormat="1" applyFill="1"/>
    <xf numFmtId="14" fontId="0" fillId="0" borderId="0" xfId="0" applyNumberForma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48961-3F3D-B6D4-07B3-D3CEFD2C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0825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245B2-F03A-ACE9-3B3C-668A9A94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801725"/>
          <a:ext cx="3790476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B9042-E4E3-416F-9FA3-E746A4B2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E4848-4CBE-453C-ACBE-C4FD2A39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89BCD-F931-4F40-ACAF-B1CC42B6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FA8785-5A3B-4325-A775-B801BFB9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160768</xdr:colOff>
      <xdr:row>72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70B16-6BF9-46FE-BECE-4F61224A1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4</xdr:col>
      <xdr:colOff>456726</xdr:colOff>
      <xdr:row>112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435F4-F974-4A4E-B3F3-CE46DE3A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733425</xdr:colOff>
      <xdr:row>45</xdr:row>
      <xdr:rowOff>9525</xdr:rowOff>
    </xdr:from>
    <xdr:to>
      <xdr:col>13</xdr:col>
      <xdr:colOff>647246</xdr:colOff>
      <xdr:row>56</xdr:row>
      <xdr:rowOff>56869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3F713-3942-4F1E-AE6C-CC77CB19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8275" y="7210425"/>
          <a:ext cx="3628571" cy="2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raj  Acharya" id="{67633476-A34E-4116-B0C6-A5BAE9F887CD}" userId="S::admin@scapitalnepal.onmicrosoft.com::026e7dae-a636-407e-8fbc-02effa19e29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412974-8283-4C49-B6CF-2B2EAFD61A4F}" autoFormatId="16" applyNumberFormats="0" applyBorderFormats="0" applyFontFormats="0" applyPatternFormats="0" applyAlignmentFormats="0" applyWidthHeightFormats="0">
  <queryTableRefresh nextId="4">
    <queryTableFields count="3">
      <queryTableField id="1" name="Term Duration" tableColumnId="1"/>
      <queryTableField id="2" name="Attribute" tableColumnId="2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8B21E-D24B-45F2-A6FA-7A71AF3F9683}" name="Table1" displayName="Table1" ref="K20:S27" totalsRowShown="0" headerRowDxfId="13" dataDxfId="11" headerRowBorderDxfId="12" tableBorderDxfId="10" dataCellStyle="Comma">
  <autoFilter ref="K20:S27" xr:uid="{1BD8B21E-D24B-45F2-A6FA-7A71AF3F9683}"/>
  <tableColumns count="9">
    <tableColumn id="1" xr3:uid="{A345E924-6695-4276-A45C-8208EED632BF}" name="Term Duration" dataDxfId="9"/>
    <tableColumn id="2" xr3:uid="{0DE874F9-3102-44E0-9F83-4C672DE7D25F}" name="4" dataDxfId="8" dataCellStyle="Comma"/>
    <tableColumn id="3" xr3:uid="{814117F7-724B-4DD2-9F5E-7568DDB629CC}" name="7" dataDxfId="7" dataCellStyle="Comma"/>
    <tableColumn id="4" xr3:uid="{96F1D928-5CB6-4892-8F52-D69C239CE228}" name="10" dataDxfId="6" dataCellStyle="Comma"/>
    <tableColumn id="5" xr3:uid="{D48DFCF5-A79C-45CE-BB74-22577C10CC4B}" name="13" dataDxfId="5" dataCellStyle="Comma"/>
    <tableColumn id="6" xr3:uid="{51C86721-367F-4DC8-A805-64FB664148CC}" name="16" dataDxfId="4" dataCellStyle="Comma"/>
    <tableColumn id="7" xr3:uid="{138D9FE9-780A-4B14-A2D8-1CC16D968DD0}" name="19" dataDxfId="3" dataCellStyle="Comma"/>
    <tableColumn id="8" xr3:uid="{445E53F7-D3FB-40EB-A1C9-14626FADC81B}" name="22" dataDxfId="2" dataCellStyle="Comma"/>
    <tableColumn id="9" xr3:uid="{1604DDC7-D587-44F6-916B-B52A8E7A460D}" name="25" dataDxfId="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E38DE-1205-4D55-87C1-56A590E99BE4}" name="Table_Table1" displayName="Table_Table1" ref="B2:D58" tableType="queryTable" totalsRowShown="0">
  <autoFilter ref="B2:D58" xr:uid="{7DDE38DE-1205-4D55-87C1-56A590E99BE4}"/>
  <tableColumns count="3">
    <tableColumn id="1" xr3:uid="{CDEABE20-4089-4A52-8425-330A1A083513}" uniqueName="1" name="Term Duration" queryTableFieldId="1"/>
    <tableColumn id="2" xr3:uid="{DF9B09FF-DF4A-40F5-9D90-41351547A927}" uniqueName="2" name="Year" queryTableFieldId="2" dataDxfId="0"/>
    <tableColumn id="3" xr3:uid="{C0208EB2-5C52-47F5-AE9F-26DB00CB141C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14AEE837-9F73-4571-80A0-1190D8EB6F66}">
    <text>Premium depends upon 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C22AA6DC-E544-43C7-B667-FDE3199E5600}">
    <text>Premium depends upon age.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4539C57F-59CA-437C-8B65-41813DC7BFF0}">
    <text>Premium depends upon 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" dT="2023-05-11T05:30:50.83" personId="{67633476-A34E-4116-B0C6-A5BAE9F887CD}" id="{0863F0AC-80F5-4783-AF7B-969FDDA82C92}">
    <text>Premium-Management Expenses - Commission Expenses</text>
  </threadedComment>
  <threadedComment ref="B20" dT="2023-04-26T11:13:49.20" personId="{67633476-A34E-4116-B0C6-A5BAE9F887CD}" id="{E3983E48-7886-422A-B61B-60329D4F87BC}">
    <text>Premium depends upon age.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AFD-9CF0-8243-8048-66735E26B385}">
  <sheetPr codeName="Sheet1"/>
  <dimension ref="B1:T25"/>
  <sheetViews>
    <sheetView zoomScale="150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1.5" bestFit="1" customWidth="1"/>
    <col min="7" max="7" width="11.5" style="2" bestFit="1" customWidth="1"/>
    <col min="8" max="15" width="11.5" bestFit="1" customWidth="1"/>
    <col min="16" max="20" width="10.5" bestFit="1" customWidth="1"/>
  </cols>
  <sheetData>
    <row r="1" spans="2:20" x14ac:dyDescent="0.25">
      <c r="E1" s="3">
        <f>C2-D5</f>
        <v>48750</v>
      </c>
      <c r="F1" s="3">
        <f>F6-D6</f>
        <v>55250</v>
      </c>
      <c r="G1" s="2">
        <f>G7-D7</f>
        <v>58500</v>
      </c>
      <c r="H1" s="3">
        <f>H8-D8</f>
        <v>61750</v>
      </c>
      <c r="I1" s="3">
        <f>I9-D9</f>
        <v>61750</v>
      </c>
      <c r="J1" s="3">
        <f>J10-D10</f>
        <v>61750</v>
      </c>
      <c r="K1" s="3">
        <f>K11-D11</f>
        <v>61750</v>
      </c>
      <c r="L1" s="3">
        <f>L12-D12</f>
        <v>61750</v>
      </c>
      <c r="M1" s="3">
        <f>M13-D13</f>
        <v>61750</v>
      </c>
      <c r="N1" s="3">
        <f>N14-D14</f>
        <v>61750</v>
      </c>
      <c r="O1">
        <f>O15</f>
        <v>65000</v>
      </c>
      <c r="P1">
        <f>P16</f>
        <v>65000</v>
      </c>
      <c r="Q1">
        <f>Q17</f>
        <v>65000</v>
      </c>
      <c r="R1">
        <f>R18</f>
        <v>65000</v>
      </c>
      <c r="S1">
        <f>S19</f>
        <v>65000</v>
      </c>
      <c r="T1">
        <v>64</v>
      </c>
    </row>
    <row r="2" spans="2:20" x14ac:dyDescent="0.25">
      <c r="B2" t="s">
        <v>2</v>
      </c>
      <c r="C2">
        <v>65000</v>
      </c>
      <c r="E2">
        <v>1</v>
      </c>
      <c r="F2">
        <v>2</v>
      </c>
      <c r="G2" s="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1</v>
      </c>
    </row>
    <row r="3" spans="2:20" x14ac:dyDescent="0.25">
      <c r="B3" t="s">
        <v>3</v>
      </c>
      <c r="C3" s="2">
        <v>1000000</v>
      </c>
      <c r="D3" t="s">
        <v>4</v>
      </c>
    </row>
    <row r="4" spans="2:20" x14ac:dyDescent="0.25">
      <c r="B4" t="s">
        <v>0</v>
      </c>
      <c r="C4" s="1">
        <v>0.09</v>
      </c>
      <c r="D4" s="2"/>
      <c r="E4" s="2"/>
      <c r="T4" s="3"/>
    </row>
    <row r="5" spans="2:20" x14ac:dyDescent="0.25">
      <c r="B5">
        <v>1</v>
      </c>
      <c r="C5" s="1">
        <v>0.25</v>
      </c>
      <c r="D5" s="3">
        <f>C5*$C$2</f>
        <v>16250</v>
      </c>
      <c r="T5" s="3">
        <f t="shared" ref="T5:T19" si="0">($T$1/1000)*$C$3</f>
        <v>64000</v>
      </c>
    </row>
    <row r="6" spans="2:20" x14ac:dyDescent="0.25">
      <c r="B6">
        <v>2</v>
      </c>
      <c r="C6" s="1">
        <v>0.15</v>
      </c>
      <c r="D6" s="3">
        <f>$C$2*C6</f>
        <v>9750</v>
      </c>
      <c r="E6" s="3">
        <f>E1*(1+C4)</f>
        <v>53137.500000000007</v>
      </c>
      <c r="F6" s="2">
        <v>65000</v>
      </c>
      <c r="T6" s="3">
        <f t="shared" si="0"/>
        <v>64000</v>
      </c>
    </row>
    <row r="7" spans="2:20" x14ac:dyDescent="0.25">
      <c r="B7">
        <v>3</v>
      </c>
      <c r="C7" s="1">
        <v>0.1</v>
      </c>
      <c r="D7" s="3">
        <f t="shared" ref="D7:D14" si="1">$C$2*C7</f>
        <v>6500</v>
      </c>
      <c r="E7" s="3">
        <f>E6*(1+$C$4)</f>
        <v>57919.875000000015</v>
      </c>
      <c r="F7" s="3">
        <f>F1*(1+$C$4)</f>
        <v>60222.500000000007</v>
      </c>
      <c r="G7" s="2">
        <f>C2</f>
        <v>65000</v>
      </c>
      <c r="T7" s="3">
        <f t="shared" si="0"/>
        <v>64000</v>
      </c>
    </row>
    <row r="8" spans="2:20" x14ac:dyDescent="0.25">
      <c r="B8">
        <v>4</v>
      </c>
      <c r="C8" s="1">
        <v>0.05</v>
      </c>
      <c r="D8" s="3">
        <f t="shared" si="1"/>
        <v>3250</v>
      </c>
      <c r="E8" s="3">
        <f t="shared" ref="E8:E20" si="2">E7*(1+$C$4)</f>
        <v>63132.663750000022</v>
      </c>
      <c r="F8" s="3">
        <f>F7*(1+$C$4)</f>
        <v>65642.525000000009</v>
      </c>
      <c r="G8" s="2">
        <f>G1*(1+C4)</f>
        <v>63765.000000000007</v>
      </c>
      <c r="H8">
        <v>65000</v>
      </c>
      <c r="T8" s="3">
        <f t="shared" si="0"/>
        <v>64000</v>
      </c>
    </row>
    <row r="9" spans="2:20" x14ac:dyDescent="0.25">
      <c r="B9">
        <v>5</v>
      </c>
      <c r="C9" s="1">
        <v>0.05</v>
      </c>
      <c r="D9" s="3">
        <f t="shared" si="1"/>
        <v>3250</v>
      </c>
      <c r="E9" s="3">
        <f t="shared" si="2"/>
        <v>68814.603487500033</v>
      </c>
      <c r="F9" s="3">
        <f t="shared" ref="F9:F20" si="3">F8*(1+$C$4)</f>
        <v>71550.352250000011</v>
      </c>
      <c r="G9" s="2">
        <f>G8*(1+$C$4)</f>
        <v>69503.850000000006</v>
      </c>
      <c r="H9" s="3">
        <f>H1*(1+C4)</f>
        <v>67307.5</v>
      </c>
      <c r="I9">
        <v>65000</v>
      </c>
      <c r="T9" s="3">
        <f t="shared" si="0"/>
        <v>64000</v>
      </c>
    </row>
    <row r="10" spans="2:20" x14ac:dyDescent="0.25">
      <c r="B10">
        <v>6</v>
      </c>
      <c r="C10" s="1">
        <v>0.05</v>
      </c>
      <c r="D10" s="3">
        <f t="shared" si="1"/>
        <v>3250</v>
      </c>
      <c r="E10" s="3">
        <f t="shared" si="2"/>
        <v>75007.917801375035</v>
      </c>
      <c r="F10" s="3">
        <f t="shared" si="3"/>
        <v>77989.883952500022</v>
      </c>
      <c r="G10" s="2">
        <f t="shared" ref="G10:Q20" si="4">G9*(1+$C$4)</f>
        <v>75759.196500000005</v>
      </c>
      <c r="H10" s="3">
        <f>H9*(1+$C$4)</f>
        <v>73365.175000000003</v>
      </c>
      <c r="I10" s="3">
        <f>I1*(1+C4)</f>
        <v>67307.5</v>
      </c>
      <c r="J10">
        <v>65000</v>
      </c>
      <c r="T10" s="3">
        <f t="shared" si="0"/>
        <v>64000</v>
      </c>
    </row>
    <row r="11" spans="2:20" x14ac:dyDescent="0.25">
      <c r="B11">
        <v>7</v>
      </c>
      <c r="C11" s="1">
        <v>0.05</v>
      </c>
      <c r="D11" s="3">
        <f t="shared" si="1"/>
        <v>3250</v>
      </c>
      <c r="E11" s="3">
        <f t="shared" si="2"/>
        <v>81758.630403498799</v>
      </c>
      <c r="F11" s="3">
        <f t="shared" si="3"/>
        <v>85008.973508225026</v>
      </c>
      <c r="G11" s="2">
        <f t="shared" si="4"/>
        <v>82577.524185000017</v>
      </c>
      <c r="H11" s="3">
        <f t="shared" ref="H11:H19" si="5">H10*(1+$C$4)</f>
        <v>79968.040750000015</v>
      </c>
      <c r="I11" s="3">
        <f>I10*(1+$C$4)</f>
        <v>73365.175000000003</v>
      </c>
      <c r="J11" s="3">
        <f>J1*(1+$C$4)</f>
        <v>67307.5</v>
      </c>
      <c r="K11">
        <v>65000</v>
      </c>
      <c r="T11" s="3">
        <f t="shared" si="0"/>
        <v>64000</v>
      </c>
    </row>
    <row r="12" spans="2:20" x14ac:dyDescent="0.25">
      <c r="B12">
        <v>8</v>
      </c>
      <c r="C12" s="1">
        <v>0.05</v>
      </c>
      <c r="D12" s="3">
        <f t="shared" si="1"/>
        <v>3250</v>
      </c>
      <c r="E12" s="3">
        <f t="shared" si="2"/>
        <v>89116.907139813702</v>
      </c>
      <c r="F12" s="3">
        <f t="shared" si="3"/>
        <v>92659.78112396528</v>
      </c>
      <c r="G12" s="2">
        <f t="shared" si="4"/>
        <v>90009.501361650022</v>
      </c>
      <c r="H12" s="3">
        <f t="shared" si="5"/>
        <v>87165.164417500026</v>
      </c>
      <c r="I12" s="3">
        <f t="shared" ref="I12:I19" si="6">I11*(1+$C$4)</f>
        <v>79968.040750000015</v>
      </c>
      <c r="J12" s="3">
        <f>J11*(1+$C$4)</f>
        <v>73365.175000000003</v>
      </c>
      <c r="K12" s="3">
        <f>K1*(1+$C$4)</f>
        <v>67307.5</v>
      </c>
      <c r="L12">
        <v>65000</v>
      </c>
      <c r="T12" s="3">
        <f t="shared" si="0"/>
        <v>64000</v>
      </c>
    </row>
    <row r="13" spans="2:20" x14ac:dyDescent="0.25">
      <c r="B13">
        <v>9</v>
      </c>
      <c r="C13" s="1">
        <v>0.05</v>
      </c>
      <c r="D13" s="3">
        <f t="shared" si="1"/>
        <v>3250</v>
      </c>
      <c r="E13" s="3">
        <f t="shared" si="2"/>
        <v>97137.428782396935</v>
      </c>
      <c r="F13" s="3">
        <f t="shared" si="3"/>
        <v>100999.16142512216</v>
      </c>
      <c r="G13" s="2">
        <f t="shared" si="4"/>
        <v>98110.356484198535</v>
      </c>
      <c r="H13" s="3">
        <f t="shared" si="5"/>
        <v>95010.029215075032</v>
      </c>
      <c r="I13" s="3">
        <f t="shared" si="6"/>
        <v>87165.164417500026</v>
      </c>
      <c r="J13" s="3">
        <f t="shared" ref="J13:P19" si="7">J12*(1+$C$4)</f>
        <v>79968.040750000015</v>
      </c>
      <c r="K13" s="3">
        <f>K12*(1+$C$4)</f>
        <v>73365.175000000003</v>
      </c>
      <c r="L13" s="3">
        <f>L1*(1+$C$4)</f>
        <v>67307.5</v>
      </c>
      <c r="M13">
        <v>65000</v>
      </c>
      <c r="T13" s="3">
        <f t="shared" si="0"/>
        <v>64000</v>
      </c>
    </row>
    <row r="14" spans="2:20" x14ac:dyDescent="0.25">
      <c r="B14">
        <v>10</v>
      </c>
      <c r="C14" s="1">
        <v>0.05</v>
      </c>
      <c r="D14" s="3">
        <f t="shared" si="1"/>
        <v>3250</v>
      </c>
      <c r="E14" s="3">
        <f t="shared" si="2"/>
        <v>105879.79737281267</v>
      </c>
      <c r="F14" s="3">
        <f t="shared" si="3"/>
        <v>110089.08595338317</v>
      </c>
      <c r="G14" s="2">
        <f t="shared" si="4"/>
        <v>106940.28856777641</v>
      </c>
      <c r="H14" s="3">
        <f t="shared" si="5"/>
        <v>103560.93184443179</v>
      </c>
      <c r="I14" s="3">
        <f t="shared" si="6"/>
        <v>95010.029215075032</v>
      </c>
      <c r="J14" s="3">
        <f t="shared" si="7"/>
        <v>87165.164417500026</v>
      </c>
      <c r="K14" s="3">
        <f t="shared" si="7"/>
        <v>79968.040750000015</v>
      </c>
      <c r="L14" s="3">
        <f>L13*(1+$C$4)</f>
        <v>73365.175000000003</v>
      </c>
      <c r="M14" s="3">
        <f>M1*(1+$C$4)</f>
        <v>67307.5</v>
      </c>
      <c r="N14">
        <v>65000</v>
      </c>
      <c r="T14" s="3">
        <f t="shared" si="0"/>
        <v>64000</v>
      </c>
    </row>
    <row r="15" spans="2:20" x14ac:dyDescent="0.25">
      <c r="B15">
        <v>11</v>
      </c>
      <c r="D15" s="3"/>
      <c r="E15" s="3">
        <f t="shared" si="2"/>
        <v>115408.97913636582</v>
      </c>
      <c r="F15" s="3">
        <f t="shared" si="3"/>
        <v>119997.10368918766</v>
      </c>
      <c r="G15" s="2">
        <f t="shared" si="4"/>
        <v>116564.9145388763</v>
      </c>
      <c r="H15" s="3">
        <f t="shared" si="5"/>
        <v>112881.41571043067</v>
      </c>
      <c r="I15" s="3">
        <f t="shared" si="6"/>
        <v>103560.93184443179</v>
      </c>
      <c r="J15" s="3">
        <f t="shared" si="7"/>
        <v>95010.029215075032</v>
      </c>
      <c r="K15" s="3">
        <f t="shared" si="7"/>
        <v>87165.164417500026</v>
      </c>
      <c r="L15" s="3">
        <f t="shared" si="7"/>
        <v>79968.040750000015</v>
      </c>
      <c r="M15" s="3">
        <f>M14*(1+$C$4)</f>
        <v>73365.175000000003</v>
      </c>
      <c r="N15" s="3">
        <f>N1*(1+$C$4)</f>
        <v>67307.5</v>
      </c>
      <c r="O15">
        <v>65000</v>
      </c>
      <c r="T15" s="3">
        <f t="shared" si="0"/>
        <v>64000</v>
      </c>
    </row>
    <row r="16" spans="2:20" x14ac:dyDescent="0.25">
      <c r="B16">
        <v>12</v>
      </c>
      <c r="E16" s="3">
        <f t="shared" si="2"/>
        <v>125795.78725863875</v>
      </c>
      <c r="F16" s="3">
        <f t="shared" si="3"/>
        <v>130796.84302121456</v>
      </c>
      <c r="G16" s="2">
        <f t="shared" si="4"/>
        <v>127055.75684737517</v>
      </c>
      <c r="H16" s="3">
        <f t="shared" si="5"/>
        <v>123040.74312436943</v>
      </c>
      <c r="I16" s="3">
        <f t="shared" si="6"/>
        <v>112881.41571043067</v>
      </c>
      <c r="J16" s="3">
        <f t="shared" si="7"/>
        <v>103560.93184443179</v>
      </c>
      <c r="K16" s="3">
        <f t="shared" si="7"/>
        <v>95010.029215075032</v>
      </c>
      <c r="L16" s="3">
        <f t="shared" si="7"/>
        <v>87165.164417500026</v>
      </c>
      <c r="M16" s="3">
        <f t="shared" si="7"/>
        <v>79968.040750000015</v>
      </c>
      <c r="N16" s="3">
        <f>N15*(1+$C$4)</f>
        <v>73365.175000000003</v>
      </c>
      <c r="O16" s="3">
        <f>O1*(1+$C$4)</f>
        <v>70850</v>
      </c>
      <c r="P16">
        <v>65000</v>
      </c>
      <c r="T16" s="3">
        <f t="shared" si="0"/>
        <v>64000</v>
      </c>
    </row>
    <row r="17" spans="2:20" x14ac:dyDescent="0.25">
      <c r="B17">
        <v>13</v>
      </c>
      <c r="E17" s="3">
        <f t="shared" si="2"/>
        <v>137117.40811191624</v>
      </c>
      <c r="F17" s="3">
        <f t="shared" si="3"/>
        <v>142568.55889312387</v>
      </c>
      <c r="G17" s="2">
        <f t="shared" si="4"/>
        <v>138490.77496363895</v>
      </c>
      <c r="H17" s="3">
        <f t="shared" si="5"/>
        <v>134114.41000556268</v>
      </c>
      <c r="I17" s="3">
        <f t="shared" si="6"/>
        <v>123040.74312436943</v>
      </c>
      <c r="J17" s="3">
        <f t="shared" si="7"/>
        <v>112881.41571043067</v>
      </c>
      <c r="K17" s="3">
        <f t="shared" si="7"/>
        <v>103560.93184443179</v>
      </c>
      <c r="L17" s="3">
        <f t="shared" si="7"/>
        <v>95010.029215075032</v>
      </c>
      <c r="M17" s="3">
        <f t="shared" si="7"/>
        <v>87165.164417500026</v>
      </c>
      <c r="N17" s="3">
        <f t="shared" si="7"/>
        <v>79968.040750000015</v>
      </c>
      <c r="O17" s="3">
        <f>O16*(1+$C$4)</f>
        <v>77226.5</v>
      </c>
      <c r="P17" s="3">
        <f>P1*(1+$C$4)</f>
        <v>70850</v>
      </c>
      <c r="Q17">
        <v>65000</v>
      </c>
      <c r="T17" s="3">
        <f t="shared" si="0"/>
        <v>64000</v>
      </c>
    </row>
    <row r="18" spans="2:20" x14ac:dyDescent="0.25">
      <c r="B18">
        <v>14</v>
      </c>
      <c r="E18" s="3">
        <f t="shared" si="2"/>
        <v>149457.9748419887</v>
      </c>
      <c r="F18" s="3">
        <f t="shared" si="3"/>
        <v>155399.72919350505</v>
      </c>
      <c r="G18" s="2">
        <f t="shared" si="4"/>
        <v>150954.94471036646</v>
      </c>
      <c r="H18" s="3">
        <f t="shared" si="5"/>
        <v>146184.70690606334</v>
      </c>
      <c r="I18" s="3">
        <f t="shared" si="6"/>
        <v>134114.41000556268</v>
      </c>
      <c r="J18" s="3">
        <f t="shared" si="7"/>
        <v>123040.74312436943</v>
      </c>
      <c r="K18" s="3">
        <f t="shared" si="7"/>
        <v>112881.41571043067</v>
      </c>
      <c r="L18" s="3">
        <f t="shared" si="7"/>
        <v>103560.93184443179</v>
      </c>
      <c r="M18" s="3">
        <f t="shared" si="7"/>
        <v>95010.029215075032</v>
      </c>
      <c r="N18" s="3">
        <f t="shared" si="7"/>
        <v>87165.164417500026</v>
      </c>
      <c r="O18" s="3">
        <f t="shared" si="7"/>
        <v>84176.885000000009</v>
      </c>
      <c r="P18" s="3">
        <f>P17*(1+$C$4)</f>
        <v>77226.5</v>
      </c>
      <c r="Q18" s="3">
        <f>Q1*(1+$C$4)</f>
        <v>70850</v>
      </c>
      <c r="R18">
        <v>65000</v>
      </c>
      <c r="T18" s="3">
        <f t="shared" si="0"/>
        <v>64000</v>
      </c>
    </row>
    <row r="19" spans="2:20" x14ac:dyDescent="0.25">
      <c r="B19">
        <v>15</v>
      </c>
      <c r="E19" s="3">
        <f t="shared" si="2"/>
        <v>162909.19257776771</v>
      </c>
      <c r="F19" s="3">
        <f t="shared" si="3"/>
        <v>169385.70482092051</v>
      </c>
      <c r="G19" s="2">
        <f t="shared" si="4"/>
        <v>164540.88973429945</v>
      </c>
      <c r="H19" s="3">
        <f t="shared" si="5"/>
        <v>159341.33052760904</v>
      </c>
      <c r="I19" s="3">
        <f t="shared" si="6"/>
        <v>146184.70690606334</v>
      </c>
      <c r="J19" s="3">
        <f t="shared" si="7"/>
        <v>134114.41000556268</v>
      </c>
      <c r="K19" s="3">
        <f t="shared" si="7"/>
        <v>123040.74312436943</v>
      </c>
      <c r="L19" s="3">
        <f t="shared" si="7"/>
        <v>112881.41571043067</v>
      </c>
      <c r="M19" s="3">
        <f t="shared" si="7"/>
        <v>103560.93184443179</v>
      </c>
      <c r="N19" s="3">
        <f t="shared" si="7"/>
        <v>95010.029215075032</v>
      </c>
      <c r="O19" s="3">
        <f t="shared" si="7"/>
        <v>91752.80465000002</v>
      </c>
      <c r="P19" s="3">
        <f t="shared" si="7"/>
        <v>84176.885000000009</v>
      </c>
      <c r="Q19" s="3">
        <f>Q18*(1+$C$4)</f>
        <v>77226.5</v>
      </c>
      <c r="R19" s="3">
        <f>R1*(1+$C$4)</f>
        <v>70850</v>
      </c>
      <c r="S19">
        <v>65000</v>
      </c>
      <c r="T19" s="3">
        <f t="shared" si="0"/>
        <v>64000</v>
      </c>
    </row>
    <row r="20" spans="2:20" x14ac:dyDescent="0.25">
      <c r="E20" s="3">
        <f t="shared" si="2"/>
        <v>177571.01990976682</v>
      </c>
      <c r="F20" s="3">
        <f t="shared" si="3"/>
        <v>184630.41825480337</v>
      </c>
      <c r="G20" s="2">
        <f t="shared" si="4"/>
        <v>179349.5698103864</v>
      </c>
      <c r="H20" s="2">
        <f t="shared" si="4"/>
        <v>173682.05027509388</v>
      </c>
      <c r="I20" s="2">
        <f t="shared" si="4"/>
        <v>159341.33052760904</v>
      </c>
      <c r="J20" s="2">
        <f t="shared" si="4"/>
        <v>146184.70690606334</v>
      </c>
      <c r="K20" s="2">
        <f t="shared" si="4"/>
        <v>134114.41000556268</v>
      </c>
      <c r="L20" s="2">
        <f t="shared" si="4"/>
        <v>123040.74312436943</v>
      </c>
      <c r="M20" s="2">
        <f t="shared" si="4"/>
        <v>112881.41571043067</v>
      </c>
      <c r="N20" s="3">
        <f t="shared" si="4"/>
        <v>103560.93184443179</v>
      </c>
      <c r="O20" s="3">
        <f t="shared" si="4"/>
        <v>100010.55706850003</v>
      </c>
      <c r="P20" s="3">
        <f t="shared" si="4"/>
        <v>91752.80465000002</v>
      </c>
      <c r="Q20" s="2">
        <f t="shared" si="4"/>
        <v>84176.885000000009</v>
      </c>
      <c r="R20" s="3">
        <f>R19*(1+$C$4)</f>
        <v>77226.5</v>
      </c>
      <c r="S20" s="3">
        <f>S1*(1+$C$4)</f>
        <v>70850</v>
      </c>
    </row>
    <row r="22" spans="2:20" x14ac:dyDescent="0.25">
      <c r="D22" t="s">
        <v>5</v>
      </c>
      <c r="E22" s="3">
        <f>SUM(E20:S20)</f>
        <v>1918373.3430870173</v>
      </c>
    </row>
    <row r="23" spans="2:20" x14ac:dyDescent="0.25">
      <c r="D23" t="s">
        <v>6</v>
      </c>
      <c r="E23" s="3">
        <f>SUM(T5:T19)+1000000</f>
        <v>1960000</v>
      </c>
    </row>
    <row r="25" spans="2:20" x14ac:dyDescent="0.25">
      <c r="D25" t="s">
        <v>7</v>
      </c>
      <c r="E25" s="3">
        <f>E22-E23</f>
        <v>-41626.656912982697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DE2A-7DAB-41E0-82AB-D1106B8C300E}">
  <dimension ref="B1:AB4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G16" sqref="G16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5.25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5.25" customWidth="1"/>
    <col min="12" max="12" width="11.125" customWidth="1"/>
    <col min="13" max="14" width="11.125" bestFit="1" customWidth="1"/>
    <col min="15" max="19" width="10.1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C2">
        <v>1</v>
      </c>
      <c r="D2">
        <v>111</v>
      </c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56">
        <v>4</v>
      </c>
      <c r="H3" s="19">
        <v>5</v>
      </c>
      <c r="I3" s="19">
        <v>6</v>
      </c>
      <c r="J3" s="56">
        <v>7</v>
      </c>
      <c r="K3" s="19">
        <v>8</v>
      </c>
      <c r="L3" s="19">
        <v>9</v>
      </c>
      <c r="M3" s="56">
        <v>10</v>
      </c>
      <c r="N3" s="19">
        <v>11</v>
      </c>
      <c r="O3" s="19">
        <v>12</v>
      </c>
      <c r="P3" s="56">
        <v>13</v>
      </c>
      <c r="Q3" s="19">
        <v>14</v>
      </c>
      <c r="R3" s="19">
        <v>15</v>
      </c>
      <c r="S3" s="56">
        <v>16</v>
      </c>
      <c r="T3" s="19">
        <v>17</v>
      </c>
      <c r="U3" s="19">
        <v>18</v>
      </c>
      <c r="V3" s="56">
        <v>19</v>
      </c>
      <c r="W3" s="19">
        <v>20</v>
      </c>
      <c r="X3" s="19">
        <v>21</v>
      </c>
      <c r="Y3" s="56">
        <v>22</v>
      </c>
      <c r="Z3" s="19">
        <v>23</v>
      </c>
      <c r="AA3" s="19">
        <v>24</v>
      </c>
      <c r="AB3" s="56">
        <v>25</v>
      </c>
    </row>
    <row r="4" spans="2:28" x14ac:dyDescent="0.25">
      <c r="B4" t="s">
        <v>61</v>
      </c>
      <c r="C4" s="19"/>
      <c r="D4">
        <f>$C$24</f>
        <v>16</v>
      </c>
      <c r="E4">
        <f>D4-1</f>
        <v>15</v>
      </c>
      <c r="F4">
        <f>E4-1</f>
        <v>14</v>
      </c>
      <c r="G4">
        <f t="shared" ref="G4:AB4" si="0">F4-1</f>
        <v>13</v>
      </c>
      <c r="H4">
        <f t="shared" si="0"/>
        <v>12</v>
      </c>
      <c r="I4">
        <f t="shared" si="0"/>
        <v>11</v>
      </c>
      <c r="J4">
        <f t="shared" si="0"/>
        <v>10</v>
      </c>
      <c r="K4">
        <f t="shared" si="0"/>
        <v>9</v>
      </c>
      <c r="L4">
        <f t="shared" si="0"/>
        <v>8</v>
      </c>
      <c r="M4">
        <f t="shared" si="0"/>
        <v>7</v>
      </c>
      <c r="N4">
        <f t="shared" si="0"/>
        <v>6</v>
      </c>
      <c r="O4">
        <f t="shared" si="0"/>
        <v>5</v>
      </c>
      <c r="P4">
        <f t="shared" si="0"/>
        <v>4</v>
      </c>
      <c r="Q4">
        <f t="shared" si="0"/>
        <v>3</v>
      </c>
      <c r="R4">
        <f t="shared" si="0"/>
        <v>2</v>
      </c>
      <c r="S4">
        <f t="shared" si="0"/>
        <v>1</v>
      </c>
      <c r="T4">
        <f t="shared" si="0"/>
        <v>0</v>
      </c>
      <c r="U4">
        <f t="shared" si="0"/>
        <v>-1</v>
      </c>
      <c r="V4">
        <f t="shared" si="0"/>
        <v>-2</v>
      </c>
      <c r="W4">
        <f>V4-1</f>
        <v>-3</v>
      </c>
      <c r="X4">
        <f t="shared" si="0"/>
        <v>-4</v>
      </c>
      <c r="Y4">
        <f t="shared" si="0"/>
        <v>-5</v>
      </c>
      <c r="Z4">
        <f>Y4-1</f>
        <v>-6</v>
      </c>
      <c r="AA4">
        <f t="shared" si="0"/>
        <v>-7</v>
      </c>
      <c r="AB4">
        <f t="shared" si="0"/>
        <v>-8</v>
      </c>
    </row>
    <row r="5" spans="2:28" x14ac:dyDescent="0.25">
      <c r="B5" t="s">
        <v>77</v>
      </c>
      <c r="C5" s="19"/>
      <c r="D5" s="16"/>
      <c r="E5" s="16"/>
      <c r="F5" s="16"/>
      <c r="G5" s="16">
        <v>1</v>
      </c>
      <c r="H5" s="16"/>
      <c r="I5" s="16"/>
      <c r="J5" s="16">
        <v>1</v>
      </c>
      <c r="K5" s="16"/>
      <c r="L5" s="16"/>
      <c r="M5" s="16">
        <v>1</v>
      </c>
      <c r="N5" s="16"/>
      <c r="O5" s="16"/>
      <c r="P5" s="16">
        <v>1</v>
      </c>
      <c r="Q5" s="16"/>
      <c r="R5" s="16"/>
      <c r="S5" s="16">
        <v>1</v>
      </c>
      <c r="T5" s="16"/>
      <c r="U5" s="16"/>
      <c r="V5" s="16">
        <v>1</v>
      </c>
      <c r="W5" s="16"/>
      <c r="X5" s="16"/>
      <c r="Y5" s="16">
        <v>1</v>
      </c>
      <c r="Z5" s="16"/>
      <c r="AA5" s="16"/>
      <c r="AB5" s="16">
        <v>1</v>
      </c>
    </row>
    <row r="6" spans="2:28" x14ac:dyDescent="0.25">
      <c r="B6" t="s">
        <v>27</v>
      </c>
      <c r="D6" s="20">
        <f>IF(D4&gt;0,$C$20-D7*$C$20-($C$19*$C$20),0)</f>
        <v>60552</v>
      </c>
      <c r="E6" s="20">
        <f>IF(E4&gt;0,$C$20-E7*$C$20-($C$19*$C$20),0)</f>
        <v>68962</v>
      </c>
      <c r="F6" s="20">
        <f t="shared" ref="F6:Z6" si="1">IF(F4&gt;0,$C$20-F7*$C$20-($C$19*$C$20),0)</f>
        <v>73167</v>
      </c>
      <c r="G6" s="20">
        <f t="shared" si="1"/>
        <v>77372</v>
      </c>
      <c r="H6" s="20">
        <f t="shared" si="1"/>
        <v>77372</v>
      </c>
      <c r="I6" s="20">
        <f t="shared" si="1"/>
        <v>77372</v>
      </c>
      <c r="J6" s="20">
        <f t="shared" si="1"/>
        <v>77372</v>
      </c>
      <c r="K6" s="20">
        <f t="shared" si="1"/>
        <v>77372</v>
      </c>
      <c r="L6" s="20">
        <f t="shared" si="1"/>
        <v>77372</v>
      </c>
      <c r="M6" s="20">
        <f t="shared" si="1"/>
        <v>77372</v>
      </c>
      <c r="N6" s="20">
        <f t="shared" si="1"/>
        <v>81577</v>
      </c>
      <c r="O6" s="20">
        <f t="shared" si="1"/>
        <v>81577</v>
      </c>
      <c r="P6" s="20">
        <f t="shared" si="1"/>
        <v>81577</v>
      </c>
      <c r="Q6" s="20">
        <f t="shared" si="1"/>
        <v>81577</v>
      </c>
      <c r="R6" s="20">
        <f t="shared" si="1"/>
        <v>81577</v>
      </c>
      <c r="S6" s="20">
        <f t="shared" si="1"/>
        <v>81577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IF(W4&gt;0,$C$20-W7*$C$20-($C$19*$C$20),0)</f>
        <v>0</v>
      </c>
      <c r="X6" s="20">
        <f>IF(X4&gt;0,$C$20-X7*$C$20-($C$19*$C$20),0)</f>
        <v>0</v>
      </c>
      <c r="Y6" s="20">
        <f t="shared" si="1"/>
        <v>0</v>
      </c>
      <c r="Z6" s="20">
        <f t="shared" si="1"/>
        <v>0</v>
      </c>
      <c r="AA6" s="20">
        <f>IF(AA4&gt;0,$C$20-AA7*$C$20-($C$19*$C$20),0)</f>
        <v>0</v>
      </c>
      <c r="AB6" s="20">
        <f t="shared" ref="AB6" si="2">IF(AB4&gt;0,$C$20-AB7*$C$20-($C$19*$C$20),0)</f>
        <v>0</v>
      </c>
    </row>
    <row r="7" spans="2:28" x14ac:dyDescent="0.25">
      <c r="B7" s="50" t="s">
        <v>66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65</v>
      </c>
      <c r="D8" s="17">
        <f>D6*(1+$C$22)^D4</f>
        <v>240409.96170990882</v>
      </c>
      <c r="E8" s="17">
        <f>E6*(1+$C$22)^E4</f>
        <v>251192.87538497095</v>
      </c>
      <c r="F8" s="17">
        <f t="shared" ref="F8:AB8" si="3">F6*(1+$C$22)^F4</f>
        <v>244504.14140179541</v>
      </c>
      <c r="G8" s="17">
        <f t="shared" si="3"/>
        <v>237207.43445075586</v>
      </c>
      <c r="H8" s="17">
        <f t="shared" si="3"/>
        <v>217621.49949610623</v>
      </c>
      <c r="I8" s="17">
        <f t="shared" si="3"/>
        <v>199652.75183129014</v>
      </c>
      <c r="J8" s="17">
        <f t="shared" si="3"/>
        <v>183167.66223054141</v>
      </c>
      <c r="K8" s="17">
        <f t="shared" si="3"/>
        <v>168043.72681701044</v>
      </c>
      <c r="L8" s="17">
        <f t="shared" si="3"/>
        <v>154168.55671285361</v>
      </c>
      <c r="M8" s="17">
        <f t="shared" si="3"/>
        <v>141439.042855829</v>
      </c>
      <c r="N8" s="17">
        <f t="shared" si="3"/>
        <v>136812.7957420763</v>
      </c>
      <c r="O8" s="17">
        <f t="shared" si="3"/>
        <v>125516.32636887734</v>
      </c>
      <c r="P8" s="17">
        <f t="shared" si="3"/>
        <v>115152.59299897002</v>
      </c>
      <c r="Q8" s="17">
        <f t="shared" si="3"/>
        <v>105644.58073300001</v>
      </c>
      <c r="R8" s="17">
        <f t="shared" si="3"/>
        <v>96921.633700000006</v>
      </c>
      <c r="S8" s="17">
        <f t="shared" si="3"/>
        <v>88918.930000000008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Y6*(1+$C$22)^Y4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9" spans="2:28" x14ac:dyDescent="0.25">
      <c r="B9" t="s">
        <v>30</v>
      </c>
      <c r="C9" s="16">
        <f>SUM(D9:AB9)</f>
        <v>681653.90614988119</v>
      </c>
      <c r="D9" s="16">
        <f>D6/(1+$C$22)^(D3-1)</f>
        <v>60552</v>
      </c>
      <c r="E9" s="16">
        <f>E6/(1+$C$22)^(E3-1)</f>
        <v>63267.889908256875</v>
      </c>
      <c r="F9" s="16">
        <f>F6/(1+$C$22)^(F3-1)</f>
        <v>61583.200067334394</v>
      </c>
      <c r="G9" s="16">
        <f>G6/(1+$C$22)^(G3-1)</f>
        <v>59745.380219284656</v>
      </c>
      <c r="H9" s="16">
        <f t="shared" ref="D9:AB9" si="4">H6/(1+$C$22)^(H3-1)</f>
        <v>54812.275430536378</v>
      </c>
      <c r="I9" s="16">
        <f t="shared" si="4"/>
        <v>50286.491220675569</v>
      </c>
      <c r="J9" s="16">
        <f t="shared" si="4"/>
        <v>46134.395615298687</v>
      </c>
      <c r="K9" s="16">
        <f t="shared" si="4"/>
        <v>42325.133592017148</v>
      </c>
      <c r="L9" s="16">
        <f t="shared" si="4"/>
        <v>38830.397790841416</v>
      </c>
      <c r="M9" s="16">
        <f t="shared" si="4"/>
        <v>35624.218156735238</v>
      </c>
      <c r="N9" s="16">
        <f t="shared" si="4"/>
        <v>34459.006394129618</v>
      </c>
      <c r="O9" s="16">
        <f t="shared" si="4"/>
        <v>31613.767334063868</v>
      </c>
      <c r="P9" s="16">
        <f t="shared" si="4"/>
        <v>29003.456269783368</v>
      </c>
      <c r="Q9" s="16">
        <f t="shared" si="4"/>
        <v>26608.675476865468</v>
      </c>
      <c r="R9" s="16">
        <f t="shared" si="4"/>
        <v>24411.628877858227</v>
      </c>
      <c r="S9" s="16">
        <f t="shared" si="4"/>
        <v>22395.989796200207</v>
      </c>
      <c r="T9" s="16">
        <f t="shared" si="4"/>
        <v>0</v>
      </c>
      <c r="U9" s="16">
        <f t="shared" si="4"/>
        <v>0</v>
      </c>
      <c r="V9" s="16">
        <f t="shared" si="4"/>
        <v>0</v>
      </c>
      <c r="W9" s="16">
        <f t="shared" si="4"/>
        <v>0</v>
      </c>
      <c r="X9" s="16">
        <f t="shared" si="4"/>
        <v>0</v>
      </c>
      <c r="Y9" s="16">
        <f t="shared" si="4"/>
        <v>0</v>
      </c>
      <c r="Z9" s="16">
        <f t="shared" si="4"/>
        <v>0</v>
      </c>
      <c r="AA9" s="16">
        <f t="shared" si="4"/>
        <v>0</v>
      </c>
      <c r="AB9" s="16">
        <f t="shared" si="4"/>
        <v>0</v>
      </c>
    </row>
    <row r="10" spans="2:28" x14ac:dyDescent="0.25">
      <c r="B10" t="s">
        <v>44</v>
      </c>
      <c r="C10" s="16">
        <f>SUM(D10:AB10)</f>
        <v>800000</v>
      </c>
      <c r="D10" s="15">
        <f>IF(AND(D4&gt;1,D5=1),$C$21/(($C$24+2)/3-1),0)</f>
        <v>0</v>
      </c>
      <c r="E10" s="15">
        <f t="shared" ref="E10:AB10" si="5">IF(AND(E4&gt;1,E5=1),$C$21/(($C$24+2)/3-1),0)</f>
        <v>0</v>
      </c>
      <c r="F10" s="15">
        <f t="shared" si="5"/>
        <v>0</v>
      </c>
      <c r="G10" s="15">
        <f t="shared" si="5"/>
        <v>200000</v>
      </c>
      <c r="H10" s="15">
        <f t="shared" si="5"/>
        <v>0</v>
      </c>
      <c r="I10" s="15">
        <f t="shared" si="5"/>
        <v>0</v>
      </c>
      <c r="J10" s="15">
        <f t="shared" si="5"/>
        <v>200000</v>
      </c>
      <c r="K10" s="15">
        <f t="shared" si="5"/>
        <v>0</v>
      </c>
      <c r="L10" s="15">
        <f t="shared" si="5"/>
        <v>0</v>
      </c>
      <c r="M10" s="15">
        <f t="shared" si="5"/>
        <v>200000</v>
      </c>
      <c r="N10" s="15">
        <f t="shared" si="5"/>
        <v>0</v>
      </c>
      <c r="O10" s="15">
        <f t="shared" si="5"/>
        <v>0</v>
      </c>
      <c r="P10" s="15">
        <f t="shared" si="5"/>
        <v>200000</v>
      </c>
      <c r="Q10" s="15">
        <f t="shared" si="5"/>
        <v>0</v>
      </c>
      <c r="R10" s="15">
        <f t="shared" si="5"/>
        <v>0</v>
      </c>
      <c r="S10" s="15">
        <f t="shared" si="5"/>
        <v>0</v>
      </c>
      <c r="T10" s="15">
        <f t="shared" si="5"/>
        <v>0</v>
      </c>
      <c r="U10" s="15">
        <f t="shared" si="5"/>
        <v>0</v>
      </c>
      <c r="V10" s="15">
        <f t="shared" si="5"/>
        <v>0</v>
      </c>
      <c r="W10" s="15">
        <f t="shared" si="5"/>
        <v>0</v>
      </c>
      <c r="X10" s="15">
        <f t="shared" si="5"/>
        <v>0</v>
      </c>
      <c r="Y10" s="15">
        <f t="shared" si="5"/>
        <v>0</v>
      </c>
      <c r="Z10" s="15">
        <f t="shared" si="5"/>
        <v>0</v>
      </c>
      <c r="AA10" s="15">
        <f t="shared" si="5"/>
        <v>0</v>
      </c>
      <c r="AB10" s="15">
        <f t="shared" si="5"/>
        <v>0</v>
      </c>
    </row>
    <row r="11" spans="2:28" x14ac:dyDescent="0.25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x14ac:dyDescent="0.25">
      <c r="B12" t="s">
        <v>23</v>
      </c>
      <c r="C12" s="16">
        <f>SUM(D12:AB12)</f>
        <v>1481937.6350887201</v>
      </c>
      <c r="D12" s="16">
        <f>IF(D4&gt;0,D6*(1+$C$22)^4,0)</f>
        <v>85474.089648720023</v>
      </c>
      <c r="E12" s="16">
        <f>IF(E4&gt;0,E6*(1+$C$22)^3,0)</f>
        <v>89307.789898000017</v>
      </c>
      <c r="F12" s="16">
        <f>IF(F4&gt;0,F6*(1+$C$22)^2,0)</f>
        <v>86929.712700000018</v>
      </c>
      <c r="G12" s="16">
        <f>IF(G4&gt;0,G6*(1+$C$22)^1,0)</f>
        <v>84335.48000000001</v>
      </c>
      <c r="H12" s="16">
        <f>IF(H4&gt;0,(H6)*(1+$C$22)^3,0)</f>
        <v>100198.98378800001</v>
      </c>
      <c r="I12" s="16">
        <f>IF(I4&gt;0,I6*(1+$C$22)^2,0)</f>
        <v>91925.673200000019</v>
      </c>
      <c r="J12" s="16">
        <f>IF(J4&gt;0,J6*(1+$C$22)^1,0)</f>
        <v>84335.48000000001</v>
      </c>
      <c r="K12" s="16">
        <f>IF(K4&gt;0,(K6)*(1+$C$22)^3,0)</f>
        <v>100198.98378800001</v>
      </c>
      <c r="L12" s="16">
        <f>IF(L4&gt;0,L6*(1+$C$22)^2,0)</f>
        <v>91925.673200000019</v>
      </c>
      <c r="M12" s="16">
        <f>IF(M4&gt;0,M6*(1+$C$22)^1,0)</f>
        <v>84335.48000000001</v>
      </c>
      <c r="N12" s="16">
        <f>IF(N4&gt;0,(N6)*(1+$C$22)^3,0)</f>
        <v>105644.58073300001</v>
      </c>
      <c r="O12" s="16">
        <f>IF(O4&gt;0,O6*(1+$C$22)^2,0)</f>
        <v>96921.633700000006</v>
      </c>
      <c r="P12" s="16">
        <f>IF(P4&gt;0,P6*(1+$C$22)^1,0)</f>
        <v>88918.930000000008</v>
      </c>
      <c r="Q12" s="16">
        <f>IF(Q4&gt;0,(Q6)*(1+$C$22)^3,0)</f>
        <v>105644.58073300001</v>
      </c>
      <c r="R12" s="16">
        <f>IF(R4&gt;0,R6*(1+$C$22)^2,0)</f>
        <v>96921.633700000006</v>
      </c>
      <c r="S12" s="16">
        <f>IF(S4&gt;0,S6*(1+$C$22)^1,0)</f>
        <v>88918.930000000008</v>
      </c>
      <c r="T12" s="16">
        <f>IF(T4&gt;0,(T6)*(1+$C$22)^3,0)</f>
        <v>0</v>
      </c>
      <c r="U12" s="16">
        <f>IF(U4&gt;0,U6*(1+$C$22)^2,0)</f>
        <v>0</v>
      </c>
      <c r="V12" s="16">
        <f>IF(V4&gt;0,V6*(1+$C$22)^1,0)</f>
        <v>0</v>
      </c>
      <c r="W12" s="16">
        <f>IF(W4&gt;0,(W6)*(1+$C$22)^3,0)</f>
        <v>0</v>
      </c>
      <c r="X12" s="16">
        <f>IF(X4&gt;0,X6*(1+$C$22)^2,0)</f>
        <v>0</v>
      </c>
      <c r="Y12" s="16">
        <f>IF(Y4&gt;0,Y6*(1+$C$22)^1,0)</f>
        <v>0</v>
      </c>
      <c r="Z12" s="16">
        <f>IF(Z4&gt;0,(Z6)*(1+$C$22)^3,0)</f>
        <v>0</v>
      </c>
      <c r="AA12" s="16">
        <f>IF(AA4&gt;0,AA6*(1+$C$22)^2,0)</f>
        <v>0</v>
      </c>
      <c r="AB12" s="16">
        <f>IF(AB4&gt;0,AB6*(1+$C$22)^1,0)</f>
        <v>0</v>
      </c>
    </row>
    <row r="13" spans="2:28" x14ac:dyDescent="0.25">
      <c r="B13" t="s">
        <v>81</v>
      </c>
      <c r="D13" s="16"/>
      <c r="E13" s="16"/>
      <c r="F13" s="16"/>
      <c r="G13" s="16">
        <f>IF(AND(G5=1,G4&gt;0),SUM(D12:G12)-G10,0)</f>
        <v>146047.07224672008</v>
      </c>
      <c r="H13" s="16"/>
      <c r="I13" s="16"/>
      <c r="J13" s="16">
        <f>IF(AND(J5=1,J4&gt;0),SUM(H12:J12)-J10,0)</f>
        <v>76460.136988000013</v>
      </c>
      <c r="K13" s="16">
        <f t="shared" ref="K13:AB13" si="6">IF(AND(K5=1,K4&gt;0),SUM(I12:K12)-K10,0)</f>
        <v>0</v>
      </c>
      <c r="L13" s="16">
        <f t="shared" si="6"/>
        <v>0</v>
      </c>
      <c r="M13" s="16">
        <f t="shared" si="6"/>
        <v>76460.136988000013</v>
      </c>
      <c r="N13" s="16">
        <f t="shared" si="6"/>
        <v>0</v>
      </c>
      <c r="O13" s="16">
        <f t="shared" si="6"/>
        <v>0</v>
      </c>
      <c r="P13" s="16">
        <f t="shared" si="6"/>
        <v>91485.144433000009</v>
      </c>
      <c r="Q13" s="16">
        <f t="shared" si="6"/>
        <v>0</v>
      </c>
      <c r="R13" s="16">
        <f t="shared" si="6"/>
        <v>0</v>
      </c>
      <c r="S13" s="16">
        <f t="shared" si="6"/>
        <v>291485.14443300001</v>
      </c>
      <c r="T13" s="16">
        <f t="shared" si="6"/>
        <v>0</v>
      </c>
      <c r="U13" s="16">
        <f t="shared" si="6"/>
        <v>0</v>
      </c>
      <c r="V13" s="16">
        <f t="shared" si="6"/>
        <v>0</v>
      </c>
      <c r="W13" s="16">
        <f t="shared" si="6"/>
        <v>0</v>
      </c>
      <c r="X13" s="16">
        <f t="shared" si="6"/>
        <v>0</v>
      </c>
      <c r="Y13" s="16">
        <f t="shared" si="6"/>
        <v>0</v>
      </c>
      <c r="Z13" s="16">
        <f t="shared" si="6"/>
        <v>0</v>
      </c>
      <c r="AA13" s="16">
        <f t="shared" si="6"/>
        <v>0</v>
      </c>
      <c r="AB13" s="16">
        <f t="shared" si="6"/>
        <v>0</v>
      </c>
    </row>
    <row r="14" spans="2:28" x14ac:dyDescent="0.25">
      <c r="B14" t="s">
        <v>82</v>
      </c>
      <c r="C14" s="16">
        <f>SUM(D14:AB14)</f>
        <v>1115037.078020744</v>
      </c>
      <c r="D14" s="16"/>
      <c r="E14" s="16"/>
      <c r="F14" s="16"/>
      <c r="G14" s="16">
        <f>G13*(1+$C$22)^(G4-1)</f>
        <v>410781.45659085177</v>
      </c>
      <c r="H14" s="16">
        <f t="shared" ref="H14:AB14" si="7">H13*(1+$C$22)^(H4-1)</f>
        <v>0</v>
      </c>
      <c r="I14" s="16">
        <f t="shared" si="7"/>
        <v>0</v>
      </c>
      <c r="J14" s="16">
        <f t="shared" si="7"/>
        <v>166063.25766947566</v>
      </c>
      <c r="K14" s="16">
        <f t="shared" si="7"/>
        <v>0</v>
      </c>
      <c r="L14" s="16">
        <f t="shared" si="7"/>
        <v>0</v>
      </c>
      <c r="M14" s="16">
        <f t="shared" si="7"/>
        <v>128231.30421749291</v>
      </c>
      <c r="N14" s="16">
        <f t="shared" si="7"/>
        <v>0</v>
      </c>
      <c r="O14" s="16">
        <f t="shared" si="7"/>
        <v>0</v>
      </c>
      <c r="P14" s="16">
        <f t="shared" si="7"/>
        <v>118475.91510992359</v>
      </c>
      <c r="Q14" s="16">
        <f t="shared" si="7"/>
        <v>0</v>
      </c>
      <c r="R14" s="16">
        <f t="shared" si="7"/>
        <v>0</v>
      </c>
      <c r="S14" s="16">
        <f t="shared" si="7"/>
        <v>291485.14443300001</v>
      </c>
      <c r="T14" s="16">
        <f t="shared" si="7"/>
        <v>0</v>
      </c>
      <c r="U14" s="16">
        <f t="shared" si="7"/>
        <v>0</v>
      </c>
      <c r="V14" s="16">
        <f t="shared" si="7"/>
        <v>0</v>
      </c>
      <c r="W14" s="16">
        <f t="shared" si="7"/>
        <v>0</v>
      </c>
      <c r="X14" s="16">
        <f t="shared" si="7"/>
        <v>0</v>
      </c>
      <c r="Y14" s="16">
        <f t="shared" si="7"/>
        <v>0</v>
      </c>
      <c r="Z14" s="16">
        <f t="shared" si="7"/>
        <v>0</v>
      </c>
      <c r="AA14" s="16">
        <f t="shared" si="7"/>
        <v>0</v>
      </c>
      <c r="AB14" s="16">
        <f t="shared" si="7"/>
        <v>0</v>
      </c>
    </row>
    <row r="16" spans="2:28" x14ac:dyDescent="0.25">
      <c r="B16" t="s">
        <v>78</v>
      </c>
      <c r="D16" s="16"/>
      <c r="E16" s="16"/>
      <c r="F16" s="16"/>
      <c r="G16" s="16"/>
    </row>
    <row r="17" spans="2:21" x14ac:dyDescent="0.25">
      <c r="E17" s="16"/>
    </row>
    <row r="18" spans="2:21" ht="16.5" thickBot="1" x14ac:dyDescent="0.3"/>
    <row r="19" spans="2:21" ht="16.5" thickBot="1" x14ac:dyDescent="0.3">
      <c r="B19" t="s">
        <v>9</v>
      </c>
      <c r="C19" s="10">
        <v>0.03</v>
      </c>
      <c r="E19" s="57" t="s">
        <v>67</v>
      </c>
      <c r="F19" s="32">
        <f>C14+C12</f>
        <v>2596974.7131094644</v>
      </c>
      <c r="G19" s="1"/>
      <c r="H19" s="51" t="s">
        <v>29</v>
      </c>
      <c r="I19" s="26">
        <f>C9</f>
        <v>681653.90614988119</v>
      </c>
      <c r="K19" s="49"/>
      <c r="L19" s="60" t="s">
        <v>60</v>
      </c>
      <c r="M19" s="60"/>
      <c r="N19" s="60"/>
      <c r="O19" s="60"/>
      <c r="P19" s="60"/>
      <c r="Q19" s="60"/>
      <c r="R19" s="60"/>
      <c r="S19" s="61"/>
    </row>
    <row r="20" spans="2:21" ht="16.5" thickBot="1" x14ac:dyDescent="0.3">
      <c r="B20" t="s">
        <v>2</v>
      </c>
      <c r="C20" s="36">
        <v>84100</v>
      </c>
      <c r="E20" s="58" t="s">
        <v>79</v>
      </c>
      <c r="F20" s="59">
        <f>C21+C10</f>
        <v>1800000</v>
      </c>
      <c r="H20" s="52" t="s">
        <v>28</v>
      </c>
      <c r="I20" s="28">
        <f>F20/(1+C22)^C24</f>
        <v>453365.57281065319</v>
      </c>
      <c r="K20" s="47" t="s">
        <v>62</v>
      </c>
      <c r="L20" s="47" t="s">
        <v>68</v>
      </c>
      <c r="M20" s="47" t="s">
        <v>69</v>
      </c>
      <c r="N20" s="47" t="s">
        <v>70</v>
      </c>
      <c r="O20" s="47" t="s">
        <v>71</v>
      </c>
      <c r="P20" s="47" t="s">
        <v>72</v>
      </c>
      <c r="Q20" s="47" t="s">
        <v>73</v>
      </c>
      <c r="R20" s="47" t="s">
        <v>74</v>
      </c>
      <c r="S20" s="47" t="s">
        <v>75</v>
      </c>
      <c r="T20" t="s">
        <v>63</v>
      </c>
    </row>
    <row r="21" spans="2:21" x14ac:dyDescent="0.25">
      <c r="B21" t="s">
        <v>51</v>
      </c>
      <c r="C21" s="18">
        <v>1000000</v>
      </c>
      <c r="E21" s="27"/>
      <c r="F21" s="34"/>
      <c r="H21" s="27"/>
      <c r="I21" s="29"/>
      <c r="J21">
        <v>2</v>
      </c>
      <c r="K21" s="19">
        <v>7</v>
      </c>
      <c r="L21" s="48">
        <v>500</v>
      </c>
      <c r="M21" s="48">
        <v>500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3">
        <f t="shared" ref="T21:T27" si="8">SUM(L21:S21)</f>
        <v>1000</v>
      </c>
    </row>
    <row r="22" spans="2:21" x14ac:dyDescent="0.25">
      <c r="B22" t="s">
        <v>0</v>
      </c>
      <c r="C22" s="10">
        <v>0.09</v>
      </c>
      <c r="E22" s="30" t="s">
        <v>7</v>
      </c>
      <c r="F22" s="31">
        <f>F19-F20</f>
        <v>796974.71310946438</v>
      </c>
      <c r="H22" s="30" t="s">
        <v>7</v>
      </c>
      <c r="I22" s="31">
        <f>I19-I20</f>
        <v>228288.333339228</v>
      </c>
      <c r="J22">
        <v>3</v>
      </c>
      <c r="K22" s="19">
        <v>10</v>
      </c>
      <c r="L22" s="48">
        <v>333</v>
      </c>
      <c r="M22" s="48">
        <v>333</v>
      </c>
      <c r="N22" s="48">
        <v>334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3">
        <f t="shared" si="8"/>
        <v>1000</v>
      </c>
    </row>
    <row r="23" spans="2:21" x14ac:dyDescent="0.25">
      <c r="B23" t="s">
        <v>31</v>
      </c>
      <c r="C23" s="35">
        <f>IF(C24&lt;=10,63,64)</f>
        <v>64</v>
      </c>
      <c r="F23"/>
      <c r="G23" s="3"/>
      <c r="J23">
        <v>4</v>
      </c>
      <c r="K23" s="19">
        <v>13</v>
      </c>
      <c r="L23" s="48">
        <v>250</v>
      </c>
      <c r="M23" s="48">
        <v>250</v>
      </c>
      <c r="N23" s="48">
        <v>250</v>
      </c>
      <c r="O23" s="48">
        <v>250</v>
      </c>
      <c r="P23" s="48">
        <v>0</v>
      </c>
      <c r="Q23" s="48">
        <v>0</v>
      </c>
      <c r="R23" s="48">
        <v>0</v>
      </c>
      <c r="S23" s="48">
        <v>0</v>
      </c>
      <c r="T23" s="3">
        <f t="shared" si="8"/>
        <v>1000</v>
      </c>
    </row>
    <row r="24" spans="2:21" x14ac:dyDescent="0.25">
      <c r="B24" t="s">
        <v>32</v>
      </c>
      <c r="C24" s="35">
        <v>16</v>
      </c>
      <c r="E24" t="s">
        <v>25</v>
      </c>
      <c r="F24" s="4">
        <f>F22/C20</f>
        <v>9.4765126410162228</v>
      </c>
      <c r="H24" t="s">
        <v>25</v>
      </c>
      <c r="I24" s="4">
        <f>I22/C20</f>
        <v>2.7144867222262543</v>
      </c>
      <c r="J24">
        <v>5</v>
      </c>
      <c r="K24" s="19">
        <v>16</v>
      </c>
      <c r="L24" s="48">
        <v>200</v>
      </c>
      <c r="M24" s="48">
        <v>200</v>
      </c>
      <c r="N24" s="48">
        <v>200</v>
      </c>
      <c r="O24" s="48">
        <v>200</v>
      </c>
      <c r="P24" s="48">
        <v>200</v>
      </c>
      <c r="Q24" s="48">
        <v>0</v>
      </c>
      <c r="R24" s="48">
        <v>0</v>
      </c>
      <c r="S24" s="48">
        <v>0</v>
      </c>
      <c r="T24" s="3">
        <f t="shared" si="8"/>
        <v>1000</v>
      </c>
    </row>
    <row r="25" spans="2:21" x14ac:dyDescent="0.25">
      <c r="D25" s="15"/>
      <c r="E25" s="15"/>
      <c r="F25" s="15"/>
      <c r="G25" s="15"/>
      <c r="H25" s="15"/>
      <c r="I25" s="15"/>
      <c r="J25">
        <v>6</v>
      </c>
      <c r="K25" s="19">
        <v>19</v>
      </c>
      <c r="L25" s="48">
        <v>166</v>
      </c>
      <c r="M25" s="48">
        <v>166</v>
      </c>
      <c r="N25" s="48">
        <v>167</v>
      </c>
      <c r="O25" s="48">
        <v>167</v>
      </c>
      <c r="P25" s="48">
        <v>167</v>
      </c>
      <c r="Q25" s="48">
        <v>167</v>
      </c>
      <c r="R25" s="48">
        <v>0</v>
      </c>
      <c r="S25" s="48">
        <v>0</v>
      </c>
      <c r="T25" s="3">
        <f t="shared" si="8"/>
        <v>1000</v>
      </c>
    </row>
    <row r="26" spans="2:21" x14ac:dyDescent="0.25">
      <c r="J26">
        <v>7</v>
      </c>
      <c r="K26" s="19">
        <v>22</v>
      </c>
      <c r="L26" s="48">
        <v>142</v>
      </c>
      <c r="M26" s="48">
        <v>143</v>
      </c>
      <c r="N26" s="48">
        <v>143</v>
      </c>
      <c r="O26" s="48">
        <v>143</v>
      </c>
      <c r="P26" s="48">
        <v>143</v>
      </c>
      <c r="Q26" s="48">
        <v>143</v>
      </c>
      <c r="R26" s="48">
        <v>143</v>
      </c>
      <c r="S26" s="48">
        <v>0</v>
      </c>
      <c r="T26" s="3">
        <f t="shared" si="8"/>
        <v>1000</v>
      </c>
    </row>
    <row r="27" spans="2:21" x14ac:dyDescent="0.25">
      <c r="J27">
        <v>8</v>
      </c>
      <c r="K27" s="19">
        <v>25</v>
      </c>
      <c r="L27" s="48">
        <v>125</v>
      </c>
      <c r="M27" s="48">
        <v>125</v>
      </c>
      <c r="N27" s="48">
        <v>125</v>
      </c>
      <c r="O27" s="48">
        <v>125</v>
      </c>
      <c r="P27" s="48">
        <v>125</v>
      </c>
      <c r="Q27" s="48">
        <v>125</v>
      </c>
      <c r="R27" s="48">
        <v>125</v>
      </c>
      <c r="S27" s="48">
        <v>125</v>
      </c>
      <c r="T27" s="3">
        <f t="shared" si="8"/>
        <v>1000</v>
      </c>
    </row>
    <row r="28" spans="2:21" x14ac:dyDescent="0.25">
      <c r="K28" s="19"/>
      <c r="L28" s="19"/>
      <c r="M28" s="48"/>
      <c r="N28" s="48"/>
      <c r="O28" s="48"/>
      <c r="P28" s="48"/>
      <c r="Q28" s="48"/>
      <c r="R28" s="48"/>
      <c r="S28" s="48"/>
      <c r="T28" s="48"/>
      <c r="U28" s="3"/>
    </row>
    <row r="29" spans="2:21" x14ac:dyDescent="0.25">
      <c r="B29" t="s">
        <v>36</v>
      </c>
      <c r="C29" s="40" t="s">
        <v>33</v>
      </c>
      <c r="D29" s="40" t="s">
        <v>34</v>
      </c>
      <c r="E29" s="40" t="s">
        <v>35</v>
      </c>
      <c r="F29" s="40" t="s">
        <v>31</v>
      </c>
      <c r="G29" s="40" t="s">
        <v>37</v>
      </c>
      <c r="H29" s="40" t="s">
        <v>38</v>
      </c>
      <c r="I29" s="40" t="s">
        <v>30</v>
      </c>
      <c r="J29" s="40" t="s">
        <v>39</v>
      </c>
      <c r="K29" s="40" t="s">
        <v>40</v>
      </c>
      <c r="M29">
        <v>10</v>
      </c>
      <c r="O29" t="s">
        <v>43</v>
      </c>
      <c r="P29" s="6" t="s">
        <v>50</v>
      </c>
    </row>
    <row r="30" spans="2:21" x14ac:dyDescent="0.25">
      <c r="C30" s="37">
        <v>30</v>
      </c>
      <c r="D30" s="37">
        <v>10</v>
      </c>
      <c r="E30" s="41">
        <v>121000</v>
      </c>
      <c r="F30" s="37">
        <v>63</v>
      </c>
      <c r="G30" s="45"/>
      <c r="H30" s="45"/>
      <c r="I30" s="45"/>
      <c r="J30" s="45"/>
      <c r="K30" s="42">
        <f>I30-J30</f>
        <v>0</v>
      </c>
      <c r="M30">
        <v>16</v>
      </c>
      <c r="O30" t="s">
        <v>44</v>
      </c>
      <c r="P30" s="6" t="s">
        <v>58</v>
      </c>
    </row>
    <row r="31" spans="2:21" x14ac:dyDescent="0.25">
      <c r="B31" t="s">
        <v>64</v>
      </c>
      <c r="C31" s="37">
        <v>30</v>
      </c>
      <c r="D31" s="37">
        <v>16</v>
      </c>
      <c r="E31" s="41">
        <v>84100</v>
      </c>
      <c r="F31" s="37">
        <v>64</v>
      </c>
      <c r="G31" s="45"/>
      <c r="H31" s="45"/>
      <c r="I31" s="45"/>
      <c r="J31" s="45"/>
      <c r="K31" s="42">
        <f t="shared" ref="K31:K39" si="9">I31-J31</f>
        <v>0</v>
      </c>
      <c r="M31">
        <v>19</v>
      </c>
      <c r="O31" t="s">
        <v>46</v>
      </c>
      <c r="P31" t="s">
        <v>47</v>
      </c>
    </row>
    <row r="32" spans="2:21" x14ac:dyDescent="0.25">
      <c r="B32" t="s">
        <v>41</v>
      </c>
      <c r="C32" s="37">
        <v>30</v>
      </c>
      <c r="D32" s="37">
        <v>19</v>
      </c>
      <c r="E32" s="41">
        <v>75400</v>
      </c>
      <c r="F32" s="37">
        <v>64</v>
      </c>
      <c r="G32" s="45"/>
      <c r="H32" s="45"/>
      <c r="I32" s="45"/>
      <c r="J32" s="45"/>
      <c r="K32" s="42">
        <f t="shared" si="9"/>
        <v>0</v>
      </c>
      <c r="M32">
        <v>25</v>
      </c>
      <c r="O32" t="s">
        <v>48</v>
      </c>
      <c r="P32" s="8" t="s">
        <v>49</v>
      </c>
      <c r="Q32" t="s">
        <v>52</v>
      </c>
    </row>
    <row r="33" spans="3:15" x14ac:dyDescent="0.25">
      <c r="C33" s="37">
        <v>30</v>
      </c>
      <c r="D33" s="37">
        <v>25</v>
      </c>
      <c r="E33" s="41">
        <v>65200</v>
      </c>
      <c r="F33" s="37">
        <v>64</v>
      </c>
      <c r="G33" s="45"/>
      <c r="H33" s="45"/>
      <c r="I33" s="45"/>
      <c r="J33" s="45"/>
      <c r="K33" s="42">
        <f t="shared" si="9"/>
        <v>0</v>
      </c>
    </row>
    <row r="34" spans="3:15" x14ac:dyDescent="0.25">
      <c r="C34" s="38">
        <v>40</v>
      </c>
      <c r="D34" s="38">
        <v>10</v>
      </c>
      <c r="E34" s="41">
        <v>122000</v>
      </c>
      <c r="F34" s="38">
        <v>63</v>
      </c>
      <c r="G34" s="45"/>
      <c r="H34" s="45"/>
      <c r="I34" s="45"/>
      <c r="J34" s="45"/>
      <c r="K34" s="42"/>
    </row>
    <row r="35" spans="3:15" x14ac:dyDescent="0.25">
      <c r="C35" s="38">
        <v>40</v>
      </c>
      <c r="D35" s="38">
        <v>16</v>
      </c>
      <c r="E35" s="41">
        <v>84600</v>
      </c>
      <c r="F35" s="38">
        <v>64</v>
      </c>
      <c r="G35" s="45"/>
      <c r="H35" s="45"/>
      <c r="I35" s="45"/>
      <c r="J35" s="45"/>
      <c r="K35" s="42">
        <f t="shared" si="9"/>
        <v>0</v>
      </c>
    </row>
    <row r="36" spans="3:15" x14ac:dyDescent="0.25">
      <c r="C36" s="38">
        <v>40</v>
      </c>
      <c r="D36" s="38">
        <v>19</v>
      </c>
      <c r="E36" s="41">
        <v>76400</v>
      </c>
      <c r="F36" s="38">
        <v>64</v>
      </c>
      <c r="G36" s="45"/>
      <c r="H36" s="45"/>
      <c r="I36" s="45"/>
      <c r="J36" s="45"/>
      <c r="K36" s="42">
        <f t="shared" si="9"/>
        <v>0</v>
      </c>
    </row>
    <row r="37" spans="3:15" x14ac:dyDescent="0.25">
      <c r="C37" s="38">
        <v>40</v>
      </c>
      <c r="D37" s="38">
        <v>25</v>
      </c>
      <c r="E37" s="41">
        <v>66800</v>
      </c>
      <c r="F37" s="38">
        <v>64</v>
      </c>
      <c r="G37" s="45"/>
      <c r="H37" s="45"/>
      <c r="I37" s="45"/>
      <c r="J37" s="45"/>
      <c r="K37" s="42">
        <f t="shared" si="9"/>
        <v>0</v>
      </c>
    </row>
    <row r="38" spans="3:15" x14ac:dyDescent="0.25">
      <c r="C38" s="39">
        <v>50</v>
      </c>
      <c r="D38" s="39">
        <v>10</v>
      </c>
      <c r="E38" s="41">
        <v>123000</v>
      </c>
      <c r="F38" s="39">
        <v>63</v>
      </c>
      <c r="G38" s="45"/>
      <c r="H38" s="45"/>
      <c r="I38" s="45"/>
      <c r="J38" s="45"/>
      <c r="K38" s="42"/>
      <c r="O38" t="s">
        <v>80</v>
      </c>
    </row>
    <row r="39" spans="3:15" x14ac:dyDescent="0.25">
      <c r="C39" s="39">
        <v>50</v>
      </c>
      <c r="D39" s="39">
        <v>16</v>
      </c>
      <c r="E39" s="41">
        <v>88800</v>
      </c>
      <c r="F39" s="39">
        <v>64</v>
      </c>
      <c r="G39" s="45"/>
      <c r="H39" s="45"/>
      <c r="I39" s="45"/>
      <c r="J39" s="45"/>
      <c r="K39" s="42">
        <f t="shared" si="9"/>
        <v>0</v>
      </c>
    </row>
    <row r="40" spans="3:15" x14ac:dyDescent="0.25">
      <c r="C40" s="39">
        <v>50</v>
      </c>
      <c r="D40" s="39">
        <v>19</v>
      </c>
      <c r="E40" s="41">
        <v>81300</v>
      </c>
      <c r="F40" s="39">
        <v>64</v>
      </c>
      <c r="G40" s="45"/>
      <c r="H40" s="45"/>
      <c r="I40" s="45"/>
      <c r="J40" s="45"/>
      <c r="K40" s="42"/>
    </row>
    <row r="41" spans="3:15" x14ac:dyDescent="0.25">
      <c r="C41" s="39">
        <v>50</v>
      </c>
      <c r="D41" s="39">
        <v>25</v>
      </c>
      <c r="E41" t="s">
        <v>42</v>
      </c>
      <c r="F41" s="39">
        <v>64</v>
      </c>
      <c r="G41" s="45"/>
      <c r="H41" s="45"/>
      <c r="I41" s="45"/>
      <c r="J41" s="45"/>
      <c r="K41" s="42"/>
    </row>
  </sheetData>
  <mergeCells count="1">
    <mergeCell ref="L19:S19"/>
  </mergeCells>
  <dataValidations count="1">
    <dataValidation type="list" allowBlank="1" showInputMessage="1" showErrorMessage="1" sqref="C24" xr:uid="{940D1922-D42A-4114-A1F7-51BB75907392}">
      <formula1>$M$29:$M$32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3CA7-C99D-47E2-9450-93BDD29913F6}">
  <dimension ref="B2:BN58"/>
  <sheetViews>
    <sheetView workbookViewId="0">
      <selection activeCell="R3" sqref="R3"/>
    </sheetView>
  </sheetViews>
  <sheetFormatPr defaultRowHeight="15.75" x14ac:dyDescent="0.25"/>
  <cols>
    <col min="2" max="2" width="15.5" bestFit="1" customWidth="1"/>
    <col min="3" max="3" width="10.875" bestFit="1" customWidth="1"/>
    <col min="4" max="4" width="7.625" bestFit="1" customWidth="1"/>
  </cols>
  <sheetData>
    <row r="2" spans="2:66" x14ac:dyDescent="0.25">
      <c r="B2" t="s">
        <v>62</v>
      </c>
      <c r="C2" t="s">
        <v>26</v>
      </c>
      <c r="D2" t="s">
        <v>76</v>
      </c>
      <c r="F2" t="s">
        <v>62</v>
      </c>
      <c r="G2" t="s">
        <v>26</v>
      </c>
      <c r="H2" t="s">
        <v>76</v>
      </c>
      <c r="J2" s="19" t="s">
        <v>62</v>
      </c>
      <c r="K2" s="53">
        <v>7</v>
      </c>
      <c r="L2" s="53">
        <v>7</v>
      </c>
      <c r="M2" s="53">
        <v>7</v>
      </c>
      <c r="N2" s="53">
        <v>7</v>
      </c>
      <c r="O2" s="53">
        <v>7</v>
      </c>
      <c r="P2" s="53">
        <v>7</v>
      </c>
      <c r="Q2" s="53">
        <v>7</v>
      </c>
      <c r="R2" s="53">
        <v>7</v>
      </c>
      <c r="S2" s="53">
        <v>10</v>
      </c>
      <c r="T2" s="53">
        <v>10</v>
      </c>
      <c r="U2" s="53">
        <v>10</v>
      </c>
      <c r="V2" s="53">
        <v>10</v>
      </c>
      <c r="W2" s="53">
        <v>10</v>
      </c>
      <c r="X2" s="53">
        <v>10</v>
      </c>
      <c r="Y2" s="53">
        <v>10</v>
      </c>
      <c r="Z2" s="53">
        <v>10</v>
      </c>
      <c r="AA2" s="53">
        <v>13</v>
      </c>
      <c r="AB2" s="53">
        <v>13</v>
      </c>
      <c r="AC2" s="53">
        <v>13</v>
      </c>
      <c r="AD2" s="53">
        <v>13</v>
      </c>
      <c r="AE2" s="53">
        <v>13</v>
      </c>
      <c r="AF2" s="53">
        <v>13</v>
      </c>
      <c r="AG2" s="53">
        <v>13</v>
      </c>
      <c r="AH2" s="53">
        <v>13</v>
      </c>
      <c r="AI2" s="53">
        <v>16</v>
      </c>
      <c r="AJ2" s="53">
        <v>16</v>
      </c>
      <c r="AK2" s="53">
        <v>16</v>
      </c>
      <c r="AL2" s="53">
        <v>16</v>
      </c>
      <c r="AM2" s="53">
        <v>16</v>
      </c>
      <c r="AN2" s="53">
        <v>16</v>
      </c>
      <c r="AO2" s="53">
        <v>16</v>
      </c>
      <c r="AP2" s="53">
        <v>16</v>
      </c>
      <c r="AQ2" s="53">
        <v>19</v>
      </c>
      <c r="AR2" s="53">
        <v>19</v>
      </c>
      <c r="AS2" s="53">
        <v>19</v>
      </c>
      <c r="AT2" s="53">
        <v>19</v>
      </c>
      <c r="AU2" s="53">
        <v>19</v>
      </c>
      <c r="AV2" s="53">
        <v>19</v>
      </c>
      <c r="AW2" s="53">
        <v>19</v>
      </c>
      <c r="AX2" s="53">
        <v>19</v>
      </c>
      <c r="AY2" s="53">
        <v>22</v>
      </c>
      <c r="AZ2" s="53">
        <v>22</v>
      </c>
      <c r="BA2" s="53">
        <v>22</v>
      </c>
      <c r="BB2" s="53">
        <v>22</v>
      </c>
      <c r="BC2" s="53">
        <v>22</v>
      </c>
      <c r="BD2" s="53">
        <v>22</v>
      </c>
      <c r="BE2" s="53">
        <v>22</v>
      </c>
      <c r="BF2" s="53">
        <v>22</v>
      </c>
      <c r="BG2" s="53">
        <v>25</v>
      </c>
      <c r="BH2" s="53">
        <v>25</v>
      </c>
      <c r="BI2" s="53">
        <v>25</v>
      </c>
      <c r="BJ2" s="53">
        <v>25</v>
      </c>
      <c r="BK2" s="53">
        <v>25</v>
      </c>
      <c r="BL2" s="53">
        <v>25</v>
      </c>
      <c r="BM2" s="53">
        <v>25</v>
      </c>
      <c r="BN2" s="53">
        <v>25</v>
      </c>
    </row>
    <row r="3" spans="2:66" x14ac:dyDescent="0.25">
      <c r="B3">
        <v>7</v>
      </c>
      <c r="C3" t="s">
        <v>68</v>
      </c>
      <c r="D3">
        <v>500</v>
      </c>
      <c r="F3">
        <v>7</v>
      </c>
      <c r="G3" t="s">
        <v>68</v>
      </c>
      <c r="H3">
        <v>500</v>
      </c>
      <c r="J3" t="s">
        <v>26</v>
      </c>
      <c r="K3" s="53" t="s">
        <v>68</v>
      </c>
      <c r="L3" s="54" t="s">
        <v>69</v>
      </c>
      <c r="M3" s="54" t="s">
        <v>70</v>
      </c>
      <c r="N3" s="54" t="s">
        <v>71</v>
      </c>
      <c r="O3" s="54" t="s">
        <v>72</v>
      </c>
      <c r="P3" s="54" t="s">
        <v>73</v>
      </c>
      <c r="Q3" s="54" t="s">
        <v>74</v>
      </c>
      <c r="R3" s="54" t="s">
        <v>75</v>
      </c>
      <c r="S3" s="54" t="s">
        <v>68</v>
      </c>
      <c r="T3" s="54" t="s">
        <v>69</v>
      </c>
      <c r="U3" s="54" t="s">
        <v>70</v>
      </c>
      <c r="V3" s="54" t="s">
        <v>71</v>
      </c>
      <c r="W3" s="54" t="s">
        <v>72</v>
      </c>
      <c r="X3" s="54" t="s">
        <v>73</v>
      </c>
      <c r="Y3" s="54" t="s">
        <v>74</v>
      </c>
      <c r="Z3" s="54" t="s">
        <v>75</v>
      </c>
      <c r="AA3" s="54" t="s">
        <v>68</v>
      </c>
      <c r="AB3" s="54" t="s">
        <v>69</v>
      </c>
      <c r="AC3" s="54" t="s">
        <v>70</v>
      </c>
      <c r="AD3" s="54" t="s">
        <v>71</v>
      </c>
      <c r="AE3" s="54" t="s">
        <v>72</v>
      </c>
      <c r="AF3" s="54" t="s">
        <v>73</v>
      </c>
      <c r="AG3" s="54" t="s">
        <v>74</v>
      </c>
      <c r="AH3" s="54" t="s">
        <v>75</v>
      </c>
      <c r="AI3" s="54" t="s">
        <v>68</v>
      </c>
      <c r="AJ3" s="54" t="s">
        <v>69</v>
      </c>
      <c r="AK3" s="54" t="s">
        <v>70</v>
      </c>
      <c r="AL3" s="54" t="s">
        <v>71</v>
      </c>
      <c r="AM3" s="54" t="s">
        <v>72</v>
      </c>
      <c r="AN3" s="54" t="s">
        <v>73</v>
      </c>
      <c r="AO3" s="54" t="s">
        <v>74</v>
      </c>
      <c r="AP3" s="54" t="s">
        <v>75</v>
      </c>
      <c r="AQ3" s="54" t="s">
        <v>68</v>
      </c>
      <c r="AR3" s="54" t="s">
        <v>69</v>
      </c>
      <c r="AS3" s="54" t="s">
        <v>70</v>
      </c>
      <c r="AT3" s="54" t="s">
        <v>71</v>
      </c>
      <c r="AU3" s="54" t="s">
        <v>72</v>
      </c>
      <c r="AV3" s="54" t="s">
        <v>73</v>
      </c>
      <c r="AW3" s="54" t="s">
        <v>74</v>
      </c>
      <c r="AX3" s="54" t="s">
        <v>75</v>
      </c>
      <c r="AY3" s="54" t="s">
        <v>68</v>
      </c>
      <c r="AZ3" s="54" t="s">
        <v>69</v>
      </c>
      <c r="BA3" s="54" t="s">
        <v>70</v>
      </c>
      <c r="BB3" s="54" t="s">
        <v>71</v>
      </c>
      <c r="BC3" s="54" t="s">
        <v>72</v>
      </c>
      <c r="BD3" s="54" t="s">
        <v>73</v>
      </c>
      <c r="BE3" s="54" t="s">
        <v>74</v>
      </c>
      <c r="BF3" s="54" t="s">
        <v>75</v>
      </c>
      <c r="BG3" s="54" t="s">
        <v>68</v>
      </c>
      <c r="BH3" s="54" t="s">
        <v>69</v>
      </c>
      <c r="BI3" s="54" t="s">
        <v>70</v>
      </c>
      <c r="BJ3" s="54" t="s">
        <v>71</v>
      </c>
      <c r="BK3" s="54" t="s">
        <v>72</v>
      </c>
      <c r="BL3" s="54" t="s">
        <v>73</v>
      </c>
      <c r="BM3" s="54" t="s">
        <v>74</v>
      </c>
      <c r="BN3" s="54" t="s">
        <v>75</v>
      </c>
    </row>
    <row r="4" spans="2:66" x14ac:dyDescent="0.25">
      <c r="B4">
        <v>7</v>
      </c>
      <c r="C4" t="s">
        <v>69</v>
      </c>
      <c r="D4">
        <v>500</v>
      </c>
      <c r="F4">
        <v>7</v>
      </c>
      <c r="G4" t="s">
        <v>69</v>
      </c>
      <c r="H4">
        <v>500</v>
      </c>
      <c r="J4" t="s">
        <v>76</v>
      </c>
      <c r="K4" s="54">
        <v>500</v>
      </c>
      <c r="L4" s="54">
        <v>500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333</v>
      </c>
      <c r="T4" s="54">
        <v>333</v>
      </c>
      <c r="U4" s="54">
        <v>334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250</v>
      </c>
      <c r="AB4" s="54">
        <v>250</v>
      </c>
      <c r="AC4" s="54">
        <v>250</v>
      </c>
      <c r="AD4" s="54">
        <v>250</v>
      </c>
      <c r="AE4" s="54">
        <v>0</v>
      </c>
      <c r="AF4" s="54">
        <v>0</v>
      </c>
      <c r="AG4" s="54">
        <v>0</v>
      </c>
      <c r="AH4" s="54">
        <v>0</v>
      </c>
      <c r="AI4" s="54">
        <v>200</v>
      </c>
      <c r="AJ4" s="54">
        <v>200</v>
      </c>
      <c r="AK4" s="54">
        <v>200</v>
      </c>
      <c r="AL4" s="54">
        <v>200</v>
      </c>
      <c r="AM4" s="54">
        <v>200</v>
      </c>
      <c r="AN4" s="54">
        <v>0</v>
      </c>
      <c r="AO4" s="54">
        <v>0</v>
      </c>
      <c r="AP4" s="54">
        <v>0</v>
      </c>
      <c r="AQ4" s="54">
        <v>166</v>
      </c>
      <c r="AR4" s="54">
        <v>166</v>
      </c>
      <c r="AS4" s="54">
        <v>167</v>
      </c>
      <c r="AT4" s="54">
        <v>167</v>
      </c>
      <c r="AU4" s="54">
        <v>167</v>
      </c>
      <c r="AV4" s="54">
        <v>167</v>
      </c>
      <c r="AW4" s="54">
        <v>0</v>
      </c>
      <c r="AX4" s="54">
        <v>0</v>
      </c>
      <c r="AY4" s="54">
        <v>142</v>
      </c>
      <c r="AZ4" s="54">
        <v>143</v>
      </c>
      <c r="BA4" s="54">
        <v>143</v>
      </c>
      <c r="BB4" s="54">
        <v>143</v>
      </c>
      <c r="BC4" s="54">
        <v>143</v>
      </c>
      <c r="BD4" s="54">
        <v>143</v>
      </c>
      <c r="BE4" s="54">
        <v>143</v>
      </c>
      <c r="BF4" s="54">
        <v>0</v>
      </c>
      <c r="BG4" s="54">
        <v>125</v>
      </c>
      <c r="BH4" s="54">
        <v>125</v>
      </c>
      <c r="BI4" s="54">
        <v>125</v>
      </c>
      <c r="BJ4" s="54">
        <v>125</v>
      </c>
      <c r="BK4" s="54">
        <v>125</v>
      </c>
      <c r="BL4" s="54">
        <v>125</v>
      </c>
      <c r="BM4" s="54">
        <v>125</v>
      </c>
      <c r="BN4" s="54">
        <v>125</v>
      </c>
    </row>
    <row r="5" spans="2:66" x14ac:dyDescent="0.25">
      <c r="B5">
        <v>7</v>
      </c>
      <c r="C5" t="s">
        <v>70</v>
      </c>
      <c r="D5">
        <v>0</v>
      </c>
      <c r="F5">
        <v>7</v>
      </c>
      <c r="G5" t="s">
        <v>70</v>
      </c>
      <c r="H5">
        <v>0</v>
      </c>
    </row>
    <row r="6" spans="2:66" x14ac:dyDescent="0.25">
      <c r="B6">
        <v>7</v>
      </c>
      <c r="C6" t="s">
        <v>71</v>
      </c>
      <c r="D6">
        <v>0</v>
      </c>
      <c r="F6">
        <v>7</v>
      </c>
      <c r="G6" t="s">
        <v>71</v>
      </c>
      <c r="H6">
        <v>0</v>
      </c>
    </row>
    <row r="7" spans="2:66" x14ac:dyDescent="0.25">
      <c r="B7">
        <v>7</v>
      </c>
      <c r="C7" t="s">
        <v>72</v>
      </c>
      <c r="D7">
        <v>0</v>
      </c>
      <c r="F7">
        <v>7</v>
      </c>
      <c r="G7" t="s">
        <v>72</v>
      </c>
      <c r="H7">
        <v>0</v>
      </c>
    </row>
    <row r="8" spans="2:66" x14ac:dyDescent="0.25">
      <c r="B8">
        <v>7</v>
      </c>
      <c r="C8" t="s">
        <v>73</v>
      </c>
      <c r="D8">
        <v>0</v>
      </c>
      <c r="F8">
        <v>7</v>
      </c>
      <c r="G8" t="s">
        <v>73</v>
      </c>
      <c r="H8">
        <v>0</v>
      </c>
      <c r="K8" s="55"/>
    </row>
    <row r="9" spans="2:66" x14ac:dyDescent="0.25">
      <c r="B9">
        <v>7</v>
      </c>
      <c r="C9" t="s">
        <v>74</v>
      </c>
      <c r="D9">
        <v>0</v>
      </c>
      <c r="F9">
        <v>7</v>
      </c>
      <c r="G9" t="s">
        <v>74</v>
      </c>
      <c r="H9">
        <v>0</v>
      </c>
    </row>
    <row r="10" spans="2:66" x14ac:dyDescent="0.25">
      <c r="B10">
        <v>7</v>
      </c>
      <c r="C10" t="s">
        <v>75</v>
      </c>
      <c r="D10">
        <v>0</v>
      </c>
      <c r="F10">
        <v>7</v>
      </c>
      <c r="G10" t="s">
        <v>75</v>
      </c>
      <c r="H10">
        <v>0</v>
      </c>
    </row>
    <row r="11" spans="2:66" x14ac:dyDescent="0.25">
      <c r="B11">
        <v>10</v>
      </c>
      <c r="C11" t="s">
        <v>68</v>
      </c>
      <c r="D11">
        <v>333</v>
      </c>
      <c r="F11">
        <v>10</v>
      </c>
      <c r="G11" t="s">
        <v>68</v>
      </c>
      <c r="H11">
        <v>333</v>
      </c>
    </row>
    <row r="12" spans="2:66" x14ac:dyDescent="0.25">
      <c r="B12">
        <v>10</v>
      </c>
      <c r="C12" t="s">
        <v>69</v>
      </c>
      <c r="D12">
        <v>333</v>
      </c>
      <c r="F12">
        <v>10</v>
      </c>
      <c r="G12" t="s">
        <v>69</v>
      </c>
      <c r="H12">
        <v>333</v>
      </c>
    </row>
    <row r="13" spans="2:66" x14ac:dyDescent="0.25">
      <c r="B13">
        <v>10</v>
      </c>
      <c r="C13" t="s">
        <v>70</v>
      </c>
      <c r="D13">
        <v>334</v>
      </c>
      <c r="F13">
        <v>10</v>
      </c>
      <c r="G13" t="s">
        <v>70</v>
      </c>
      <c r="H13">
        <v>334</v>
      </c>
    </row>
    <row r="14" spans="2:66" x14ac:dyDescent="0.25">
      <c r="B14">
        <v>10</v>
      </c>
      <c r="C14" t="s">
        <v>71</v>
      </c>
      <c r="D14">
        <v>0</v>
      </c>
      <c r="F14">
        <v>10</v>
      </c>
      <c r="G14" t="s">
        <v>71</v>
      </c>
      <c r="H14">
        <v>0</v>
      </c>
    </row>
    <row r="15" spans="2:66" x14ac:dyDescent="0.25">
      <c r="B15">
        <v>10</v>
      </c>
      <c r="C15" t="s">
        <v>72</v>
      </c>
      <c r="D15">
        <v>0</v>
      </c>
      <c r="F15">
        <v>10</v>
      </c>
      <c r="G15" t="s">
        <v>72</v>
      </c>
      <c r="H15">
        <v>0</v>
      </c>
    </row>
    <row r="16" spans="2:66" x14ac:dyDescent="0.25">
      <c r="B16">
        <v>10</v>
      </c>
      <c r="C16" t="s">
        <v>73</v>
      </c>
      <c r="D16">
        <v>0</v>
      </c>
      <c r="F16">
        <v>10</v>
      </c>
      <c r="G16" t="s">
        <v>73</v>
      </c>
      <c r="H16">
        <v>0</v>
      </c>
    </row>
    <row r="17" spans="2:8" x14ac:dyDescent="0.25">
      <c r="B17">
        <v>10</v>
      </c>
      <c r="C17" t="s">
        <v>74</v>
      </c>
      <c r="D17">
        <v>0</v>
      </c>
      <c r="F17">
        <v>10</v>
      </c>
      <c r="G17" t="s">
        <v>74</v>
      </c>
      <c r="H17">
        <v>0</v>
      </c>
    </row>
    <row r="18" spans="2:8" x14ac:dyDescent="0.25">
      <c r="B18">
        <v>10</v>
      </c>
      <c r="C18" t="s">
        <v>75</v>
      </c>
      <c r="D18">
        <v>0</v>
      </c>
      <c r="F18">
        <v>10</v>
      </c>
      <c r="G18" t="s">
        <v>75</v>
      </c>
      <c r="H18">
        <v>0</v>
      </c>
    </row>
    <row r="19" spans="2:8" x14ac:dyDescent="0.25">
      <c r="B19">
        <v>13</v>
      </c>
      <c r="C19" t="s">
        <v>68</v>
      </c>
      <c r="D19">
        <v>250</v>
      </c>
      <c r="F19">
        <v>13</v>
      </c>
      <c r="G19" t="s">
        <v>68</v>
      </c>
      <c r="H19">
        <v>250</v>
      </c>
    </row>
    <row r="20" spans="2:8" x14ac:dyDescent="0.25">
      <c r="B20">
        <v>13</v>
      </c>
      <c r="C20" t="s">
        <v>69</v>
      </c>
      <c r="D20">
        <v>250</v>
      </c>
      <c r="F20">
        <v>13</v>
      </c>
      <c r="G20" t="s">
        <v>69</v>
      </c>
      <c r="H20">
        <v>250</v>
      </c>
    </row>
    <row r="21" spans="2:8" x14ac:dyDescent="0.25">
      <c r="B21">
        <v>13</v>
      </c>
      <c r="C21" t="s">
        <v>70</v>
      </c>
      <c r="D21">
        <v>250</v>
      </c>
      <c r="F21">
        <v>13</v>
      </c>
      <c r="G21" t="s">
        <v>70</v>
      </c>
      <c r="H21">
        <v>250</v>
      </c>
    </row>
    <row r="22" spans="2:8" x14ac:dyDescent="0.25">
      <c r="B22">
        <v>13</v>
      </c>
      <c r="C22" t="s">
        <v>71</v>
      </c>
      <c r="D22">
        <v>250</v>
      </c>
      <c r="F22">
        <v>13</v>
      </c>
      <c r="G22" t="s">
        <v>71</v>
      </c>
      <c r="H22">
        <v>250</v>
      </c>
    </row>
    <row r="23" spans="2:8" x14ac:dyDescent="0.25">
      <c r="B23">
        <v>13</v>
      </c>
      <c r="C23" t="s">
        <v>72</v>
      </c>
      <c r="D23">
        <v>0</v>
      </c>
      <c r="F23">
        <v>13</v>
      </c>
      <c r="G23" t="s">
        <v>72</v>
      </c>
      <c r="H23">
        <v>0</v>
      </c>
    </row>
    <row r="24" spans="2:8" x14ac:dyDescent="0.25">
      <c r="B24">
        <v>13</v>
      </c>
      <c r="C24" t="s">
        <v>73</v>
      </c>
      <c r="D24">
        <v>0</v>
      </c>
      <c r="F24">
        <v>13</v>
      </c>
      <c r="G24" t="s">
        <v>73</v>
      </c>
      <c r="H24">
        <v>0</v>
      </c>
    </row>
    <row r="25" spans="2:8" x14ac:dyDescent="0.25">
      <c r="B25">
        <v>13</v>
      </c>
      <c r="C25" t="s">
        <v>74</v>
      </c>
      <c r="D25">
        <v>0</v>
      </c>
      <c r="F25">
        <v>13</v>
      </c>
      <c r="G25" t="s">
        <v>74</v>
      </c>
      <c r="H25">
        <v>0</v>
      </c>
    </row>
    <row r="26" spans="2:8" x14ac:dyDescent="0.25">
      <c r="B26">
        <v>13</v>
      </c>
      <c r="C26" t="s">
        <v>75</v>
      </c>
      <c r="D26">
        <v>0</v>
      </c>
      <c r="F26">
        <v>13</v>
      </c>
      <c r="G26" t="s">
        <v>75</v>
      </c>
      <c r="H26">
        <v>0</v>
      </c>
    </row>
    <row r="27" spans="2:8" x14ac:dyDescent="0.25">
      <c r="B27">
        <v>16</v>
      </c>
      <c r="C27" t="s">
        <v>68</v>
      </c>
      <c r="D27">
        <v>200</v>
      </c>
      <c r="F27">
        <v>16</v>
      </c>
      <c r="G27" t="s">
        <v>68</v>
      </c>
      <c r="H27">
        <v>200</v>
      </c>
    </row>
    <row r="28" spans="2:8" x14ac:dyDescent="0.25">
      <c r="B28">
        <v>16</v>
      </c>
      <c r="C28" t="s">
        <v>69</v>
      </c>
      <c r="D28">
        <v>200</v>
      </c>
      <c r="F28">
        <v>16</v>
      </c>
      <c r="G28" t="s">
        <v>69</v>
      </c>
      <c r="H28">
        <v>200</v>
      </c>
    </row>
    <row r="29" spans="2:8" x14ac:dyDescent="0.25">
      <c r="B29">
        <v>16</v>
      </c>
      <c r="C29" t="s">
        <v>70</v>
      </c>
      <c r="D29">
        <v>200</v>
      </c>
      <c r="F29">
        <v>16</v>
      </c>
      <c r="G29" t="s">
        <v>70</v>
      </c>
      <c r="H29">
        <v>200</v>
      </c>
    </row>
    <row r="30" spans="2:8" x14ac:dyDescent="0.25">
      <c r="B30">
        <v>16</v>
      </c>
      <c r="C30" t="s">
        <v>71</v>
      </c>
      <c r="D30">
        <v>200</v>
      </c>
      <c r="F30">
        <v>16</v>
      </c>
      <c r="G30" t="s">
        <v>71</v>
      </c>
      <c r="H30">
        <v>200</v>
      </c>
    </row>
    <row r="31" spans="2:8" x14ac:dyDescent="0.25">
      <c r="B31">
        <v>16</v>
      </c>
      <c r="C31" t="s">
        <v>72</v>
      </c>
      <c r="D31">
        <v>200</v>
      </c>
      <c r="F31">
        <v>16</v>
      </c>
      <c r="G31" t="s">
        <v>72</v>
      </c>
      <c r="H31">
        <v>200</v>
      </c>
    </row>
    <row r="32" spans="2:8" x14ac:dyDescent="0.25">
      <c r="B32">
        <v>16</v>
      </c>
      <c r="C32" t="s">
        <v>73</v>
      </c>
      <c r="D32">
        <v>0</v>
      </c>
      <c r="F32">
        <v>16</v>
      </c>
      <c r="G32" t="s">
        <v>73</v>
      </c>
      <c r="H32">
        <v>0</v>
      </c>
    </row>
    <row r="33" spans="2:8" x14ac:dyDescent="0.25">
      <c r="B33">
        <v>16</v>
      </c>
      <c r="C33" t="s">
        <v>74</v>
      </c>
      <c r="D33">
        <v>0</v>
      </c>
      <c r="F33">
        <v>16</v>
      </c>
      <c r="G33" t="s">
        <v>74</v>
      </c>
      <c r="H33">
        <v>0</v>
      </c>
    </row>
    <row r="34" spans="2:8" x14ac:dyDescent="0.25">
      <c r="B34">
        <v>16</v>
      </c>
      <c r="C34" t="s">
        <v>75</v>
      </c>
      <c r="D34">
        <v>0</v>
      </c>
      <c r="F34">
        <v>16</v>
      </c>
      <c r="G34" t="s">
        <v>75</v>
      </c>
      <c r="H34">
        <v>0</v>
      </c>
    </row>
    <row r="35" spans="2:8" x14ac:dyDescent="0.25">
      <c r="B35">
        <v>19</v>
      </c>
      <c r="C35" t="s">
        <v>68</v>
      </c>
      <c r="D35">
        <v>166</v>
      </c>
      <c r="F35">
        <v>19</v>
      </c>
      <c r="G35" t="s">
        <v>68</v>
      </c>
      <c r="H35">
        <v>166</v>
      </c>
    </row>
    <row r="36" spans="2:8" x14ac:dyDescent="0.25">
      <c r="B36">
        <v>19</v>
      </c>
      <c r="C36" t="s">
        <v>69</v>
      </c>
      <c r="D36">
        <v>166</v>
      </c>
      <c r="F36">
        <v>19</v>
      </c>
      <c r="G36" t="s">
        <v>69</v>
      </c>
      <c r="H36">
        <v>166</v>
      </c>
    </row>
    <row r="37" spans="2:8" x14ac:dyDescent="0.25">
      <c r="B37">
        <v>19</v>
      </c>
      <c r="C37" t="s">
        <v>70</v>
      </c>
      <c r="D37">
        <v>167</v>
      </c>
      <c r="F37">
        <v>19</v>
      </c>
      <c r="G37" t="s">
        <v>70</v>
      </c>
      <c r="H37">
        <v>167</v>
      </c>
    </row>
    <row r="38" spans="2:8" x14ac:dyDescent="0.25">
      <c r="B38">
        <v>19</v>
      </c>
      <c r="C38" t="s">
        <v>71</v>
      </c>
      <c r="D38">
        <v>167</v>
      </c>
      <c r="F38">
        <v>19</v>
      </c>
      <c r="G38" t="s">
        <v>71</v>
      </c>
      <c r="H38">
        <v>167</v>
      </c>
    </row>
    <row r="39" spans="2:8" x14ac:dyDescent="0.25">
      <c r="B39">
        <v>19</v>
      </c>
      <c r="C39" t="s">
        <v>72</v>
      </c>
      <c r="D39">
        <v>167</v>
      </c>
      <c r="F39">
        <v>19</v>
      </c>
      <c r="G39" t="s">
        <v>72</v>
      </c>
      <c r="H39">
        <v>167</v>
      </c>
    </row>
    <row r="40" spans="2:8" x14ac:dyDescent="0.25">
      <c r="B40">
        <v>19</v>
      </c>
      <c r="C40" t="s">
        <v>73</v>
      </c>
      <c r="D40">
        <v>167</v>
      </c>
      <c r="F40">
        <v>19</v>
      </c>
      <c r="G40" t="s">
        <v>73</v>
      </c>
      <c r="H40">
        <v>167</v>
      </c>
    </row>
    <row r="41" spans="2:8" x14ac:dyDescent="0.25">
      <c r="B41">
        <v>19</v>
      </c>
      <c r="C41" t="s">
        <v>74</v>
      </c>
      <c r="D41">
        <v>0</v>
      </c>
      <c r="F41">
        <v>19</v>
      </c>
      <c r="G41" t="s">
        <v>74</v>
      </c>
      <c r="H41">
        <v>0</v>
      </c>
    </row>
    <row r="42" spans="2:8" x14ac:dyDescent="0.25">
      <c r="B42">
        <v>19</v>
      </c>
      <c r="C42" t="s">
        <v>75</v>
      </c>
      <c r="D42">
        <v>0</v>
      </c>
      <c r="F42">
        <v>19</v>
      </c>
      <c r="G42" t="s">
        <v>75</v>
      </c>
      <c r="H42">
        <v>0</v>
      </c>
    </row>
    <row r="43" spans="2:8" x14ac:dyDescent="0.25">
      <c r="B43">
        <v>22</v>
      </c>
      <c r="C43" t="s">
        <v>68</v>
      </c>
      <c r="D43">
        <v>142</v>
      </c>
      <c r="F43">
        <v>22</v>
      </c>
      <c r="G43" t="s">
        <v>68</v>
      </c>
      <c r="H43">
        <v>142</v>
      </c>
    </row>
    <row r="44" spans="2:8" x14ac:dyDescent="0.25">
      <c r="B44">
        <v>22</v>
      </c>
      <c r="C44" t="s">
        <v>69</v>
      </c>
      <c r="D44">
        <v>143</v>
      </c>
      <c r="F44">
        <v>22</v>
      </c>
      <c r="G44" t="s">
        <v>69</v>
      </c>
      <c r="H44">
        <v>143</v>
      </c>
    </row>
    <row r="45" spans="2:8" x14ac:dyDescent="0.25">
      <c r="B45">
        <v>22</v>
      </c>
      <c r="C45" t="s">
        <v>70</v>
      </c>
      <c r="D45">
        <v>143</v>
      </c>
      <c r="F45">
        <v>22</v>
      </c>
      <c r="G45" t="s">
        <v>70</v>
      </c>
      <c r="H45">
        <v>143</v>
      </c>
    </row>
    <row r="46" spans="2:8" x14ac:dyDescent="0.25">
      <c r="B46">
        <v>22</v>
      </c>
      <c r="C46" t="s">
        <v>71</v>
      </c>
      <c r="D46">
        <v>143</v>
      </c>
      <c r="F46">
        <v>22</v>
      </c>
      <c r="G46" t="s">
        <v>71</v>
      </c>
      <c r="H46">
        <v>143</v>
      </c>
    </row>
    <row r="47" spans="2:8" x14ac:dyDescent="0.25">
      <c r="B47">
        <v>22</v>
      </c>
      <c r="C47" t="s">
        <v>72</v>
      </c>
      <c r="D47">
        <v>143</v>
      </c>
      <c r="F47">
        <v>22</v>
      </c>
      <c r="G47" t="s">
        <v>72</v>
      </c>
      <c r="H47">
        <v>143</v>
      </c>
    </row>
    <row r="48" spans="2:8" x14ac:dyDescent="0.25">
      <c r="B48">
        <v>22</v>
      </c>
      <c r="C48" t="s">
        <v>73</v>
      </c>
      <c r="D48">
        <v>143</v>
      </c>
      <c r="F48">
        <v>22</v>
      </c>
      <c r="G48" t="s">
        <v>73</v>
      </c>
      <c r="H48">
        <v>143</v>
      </c>
    </row>
    <row r="49" spans="2:8" x14ac:dyDescent="0.25">
      <c r="B49">
        <v>22</v>
      </c>
      <c r="C49" t="s">
        <v>74</v>
      </c>
      <c r="D49">
        <v>143</v>
      </c>
      <c r="F49">
        <v>22</v>
      </c>
      <c r="G49" t="s">
        <v>74</v>
      </c>
      <c r="H49">
        <v>143</v>
      </c>
    </row>
    <row r="50" spans="2:8" x14ac:dyDescent="0.25">
      <c r="B50">
        <v>22</v>
      </c>
      <c r="C50" t="s">
        <v>75</v>
      </c>
      <c r="D50">
        <v>0</v>
      </c>
      <c r="F50">
        <v>22</v>
      </c>
      <c r="G50" t="s">
        <v>75</v>
      </c>
      <c r="H50">
        <v>0</v>
      </c>
    </row>
    <row r="51" spans="2:8" x14ac:dyDescent="0.25">
      <c r="B51">
        <v>25</v>
      </c>
      <c r="C51" t="s">
        <v>68</v>
      </c>
      <c r="D51">
        <v>125</v>
      </c>
      <c r="F51">
        <v>25</v>
      </c>
      <c r="G51" t="s">
        <v>68</v>
      </c>
      <c r="H51">
        <v>125</v>
      </c>
    </row>
    <row r="52" spans="2:8" x14ac:dyDescent="0.25">
      <c r="B52">
        <v>25</v>
      </c>
      <c r="C52" t="s">
        <v>69</v>
      </c>
      <c r="D52">
        <v>125</v>
      </c>
      <c r="F52">
        <v>25</v>
      </c>
      <c r="G52" t="s">
        <v>69</v>
      </c>
      <c r="H52">
        <v>125</v>
      </c>
    </row>
    <row r="53" spans="2:8" x14ac:dyDescent="0.25">
      <c r="B53">
        <v>25</v>
      </c>
      <c r="C53" t="s">
        <v>70</v>
      </c>
      <c r="D53">
        <v>125</v>
      </c>
      <c r="F53">
        <v>25</v>
      </c>
      <c r="G53" t="s">
        <v>70</v>
      </c>
      <c r="H53">
        <v>125</v>
      </c>
    </row>
    <row r="54" spans="2:8" x14ac:dyDescent="0.25">
      <c r="B54">
        <v>25</v>
      </c>
      <c r="C54" t="s">
        <v>71</v>
      </c>
      <c r="D54">
        <v>125</v>
      </c>
      <c r="F54">
        <v>25</v>
      </c>
      <c r="G54" t="s">
        <v>71</v>
      </c>
      <c r="H54">
        <v>125</v>
      </c>
    </row>
    <row r="55" spans="2:8" x14ac:dyDescent="0.25">
      <c r="B55">
        <v>25</v>
      </c>
      <c r="C55" t="s">
        <v>72</v>
      </c>
      <c r="D55">
        <v>125</v>
      </c>
      <c r="F55">
        <v>25</v>
      </c>
      <c r="G55" t="s">
        <v>72</v>
      </c>
      <c r="H55">
        <v>125</v>
      </c>
    </row>
    <row r="56" spans="2:8" x14ac:dyDescent="0.25">
      <c r="B56">
        <v>25</v>
      </c>
      <c r="C56" t="s">
        <v>73</v>
      </c>
      <c r="D56">
        <v>125</v>
      </c>
      <c r="F56">
        <v>25</v>
      </c>
      <c r="G56" t="s">
        <v>73</v>
      </c>
      <c r="H56">
        <v>125</v>
      </c>
    </row>
    <row r="57" spans="2:8" x14ac:dyDescent="0.25">
      <c r="B57">
        <v>25</v>
      </c>
      <c r="C57" t="s">
        <v>74</v>
      </c>
      <c r="D57">
        <v>125</v>
      </c>
      <c r="F57">
        <v>25</v>
      </c>
      <c r="G57" t="s">
        <v>74</v>
      </c>
      <c r="H57">
        <v>125</v>
      </c>
    </row>
    <row r="58" spans="2:8" x14ac:dyDescent="0.25">
      <c r="B58">
        <v>25</v>
      </c>
      <c r="C58" t="s">
        <v>75</v>
      </c>
      <c r="D58">
        <v>125</v>
      </c>
      <c r="F58">
        <v>25</v>
      </c>
      <c r="G58" t="s">
        <v>75</v>
      </c>
      <c r="H58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B6-C127-9349-B092-B613A88EF5E5}">
  <sheetPr codeName="Sheet2"/>
  <dimension ref="A1:T5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6" sqref="E6:E19"/>
    </sheetView>
  </sheetViews>
  <sheetFormatPr defaultColWidth="11" defaultRowHeight="15.75" x14ac:dyDescent="0.25"/>
  <cols>
    <col min="1" max="1" width="3" customWidth="1"/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9" width="11.5" bestFit="1" customWidth="1"/>
    <col min="10" max="10" width="13" bestFit="1" customWidth="1"/>
    <col min="11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67900</v>
      </c>
      <c r="G1" s="2">
        <f t="shared" ref="G1:S1" si="0">$C$3</f>
        <v>67900</v>
      </c>
      <c r="H1" s="2">
        <f t="shared" si="0"/>
        <v>67900</v>
      </c>
      <c r="I1" s="2">
        <f t="shared" si="0"/>
        <v>67900</v>
      </c>
      <c r="J1" s="2">
        <f t="shared" si="0"/>
        <v>67900</v>
      </c>
      <c r="K1" s="2">
        <f t="shared" si="0"/>
        <v>67900</v>
      </c>
      <c r="L1" s="2">
        <f t="shared" si="0"/>
        <v>67900</v>
      </c>
      <c r="M1" s="2">
        <f t="shared" si="0"/>
        <v>67900</v>
      </c>
      <c r="N1" s="2">
        <f t="shared" si="0"/>
        <v>67900</v>
      </c>
      <c r="O1" s="2">
        <f t="shared" si="0"/>
        <v>67900</v>
      </c>
      <c r="P1" s="2">
        <f t="shared" si="0"/>
        <v>67900</v>
      </c>
      <c r="Q1" s="2">
        <f t="shared" si="0"/>
        <v>67900</v>
      </c>
      <c r="R1" s="2">
        <f t="shared" si="0"/>
        <v>67900</v>
      </c>
      <c r="S1" s="2">
        <f t="shared" si="0"/>
        <v>67900</v>
      </c>
    </row>
    <row r="2" spans="2:20" x14ac:dyDescent="0.25">
      <c r="B2" t="s">
        <v>9</v>
      </c>
      <c r="C2" s="10">
        <v>0.03</v>
      </c>
      <c r="E2" s="3">
        <f>C3-D6-(C2*C3)</f>
        <v>48888</v>
      </c>
      <c r="F2" s="3">
        <f>F1-D$7-($C$2*F1)</f>
        <v>55678</v>
      </c>
      <c r="G2" s="3">
        <f>G1-D$8-($C$2*G1)</f>
        <v>59073</v>
      </c>
      <c r="H2" s="12">
        <f>H1-D$9-($C$2*H1)</f>
        <v>62468</v>
      </c>
      <c r="I2" s="12">
        <f>I1-$D$10-($C$2*I1)</f>
        <v>62468</v>
      </c>
      <c r="J2" s="12">
        <f t="shared" ref="J2:N2" si="1">J1-$D$10-($C$2*J1)</f>
        <v>62468</v>
      </c>
      <c r="K2" s="12">
        <f t="shared" si="1"/>
        <v>62468</v>
      </c>
      <c r="L2" s="12">
        <f t="shared" si="1"/>
        <v>62468</v>
      </c>
      <c r="M2" s="12">
        <f t="shared" si="1"/>
        <v>62468</v>
      </c>
      <c r="N2" s="12">
        <f t="shared" si="1"/>
        <v>62468</v>
      </c>
      <c r="O2" s="13">
        <f>O1-M$7-($C$2*O1)</f>
        <v>65863</v>
      </c>
      <c r="P2" s="13">
        <f>P1-N$7-($C$2*P1)</f>
        <v>65863</v>
      </c>
      <c r="Q2" s="13">
        <f t="shared" ref="Q2:R2" si="2">Q1-O$7-($C$2*Q1)</f>
        <v>65863</v>
      </c>
      <c r="R2" s="13">
        <f t="shared" si="2"/>
        <v>65863</v>
      </c>
      <c r="S2" s="13">
        <f>S1-Q$7-($C$2*S1)</f>
        <v>65863</v>
      </c>
      <c r="T2" s="6">
        <v>64</v>
      </c>
    </row>
    <row r="3" spans="2:20" x14ac:dyDescent="0.25">
      <c r="B3" t="s">
        <v>2</v>
      </c>
      <c r="C3" s="6">
        <v>67900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0">
        <v>0.09</v>
      </c>
      <c r="D5" s="2"/>
      <c r="E5" s="2"/>
      <c r="T5" s="3"/>
    </row>
    <row r="6" spans="2:20" x14ac:dyDescent="0.25">
      <c r="B6">
        <v>1</v>
      </c>
      <c r="C6" s="10">
        <v>0.25</v>
      </c>
      <c r="D6" s="3">
        <f>C6*$C$3</f>
        <v>16975</v>
      </c>
      <c r="E6" s="3">
        <f>E2*(1+C5)</f>
        <v>53287.920000000006</v>
      </c>
      <c r="T6" s="3">
        <f>($T$2/1000)*$C$4</f>
        <v>64000</v>
      </c>
    </row>
    <row r="7" spans="2:20" x14ac:dyDescent="0.25">
      <c r="B7">
        <v>2</v>
      </c>
      <c r="C7" s="10">
        <v>0.15</v>
      </c>
      <c r="D7" s="3">
        <f>$C$3*C7</f>
        <v>10185</v>
      </c>
      <c r="E7" s="3">
        <f>E6*(1+$C$5)</f>
        <v>58083.832800000011</v>
      </c>
      <c r="F7" s="2">
        <f>F2*(1+$C$5)</f>
        <v>60689.020000000004</v>
      </c>
      <c r="T7" s="3">
        <f>($T$2/1000)*$C$4</f>
        <v>64000</v>
      </c>
    </row>
    <row r="8" spans="2:20" x14ac:dyDescent="0.25">
      <c r="B8">
        <v>3</v>
      </c>
      <c r="C8" s="10">
        <v>0.1</v>
      </c>
      <c r="D8" s="3">
        <f t="shared" ref="D8:D15" si="3">$C$3*C8</f>
        <v>6790</v>
      </c>
      <c r="E8" s="3">
        <f>E7*(1+$C$5)</f>
        <v>63311.377752000015</v>
      </c>
      <c r="F8" s="3">
        <f>F7*(1+$C$5)</f>
        <v>66151.031800000012</v>
      </c>
      <c r="G8" s="2">
        <f>G2*(1+$C$5)</f>
        <v>64389.570000000007</v>
      </c>
      <c r="T8" s="3">
        <f t="shared" ref="T8:T20" si="4">($T$2/1000)*$C$4</f>
        <v>64000</v>
      </c>
    </row>
    <row r="9" spans="2:20" x14ac:dyDescent="0.25">
      <c r="B9">
        <v>4</v>
      </c>
      <c r="C9" s="10">
        <v>0.05</v>
      </c>
      <c r="D9" s="3">
        <f t="shared" si="3"/>
        <v>3395</v>
      </c>
      <c r="E9" s="3">
        <f>E8*(1+$C$5)</f>
        <v>69009.401749680022</v>
      </c>
      <c r="F9" s="3">
        <f t="shared" ref="F9:F19" si="5">F8*(1+$C$5)</f>
        <v>72104.624662000017</v>
      </c>
      <c r="G9" s="3">
        <f>G8*(1+$C$5)</f>
        <v>70184.631300000008</v>
      </c>
      <c r="H9" s="2">
        <f>H2*(1+$C$5)</f>
        <v>68090.12000000001</v>
      </c>
      <c r="T9" s="3">
        <f t="shared" si="4"/>
        <v>64000</v>
      </c>
    </row>
    <row r="10" spans="2:20" x14ac:dyDescent="0.25">
      <c r="B10">
        <v>5</v>
      </c>
      <c r="C10" s="10">
        <v>0.05</v>
      </c>
      <c r="D10" s="3">
        <f t="shared" si="3"/>
        <v>3395</v>
      </c>
      <c r="E10" s="3">
        <f t="shared" ref="E10:E19" si="6">E9*(1+$C$5)</f>
        <v>75220.247907151235</v>
      </c>
      <c r="F10" s="3">
        <f t="shared" si="5"/>
        <v>78594.040881580018</v>
      </c>
      <c r="G10" s="2">
        <f>G9*(1+$C$5)</f>
        <v>76501.24811700001</v>
      </c>
      <c r="H10" s="3">
        <f>H9*(1+$C$5)</f>
        <v>74218.230800000019</v>
      </c>
      <c r="I10" s="2">
        <f>I2*(1+$C$5)</f>
        <v>68090.12000000001</v>
      </c>
      <c r="T10" s="3">
        <f t="shared" si="4"/>
        <v>64000</v>
      </c>
    </row>
    <row r="11" spans="2:20" x14ac:dyDescent="0.25">
      <c r="B11">
        <v>6</v>
      </c>
      <c r="C11" s="10">
        <v>0.05</v>
      </c>
      <c r="D11" s="3">
        <f t="shared" si="3"/>
        <v>3395</v>
      </c>
      <c r="E11" s="3">
        <f t="shared" si="6"/>
        <v>81990.070218794848</v>
      </c>
      <c r="F11" s="3">
        <f t="shared" si="5"/>
        <v>85667.504560922229</v>
      </c>
      <c r="G11" s="2">
        <f t="shared" ref="G11:P20" si="7">G10*(1+$C$5)</f>
        <v>83386.360447530024</v>
      </c>
      <c r="H11" s="3">
        <f>H10*(1+$C$5)</f>
        <v>80897.871572000033</v>
      </c>
      <c r="I11" s="3">
        <f>I10*(1+$C$5)</f>
        <v>74218.230800000019</v>
      </c>
      <c r="J11" s="2">
        <f>J2*(1+$C$5)</f>
        <v>68090.12000000001</v>
      </c>
      <c r="T11" s="3">
        <f t="shared" si="4"/>
        <v>64000</v>
      </c>
    </row>
    <row r="12" spans="2:20" x14ac:dyDescent="0.25">
      <c r="B12">
        <v>7</v>
      </c>
      <c r="C12" s="10">
        <v>0.05</v>
      </c>
      <c r="D12" s="3">
        <f t="shared" si="3"/>
        <v>3395</v>
      </c>
      <c r="E12" s="3">
        <f t="shared" si="6"/>
        <v>89369.176538486397</v>
      </c>
      <c r="F12" s="3">
        <f t="shared" si="5"/>
        <v>93377.579971405241</v>
      </c>
      <c r="G12" s="2">
        <f t="shared" si="7"/>
        <v>90891.132887807733</v>
      </c>
      <c r="H12" s="3">
        <f t="shared" si="7"/>
        <v>88178.680013480043</v>
      </c>
      <c r="I12" s="3">
        <f>I11*(1+$C$5)</f>
        <v>80897.871572000033</v>
      </c>
      <c r="J12" s="3">
        <f>J11*(1+$C$5)</f>
        <v>74218.230800000019</v>
      </c>
      <c r="K12" s="2">
        <f>K2*(1+$C$5)</f>
        <v>68090.12000000001</v>
      </c>
      <c r="T12" s="3">
        <f t="shared" si="4"/>
        <v>64000</v>
      </c>
    </row>
    <row r="13" spans="2:20" x14ac:dyDescent="0.25">
      <c r="B13">
        <v>8</v>
      </c>
      <c r="C13" s="10">
        <v>0.05</v>
      </c>
      <c r="D13" s="3">
        <f t="shared" si="3"/>
        <v>3395</v>
      </c>
      <c r="E13" s="3">
        <f t="shared" si="6"/>
        <v>97412.402426950182</v>
      </c>
      <c r="F13" s="3">
        <f t="shared" si="5"/>
        <v>101781.56216883172</v>
      </c>
      <c r="G13" s="2">
        <f t="shared" si="7"/>
        <v>99071.33484771043</v>
      </c>
      <c r="H13" s="3">
        <f t="shared" si="7"/>
        <v>96114.761214693252</v>
      </c>
      <c r="I13" s="3">
        <f t="shared" si="7"/>
        <v>88178.680013480043</v>
      </c>
      <c r="J13" s="3">
        <f>J12*(1+$C$5)</f>
        <v>80897.871572000033</v>
      </c>
      <c r="K13" s="3">
        <f>K12*(1+$C$5)</f>
        <v>74218.230800000019</v>
      </c>
      <c r="L13" s="2">
        <f>L2*(1+$C$5)</f>
        <v>68090.12000000001</v>
      </c>
      <c r="T13" s="3">
        <f t="shared" si="4"/>
        <v>64000</v>
      </c>
    </row>
    <row r="14" spans="2:20" x14ac:dyDescent="0.25">
      <c r="B14">
        <v>9</v>
      </c>
      <c r="C14" s="10">
        <v>0.05</v>
      </c>
      <c r="D14" s="3">
        <f t="shared" si="3"/>
        <v>3395</v>
      </c>
      <c r="E14" s="3">
        <f t="shared" si="6"/>
        <v>106179.51864537571</v>
      </c>
      <c r="F14" s="3">
        <f t="shared" si="5"/>
        <v>110941.90276402658</v>
      </c>
      <c r="G14" s="2">
        <f t="shared" si="7"/>
        <v>107987.75498400438</v>
      </c>
      <c r="H14" s="3">
        <f t="shared" si="7"/>
        <v>104765.08972401565</v>
      </c>
      <c r="I14" s="3">
        <f t="shared" si="7"/>
        <v>96114.761214693252</v>
      </c>
      <c r="J14" s="3">
        <f t="shared" si="7"/>
        <v>88178.680013480043</v>
      </c>
      <c r="K14" s="3">
        <f>K13*(1+$C$5)</f>
        <v>80897.871572000033</v>
      </c>
      <c r="L14" s="3">
        <f>L13*(1+$C$5)</f>
        <v>74218.230800000019</v>
      </c>
      <c r="M14" s="2">
        <f>M2*(1+$C$5)</f>
        <v>68090.12000000001</v>
      </c>
      <c r="T14" s="3">
        <f t="shared" si="4"/>
        <v>64000</v>
      </c>
    </row>
    <row r="15" spans="2:20" x14ac:dyDescent="0.25">
      <c r="B15">
        <v>10</v>
      </c>
      <c r="C15" s="10">
        <v>0.05</v>
      </c>
      <c r="D15" s="3">
        <f t="shared" si="3"/>
        <v>3395</v>
      </c>
      <c r="E15" s="3">
        <f t="shared" si="6"/>
        <v>115735.67532345952</v>
      </c>
      <c r="F15" s="3">
        <f t="shared" si="5"/>
        <v>120926.67401278899</v>
      </c>
      <c r="G15" s="2">
        <f t="shared" si="7"/>
        <v>117706.65293256479</v>
      </c>
      <c r="H15" s="3">
        <f t="shared" si="7"/>
        <v>114193.94779917707</v>
      </c>
      <c r="I15" s="3">
        <f t="shared" si="7"/>
        <v>104765.08972401565</v>
      </c>
      <c r="J15" s="3">
        <f t="shared" si="7"/>
        <v>96114.761214693252</v>
      </c>
      <c r="K15" s="3">
        <f t="shared" si="7"/>
        <v>88178.680013480043</v>
      </c>
      <c r="L15" s="3">
        <f>L14*(1+$C$5)</f>
        <v>80897.871572000033</v>
      </c>
      <c r="M15" s="3">
        <f>M14*(1+$C$5)</f>
        <v>74218.230800000019</v>
      </c>
      <c r="N15" s="2">
        <f>N2*(1+$C$5)</f>
        <v>68090.12000000001</v>
      </c>
      <c r="T15" s="3">
        <f t="shared" si="4"/>
        <v>64000</v>
      </c>
    </row>
    <row r="16" spans="2:20" x14ac:dyDescent="0.25">
      <c r="B16">
        <v>11</v>
      </c>
      <c r="D16" s="3"/>
      <c r="E16" s="3">
        <f t="shared" si="6"/>
        <v>126151.88610257089</v>
      </c>
      <c r="F16" s="3">
        <f t="shared" si="5"/>
        <v>131810.07467394002</v>
      </c>
      <c r="G16" s="2">
        <f t="shared" si="7"/>
        <v>128300.25169649563</v>
      </c>
      <c r="H16" s="3">
        <f t="shared" si="7"/>
        <v>124471.40310110302</v>
      </c>
      <c r="I16" s="3">
        <f t="shared" si="7"/>
        <v>114193.94779917707</v>
      </c>
      <c r="J16" s="3">
        <f t="shared" si="7"/>
        <v>104765.08972401565</v>
      </c>
      <c r="K16" s="3">
        <f t="shared" si="7"/>
        <v>96114.761214693252</v>
      </c>
      <c r="L16" s="3">
        <f t="shared" si="7"/>
        <v>88178.680013480043</v>
      </c>
      <c r="M16" s="3">
        <f>M15*(1+$C$5)</f>
        <v>80897.871572000033</v>
      </c>
      <c r="N16" s="3">
        <f>N15*(1+$C$5)</f>
        <v>74218.230800000019</v>
      </c>
      <c r="O16" s="2">
        <f>O2*(1+$C$5)</f>
        <v>71790.67</v>
      </c>
      <c r="T16" s="3">
        <f t="shared" si="4"/>
        <v>64000</v>
      </c>
    </row>
    <row r="17" spans="1:20" x14ac:dyDescent="0.25">
      <c r="B17">
        <v>12</v>
      </c>
      <c r="E17" s="3">
        <f t="shared" si="6"/>
        <v>137505.55585180229</v>
      </c>
      <c r="F17" s="3">
        <f t="shared" si="5"/>
        <v>143672.98139459462</v>
      </c>
      <c r="G17" s="2">
        <f t="shared" si="7"/>
        <v>139847.27434918025</v>
      </c>
      <c r="H17" s="3">
        <f t="shared" si="7"/>
        <v>135673.82938020231</v>
      </c>
      <c r="I17" s="3">
        <f t="shared" si="7"/>
        <v>124471.40310110302</v>
      </c>
      <c r="J17" s="3">
        <f t="shared" si="7"/>
        <v>114193.94779917707</v>
      </c>
      <c r="K17" s="3">
        <f t="shared" si="7"/>
        <v>104765.08972401565</v>
      </c>
      <c r="L17" s="3">
        <f t="shared" si="7"/>
        <v>96114.761214693252</v>
      </c>
      <c r="M17" s="3">
        <f t="shared" si="7"/>
        <v>88178.680013480043</v>
      </c>
      <c r="N17" s="3">
        <f>N16*(1+$C$5)</f>
        <v>80897.871572000033</v>
      </c>
      <c r="O17" s="3">
        <f>O16*(1+$C$5)</f>
        <v>78251.830300000001</v>
      </c>
      <c r="P17" s="2">
        <f>P2*(1+$C$5)</f>
        <v>71790.67</v>
      </c>
      <c r="T17" s="3">
        <f t="shared" si="4"/>
        <v>64000</v>
      </c>
    </row>
    <row r="18" spans="1:20" x14ac:dyDescent="0.25">
      <c r="B18">
        <v>13</v>
      </c>
      <c r="E18" s="3">
        <f t="shared" si="6"/>
        <v>149881.05587846451</v>
      </c>
      <c r="F18" s="3">
        <f t="shared" si="5"/>
        <v>156603.54972010816</v>
      </c>
      <c r="G18" s="2">
        <f t="shared" si="7"/>
        <v>152433.52904060649</v>
      </c>
      <c r="H18" s="3">
        <f t="shared" si="7"/>
        <v>147884.47402442052</v>
      </c>
      <c r="I18" s="3">
        <f t="shared" si="7"/>
        <v>135673.82938020231</v>
      </c>
      <c r="J18" s="3">
        <f t="shared" si="7"/>
        <v>124471.40310110302</v>
      </c>
      <c r="K18" s="3">
        <f t="shared" si="7"/>
        <v>114193.94779917707</v>
      </c>
      <c r="L18" s="3">
        <f t="shared" si="7"/>
        <v>104765.08972401565</v>
      </c>
      <c r="M18" s="3">
        <f t="shared" si="7"/>
        <v>96114.761214693252</v>
      </c>
      <c r="N18" s="3">
        <f t="shared" si="7"/>
        <v>88178.680013480043</v>
      </c>
      <c r="O18" s="3">
        <f>O17*(1+$C$5)</f>
        <v>85294.495027000012</v>
      </c>
      <c r="P18" s="3">
        <f>P17*(1+$C$5)</f>
        <v>78251.830300000001</v>
      </c>
      <c r="Q18" s="2">
        <f>Q2*(1+$C$5)</f>
        <v>71790.67</v>
      </c>
      <c r="T18" s="3">
        <f t="shared" si="4"/>
        <v>64000</v>
      </c>
    </row>
    <row r="19" spans="1:20" x14ac:dyDescent="0.25">
      <c r="B19">
        <v>14</v>
      </c>
      <c r="E19" s="3">
        <f t="shared" si="6"/>
        <v>163370.35090752633</v>
      </c>
      <c r="F19" s="3">
        <f t="shared" si="5"/>
        <v>170697.8691949179</v>
      </c>
      <c r="G19" s="2">
        <f t="shared" si="7"/>
        <v>166152.5466542611</v>
      </c>
      <c r="H19" s="3">
        <f t="shared" si="7"/>
        <v>161194.07668661838</v>
      </c>
      <c r="I19" s="3">
        <f t="shared" si="7"/>
        <v>147884.47402442052</v>
      </c>
      <c r="J19" s="3">
        <f t="shared" si="7"/>
        <v>135673.82938020231</v>
      </c>
      <c r="K19" s="3">
        <f t="shared" si="7"/>
        <v>124471.40310110302</v>
      </c>
      <c r="L19" s="3">
        <f t="shared" si="7"/>
        <v>114193.94779917707</v>
      </c>
      <c r="M19" s="3">
        <f t="shared" si="7"/>
        <v>104765.08972401565</v>
      </c>
      <c r="N19" s="3">
        <f t="shared" si="7"/>
        <v>96114.761214693252</v>
      </c>
      <c r="O19" s="3">
        <f t="shared" si="7"/>
        <v>92970.999579430019</v>
      </c>
      <c r="P19" s="3">
        <f>P18*(1+$C$5)</f>
        <v>85294.495027000012</v>
      </c>
      <c r="Q19" s="3">
        <f>Q18*(1+$C$5)</f>
        <v>78251.830300000001</v>
      </c>
      <c r="R19" s="2">
        <f>R2*(1+$C$5)</f>
        <v>71790.67</v>
      </c>
      <c r="T19" s="3">
        <f t="shared" si="4"/>
        <v>64000</v>
      </c>
    </row>
    <row r="20" spans="1:20" x14ac:dyDescent="0.25">
      <c r="B20">
        <v>15</v>
      </c>
      <c r="E20" s="11">
        <f>E19*(1+$C$5)</f>
        <v>178073.6824892037</v>
      </c>
      <c r="F20" s="3">
        <f>F19*(1+$C$5)</f>
        <v>186060.67742246052</v>
      </c>
      <c r="G20" s="2">
        <f t="shared" si="7"/>
        <v>181106.27585314462</v>
      </c>
      <c r="H20" s="3">
        <f t="shared" si="7"/>
        <v>175701.54358841406</v>
      </c>
      <c r="I20" s="3">
        <f t="shared" si="7"/>
        <v>161194.07668661838</v>
      </c>
      <c r="J20" s="3">
        <f t="shared" si="7"/>
        <v>147884.47402442052</v>
      </c>
      <c r="K20" s="3">
        <f t="shared" si="7"/>
        <v>135673.82938020231</v>
      </c>
      <c r="L20" s="3">
        <f t="shared" si="7"/>
        <v>124471.40310110302</v>
      </c>
      <c r="M20" s="3">
        <f t="shared" si="7"/>
        <v>114193.94779917707</v>
      </c>
      <c r="N20" s="3">
        <f t="shared" si="7"/>
        <v>104765.08972401565</v>
      </c>
      <c r="O20" s="3">
        <f t="shared" si="7"/>
        <v>101338.38954157873</v>
      </c>
      <c r="P20" s="3">
        <f t="shared" si="7"/>
        <v>92970.999579430019</v>
      </c>
      <c r="Q20" s="3">
        <f>Q19*(1+$C$5)</f>
        <v>85294.495027000012</v>
      </c>
      <c r="R20" s="3">
        <f>R19*(1+$C$5)</f>
        <v>78251.830300000001</v>
      </c>
      <c r="S20" s="2">
        <f>S2*(1+$C$5)</f>
        <v>71790.67</v>
      </c>
      <c r="T20" s="3">
        <f t="shared" si="4"/>
        <v>64000</v>
      </c>
    </row>
    <row r="21" spans="1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2" spans="1:20" x14ac:dyDescent="0.25">
      <c r="F22" s="11">
        <f>E2*(1+C5)^S3</f>
        <v>178073.68248920361</v>
      </c>
      <c r="G22" s="2">
        <f>((E2*(1+C5)^S3-1)/C5)</f>
        <v>1978585.3609911513</v>
      </c>
    </row>
    <row r="23" spans="1:20" x14ac:dyDescent="0.25">
      <c r="D23" t="s">
        <v>5</v>
      </c>
      <c r="E23" s="7">
        <f>SUM(E20:S20)</f>
        <v>1938771.3845167686</v>
      </c>
    </row>
    <row r="24" spans="1:20" x14ac:dyDescent="0.25">
      <c r="D24" t="s">
        <v>6</v>
      </c>
      <c r="E24" s="7">
        <f>SUM(T6:T20)+C4</f>
        <v>1960000</v>
      </c>
      <c r="G24" s="2">
        <f>G22-E23</f>
        <v>39813.976474382682</v>
      </c>
      <c r="H24">
        <f>C2*C3</f>
        <v>2037</v>
      </c>
    </row>
    <row r="25" spans="1:20" x14ac:dyDescent="0.25">
      <c r="A25" s="6"/>
      <c r="B25" s="9" t="s">
        <v>20</v>
      </c>
      <c r="D25" t="s">
        <v>22</v>
      </c>
      <c r="E25" s="2">
        <f>C3*(1-(1+C5)^-S3)/C5</f>
        <v>547320.74438710348</v>
      </c>
      <c r="F25" s="3">
        <f>E25*1.09^15</f>
        <v>1993606.2112531427</v>
      </c>
      <c r="H25" s="3">
        <f>SUM(D6:D15)</f>
        <v>57715</v>
      </c>
    </row>
    <row r="26" spans="1:20" x14ac:dyDescent="0.25">
      <c r="A26" s="8"/>
      <c r="B26" s="9" t="s">
        <v>21</v>
      </c>
      <c r="D26" t="s">
        <v>7</v>
      </c>
      <c r="E26" s="7">
        <f>E23-E24</f>
        <v>-21228.615483231377</v>
      </c>
      <c r="F26" s="5"/>
    </row>
    <row r="28" spans="1:20" x14ac:dyDescent="0.25">
      <c r="E28" s="4">
        <f>E26/C3</f>
        <v>-0.31264529430384946</v>
      </c>
      <c r="G28" s="2">
        <f>((1+$C$5)^(S3)-1)/C5</f>
        <v>29.360916218750255</v>
      </c>
      <c r="H28" t="s">
        <v>8</v>
      </c>
    </row>
    <row r="29" spans="1:20" x14ac:dyDescent="0.25">
      <c r="G29" s="2">
        <f>G28*C3</f>
        <v>1993606.2112531422</v>
      </c>
    </row>
    <row r="35" spans="6:10" x14ac:dyDescent="0.25">
      <c r="G35" s="2">
        <f>C3*15</f>
        <v>1018500</v>
      </c>
    </row>
    <row r="37" spans="6:10" x14ac:dyDescent="0.25">
      <c r="G37" s="2">
        <v>700000</v>
      </c>
      <c r="I37" t="s">
        <v>18</v>
      </c>
      <c r="J37" s="2">
        <v>1000000</v>
      </c>
    </row>
    <row r="38" spans="6:10" x14ac:dyDescent="0.25">
      <c r="F38">
        <v>1</v>
      </c>
      <c r="G38" s="2">
        <f>G37*(1+$C$5)</f>
        <v>763000</v>
      </c>
      <c r="I38" t="s">
        <v>19</v>
      </c>
      <c r="J38" s="2">
        <v>2000000</v>
      </c>
    </row>
    <row r="39" spans="6:10" x14ac:dyDescent="0.25">
      <c r="F39">
        <v>2</v>
      </c>
      <c r="G39" s="2">
        <f t="shared" ref="G39:G52" si="8">G38*(1+$C$5)</f>
        <v>831670.00000000012</v>
      </c>
      <c r="I39" t="s">
        <v>1</v>
      </c>
      <c r="J39" s="3">
        <f>T21</f>
        <v>960000</v>
      </c>
    </row>
    <row r="40" spans="6:10" x14ac:dyDescent="0.25">
      <c r="F40">
        <v>3</v>
      </c>
      <c r="G40" s="2">
        <f t="shared" si="8"/>
        <v>906520.30000000016</v>
      </c>
      <c r="J40" s="3">
        <f>J37+J39</f>
        <v>1960000</v>
      </c>
    </row>
    <row r="41" spans="6:10" x14ac:dyDescent="0.25">
      <c r="F41">
        <v>4</v>
      </c>
      <c r="G41" s="2">
        <f t="shared" si="8"/>
        <v>988107.12700000021</v>
      </c>
    </row>
    <row r="42" spans="6:10" x14ac:dyDescent="0.25">
      <c r="F42">
        <v>5</v>
      </c>
      <c r="G42" s="2">
        <f t="shared" si="8"/>
        <v>1077036.7684300004</v>
      </c>
    </row>
    <row r="43" spans="6:10" x14ac:dyDescent="0.25">
      <c r="F43">
        <v>6</v>
      </c>
      <c r="G43" s="2">
        <f t="shared" si="8"/>
        <v>1173970.0775887005</v>
      </c>
    </row>
    <row r="44" spans="6:10" x14ac:dyDescent="0.25">
      <c r="F44">
        <v>7</v>
      </c>
      <c r="G44" s="2">
        <f t="shared" si="8"/>
        <v>1279627.3845716836</v>
      </c>
    </row>
    <row r="45" spans="6:10" x14ac:dyDescent="0.25">
      <c r="F45">
        <v>8</v>
      </c>
      <c r="G45" s="2">
        <f t="shared" si="8"/>
        <v>1394793.8491831352</v>
      </c>
    </row>
    <row r="46" spans="6:10" x14ac:dyDescent="0.25">
      <c r="F46">
        <v>9</v>
      </c>
      <c r="G46" s="2">
        <f t="shared" si="8"/>
        <v>1520325.2956096174</v>
      </c>
    </row>
    <row r="47" spans="6:10" x14ac:dyDescent="0.25">
      <c r="F47">
        <v>10</v>
      </c>
      <c r="G47" s="2">
        <f t="shared" si="8"/>
        <v>1657154.5722144831</v>
      </c>
    </row>
    <row r="48" spans="6:10" x14ac:dyDescent="0.25">
      <c r="F48">
        <v>11</v>
      </c>
      <c r="G48" s="2">
        <f t="shared" si="8"/>
        <v>1806298.4837137866</v>
      </c>
    </row>
    <row r="49" spans="6:9" x14ac:dyDescent="0.25">
      <c r="F49">
        <v>12</v>
      </c>
      <c r="G49" s="2">
        <f t="shared" si="8"/>
        <v>1968865.3472480276</v>
      </c>
    </row>
    <row r="50" spans="6:9" x14ac:dyDescent="0.25">
      <c r="F50">
        <v>13</v>
      </c>
      <c r="G50" s="2">
        <f t="shared" si="8"/>
        <v>2146063.2285003504</v>
      </c>
    </row>
    <row r="51" spans="6:9" x14ac:dyDescent="0.25">
      <c r="F51">
        <v>14</v>
      </c>
      <c r="G51" s="2">
        <f t="shared" si="8"/>
        <v>2339208.9190653819</v>
      </c>
    </row>
    <row r="52" spans="6:9" x14ac:dyDescent="0.25">
      <c r="F52">
        <v>15</v>
      </c>
      <c r="G52" s="2">
        <f t="shared" si="8"/>
        <v>2549737.7217812664</v>
      </c>
      <c r="H52" s="3">
        <f>G52-J40</f>
        <v>589737.72178126639</v>
      </c>
      <c r="I52" s="3">
        <f>G37*0.1</f>
        <v>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DAA-FC74-AE4D-BF98-2A706BCB20F7}">
  <sheetPr codeName="Sheet3"/>
  <dimension ref="B1:T29"/>
  <sheetViews>
    <sheetView zoomScale="150" zoomScaleNormal="150" workbookViewId="0">
      <pane xSplit="3" ySplit="3" topLeftCell="D5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68700</v>
      </c>
      <c r="G1" s="2">
        <f t="shared" ref="G1:S1" si="0">$C$3</f>
        <v>68700</v>
      </c>
      <c r="H1" s="2">
        <f t="shared" si="0"/>
        <v>68700</v>
      </c>
      <c r="I1" s="2">
        <f t="shared" si="0"/>
        <v>68700</v>
      </c>
      <c r="J1" s="2">
        <f t="shared" si="0"/>
        <v>68700</v>
      </c>
      <c r="K1" s="2">
        <f t="shared" si="0"/>
        <v>68700</v>
      </c>
      <c r="L1" s="2">
        <f t="shared" si="0"/>
        <v>68700</v>
      </c>
      <c r="M1" s="2">
        <f t="shared" si="0"/>
        <v>68700</v>
      </c>
      <c r="N1" s="2">
        <f t="shared" si="0"/>
        <v>68700</v>
      </c>
      <c r="O1" s="2">
        <f t="shared" si="0"/>
        <v>68700</v>
      </c>
      <c r="P1" s="2">
        <f t="shared" si="0"/>
        <v>68700</v>
      </c>
      <c r="Q1" s="2">
        <f t="shared" si="0"/>
        <v>68700</v>
      </c>
      <c r="R1" s="2">
        <f t="shared" si="0"/>
        <v>68700</v>
      </c>
      <c r="S1" s="2">
        <f t="shared" si="0"/>
        <v>68700</v>
      </c>
    </row>
    <row r="2" spans="2:20" x14ac:dyDescent="0.25">
      <c r="B2" t="s">
        <v>9</v>
      </c>
      <c r="C2" s="1">
        <v>0.03</v>
      </c>
      <c r="E2" s="3">
        <f>C3-D6-(C2*C3)</f>
        <v>49464</v>
      </c>
      <c r="F2" s="3">
        <f>F1-D$7-($C$2*F1)</f>
        <v>56334</v>
      </c>
      <c r="G2" s="3">
        <f>G1-D$8-($C$2*G1)</f>
        <v>59769</v>
      </c>
      <c r="H2" s="3">
        <f>H1-D$9-($C$2*H1)</f>
        <v>63204</v>
      </c>
      <c r="I2" s="3">
        <f>I1-$D$10-($C$2*I1)</f>
        <v>63204</v>
      </c>
      <c r="J2" s="3">
        <f t="shared" ref="J2:N2" si="1">J1-$D$10-($C$2*J1)</f>
        <v>63204</v>
      </c>
      <c r="K2" s="3">
        <f t="shared" si="1"/>
        <v>63204</v>
      </c>
      <c r="L2" s="3">
        <f t="shared" si="1"/>
        <v>63204</v>
      </c>
      <c r="M2" s="3">
        <f t="shared" si="1"/>
        <v>63204</v>
      </c>
      <c r="N2" s="3">
        <f t="shared" si="1"/>
        <v>63204</v>
      </c>
      <c r="O2" s="3">
        <f>O1-M$7-($C$2*O1)</f>
        <v>66639</v>
      </c>
      <c r="P2" s="3">
        <f>P1-N$7-($C$2*P1)</f>
        <v>66639</v>
      </c>
      <c r="Q2" s="3">
        <f t="shared" ref="Q2:R2" si="2">Q1-O$7-($C$2*Q1)</f>
        <v>66639</v>
      </c>
      <c r="R2" s="3">
        <f t="shared" si="2"/>
        <v>66639</v>
      </c>
      <c r="S2" s="3">
        <f>S1-Q$7-($C$2*S1)</f>
        <v>66639</v>
      </c>
      <c r="T2">
        <v>64</v>
      </c>
    </row>
    <row r="3" spans="2:20" x14ac:dyDescent="0.25">
      <c r="B3" t="s">
        <v>2</v>
      </c>
      <c r="C3">
        <v>68700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17175</v>
      </c>
      <c r="E6" s="3">
        <f>E2*(1+C5)</f>
        <v>53915.76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10305</v>
      </c>
      <c r="E7" s="3">
        <f>E6*(1+$C$5)</f>
        <v>58768.178400000004</v>
      </c>
      <c r="F7" s="2">
        <f>F2*(1+$C$5)</f>
        <v>61404.060000000005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6870</v>
      </c>
      <c r="E8" s="3">
        <f t="shared" ref="E8:P20" si="5">E7*(1+$C$5)</f>
        <v>64057.314456000007</v>
      </c>
      <c r="F8" s="3">
        <f>F7*(1+$C$5)</f>
        <v>66930.425400000007</v>
      </c>
      <c r="G8" s="2">
        <f>G2*(1+$C$5)</f>
        <v>65148.210000000006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3435</v>
      </c>
      <c r="E9" s="3">
        <f t="shared" si="5"/>
        <v>69822.472757040014</v>
      </c>
      <c r="F9" s="3">
        <f t="shared" si="5"/>
        <v>72954.163686000014</v>
      </c>
      <c r="G9" s="3">
        <f>G8*(1+$C$5)</f>
        <v>71011.548900000009</v>
      </c>
      <c r="H9" s="2">
        <f>H2*(1+$C$5)</f>
        <v>68892.36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3435</v>
      </c>
      <c r="E10" s="3">
        <f t="shared" si="5"/>
        <v>76106.495305173623</v>
      </c>
      <c r="F10" s="3">
        <f t="shared" si="5"/>
        <v>79520.038417740026</v>
      </c>
      <c r="G10" s="2">
        <f>G9*(1+$C$5)</f>
        <v>77402.588301000011</v>
      </c>
      <c r="H10" s="3">
        <f>H9*(1+$C$5)</f>
        <v>75092.67240000001</v>
      </c>
      <c r="I10" s="2">
        <f>I2*(1+$C$5)</f>
        <v>68892.36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3435</v>
      </c>
      <c r="E11" s="3">
        <f t="shared" si="5"/>
        <v>82956.079882639257</v>
      </c>
      <c r="F11" s="3">
        <f t="shared" si="5"/>
        <v>86676.841875336642</v>
      </c>
      <c r="G11" s="2">
        <f t="shared" si="5"/>
        <v>84368.821248090011</v>
      </c>
      <c r="H11" s="3">
        <f>H10*(1+$C$5)</f>
        <v>81851.012916000022</v>
      </c>
      <c r="I11" s="3">
        <f>I10*(1+$C$5)</f>
        <v>75092.67240000001</v>
      </c>
      <c r="J11" s="2">
        <f>J2*(1+$C$5)</f>
        <v>68892.36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3435</v>
      </c>
      <c r="E12" s="3">
        <f t="shared" si="5"/>
        <v>90422.127072076793</v>
      </c>
      <c r="F12" s="3">
        <f t="shared" si="5"/>
        <v>94477.757644116951</v>
      </c>
      <c r="G12" s="2">
        <f t="shared" si="5"/>
        <v>91962.015160418116</v>
      </c>
      <c r="H12" s="3">
        <f t="shared" si="5"/>
        <v>89217.604078440025</v>
      </c>
      <c r="I12" s="3">
        <f>I11*(1+$C$5)</f>
        <v>81851.012916000022</v>
      </c>
      <c r="J12" s="3">
        <f>J11*(1+$C$5)</f>
        <v>75092.67240000001</v>
      </c>
      <c r="K12" s="2">
        <f>K2*(1+$C$5)</f>
        <v>68892.36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3435</v>
      </c>
      <c r="E13" s="3">
        <f t="shared" si="5"/>
        <v>98560.118508563712</v>
      </c>
      <c r="F13" s="3">
        <f t="shared" si="5"/>
        <v>102980.75583208748</v>
      </c>
      <c r="G13" s="2">
        <f t="shared" si="5"/>
        <v>100238.59652485575</v>
      </c>
      <c r="H13" s="3">
        <f t="shared" si="5"/>
        <v>97247.188445499633</v>
      </c>
      <c r="I13" s="3">
        <f t="shared" si="5"/>
        <v>89217.604078440025</v>
      </c>
      <c r="J13" s="3">
        <f>J12*(1+$C$5)</f>
        <v>81851.012916000022</v>
      </c>
      <c r="K13" s="3">
        <f>K12*(1+$C$5)</f>
        <v>75092.67240000001</v>
      </c>
      <c r="L13" s="2">
        <f>L2*(1+$C$5)</f>
        <v>68892.36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3435</v>
      </c>
      <c r="E14" s="3">
        <f t="shared" si="5"/>
        <v>107430.52917433446</v>
      </c>
      <c r="F14" s="3">
        <f t="shared" si="5"/>
        <v>112249.02385697536</v>
      </c>
      <c r="G14" s="2">
        <f t="shared" si="5"/>
        <v>109260.07021209277</v>
      </c>
      <c r="H14" s="3">
        <f t="shared" si="5"/>
        <v>105999.4354055946</v>
      </c>
      <c r="I14" s="3">
        <f t="shared" si="5"/>
        <v>97247.188445499633</v>
      </c>
      <c r="J14" s="3">
        <f t="shared" si="5"/>
        <v>89217.604078440025</v>
      </c>
      <c r="K14" s="3">
        <f>K13*(1+$C$5)</f>
        <v>81851.012916000022</v>
      </c>
      <c r="L14" s="3">
        <f>L13*(1+$C$5)</f>
        <v>75092.67240000001</v>
      </c>
      <c r="M14" s="2">
        <f>M2*(1+$C$5)</f>
        <v>68892.36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3435</v>
      </c>
      <c r="E15" s="3">
        <f t="shared" si="5"/>
        <v>117099.27680002457</v>
      </c>
      <c r="F15" s="3">
        <f t="shared" si="5"/>
        <v>122351.43600410315</v>
      </c>
      <c r="G15" s="2">
        <f t="shared" si="5"/>
        <v>119093.47653118114</v>
      </c>
      <c r="H15" s="3">
        <f t="shared" si="5"/>
        <v>115539.38459209813</v>
      </c>
      <c r="I15" s="3">
        <f t="shared" si="5"/>
        <v>105999.4354055946</v>
      </c>
      <c r="J15" s="3">
        <f t="shared" si="5"/>
        <v>97247.188445499633</v>
      </c>
      <c r="K15" s="3">
        <f t="shared" si="5"/>
        <v>89217.604078440025</v>
      </c>
      <c r="L15" s="3">
        <f>L14*(1+$C$5)</f>
        <v>81851.012916000022</v>
      </c>
      <c r="M15" s="3">
        <f>M14*(1+$C$5)</f>
        <v>75092.67240000001</v>
      </c>
      <c r="N15" s="2">
        <f>N2*(1+$C$5)</f>
        <v>68892.36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127638.21171202679</v>
      </c>
      <c r="F16" s="3">
        <f t="shared" si="5"/>
        <v>133363.06524447244</v>
      </c>
      <c r="G16" s="2">
        <f t="shared" si="5"/>
        <v>129811.88941898744</v>
      </c>
      <c r="H16" s="3">
        <f t="shared" si="5"/>
        <v>125937.92920538697</v>
      </c>
      <c r="I16" s="3">
        <f t="shared" si="5"/>
        <v>115539.38459209813</v>
      </c>
      <c r="J16" s="3">
        <f t="shared" si="5"/>
        <v>105999.4354055946</v>
      </c>
      <c r="K16" s="3">
        <f t="shared" si="5"/>
        <v>97247.188445499633</v>
      </c>
      <c r="L16" s="3">
        <f t="shared" si="5"/>
        <v>89217.604078440025</v>
      </c>
      <c r="M16" s="3">
        <f>M15*(1+$C$5)</f>
        <v>81851.012916000022</v>
      </c>
      <c r="N16" s="3">
        <f>N15*(1+$C$5)</f>
        <v>75092.67240000001</v>
      </c>
      <c r="O16" s="2">
        <f>O2*(1+$C$5)</f>
        <v>72636.510000000009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139125.6507661092</v>
      </c>
      <c r="F17" s="3">
        <f t="shared" si="5"/>
        <v>145365.74111647496</v>
      </c>
      <c r="G17" s="2">
        <f t="shared" si="5"/>
        <v>141494.95946669631</v>
      </c>
      <c r="H17" s="3">
        <f t="shared" si="5"/>
        <v>137272.34283387181</v>
      </c>
      <c r="I17" s="3">
        <f t="shared" si="5"/>
        <v>125937.92920538697</v>
      </c>
      <c r="J17" s="3">
        <f t="shared" si="5"/>
        <v>115539.38459209813</v>
      </c>
      <c r="K17" s="3">
        <f t="shared" si="5"/>
        <v>105999.4354055946</v>
      </c>
      <c r="L17" s="3">
        <f t="shared" si="5"/>
        <v>97247.188445499633</v>
      </c>
      <c r="M17" s="3">
        <f t="shared" si="5"/>
        <v>89217.604078440025</v>
      </c>
      <c r="N17" s="3">
        <f>N16*(1+$C$5)</f>
        <v>81851.012916000022</v>
      </c>
      <c r="O17" s="3">
        <f>O16*(1+$C$5)</f>
        <v>79173.795900000012</v>
      </c>
      <c r="P17" s="2">
        <f>P2*(1+$C$5)</f>
        <v>72636.510000000009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151646.95933505904</v>
      </c>
      <c r="F18" s="3">
        <f t="shared" si="5"/>
        <v>158448.65781695771</v>
      </c>
      <c r="G18" s="2">
        <f t="shared" si="5"/>
        <v>154229.50581869899</v>
      </c>
      <c r="H18" s="3">
        <f t="shared" si="5"/>
        <v>149626.8536889203</v>
      </c>
      <c r="I18" s="3">
        <f t="shared" si="5"/>
        <v>137272.34283387181</v>
      </c>
      <c r="J18" s="3">
        <f t="shared" si="5"/>
        <v>125937.92920538697</v>
      </c>
      <c r="K18" s="3">
        <f t="shared" si="5"/>
        <v>115539.38459209813</v>
      </c>
      <c r="L18" s="3">
        <f t="shared" si="5"/>
        <v>105999.4354055946</v>
      </c>
      <c r="M18" s="3">
        <f t="shared" si="5"/>
        <v>97247.188445499633</v>
      </c>
      <c r="N18" s="3">
        <f t="shared" si="5"/>
        <v>89217.604078440025</v>
      </c>
      <c r="O18" s="3">
        <f>O17*(1+$C$5)</f>
        <v>86299.437531000018</v>
      </c>
      <c r="P18" s="3">
        <f>P17*(1+$C$5)</f>
        <v>79173.795900000012</v>
      </c>
      <c r="Q18" s="2">
        <f>Q2*(1+$C$5)</f>
        <v>72636.510000000009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165295.18567521436</v>
      </c>
      <c r="F19" s="3">
        <f t="shared" si="5"/>
        <v>172709.03702048393</v>
      </c>
      <c r="G19" s="2">
        <f t="shared" si="5"/>
        <v>168110.16134238191</v>
      </c>
      <c r="H19" s="3">
        <f t="shared" si="5"/>
        <v>163093.27052092314</v>
      </c>
      <c r="I19" s="3">
        <f t="shared" si="5"/>
        <v>149626.8536889203</v>
      </c>
      <c r="J19" s="3">
        <f t="shared" si="5"/>
        <v>137272.34283387181</v>
      </c>
      <c r="K19" s="3">
        <f t="shared" si="5"/>
        <v>125937.92920538697</v>
      </c>
      <c r="L19" s="3">
        <f t="shared" si="5"/>
        <v>115539.38459209813</v>
      </c>
      <c r="M19" s="3">
        <f t="shared" si="5"/>
        <v>105999.4354055946</v>
      </c>
      <c r="N19" s="3">
        <f t="shared" si="5"/>
        <v>97247.188445499633</v>
      </c>
      <c r="O19" s="3">
        <f t="shared" si="5"/>
        <v>94066.386908790024</v>
      </c>
      <c r="P19" s="3">
        <f>P18*(1+$C$5)</f>
        <v>86299.437531000018</v>
      </c>
      <c r="Q19" s="3">
        <f>Q18*(1+$C$5)</f>
        <v>79173.795900000012</v>
      </c>
      <c r="R19" s="2">
        <f>R2*(1+$C$5)</f>
        <v>72636.510000000009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180171.75238598368</v>
      </c>
      <c r="F20" s="3">
        <f t="shared" si="5"/>
        <v>188252.85035232748</v>
      </c>
      <c r="G20" s="2">
        <f t="shared" si="5"/>
        <v>183240.07586319628</v>
      </c>
      <c r="H20" s="3">
        <f t="shared" si="5"/>
        <v>177771.66486780622</v>
      </c>
      <c r="I20" s="3">
        <f t="shared" si="5"/>
        <v>163093.27052092314</v>
      </c>
      <c r="J20" s="3">
        <f t="shared" si="5"/>
        <v>149626.8536889203</v>
      </c>
      <c r="K20" s="3">
        <f t="shared" si="5"/>
        <v>137272.34283387181</v>
      </c>
      <c r="L20" s="3">
        <f t="shared" si="5"/>
        <v>125937.92920538697</v>
      </c>
      <c r="M20" s="3">
        <f t="shared" si="5"/>
        <v>115539.38459209813</v>
      </c>
      <c r="N20" s="3">
        <f t="shared" si="5"/>
        <v>105999.4354055946</v>
      </c>
      <c r="O20" s="3">
        <f t="shared" si="5"/>
        <v>102532.36173058113</v>
      </c>
      <c r="P20" s="3">
        <f t="shared" si="5"/>
        <v>94066.386908790024</v>
      </c>
      <c r="Q20" s="3">
        <f>Q19*(1+$C$5)</f>
        <v>86299.437531000018</v>
      </c>
      <c r="R20" s="3">
        <f>R19*(1+$C$5)</f>
        <v>79173.795900000012</v>
      </c>
      <c r="S20" s="2">
        <f>S2*(1+$C$5)</f>
        <v>72636.510000000009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1961614.0517864798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1614.051786479773</v>
      </c>
      <c r="F26" s="5"/>
    </row>
    <row r="28" spans="2:20" x14ac:dyDescent="0.25">
      <c r="E28" s="4">
        <f>E26/C3</f>
        <v>2.3494203587769623E-2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2017094.9442281425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BB19-9372-BA43-B236-8ACB5DAE038C}">
  <sheetPr codeName="Sheet4"/>
  <dimension ref="B1:T29"/>
  <sheetViews>
    <sheetView zoomScale="150" zoomScaleNormal="15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72800</v>
      </c>
      <c r="G1" s="2">
        <f t="shared" ref="G1:S1" si="0">$C$3</f>
        <v>72800</v>
      </c>
      <c r="H1" s="2">
        <f t="shared" si="0"/>
        <v>72800</v>
      </c>
      <c r="I1" s="2">
        <f t="shared" si="0"/>
        <v>72800</v>
      </c>
      <c r="J1" s="2">
        <f t="shared" si="0"/>
        <v>72800</v>
      </c>
      <c r="K1" s="2">
        <f t="shared" si="0"/>
        <v>72800</v>
      </c>
      <c r="L1" s="2">
        <f t="shared" si="0"/>
        <v>72800</v>
      </c>
      <c r="M1" s="2">
        <f t="shared" si="0"/>
        <v>72800</v>
      </c>
      <c r="N1" s="2">
        <f t="shared" si="0"/>
        <v>72800</v>
      </c>
      <c r="O1" s="2">
        <f t="shared" si="0"/>
        <v>72800</v>
      </c>
      <c r="P1" s="2">
        <f t="shared" si="0"/>
        <v>72800</v>
      </c>
      <c r="Q1" s="2">
        <f t="shared" si="0"/>
        <v>72800</v>
      </c>
      <c r="R1" s="2">
        <f t="shared" si="0"/>
        <v>72800</v>
      </c>
      <c r="S1" s="2">
        <f t="shared" si="0"/>
        <v>72800</v>
      </c>
    </row>
    <row r="2" spans="2:20" x14ac:dyDescent="0.25">
      <c r="B2" t="s">
        <v>9</v>
      </c>
      <c r="C2" s="1">
        <v>0.03</v>
      </c>
      <c r="E2" s="3">
        <f>C3-D6-(C2*C3)</f>
        <v>52416</v>
      </c>
      <c r="F2" s="3">
        <f>F1-D$7-($C$2*F1)</f>
        <v>59696</v>
      </c>
      <c r="G2" s="3">
        <f>G1-D$8-($C$2*G1)</f>
        <v>63336</v>
      </c>
      <c r="H2" s="3">
        <f>H1-D$9-($C$2*H1)</f>
        <v>66976</v>
      </c>
      <c r="I2" s="3">
        <f>I1-$D$10-($C$2*I1)</f>
        <v>66976</v>
      </c>
      <c r="J2" s="3">
        <f t="shared" ref="J2:N2" si="1">J1-$D$10-($C$2*J1)</f>
        <v>66976</v>
      </c>
      <c r="K2" s="3">
        <f t="shared" si="1"/>
        <v>66976</v>
      </c>
      <c r="L2" s="3">
        <f t="shared" si="1"/>
        <v>66976</v>
      </c>
      <c r="M2" s="3">
        <f t="shared" si="1"/>
        <v>66976</v>
      </c>
      <c r="N2" s="3">
        <f t="shared" si="1"/>
        <v>66976</v>
      </c>
      <c r="O2" s="3">
        <f>O1-M$7-($C$2*O1)</f>
        <v>70616</v>
      </c>
      <c r="P2" s="3">
        <f>P1-N$7-($C$2*P1)</f>
        <v>70616</v>
      </c>
      <c r="Q2" s="3">
        <f t="shared" ref="Q2:R2" si="2">Q1-O$7-($C$2*Q1)</f>
        <v>70616</v>
      </c>
      <c r="R2" s="3">
        <f t="shared" si="2"/>
        <v>70616</v>
      </c>
      <c r="S2" s="3">
        <f>S1-Q$7-($C$2*S1)</f>
        <v>70616</v>
      </c>
      <c r="T2">
        <v>64</v>
      </c>
    </row>
    <row r="3" spans="2:20" x14ac:dyDescent="0.25">
      <c r="B3" t="s">
        <v>2</v>
      </c>
      <c r="C3">
        <v>72800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18200</v>
      </c>
      <c r="E6" s="3">
        <f>E2*(1+C5)</f>
        <v>57133.440000000002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10920</v>
      </c>
      <c r="E7" s="3">
        <f>E6*(1+$C$5)</f>
        <v>62275.449600000007</v>
      </c>
      <c r="F7" s="2">
        <f>F2*(1+$C$5)</f>
        <v>65068.640000000007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7280</v>
      </c>
      <c r="E8" s="3">
        <f t="shared" ref="E8:P20" si="5">E7*(1+$C$5)</f>
        <v>67880.240064000012</v>
      </c>
      <c r="F8" s="3">
        <f>F7*(1+$C$5)</f>
        <v>70924.817600000009</v>
      </c>
      <c r="G8" s="2">
        <f>G2*(1+$C$5)</f>
        <v>69036.240000000005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3640</v>
      </c>
      <c r="E9" s="3">
        <f t="shared" si="5"/>
        <v>73989.461669760014</v>
      </c>
      <c r="F9" s="3">
        <f t="shared" si="5"/>
        <v>77308.051184000011</v>
      </c>
      <c r="G9" s="3">
        <f>G8*(1+$C$5)</f>
        <v>75249.501600000018</v>
      </c>
      <c r="H9" s="2">
        <f>H2*(1+$C$5)</f>
        <v>73003.840000000011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3640</v>
      </c>
      <c r="E10" s="3">
        <f t="shared" si="5"/>
        <v>80648.513220038425</v>
      </c>
      <c r="F10" s="3">
        <f t="shared" si="5"/>
        <v>84265.775790560016</v>
      </c>
      <c r="G10" s="2">
        <f>G9*(1+$C$5)</f>
        <v>82021.956744000025</v>
      </c>
      <c r="H10" s="3">
        <f>H9*(1+$C$5)</f>
        <v>79574.185600000012</v>
      </c>
      <c r="I10" s="2">
        <f>I2*(1+$C$5)</f>
        <v>73003.840000000011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3640</v>
      </c>
      <c r="E11" s="3">
        <f t="shared" si="5"/>
        <v>87906.879409841888</v>
      </c>
      <c r="F11" s="3">
        <f t="shared" si="5"/>
        <v>91849.695611710427</v>
      </c>
      <c r="G11" s="2">
        <f t="shared" si="5"/>
        <v>89403.932850960031</v>
      </c>
      <c r="H11" s="3">
        <f>H10*(1+$C$5)</f>
        <v>86735.862304000024</v>
      </c>
      <c r="I11" s="3">
        <f>I10*(1+$C$5)</f>
        <v>79574.185600000012</v>
      </c>
      <c r="J11" s="2">
        <f>J2*(1+$C$5)</f>
        <v>73003.840000000011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3640</v>
      </c>
      <c r="E12" s="3">
        <f t="shared" si="5"/>
        <v>95818.49855672766</v>
      </c>
      <c r="F12" s="3">
        <f t="shared" si="5"/>
        <v>100116.16821676437</v>
      </c>
      <c r="G12" s="2">
        <f t="shared" si="5"/>
        <v>97450.286807546436</v>
      </c>
      <c r="H12" s="3">
        <f t="shared" si="5"/>
        <v>94542.089911360032</v>
      </c>
      <c r="I12" s="3">
        <f>I11*(1+$C$5)</f>
        <v>86735.862304000024</v>
      </c>
      <c r="J12" s="3">
        <f>J11*(1+$C$5)</f>
        <v>79574.185600000012</v>
      </c>
      <c r="K12" s="2">
        <f>K2*(1+$C$5)</f>
        <v>73003.840000000011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3640</v>
      </c>
      <c r="E13" s="3">
        <f t="shared" si="5"/>
        <v>104442.16342683315</v>
      </c>
      <c r="F13" s="3">
        <f t="shared" si="5"/>
        <v>109126.62335627318</v>
      </c>
      <c r="G13" s="2">
        <f t="shared" si="5"/>
        <v>106220.81262022562</v>
      </c>
      <c r="H13" s="3">
        <f t="shared" si="5"/>
        <v>103050.87800338244</v>
      </c>
      <c r="I13" s="3">
        <f t="shared" si="5"/>
        <v>94542.089911360032</v>
      </c>
      <c r="J13" s="3">
        <f>J12*(1+$C$5)</f>
        <v>86735.862304000024</v>
      </c>
      <c r="K13" s="3">
        <f>K12*(1+$C$5)</f>
        <v>79574.185600000012</v>
      </c>
      <c r="L13" s="2">
        <f>L2*(1+$C$5)</f>
        <v>73003.840000000011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3640</v>
      </c>
      <c r="E14" s="3">
        <f t="shared" si="5"/>
        <v>113841.95813524815</v>
      </c>
      <c r="F14" s="3">
        <f t="shared" si="5"/>
        <v>118948.01945833777</v>
      </c>
      <c r="G14" s="2">
        <f t="shared" si="5"/>
        <v>115780.68575604593</v>
      </c>
      <c r="H14" s="3">
        <f t="shared" si="5"/>
        <v>112325.45702368687</v>
      </c>
      <c r="I14" s="3">
        <f t="shared" si="5"/>
        <v>103050.87800338244</v>
      </c>
      <c r="J14" s="3">
        <f t="shared" si="5"/>
        <v>94542.089911360032</v>
      </c>
      <c r="K14" s="3">
        <f>K13*(1+$C$5)</f>
        <v>86735.862304000024</v>
      </c>
      <c r="L14" s="3">
        <f>L13*(1+$C$5)</f>
        <v>79574.185600000012</v>
      </c>
      <c r="M14" s="2">
        <f>M2*(1+$C$5)</f>
        <v>73003.840000000011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3640</v>
      </c>
      <c r="E15" s="3">
        <f t="shared" si="5"/>
        <v>124087.73436742049</v>
      </c>
      <c r="F15" s="3">
        <f t="shared" si="5"/>
        <v>129653.34120958818</v>
      </c>
      <c r="G15" s="2">
        <f t="shared" si="5"/>
        <v>126200.94747409008</v>
      </c>
      <c r="H15" s="3">
        <f t="shared" si="5"/>
        <v>122434.7481558187</v>
      </c>
      <c r="I15" s="3">
        <f t="shared" si="5"/>
        <v>112325.45702368687</v>
      </c>
      <c r="J15" s="3">
        <f t="shared" si="5"/>
        <v>103050.87800338244</v>
      </c>
      <c r="K15" s="3">
        <f t="shared" si="5"/>
        <v>94542.089911360032</v>
      </c>
      <c r="L15" s="3">
        <f>L14*(1+$C$5)</f>
        <v>86735.862304000024</v>
      </c>
      <c r="M15" s="3">
        <f>M14*(1+$C$5)</f>
        <v>79574.185600000012</v>
      </c>
      <c r="N15" s="2">
        <f>N2*(1+$C$5)</f>
        <v>73003.840000000011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135255.63046048835</v>
      </c>
      <c r="F16" s="3">
        <f t="shared" si="5"/>
        <v>141322.14191845112</v>
      </c>
      <c r="G16" s="2">
        <f t="shared" si="5"/>
        <v>137559.0327467582</v>
      </c>
      <c r="H16" s="3">
        <f t="shared" si="5"/>
        <v>133453.87548984238</v>
      </c>
      <c r="I16" s="3">
        <f t="shared" si="5"/>
        <v>122434.7481558187</v>
      </c>
      <c r="J16" s="3">
        <f t="shared" si="5"/>
        <v>112325.45702368687</v>
      </c>
      <c r="K16" s="3">
        <f t="shared" si="5"/>
        <v>103050.87800338244</v>
      </c>
      <c r="L16" s="3">
        <f t="shared" si="5"/>
        <v>94542.089911360032</v>
      </c>
      <c r="M16" s="3">
        <f>M15*(1+$C$5)</f>
        <v>86735.862304000024</v>
      </c>
      <c r="N16" s="3">
        <f>N15*(1+$C$5)</f>
        <v>79574.185600000012</v>
      </c>
      <c r="O16" s="2">
        <f>O2*(1+$C$5)</f>
        <v>76971.44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147428.63720193232</v>
      </c>
      <c r="F17" s="3">
        <f t="shared" si="5"/>
        <v>154041.13469111174</v>
      </c>
      <c r="G17" s="2">
        <f t="shared" si="5"/>
        <v>149939.34569396643</v>
      </c>
      <c r="H17" s="3">
        <f t="shared" si="5"/>
        <v>145464.7242839282</v>
      </c>
      <c r="I17" s="3">
        <f t="shared" si="5"/>
        <v>133453.87548984238</v>
      </c>
      <c r="J17" s="3">
        <f t="shared" si="5"/>
        <v>122434.7481558187</v>
      </c>
      <c r="K17" s="3">
        <f t="shared" si="5"/>
        <v>112325.45702368687</v>
      </c>
      <c r="L17" s="3">
        <f t="shared" si="5"/>
        <v>103050.87800338244</v>
      </c>
      <c r="M17" s="3">
        <f t="shared" si="5"/>
        <v>94542.089911360032</v>
      </c>
      <c r="N17" s="3">
        <f>N16*(1+$C$5)</f>
        <v>86735.862304000024</v>
      </c>
      <c r="O17" s="3">
        <f>O16*(1+$C$5)</f>
        <v>83898.869600000005</v>
      </c>
      <c r="P17" s="2">
        <f>P2*(1+$C$5)</f>
        <v>76971.44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160697.21455010623</v>
      </c>
      <c r="F18" s="3">
        <f t="shared" si="5"/>
        <v>167904.83681331182</v>
      </c>
      <c r="G18" s="2">
        <f t="shared" si="5"/>
        <v>163433.88680642343</v>
      </c>
      <c r="H18" s="3">
        <f t="shared" si="5"/>
        <v>158556.54946948175</v>
      </c>
      <c r="I18" s="3">
        <f t="shared" si="5"/>
        <v>145464.7242839282</v>
      </c>
      <c r="J18" s="3">
        <f t="shared" si="5"/>
        <v>133453.87548984238</v>
      </c>
      <c r="K18" s="3">
        <f t="shared" si="5"/>
        <v>122434.7481558187</v>
      </c>
      <c r="L18" s="3">
        <f t="shared" si="5"/>
        <v>112325.45702368687</v>
      </c>
      <c r="M18" s="3">
        <f t="shared" si="5"/>
        <v>103050.87800338244</v>
      </c>
      <c r="N18" s="3">
        <f t="shared" si="5"/>
        <v>94542.089911360032</v>
      </c>
      <c r="O18" s="3">
        <f>O17*(1+$C$5)</f>
        <v>91449.767864000009</v>
      </c>
      <c r="P18" s="3">
        <f>P17*(1+$C$5)</f>
        <v>83898.869600000005</v>
      </c>
      <c r="Q18" s="2">
        <f>Q2*(1+$C$5)</f>
        <v>76971.44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175159.96385961582</v>
      </c>
      <c r="F19" s="3">
        <f t="shared" si="5"/>
        <v>183016.2721265099</v>
      </c>
      <c r="G19" s="2">
        <f t="shared" si="5"/>
        <v>178142.93661900156</v>
      </c>
      <c r="H19" s="3">
        <f t="shared" si="5"/>
        <v>172826.63892173511</v>
      </c>
      <c r="I19" s="3">
        <f t="shared" si="5"/>
        <v>158556.54946948175</v>
      </c>
      <c r="J19" s="3">
        <f t="shared" si="5"/>
        <v>145464.7242839282</v>
      </c>
      <c r="K19" s="3">
        <f t="shared" si="5"/>
        <v>133453.87548984238</v>
      </c>
      <c r="L19" s="3">
        <f t="shared" si="5"/>
        <v>122434.7481558187</v>
      </c>
      <c r="M19" s="3">
        <f t="shared" si="5"/>
        <v>112325.45702368687</v>
      </c>
      <c r="N19" s="3">
        <f t="shared" si="5"/>
        <v>103050.87800338244</v>
      </c>
      <c r="O19" s="3">
        <f t="shared" si="5"/>
        <v>99680.246971760018</v>
      </c>
      <c r="P19" s="3">
        <f>P18*(1+$C$5)</f>
        <v>91449.767864000009</v>
      </c>
      <c r="Q19" s="3">
        <f>Q18*(1+$C$5)</f>
        <v>83898.869600000005</v>
      </c>
      <c r="R19" s="2">
        <f>R2*(1+$C$5)</f>
        <v>76971.44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190924.36060698127</v>
      </c>
      <c r="F20" s="3">
        <f t="shared" si="5"/>
        <v>199487.7366178958</v>
      </c>
      <c r="G20" s="2">
        <f t="shared" si="5"/>
        <v>194175.8009147117</v>
      </c>
      <c r="H20" s="3">
        <f t="shared" si="5"/>
        <v>188381.03642469129</v>
      </c>
      <c r="I20" s="3">
        <f t="shared" si="5"/>
        <v>172826.63892173511</v>
      </c>
      <c r="J20" s="3">
        <f t="shared" si="5"/>
        <v>158556.54946948175</v>
      </c>
      <c r="K20" s="3">
        <f t="shared" si="5"/>
        <v>145464.7242839282</v>
      </c>
      <c r="L20" s="3">
        <f t="shared" si="5"/>
        <v>133453.87548984238</v>
      </c>
      <c r="M20" s="3">
        <f t="shared" si="5"/>
        <v>122434.7481558187</v>
      </c>
      <c r="N20" s="3">
        <f t="shared" si="5"/>
        <v>112325.45702368687</v>
      </c>
      <c r="O20" s="3">
        <f t="shared" si="5"/>
        <v>108651.46919921842</v>
      </c>
      <c r="P20" s="3">
        <f t="shared" si="5"/>
        <v>99680.246971760018</v>
      </c>
      <c r="Q20" s="3">
        <f>Q19*(1+$C$5)</f>
        <v>91449.767864000009</v>
      </c>
      <c r="R20" s="3">
        <f>R19*(1+$C$5)</f>
        <v>83898.869600000005</v>
      </c>
      <c r="S20" s="2">
        <f>S2*(1+$C$5)</f>
        <v>76971.44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2078682.7215437517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118682.72154375166</v>
      </c>
      <c r="F26" s="5"/>
    </row>
    <row r="28" spans="2:20" x14ac:dyDescent="0.25">
      <c r="E28" s="4">
        <f>E26/C3</f>
        <v>1.6302571640625227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2137474.7007250185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70A0-832E-4348-8562-062C43567BF0}">
  <sheetPr codeName="Sheet5"/>
  <dimension ref="B4:E9"/>
  <sheetViews>
    <sheetView zoomScale="150" zoomScaleNormal="150" workbookViewId="0">
      <selection activeCell="H32" sqref="H32"/>
    </sheetView>
  </sheetViews>
  <sheetFormatPr defaultColWidth="11" defaultRowHeight="15.75" x14ac:dyDescent="0.25"/>
  <sheetData>
    <row r="4" spans="2:5" x14ac:dyDescent="0.25">
      <c r="B4" t="s">
        <v>10</v>
      </c>
      <c r="C4" t="s">
        <v>12</v>
      </c>
    </row>
    <row r="5" spans="2:5" x14ac:dyDescent="0.25">
      <c r="B5">
        <v>10</v>
      </c>
      <c r="C5" s="6">
        <v>20</v>
      </c>
      <c r="E5" t="s">
        <v>13</v>
      </c>
    </row>
    <row r="6" spans="2:5" x14ac:dyDescent="0.25">
      <c r="B6" s="6">
        <v>15</v>
      </c>
      <c r="C6" s="6">
        <v>30</v>
      </c>
      <c r="E6" t="s">
        <v>14</v>
      </c>
    </row>
    <row r="7" spans="2:5" x14ac:dyDescent="0.25">
      <c r="B7">
        <v>20</v>
      </c>
      <c r="C7" s="6">
        <v>40</v>
      </c>
      <c r="E7" t="s">
        <v>15</v>
      </c>
    </row>
    <row r="8" spans="2:5" x14ac:dyDescent="0.25">
      <c r="B8" t="s">
        <v>11</v>
      </c>
      <c r="C8">
        <v>50</v>
      </c>
      <c r="E8" t="s">
        <v>16</v>
      </c>
    </row>
    <row r="9" spans="2:5" x14ac:dyDescent="0.25">
      <c r="E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C785-0901-4B05-9763-47EE17CF2B6F}">
  <sheetPr codeName="Sheet6"/>
  <dimension ref="B1:AB17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" sqref="E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4" width="12.625" bestFit="1" customWidth="1"/>
    <col min="5" max="5" width="13.375" bestFit="1" customWidth="1"/>
    <col min="6" max="6" width="11.125" style="2" bestFit="1" customWidth="1"/>
    <col min="7" max="7" width="11.125" bestFit="1" customWidth="1"/>
    <col min="8" max="8" width="12.125" bestFit="1" customWidth="1"/>
    <col min="9" max="14" width="11.125" bestFit="1" customWidth="1"/>
    <col min="15" max="18" width="10.125" bestFit="1" customWidth="1"/>
    <col min="19" max="19" width="6.375" bestFit="1" customWidth="1"/>
  </cols>
  <sheetData>
    <row r="1" spans="2:28" x14ac:dyDescent="0.25">
      <c r="G1" s="6"/>
      <c r="H1" s="9" t="s">
        <v>20</v>
      </c>
    </row>
    <row r="2" spans="2:28" x14ac:dyDescent="0.25">
      <c r="G2" s="8"/>
      <c r="H2" s="9" t="s">
        <v>21</v>
      </c>
    </row>
    <row r="3" spans="2:28" x14ac:dyDescent="0.25">
      <c r="D3" s="19">
        <v>15</v>
      </c>
      <c r="E3" s="19">
        <v>14</v>
      </c>
      <c r="F3" s="19">
        <v>13</v>
      </c>
      <c r="G3" s="19">
        <v>12</v>
      </c>
      <c r="H3" s="19">
        <v>11</v>
      </c>
      <c r="I3" s="19">
        <v>10</v>
      </c>
      <c r="J3" s="19">
        <v>9</v>
      </c>
      <c r="K3" s="19">
        <v>8</v>
      </c>
      <c r="L3" s="19">
        <v>7</v>
      </c>
      <c r="M3" s="19">
        <v>6</v>
      </c>
      <c r="N3" s="19">
        <v>5</v>
      </c>
      <c r="O3" s="19">
        <v>4</v>
      </c>
      <c r="P3" s="19">
        <v>3</v>
      </c>
      <c r="Q3" s="19">
        <v>2</v>
      </c>
      <c r="R3" s="19">
        <v>1</v>
      </c>
    </row>
    <row r="4" spans="2:28" x14ac:dyDescent="0.25">
      <c r="B4" s="19" t="s">
        <v>26</v>
      </c>
      <c r="C4" s="19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</row>
    <row r="5" spans="2:28" x14ac:dyDescent="0.25">
      <c r="B5" t="s">
        <v>27</v>
      </c>
      <c r="D5" s="20">
        <f t="shared" ref="D5:R5" si="0">$C$10-D6*$C$10-($C$9*$C$10)</f>
        <v>49178.16</v>
      </c>
      <c r="E5" s="21">
        <f t="shared" si="0"/>
        <v>56008.460000000006</v>
      </c>
      <c r="F5" s="22">
        <f t="shared" si="0"/>
        <v>59423.61</v>
      </c>
      <c r="G5" s="23">
        <f t="shared" si="0"/>
        <v>62838.759999999995</v>
      </c>
      <c r="H5" s="23">
        <f t="shared" si="0"/>
        <v>62838.759999999995</v>
      </c>
      <c r="I5" s="23">
        <f t="shared" si="0"/>
        <v>62838.759999999995</v>
      </c>
      <c r="J5" s="23">
        <f t="shared" si="0"/>
        <v>62838.759999999995</v>
      </c>
      <c r="K5" s="23">
        <f t="shared" si="0"/>
        <v>62838.759999999995</v>
      </c>
      <c r="L5" s="23">
        <f t="shared" si="0"/>
        <v>62838.759999999995</v>
      </c>
      <c r="M5" s="23">
        <f t="shared" si="0"/>
        <v>62838.759999999995</v>
      </c>
      <c r="N5" s="24">
        <f t="shared" si="0"/>
        <v>66253.91</v>
      </c>
      <c r="O5" s="24">
        <f t="shared" si="0"/>
        <v>66253.91</v>
      </c>
      <c r="P5" s="24">
        <f t="shared" si="0"/>
        <v>66253.91</v>
      </c>
      <c r="Q5" s="24">
        <f t="shared" si="0"/>
        <v>66253.91</v>
      </c>
      <c r="R5" s="24">
        <f t="shared" si="0"/>
        <v>66253.91</v>
      </c>
    </row>
    <row r="6" spans="2:28" x14ac:dyDescent="0.25">
      <c r="B6" t="s">
        <v>24</v>
      </c>
      <c r="D6" s="10">
        <v>0.25</v>
      </c>
      <c r="E6" s="10">
        <v>0.15</v>
      </c>
      <c r="F6" s="10">
        <v>0.1</v>
      </c>
      <c r="G6" s="10">
        <v>0.05</v>
      </c>
      <c r="H6" s="10">
        <v>0.05</v>
      </c>
      <c r="I6" s="10">
        <v>0.05</v>
      </c>
      <c r="J6" s="10">
        <v>0.05</v>
      </c>
      <c r="K6" s="10">
        <v>0.05</v>
      </c>
      <c r="L6" s="10">
        <v>0.05</v>
      </c>
      <c r="M6" s="10">
        <v>0.05</v>
      </c>
    </row>
    <row r="7" spans="2:28" x14ac:dyDescent="0.25">
      <c r="B7" t="s">
        <v>23</v>
      </c>
      <c r="D7" s="17">
        <f>D5*(1+$C$12)^D3</f>
        <v>179130.58519970658</v>
      </c>
      <c r="E7" s="17">
        <f t="shared" ref="E7:R7" si="1">E5*(1+$C$12)^E3</f>
        <v>187164.98453588097</v>
      </c>
      <c r="F7" s="17">
        <f t="shared" si="1"/>
        <v>182181.17760820812</v>
      </c>
      <c r="G7" s="17">
        <f t="shared" si="1"/>
        <v>176744.36718290776</v>
      </c>
      <c r="H7" s="17">
        <f t="shared" si="1"/>
        <v>162150.79558064934</v>
      </c>
      <c r="I7" s="17">
        <f t="shared" si="1"/>
        <v>148762.19778041224</v>
      </c>
      <c r="J7" s="17">
        <f t="shared" si="1"/>
        <v>136479.08053248827</v>
      </c>
      <c r="K7" s="17">
        <f t="shared" si="1"/>
        <v>125210.16562613602</v>
      </c>
      <c r="L7" s="17">
        <f t="shared" si="1"/>
        <v>114871.71158361102</v>
      </c>
      <c r="M7" s="17">
        <f t="shared" si="1"/>
        <v>105386.89136111103</v>
      </c>
      <c r="N7" s="17">
        <f t="shared" si="1"/>
        <v>101939.85303178869</v>
      </c>
      <c r="O7" s="17">
        <f t="shared" si="1"/>
        <v>93522.800946595118</v>
      </c>
      <c r="P7" s="17">
        <f t="shared" si="1"/>
        <v>85800.734813390023</v>
      </c>
      <c r="Q7" s="17">
        <f t="shared" si="1"/>
        <v>78716.270471000011</v>
      </c>
      <c r="R7" s="17">
        <f t="shared" si="1"/>
        <v>72216.761900000012</v>
      </c>
    </row>
    <row r="9" spans="2:28" x14ac:dyDescent="0.25">
      <c r="B9" t="s">
        <v>9</v>
      </c>
      <c r="C9" s="10">
        <v>0.03</v>
      </c>
      <c r="E9" s="25" t="s">
        <v>5</v>
      </c>
      <c r="F9" s="32">
        <f>SUM(D7:R7)</f>
        <v>1950278.3781538857</v>
      </c>
      <c r="G9" s="1"/>
      <c r="H9" s="25" t="s">
        <v>29</v>
      </c>
      <c r="I9" s="26">
        <f>SUM(D17:R17)</f>
        <v>535425.60595369176</v>
      </c>
      <c r="K9" s="1"/>
      <c r="L9" s="1"/>
    </row>
    <row r="10" spans="2:28" x14ac:dyDescent="0.25">
      <c r="B10" t="s">
        <v>2</v>
      </c>
      <c r="C10" s="14">
        <v>68303</v>
      </c>
      <c r="E10" s="27" t="s">
        <v>6</v>
      </c>
      <c r="F10" s="33">
        <f>C11+1000*C13*D3</f>
        <v>1960000</v>
      </c>
      <c r="H10" s="27" t="s">
        <v>28</v>
      </c>
      <c r="I10" s="28">
        <f>F10/(1+C12)^D3</f>
        <v>538094.56097371085</v>
      </c>
      <c r="S10" s="3"/>
    </row>
    <row r="11" spans="2:28" x14ac:dyDescent="0.25">
      <c r="B11" t="s">
        <v>3</v>
      </c>
      <c r="C11" s="18">
        <v>1000000</v>
      </c>
      <c r="E11" s="27"/>
      <c r="F11" s="34"/>
      <c r="H11" s="27"/>
      <c r="I11" s="29"/>
    </row>
    <row r="12" spans="2:28" x14ac:dyDescent="0.25">
      <c r="B12" t="s">
        <v>0</v>
      </c>
      <c r="C12" s="10">
        <v>0.09</v>
      </c>
      <c r="E12" s="30" t="s">
        <v>7</v>
      </c>
      <c r="F12" s="31">
        <f>F9-F10</f>
        <v>-9721.6218461142853</v>
      </c>
      <c r="H12" s="30" t="s">
        <v>7</v>
      </c>
      <c r="I12" s="31">
        <f>I9-I10</f>
        <v>-2668.9550200190861</v>
      </c>
    </row>
    <row r="13" spans="2:28" x14ac:dyDescent="0.25">
      <c r="B13" t="s">
        <v>31</v>
      </c>
      <c r="C13" s="6">
        <v>64</v>
      </c>
      <c r="F13"/>
      <c r="G13" s="3"/>
    </row>
    <row r="14" spans="2:28" x14ac:dyDescent="0.25">
      <c r="B14" t="s">
        <v>32</v>
      </c>
      <c r="C14" s="6">
        <v>15</v>
      </c>
      <c r="E14" t="s">
        <v>25</v>
      </c>
      <c r="F14" s="4">
        <f>F12/C10</f>
        <v>-0.14233081776956041</v>
      </c>
    </row>
    <row r="15" spans="2:28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7" spans="3:18" x14ac:dyDescent="0.25">
      <c r="C17" t="s">
        <v>30</v>
      </c>
      <c r="D17" s="16">
        <f t="shared" ref="D17:R17" si="2">D5/(1+$C$12)^(D4-1)</f>
        <v>49178.16</v>
      </c>
      <c r="E17" s="16">
        <f t="shared" si="2"/>
        <v>51383.908256880735</v>
      </c>
      <c r="F17" s="16">
        <f t="shared" si="2"/>
        <v>50015.663664674685</v>
      </c>
      <c r="G17" s="16">
        <f t="shared" si="2"/>
        <v>48523.052379521992</v>
      </c>
      <c r="H17" s="16">
        <f t="shared" si="2"/>
        <v>44516.56181607522</v>
      </c>
      <c r="I17" s="16">
        <f t="shared" si="2"/>
        <v>40840.882400069007</v>
      </c>
      <c r="J17" s="16">
        <f t="shared" si="2"/>
        <v>37468.699449604588</v>
      </c>
      <c r="K17" s="16">
        <f t="shared" si="2"/>
        <v>34374.953623490452</v>
      </c>
      <c r="L17" s="16">
        <f t="shared" si="2"/>
        <v>31536.654700449952</v>
      </c>
      <c r="M17" s="16">
        <f t="shared" si="2"/>
        <v>28932.710734357752</v>
      </c>
      <c r="N17" s="16">
        <f t="shared" si="2"/>
        <v>27986.367583094354</v>
      </c>
      <c r="O17" s="16">
        <f t="shared" si="2"/>
        <v>25675.566589994822</v>
      </c>
      <c r="P17" s="16">
        <f t="shared" si="2"/>
        <v>23555.565678894334</v>
      </c>
      <c r="Q17" s="16">
        <f t="shared" si="2"/>
        <v>21610.610714581951</v>
      </c>
      <c r="R17" s="16">
        <f t="shared" si="2"/>
        <v>19826.248362001792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45B4-33A8-45F0-8E8D-9D2745067E0E}">
  <sheetPr codeName="Sheet7"/>
  <dimension ref="B1:AC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I16" sqref="I16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9" width="10.125" bestFit="1" customWidth="1"/>
  </cols>
  <sheetData>
    <row r="1" spans="2:29" x14ac:dyDescent="0.25">
      <c r="G1" s="35"/>
      <c r="H1" s="9" t="s">
        <v>20</v>
      </c>
      <c r="I1" s="8"/>
      <c r="J1" s="9" t="s">
        <v>21</v>
      </c>
    </row>
    <row r="2" spans="2:29" x14ac:dyDescent="0.25">
      <c r="D2" s="63">
        <f ca="1">TODAY()</f>
        <v>45058</v>
      </c>
      <c r="E2" s="63">
        <f ca="1">EDATE(D2,12)</f>
        <v>45424</v>
      </c>
      <c r="F2" s="63">
        <f t="shared" ref="F2:AB2" ca="1" si="0">EDATE(E2,12)</f>
        <v>45789</v>
      </c>
      <c r="G2" s="63">
        <f t="shared" ca="1" si="0"/>
        <v>46154</v>
      </c>
      <c r="H2" s="63">
        <f t="shared" ca="1" si="0"/>
        <v>46519</v>
      </c>
      <c r="I2" s="63">
        <f t="shared" ca="1" si="0"/>
        <v>46885</v>
      </c>
      <c r="J2" s="63">
        <f t="shared" ca="1" si="0"/>
        <v>47250</v>
      </c>
      <c r="K2" s="63">
        <f t="shared" ca="1" si="0"/>
        <v>47615</v>
      </c>
      <c r="L2" s="63">
        <f t="shared" ca="1" si="0"/>
        <v>47980</v>
      </c>
      <c r="M2" s="63">
        <f t="shared" ca="1" si="0"/>
        <v>48346</v>
      </c>
      <c r="N2" s="63">
        <f t="shared" ca="1" si="0"/>
        <v>48711</v>
      </c>
      <c r="O2" s="63">
        <f t="shared" ca="1" si="0"/>
        <v>49076</v>
      </c>
      <c r="P2" s="63">
        <f t="shared" ca="1" si="0"/>
        <v>49441</v>
      </c>
      <c r="Q2" s="63">
        <f t="shared" ca="1" si="0"/>
        <v>49807</v>
      </c>
      <c r="R2" s="63">
        <f t="shared" ca="1" si="0"/>
        <v>50172</v>
      </c>
      <c r="S2" s="63">
        <f t="shared" ca="1" si="0"/>
        <v>50537</v>
      </c>
      <c r="T2" s="63">
        <f t="shared" ca="1" si="0"/>
        <v>50902</v>
      </c>
      <c r="U2" s="63">
        <f t="shared" ca="1" si="0"/>
        <v>51268</v>
      </c>
      <c r="V2" s="63">
        <f t="shared" ca="1" si="0"/>
        <v>51633</v>
      </c>
      <c r="W2" s="63">
        <f t="shared" ca="1" si="0"/>
        <v>51998</v>
      </c>
      <c r="X2" s="63">
        <f t="shared" ca="1" si="0"/>
        <v>52363</v>
      </c>
      <c r="Y2" s="63">
        <f t="shared" ca="1" si="0"/>
        <v>52729</v>
      </c>
      <c r="Z2" s="63">
        <f t="shared" ca="1" si="0"/>
        <v>53094</v>
      </c>
      <c r="AA2" s="63">
        <f t="shared" ca="1" si="0"/>
        <v>53459</v>
      </c>
      <c r="AB2" s="63">
        <f t="shared" ca="1" si="0"/>
        <v>53824</v>
      </c>
    </row>
    <row r="3" spans="2:29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9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1">F4-1</f>
        <v>12</v>
      </c>
      <c r="H4">
        <f t="shared" si="1"/>
        <v>11</v>
      </c>
      <c r="I4">
        <f t="shared" si="1"/>
        <v>10</v>
      </c>
      <c r="J4">
        <f t="shared" si="1"/>
        <v>9</v>
      </c>
      <c r="K4">
        <f t="shared" si="1"/>
        <v>8</v>
      </c>
      <c r="L4">
        <f t="shared" si="1"/>
        <v>7</v>
      </c>
      <c r="M4">
        <f t="shared" si="1"/>
        <v>6</v>
      </c>
      <c r="N4">
        <f t="shared" si="1"/>
        <v>5</v>
      </c>
      <c r="O4">
        <f t="shared" si="1"/>
        <v>4</v>
      </c>
      <c r="P4">
        <f t="shared" si="1"/>
        <v>3</v>
      </c>
      <c r="Q4">
        <f t="shared" si="1"/>
        <v>2</v>
      </c>
      <c r="R4">
        <f t="shared" si="1"/>
        <v>1</v>
      </c>
      <c r="S4">
        <f t="shared" si="1"/>
        <v>0</v>
      </c>
      <c r="T4">
        <f t="shared" si="1"/>
        <v>-1</v>
      </c>
      <c r="U4">
        <f t="shared" si="1"/>
        <v>-2</v>
      </c>
      <c r="V4">
        <f t="shared" si="1"/>
        <v>-3</v>
      </c>
      <c r="W4">
        <f>V4-1</f>
        <v>-4</v>
      </c>
      <c r="X4">
        <f t="shared" si="1"/>
        <v>-5</v>
      </c>
      <c r="Y4">
        <f t="shared" si="1"/>
        <v>-6</v>
      </c>
      <c r="Z4">
        <f>Y4-1</f>
        <v>-7</v>
      </c>
      <c r="AA4">
        <f t="shared" si="1"/>
        <v>-8</v>
      </c>
      <c r="AB4">
        <f t="shared" si="1"/>
        <v>-9</v>
      </c>
    </row>
    <row r="5" spans="2:29" x14ac:dyDescent="0.25">
      <c r="B5" s="19"/>
      <c r="C5" s="19"/>
      <c r="F5"/>
    </row>
    <row r="6" spans="2:29" x14ac:dyDescent="0.25">
      <c r="B6" t="s">
        <v>27</v>
      </c>
      <c r="C6" s="16"/>
      <c r="D6" s="20">
        <f>IF(D4&gt;0,$C$11-D7*$C$11-($C$10*$C$11),0)</f>
        <v>48880.800000000003</v>
      </c>
      <c r="E6" s="20">
        <f>IF(E4&gt;0,$C$11-E7*$C$11-($C$10*$C$11),0)</f>
        <v>55669.8</v>
      </c>
      <c r="F6" s="20">
        <f t="shared" ref="F6:AB6" si="2">IF(F4&gt;0,$C$11-F7*$C$11-($C$10*$C$11),0)</f>
        <v>59064.3</v>
      </c>
      <c r="G6" s="20">
        <f t="shared" si="2"/>
        <v>62458.8</v>
      </c>
      <c r="H6" s="20">
        <f t="shared" si="2"/>
        <v>62458.8</v>
      </c>
      <c r="I6" s="20">
        <f t="shared" si="2"/>
        <v>62458.8</v>
      </c>
      <c r="J6" s="20">
        <f t="shared" si="2"/>
        <v>62458.8</v>
      </c>
      <c r="K6" s="20">
        <f t="shared" si="2"/>
        <v>62458.8</v>
      </c>
      <c r="L6" s="20">
        <f t="shared" si="2"/>
        <v>62458.8</v>
      </c>
      <c r="M6" s="20">
        <f t="shared" si="2"/>
        <v>62458.8</v>
      </c>
      <c r="N6" s="20">
        <f t="shared" si="2"/>
        <v>65853.3</v>
      </c>
      <c r="O6" s="20">
        <f t="shared" si="2"/>
        <v>65853.3</v>
      </c>
      <c r="P6" s="20">
        <f t="shared" si="2"/>
        <v>65853.3</v>
      </c>
      <c r="Q6" s="20">
        <f t="shared" si="2"/>
        <v>65853.3</v>
      </c>
      <c r="R6" s="20">
        <f t="shared" si="2"/>
        <v>65853.3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16"/>
    </row>
    <row r="7" spans="2:29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9" x14ac:dyDescent="0.25">
      <c r="B8" t="s">
        <v>23</v>
      </c>
      <c r="D8" s="17">
        <f>D6*(1+$C$13)^D4</f>
        <v>178047.45661549389</v>
      </c>
      <c r="E8" s="17">
        <f>E6*(1+$C$13)^E4</f>
        <v>186033.27526083714</v>
      </c>
      <c r="F8" s="17">
        <f t="shared" ref="F8:AB8" si="3">F6*(1+$C$13)^F4</f>
        <v>181079.6033530189</v>
      </c>
      <c r="G8" s="17">
        <f t="shared" si="3"/>
        <v>175675.66707242155</v>
      </c>
      <c r="H8" s="17">
        <f t="shared" si="3"/>
        <v>161170.3367636895</v>
      </c>
      <c r="I8" s="17">
        <f t="shared" si="3"/>
        <v>147862.69427861422</v>
      </c>
      <c r="J8" s="17">
        <f t="shared" si="3"/>
        <v>135653.84796203137</v>
      </c>
      <c r="K8" s="17">
        <f t="shared" si="3"/>
        <v>124453.07152479942</v>
      </c>
      <c r="L8" s="17">
        <f t="shared" si="3"/>
        <v>114177.12983926552</v>
      </c>
      <c r="M8" s="17">
        <f t="shared" si="3"/>
        <v>104749.6604029959</v>
      </c>
      <c r="N8" s="17">
        <f t="shared" si="3"/>
        <v>101323.46488921621</v>
      </c>
      <c r="O8" s="17">
        <f t="shared" si="3"/>
        <v>92957.307237813016</v>
      </c>
      <c r="P8" s="17">
        <f t="shared" si="3"/>
        <v>85281.933245700013</v>
      </c>
      <c r="Q8" s="17">
        <f t="shared" si="3"/>
        <v>78240.305730000007</v>
      </c>
      <c r="R8" s="17">
        <f t="shared" si="3"/>
        <v>71780.097000000009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9" x14ac:dyDescent="0.25">
      <c r="B10" t="s">
        <v>9</v>
      </c>
      <c r="C10" s="10">
        <v>0.03</v>
      </c>
      <c r="E10" s="25" t="s">
        <v>5</v>
      </c>
      <c r="F10" s="32">
        <f>SUM(D8:AB8)</f>
        <v>1938485.8511758968</v>
      </c>
      <c r="G10" s="1"/>
      <c r="H10" s="25" t="s">
        <v>29</v>
      </c>
      <c r="I10" s="26">
        <f>SUM(D18:AB18)</f>
        <v>532188.10869502253</v>
      </c>
      <c r="K10" s="1"/>
      <c r="L10" s="1"/>
    </row>
    <row r="11" spans="2:29" x14ac:dyDescent="0.25">
      <c r="B11" t="s">
        <v>2</v>
      </c>
      <c r="C11" s="36">
        <v>67890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9" x14ac:dyDescent="0.25">
      <c r="B12" t="s">
        <v>51</v>
      </c>
      <c r="C12" s="18">
        <v>1000000</v>
      </c>
      <c r="E12" s="27"/>
      <c r="F12" s="34"/>
      <c r="H12" s="27"/>
      <c r="I12" s="29"/>
    </row>
    <row r="13" spans="2:29" x14ac:dyDescent="0.25">
      <c r="B13" t="s">
        <v>0</v>
      </c>
      <c r="C13" s="10">
        <v>0.09</v>
      </c>
      <c r="E13" s="30" t="s">
        <v>7</v>
      </c>
      <c r="F13" s="31">
        <f>F10-F11</f>
        <v>-21514.148824103177</v>
      </c>
      <c r="H13" s="30" t="s">
        <v>7</v>
      </c>
      <c r="I13" s="31">
        <f>I10-I11</f>
        <v>-5906.4522786883172</v>
      </c>
    </row>
    <row r="14" spans="2:29" x14ac:dyDescent="0.25">
      <c r="B14" t="s">
        <v>31</v>
      </c>
      <c r="C14" s="35">
        <v>64</v>
      </c>
      <c r="F14"/>
      <c r="G14" s="3"/>
    </row>
    <row r="15" spans="2:29" x14ac:dyDescent="0.25">
      <c r="B15" t="s">
        <v>32</v>
      </c>
      <c r="C15" s="35">
        <v>15</v>
      </c>
      <c r="E15" t="s">
        <v>25</v>
      </c>
      <c r="F15" s="4">
        <f>F13/C11</f>
        <v>-0.31689716930480449</v>
      </c>
    </row>
    <row r="16" spans="2:29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2:28" x14ac:dyDescent="0.25">
      <c r="C17" t="s">
        <v>63</v>
      </c>
      <c r="D17" s="16">
        <f>SUM(D18:AB18)</f>
        <v>532188.10869502253</v>
      </c>
      <c r="E17" t="s">
        <v>83</v>
      </c>
      <c r="F17" s="15">
        <f>NPV(C13,D6:R6)</f>
        <v>488245.97127983713</v>
      </c>
      <c r="G17" s="2"/>
      <c r="H17" s="3"/>
    </row>
    <row r="18" spans="2:28" x14ac:dyDescent="0.25">
      <c r="C18" t="s">
        <v>30</v>
      </c>
      <c r="D18" s="16">
        <f>D6/(1+$C$13)^(D3-1)</f>
        <v>48880.800000000003</v>
      </c>
      <c r="E18" s="16">
        <f t="shared" ref="E18:AB18" si="4">E6/(1+$C$13)^(E3-1)</f>
        <v>51073.211009174309</v>
      </c>
      <c r="F18" s="16">
        <f t="shared" si="4"/>
        <v>49713.239626294082</v>
      </c>
      <c r="G18" s="16">
        <f t="shared" si="4"/>
        <v>48229.653544437999</v>
      </c>
      <c r="H18" s="16">
        <f t="shared" si="4"/>
        <v>44247.388572878896</v>
      </c>
      <c r="I18" s="16">
        <f t="shared" si="4"/>
        <v>40593.934470531087</v>
      </c>
      <c r="J18" s="16">
        <f t="shared" si="4"/>
        <v>37242.14171608357</v>
      </c>
      <c r="K18" s="16">
        <f t="shared" si="4"/>
        <v>34167.102491819787</v>
      </c>
      <c r="L18" s="16">
        <f t="shared" si="4"/>
        <v>31345.965588825489</v>
      </c>
      <c r="M18" s="16">
        <f t="shared" si="4"/>
        <v>28757.766595252742</v>
      </c>
      <c r="N18" s="16">
        <f t="shared" si="4"/>
        <v>27817.145589743872</v>
      </c>
      <c r="O18" s="16">
        <f t="shared" si="4"/>
        <v>25520.317054810894</v>
      </c>
      <c r="P18" s="16">
        <f t="shared" si="4"/>
        <v>23413.134912670546</v>
      </c>
      <c r="Q18" s="16">
        <f t="shared" si="4"/>
        <v>21479.940286853707</v>
      </c>
      <c r="R18" s="16">
        <f t="shared" si="4"/>
        <v>19706.367235645601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62">
        <v>104710</v>
      </c>
      <c r="F21">
        <v>64</v>
      </c>
      <c r="G21" s="45">
        <v>1512554.7691044901</v>
      </c>
      <c r="H21" s="45">
        <v>1640000</v>
      </c>
      <c r="I21" s="45">
        <v>638919.48049135122</v>
      </c>
      <c r="J21" s="45">
        <v>692753.72330892982</v>
      </c>
      <c r="K21" s="42">
        <f>I21-J21</f>
        <v>-53834.242817578604</v>
      </c>
      <c r="O21" t="s">
        <v>44</v>
      </c>
      <c r="P21" t="s">
        <v>45</v>
      </c>
    </row>
    <row r="22" spans="2:28" x14ac:dyDescent="0.25">
      <c r="B22" t="s">
        <v>43</v>
      </c>
      <c r="C22" s="37">
        <v>30</v>
      </c>
      <c r="D22" s="37">
        <v>15</v>
      </c>
      <c r="E22" s="62">
        <v>67890</v>
      </c>
      <c r="F22">
        <v>64</v>
      </c>
      <c r="G22" s="45">
        <v>1938485.8511758968</v>
      </c>
      <c r="H22" s="45">
        <v>1960000</v>
      </c>
      <c r="I22" s="45">
        <v>532188.10869502253</v>
      </c>
      <c r="J22" s="45">
        <v>538094.56097371085</v>
      </c>
      <c r="K22" s="42">
        <f t="shared" ref="K22:K32" si="5">I22-J22</f>
        <v>-5906.4522786883172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49980</v>
      </c>
      <c r="F23">
        <v>64</v>
      </c>
      <c r="G23" s="45">
        <v>2512018.7077674894</v>
      </c>
      <c r="H23" s="45">
        <v>2280000</v>
      </c>
      <c r="I23" s="45">
        <v>448221.73317665386</v>
      </c>
      <c r="J23" s="45">
        <v>406822.42870356888</v>
      </c>
      <c r="K23" s="42">
        <f t="shared" si="5"/>
        <v>41399.30447308498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39890</v>
      </c>
      <c r="F24">
        <v>70</v>
      </c>
      <c r="G24" s="45">
        <v>3337181.8627213682</v>
      </c>
      <c r="H24" s="45">
        <v>2750000</v>
      </c>
      <c r="I24" s="45">
        <v>387005.75747198559</v>
      </c>
      <c r="J24" s="45">
        <v>318911.54777524917</v>
      </c>
      <c r="K24" s="42">
        <f t="shared" si="5"/>
        <v>68094.20969673642</v>
      </c>
    </row>
    <row r="25" spans="2:28" x14ac:dyDescent="0.25">
      <c r="C25" s="38">
        <v>40</v>
      </c>
      <c r="D25" s="38">
        <v>10</v>
      </c>
      <c r="E25" s="62">
        <v>108030</v>
      </c>
      <c r="F25">
        <v>64</v>
      </c>
      <c r="G25" s="45">
        <v>1560512.7657946553</v>
      </c>
      <c r="H25" s="45">
        <v>1640000</v>
      </c>
      <c r="I25" s="45">
        <v>659177.45657034381</v>
      </c>
      <c r="J25" s="45">
        <v>692753.72330892982</v>
      </c>
      <c r="K25" s="42">
        <f t="shared" si="5"/>
        <v>-33576.266738586011</v>
      </c>
    </row>
    <row r="26" spans="2:28" x14ac:dyDescent="0.25">
      <c r="C26" s="38">
        <v>40</v>
      </c>
      <c r="D26" s="38">
        <v>15</v>
      </c>
      <c r="E26" s="41">
        <v>72560</v>
      </c>
      <c r="F26">
        <v>64</v>
      </c>
      <c r="G26" s="45">
        <v>2071829.9213628378</v>
      </c>
      <c r="H26" s="45">
        <v>1960000</v>
      </c>
      <c r="I26" s="45">
        <v>568796.12854486424</v>
      </c>
      <c r="J26" s="45">
        <v>538094.56097371085</v>
      </c>
      <c r="K26" s="42">
        <f t="shared" si="5"/>
        <v>30701.567571153399</v>
      </c>
    </row>
    <row r="27" spans="2:28" x14ac:dyDescent="0.25">
      <c r="C27" s="38">
        <v>40</v>
      </c>
      <c r="D27" s="38">
        <v>20</v>
      </c>
      <c r="E27" s="41">
        <v>56170</v>
      </c>
      <c r="F27">
        <v>64</v>
      </c>
      <c r="G27" s="45">
        <v>2823131.0687334924</v>
      </c>
      <c r="H27" s="45">
        <v>2280000</v>
      </c>
      <c r="I27" s="45">
        <v>503733.78856607934</v>
      </c>
      <c r="J27" s="45">
        <v>406822.42870356888</v>
      </c>
      <c r="K27" s="42">
        <f t="shared" si="5"/>
        <v>96911.359862510464</v>
      </c>
    </row>
    <row r="28" spans="2:28" x14ac:dyDescent="0.25">
      <c r="C28" s="38">
        <v>40</v>
      </c>
      <c r="D28" s="38">
        <v>25</v>
      </c>
      <c r="E28" s="41" t="s">
        <v>42</v>
      </c>
      <c r="F28">
        <v>70</v>
      </c>
      <c r="G28" s="45"/>
      <c r="H28" s="45"/>
      <c r="I28" s="45"/>
      <c r="J28" s="45"/>
      <c r="K28" s="42">
        <f t="shared" si="5"/>
        <v>0</v>
      </c>
    </row>
    <row r="29" spans="2:28" x14ac:dyDescent="0.25">
      <c r="C29" s="39">
        <v>50</v>
      </c>
      <c r="D29" s="39">
        <v>10</v>
      </c>
      <c r="E29" s="62">
        <v>117920</v>
      </c>
      <c r="F29">
        <v>64</v>
      </c>
      <c r="G29" s="45">
        <f>F10</f>
        <v>1938485.8511758968</v>
      </c>
      <c r="H29" s="45">
        <f>F11</f>
        <v>1960000</v>
      </c>
      <c r="I29" s="45">
        <f>I10</f>
        <v>532188.10869502253</v>
      </c>
      <c r="J29" s="45">
        <f>I11</f>
        <v>538094.56097371085</v>
      </c>
      <c r="K29" s="42">
        <f t="shared" si="5"/>
        <v>-5906.4522786883172</v>
      </c>
    </row>
    <row r="30" spans="2:28" x14ac:dyDescent="0.25">
      <c r="C30" s="39">
        <v>50</v>
      </c>
      <c r="D30" s="39">
        <v>15</v>
      </c>
      <c r="E30" t="s">
        <v>42</v>
      </c>
      <c r="F30">
        <v>64</v>
      </c>
      <c r="G30" s="45"/>
      <c r="H30" s="45"/>
      <c r="I30" s="45"/>
      <c r="J30" s="45"/>
      <c r="K30" s="42">
        <f t="shared" si="5"/>
        <v>0</v>
      </c>
    </row>
    <row r="31" spans="2:28" x14ac:dyDescent="0.25">
      <c r="C31" s="39">
        <v>50</v>
      </c>
      <c r="D31" s="39">
        <v>20</v>
      </c>
      <c r="E31" t="s">
        <v>42</v>
      </c>
      <c r="F31">
        <v>64</v>
      </c>
      <c r="G31" s="45"/>
      <c r="H31" s="45"/>
      <c r="I31" s="45"/>
      <c r="J31" s="45"/>
      <c r="K31" s="42">
        <f t="shared" si="5"/>
        <v>0</v>
      </c>
    </row>
    <row r="32" spans="2:28" x14ac:dyDescent="0.25">
      <c r="C32" s="39">
        <v>50</v>
      </c>
      <c r="D32" s="39">
        <v>25</v>
      </c>
      <c r="E32" t="s">
        <v>42</v>
      </c>
      <c r="F32">
        <v>70</v>
      </c>
      <c r="G32" s="45"/>
      <c r="H32" s="45"/>
      <c r="I32" s="45"/>
      <c r="J32" s="45"/>
      <c r="K32" s="42">
        <f t="shared" si="5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009-E6A9-4677-9B72-F71285BD03A8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66211.199999999997</v>
      </c>
      <c r="E6" s="20">
        <f>IF(E4&gt;0,$C$11-E7*$C$11-($C$10*$C$11),0)</f>
        <v>75407.199999999997</v>
      </c>
      <c r="F6" s="20">
        <f t="shared" ref="F6:Z6" si="1">IF(F4&gt;0,$C$11-F7*$C$11-($C$10*$C$11),0)</f>
        <v>80005.2</v>
      </c>
      <c r="G6" s="20">
        <f t="shared" si="1"/>
        <v>84603.199999999997</v>
      </c>
      <c r="H6" s="20">
        <f t="shared" si="1"/>
        <v>84603.199999999997</v>
      </c>
      <c r="I6" s="20">
        <f t="shared" si="1"/>
        <v>84603.199999999997</v>
      </c>
      <c r="J6" s="20">
        <f t="shared" si="1"/>
        <v>84603.199999999997</v>
      </c>
      <c r="K6" s="20">
        <f t="shared" si="1"/>
        <v>84603.199999999997</v>
      </c>
      <c r="L6" s="20">
        <f t="shared" si="1"/>
        <v>84603.199999999997</v>
      </c>
      <c r="M6" s="20">
        <f t="shared" si="1"/>
        <v>84603.199999999997</v>
      </c>
      <c r="N6" s="20">
        <f t="shared" si="1"/>
        <v>89201.2</v>
      </c>
      <c r="O6" s="20">
        <f t="shared" si="1"/>
        <v>89201.2</v>
      </c>
      <c r="P6" s="20">
        <f t="shared" si="1"/>
        <v>89201.2</v>
      </c>
      <c r="Q6" s="20">
        <f t="shared" si="1"/>
        <v>89201.2</v>
      </c>
      <c r="R6" s="20">
        <f t="shared" si="1"/>
        <v>89201.2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241173.13463486251</v>
      </c>
      <c r="E8" s="17">
        <f>E6*(1+$C$13)^E4</f>
        <v>251990.27828821007</v>
      </c>
      <c r="F8" s="17">
        <f t="shared" ref="F8:AB8" si="3">F6*(1+$C$13)^F4</f>
        <v>245280.31115545172</v>
      </c>
      <c r="G8" s="17">
        <f t="shared" si="3"/>
        <v>237960.44106613469</v>
      </c>
      <c r="H8" s="17">
        <f t="shared" si="3"/>
        <v>218312.33125333459</v>
      </c>
      <c r="I8" s="17">
        <f t="shared" si="3"/>
        <v>200286.54243425193</v>
      </c>
      <c r="J8" s="17">
        <f t="shared" si="3"/>
        <v>183749.12149931368</v>
      </c>
      <c r="K8" s="17">
        <f t="shared" si="3"/>
        <v>168577.17568744373</v>
      </c>
      <c r="L8" s="17">
        <f t="shared" si="3"/>
        <v>154657.95934627863</v>
      </c>
      <c r="M8" s="17">
        <f t="shared" si="3"/>
        <v>141888.03609750335</v>
      </c>
      <c r="N8" s="17">
        <f t="shared" si="3"/>
        <v>137247.10312582593</v>
      </c>
      <c r="O8" s="17">
        <f t="shared" si="3"/>
        <v>125914.77350993201</v>
      </c>
      <c r="P8" s="17">
        <f t="shared" si="3"/>
        <v>115518.14083480001</v>
      </c>
      <c r="Q8" s="17">
        <f t="shared" si="3"/>
        <v>105979.94572</v>
      </c>
      <c r="R8" s="17">
        <f t="shared" si="3"/>
        <v>97229.308000000005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2625764.6026533432</v>
      </c>
      <c r="G10" s="1"/>
      <c r="H10" s="25" t="s">
        <v>29</v>
      </c>
      <c r="I10" s="26">
        <f>SUM(D18:AB18)</f>
        <v>720872.27096176567</v>
      </c>
      <c r="K10" s="46" t="s">
        <v>53</v>
      </c>
      <c r="L10" s="1"/>
    </row>
    <row r="11" spans="2:28" x14ac:dyDescent="0.25">
      <c r="B11" t="s">
        <v>2</v>
      </c>
      <c r="C11" s="36">
        <v>91960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665764.60265334323</v>
      </c>
      <c r="H13" s="30" t="s">
        <v>7</v>
      </c>
      <c r="I13" s="31">
        <f>I10-I11</f>
        <v>182777.70998805482</v>
      </c>
    </row>
    <row r="14" spans="2:28" x14ac:dyDescent="0.25">
      <c r="B14" t="s">
        <v>31</v>
      </c>
      <c r="C14" s="8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7.2397194720894218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66211.199999999997</v>
      </c>
      <c r="E18" s="16">
        <f t="shared" ref="E18:AB18" si="4">E6/(1+$C$13)^(E3-1)</f>
        <v>69180.917431192647</v>
      </c>
      <c r="F18" s="16">
        <f t="shared" si="4"/>
        <v>67338.776197289786</v>
      </c>
      <c r="G18" s="16">
        <f t="shared" si="4"/>
        <v>65329.193400302218</v>
      </c>
      <c r="H18" s="16">
        <f t="shared" si="4"/>
        <v>59935.039816791024</v>
      </c>
      <c r="I18" s="16">
        <f t="shared" si="4"/>
        <v>54986.275061276167</v>
      </c>
      <c r="J18" s="16">
        <f t="shared" si="4"/>
        <v>50446.123909427668</v>
      </c>
      <c r="K18" s="16">
        <f t="shared" si="4"/>
        <v>46280.84762332814</v>
      </c>
      <c r="L18" s="16">
        <f t="shared" si="4"/>
        <v>42459.493232411136</v>
      </c>
      <c r="M18" s="16">
        <f t="shared" si="4"/>
        <v>38953.663515973516</v>
      </c>
      <c r="N18" s="16">
        <f t="shared" si="4"/>
        <v>37679.550868063729</v>
      </c>
      <c r="O18" s="16">
        <f t="shared" si="4"/>
        <v>34568.395291801586</v>
      </c>
      <c r="P18" s="16">
        <f t="shared" si="4"/>
        <v>31714.124120918885</v>
      </c>
      <c r="Q18" s="16">
        <f t="shared" si="4"/>
        <v>29095.526716439337</v>
      </c>
      <c r="R18" s="16">
        <f t="shared" si="4"/>
        <v>26693.143776549852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s="44" t="s">
        <v>43</v>
      </c>
      <c r="P20" t="s">
        <v>50</v>
      </c>
    </row>
    <row r="21" spans="2:28" x14ac:dyDescent="0.25">
      <c r="C21" s="37">
        <v>30</v>
      </c>
      <c r="D21" s="37">
        <v>10</v>
      </c>
      <c r="E21" s="41">
        <v>121300</v>
      </c>
      <c r="F21">
        <v>64</v>
      </c>
      <c r="G21" s="2">
        <v>1752200.3007580461</v>
      </c>
      <c r="H21" s="2">
        <v>1640000</v>
      </c>
      <c r="I21" s="2">
        <v>740148.34288607514</v>
      </c>
      <c r="J21" s="2">
        <v>692753.72330892982</v>
      </c>
      <c r="K21" s="42">
        <f>I21-J21</f>
        <v>47394.61957714532</v>
      </c>
      <c r="O21" t="s">
        <v>44</v>
      </c>
      <c r="P21" t="s">
        <v>56</v>
      </c>
    </row>
    <row r="22" spans="2:28" x14ac:dyDescent="0.25">
      <c r="B22" t="s">
        <v>49</v>
      </c>
      <c r="C22" s="37">
        <v>30</v>
      </c>
      <c r="D22" s="37">
        <v>15</v>
      </c>
      <c r="E22" s="41">
        <v>77690</v>
      </c>
      <c r="F22">
        <v>64</v>
      </c>
      <c r="G22" s="2">
        <v>2218308.5252298634</v>
      </c>
      <c r="H22" s="2">
        <v>1960000</v>
      </c>
      <c r="I22" s="2">
        <v>609010.07754479756</v>
      </c>
      <c r="J22" s="2">
        <v>538094.56097371085</v>
      </c>
      <c r="K22" s="42">
        <f t="shared" ref="K22:K30" si="5">I22-J22</f>
        <v>70915.516571086715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56030</v>
      </c>
      <c r="F23">
        <v>64</v>
      </c>
      <c r="G23" s="2">
        <v>2816094.6017649551</v>
      </c>
      <c r="H23" s="2">
        <v>2280000</v>
      </c>
      <c r="I23" s="2">
        <v>502478.26550395996</v>
      </c>
      <c r="J23" s="2">
        <v>406822.42870356888</v>
      </c>
      <c r="K23" s="42">
        <f t="shared" si="5"/>
        <v>95655.836800391087</v>
      </c>
      <c r="O23" s="44" t="s">
        <v>48</v>
      </c>
      <c r="P23" t="s">
        <v>49</v>
      </c>
      <c r="Q23" t="s">
        <v>54</v>
      </c>
      <c r="R23" t="s">
        <v>55</v>
      </c>
    </row>
    <row r="24" spans="2:28" x14ac:dyDescent="0.25">
      <c r="C24" s="37">
        <v>30</v>
      </c>
      <c r="D24" s="37">
        <v>25</v>
      </c>
      <c r="E24" s="41">
        <v>42830</v>
      </c>
      <c r="F24">
        <v>70</v>
      </c>
      <c r="G24" s="43">
        <v>3583141.117582256</v>
      </c>
      <c r="H24" s="43">
        <v>2750000</v>
      </c>
      <c r="I24" s="43">
        <v>415529.11989283387</v>
      </c>
      <c r="J24" s="43">
        <v>318911.54777524917</v>
      </c>
      <c r="K24" s="42">
        <f t="shared" si="5"/>
        <v>96617.572117584699</v>
      </c>
    </row>
    <row r="25" spans="2:28" x14ac:dyDescent="0.25">
      <c r="C25" s="38">
        <v>40</v>
      </c>
      <c r="D25" s="38">
        <v>10</v>
      </c>
      <c r="E25" s="41">
        <v>131300</v>
      </c>
      <c r="F25">
        <v>64</v>
      </c>
      <c r="G25" s="2">
        <v>1896652.098017572</v>
      </c>
      <c r="H25" s="2">
        <v>1640000</v>
      </c>
      <c r="I25" s="2">
        <v>801166.34312400385</v>
      </c>
      <c r="J25" s="2">
        <v>692753.72330892982</v>
      </c>
      <c r="K25" s="42">
        <f t="shared" si="5"/>
        <v>108412.61981507402</v>
      </c>
    </row>
    <row r="26" spans="2:28" x14ac:dyDescent="0.25">
      <c r="C26" s="38">
        <v>40</v>
      </c>
      <c r="D26" s="38">
        <v>15</v>
      </c>
      <c r="E26" s="41">
        <v>84290</v>
      </c>
      <c r="F26">
        <v>64</v>
      </c>
      <c r="G26" s="2">
        <v>2406760.530204983</v>
      </c>
      <c r="H26" s="2">
        <v>1960000</v>
      </c>
      <c r="I26" s="2">
        <v>660747.32187219686</v>
      </c>
      <c r="J26" s="2">
        <v>538094.56097371085</v>
      </c>
      <c r="K26" s="42">
        <f t="shared" si="5"/>
        <v>122652.76089848601</v>
      </c>
    </row>
    <row r="27" spans="2:28" x14ac:dyDescent="0.25">
      <c r="C27" s="38">
        <v>40</v>
      </c>
      <c r="D27" s="38">
        <v>20</v>
      </c>
      <c r="E27" s="41">
        <v>60800</v>
      </c>
      <c r="F27">
        <v>64</v>
      </c>
      <c r="G27" s="2">
        <v>3055837.0834786594</v>
      </c>
      <c r="H27" s="2">
        <v>2280000</v>
      </c>
      <c r="I27" s="2">
        <v>545255.72983474494</v>
      </c>
      <c r="J27" s="2">
        <v>406822.42870356888</v>
      </c>
      <c r="K27" s="42">
        <f t="shared" si="5"/>
        <v>138433.30113117606</v>
      </c>
    </row>
    <row r="28" spans="2:28" x14ac:dyDescent="0.25">
      <c r="C28" s="38">
        <v>40</v>
      </c>
      <c r="D28" s="38">
        <v>25</v>
      </c>
      <c r="E28" s="41">
        <v>46410</v>
      </c>
      <c r="F28">
        <v>70</v>
      </c>
      <c r="G28" s="2">
        <v>3882642.5231611603</v>
      </c>
      <c r="H28" s="2">
        <v>2750000</v>
      </c>
      <c r="I28" s="2">
        <v>450261.64964339061</v>
      </c>
      <c r="J28" s="2">
        <v>318911.54777524917</v>
      </c>
      <c r="K28" s="42">
        <f t="shared" si="5"/>
        <v>131350.10186814144</v>
      </c>
    </row>
    <row r="29" spans="2:28" x14ac:dyDescent="0.25">
      <c r="C29" s="39">
        <v>50</v>
      </c>
      <c r="D29" s="39">
        <v>10</v>
      </c>
      <c r="E29" s="41">
        <v>143010</v>
      </c>
      <c r="F29">
        <v>64</v>
      </c>
      <c r="G29" s="2">
        <v>2065805.1526084768</v>
      </c>
      <c r="H29" s="2">
        <v>1640000</v>
      </c>
      <c r="I29" s="2">
        <v>872618.42140261841</v>
      </c>
      <c r="J29" s="2">
        <v>692753.72330892982</v>
      </c>
      <c r="K29" s="42">
        <f t="shared" si="5"/>
        <v>179864.69809368858</v>
      </c>
    </row>
    <row r="30" spans="2:28" x14ac:dyDescent="0.25">
      <c r="C30" s="39">
        <v>50</v>
      </c>
      <c r="D30" s="39">
        <v>15</v>
      </c>
      <c r="E30" s="41">
        <v>91960</v>
      </c>
      <c r="F30">
        <v>64</v>
      </c>
      <c r="G30" s="2">
        <v>2625764.6026533432</v>
      </c>
      <c r="H30" s="2">
        <v>1960000</v>
      </c>
      <c r="I30" s="2">
        <v>720872.27096176567</v>
      </c>
      <c r="J30" s="2">
        <v>538094.56097371085</v>
      </c>
      <c r="K30" s="42">
        <f t="shared" si="5"/>
        <v>182777.70998805482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2"/>
      <c r="H31" s="2"/>
      <c r="I31" s="2"/>
      <c r="J31" s="2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2"/>
      <c r="H32" s="2"/>
      <c r="I32" s="2"/>
      <c r="J32" s="2"/>
      <c r="K32" s="42">
        <f t="shared" ref="K32" si="6">I32-J32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8F21-93E3-43F3-90A6-267DC69454FC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76953.600000000006</v>
      </c>
      <c r="E6" s="20">
        <f>IF(E4&gt;0,$C$11-E7*$C$11-($C$10*$C$11),0)</f>
        <v>87641.600000000006</v>
      </c>
      <c r="F6" s="20">
        <f t="shared" ref="F6:Z6" si="1">IF(F4&gt;0,$C$11-F7*$C$11-($C$10*$C$11),0)</f>
        <v>92985.600000000006</v>
      </c>
      <c r="G6" s="20">
        <f t="shared" si="1"/>
        <v>98329.600000000006</v>
      </c>
      <c r="H6" s="20">
        <f t="shared" si="1"/>
        <v>98329.600000000006</v>
      </c>
      <c r="I6" s="20">
        <f t="shared" si="1"/>
        <v>98329.600000000006</v>
      </c>
      <c r="J6" s="20">
        <f t="shared" si="1"/>
        <v>98329.600000000006</v>
      </c>
      <c r="K6" s="20">
        <f t="shared" si="1"/>
        <v>98329.600000000006</v>
      </c>
      <c r="L6" s="20">
        <f t="shared" si="1"/>
        <v>98329.600000000006</v>
      </c>
      <c r="M6" s="20">
        <f t="shared" si="1"/>
        <v>98329.600000000006</v>
      </c>
      <c r="N6" s="20">
        <f t="shared" si="1"/>
        <v>103673.60000000001</v>
      </c>
      <c r="O6" s="20">
        <f t="shared" si="1"/>
        <v>103673.60000000001</v>
      </c>
      <c r="P6" s="20">
        <f t="shared" si="1"/>
        <v>103673.60000000001</v>
      </c>
      <c r="Q6" s="20">
        <f t="shared" si="1"/>
        <v>103673.60000000001</v>
      </c>
      <c r="R6" s="20">
        <f t="shared" si="1"/>
        <v>103673.60000000001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280302.13820980978</v>
      </c>
      <c r="E8" s="17">
        <f>E6*(1+$C$13)^E4</f>
        <v>292874.30343022937</v>
      </c>
      <c r="F8" s="17">
        <f t="shared" ref="F8:AB8" si="3">F6*(1+$C$13)^F4</f>
        <v>285075.68134291738</v>
      </c>
      <c r="G8" s="17">
        <f t="shared" si="3"/>
        <v>276568.20292679948</v>
      </c>
      <c r="H8" s="17">
        <f t="shared" si="3"/>
        <v>253732.2962631188</v>
      </c>
      <c r="I8" s="17">
        <f t="shared" si="3"/>
        <v>232781.92317717322</v>
      </c>
      <c r="J8" s="17">
        <f t="shared" si="3"/>
        <v>213561.39741025062</v>
      </c>
      <c r="K8" s="17">
        <f t="shared" si="3"/>
        <v>195927.88753234001</v>
      </c>
      <c r="L8" s="17">
        <f t="shared" si="3"/>
        <v>179750.35553425687</v>
      </c>
      <c r="M8" s="17">
        <f t="shared" si="3"/>
        <v>164908.58305895128</v>
      </c>
      <c r="N8" s="17">
        <f t="shared" si="3"/>
        <v>159514.6844507207</v>
      </c>
      <c r="O8" s="17">
        <f t="shared" si="3"/>
        <v>146343.74720249604</v>
      </c>
      <c r="P8" s="17">
        <f t="shared" si="3"/>
        <v>134260.31853440002</v>
      </c>
      <c r="Q8" s="17">
        <f t="shared" si="3"/>
        <v>123174.60416000002</v>
      </c>
      <c r="R8" s="17">
        <f t="shared" si="3"/>
        <v>113004.22400000002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3051780.3472334635</v>
      </c>
      <c r="G10" s="1"/>
      <c r="H10" s="25" t="s">
        <v>29</v>
      </c>
      <c r="I10" s="26">
        <f>SUM(D18:AB18)</f>
        <v>837829.79904734169</v>
      </c>
      <c r="K10" s="46" t="s">
        <v>59</v>
      </c>
      <c r="L10" s="1"/>
    </row>
    <row r="11" spans="2:28" x14ac:dyDescent="0.25">
      <c r="B11" t="s">
        <v>2</v>
      </c>
      <c r="C11" s="36">
        <v>106880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1091780.3472334635</v>
      </c>
      <c r="H13" s="30" t="s">
        <v>7</v>
      </c>
      <c r="I13" s="31">
        <f>I10-I11</f>
        <v>299735.23807363084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10.215010733846029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76953.600000000006</v>
      </c>
      <c r="E18" s="16">
        <f t="shared" ref="E18:AB18" si="4">E6/(1+$C$13)^(E3-1)</f>
        <v>80405.137614678897</v>
      </c>
      <c r="F18" s="16">
        <f t="shared" si="4"/>
        <v>78264.119181887043</v>
      </c>
      <c r="G18" s="16">
        <f t="shared" si="4"/>
        <v>75928.492721012415</v>
      </c>
      <c r="H18" s="16">
        <f t="shared" si="4"/>
        <v>69659.167633956342</v>
      </c>
      <c r="I18" s="16">
        <f t="shared" si="4"/>
        <v>63907.493242161778</v>
      </c>
      <c r="J18" s="16">
        <f t="shared" si="4"/>
        <v>58630.727745102544</v>
      </c>
      <c r="K18" s="16">
        <f t="shared" si="4"/>
        <v>53789.658481745457</v>
      </c>
      <c r="L18" s="16">
        <f t="shared" si="4"/>
        <v>49348.310533711425</v>
      </c>
      <c r="M18" s="16">
        <f t="shared" si="4"/>
        <v>45273.679388726072</v>
      </c>
      <c r="N18" s="16">
        <f t="shared" si="4"/>
        <v>43792.849029780897</v>
      </c>
      <c r="O18" s="16">
        <f t="shared" si="4"/>
        <v>40176.925715395322</v>
      </c>
      <c r="P18" s="16">
        <f t="shared" si="4"/>
        <v>36859.564876509467</v>
      </c>
      <c r="Q18" s="16">
        <f t="shared" si="4"/>
        <v>33816.114565605014</v>
      </c>
      <c r="R18" s="16">
        <f t="shared" si="4"/>
        <v>31023.958317068817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 t="s">
        <v>42</v>
      </c>
      <c r="F21">
        <v>64</v>
      </c>
      <c r="G21" s="45"/>
      <c r="H21" s="45"/>
      <c r="I21" s="45"/>
      <c r="J21" s="45"/>
      <c r="K21" s="42">
        <f>I21-J21</f>
        <v>0</v>
      </c>
      <c r="O21" t="s">
        <v>44</v>
      </c>
      <c r="P21" s="6" t="s">
        <v>58</v>
      </c>
    </row>
    <row r="22" spans="2:28" x14ac:dyDescent="0.25">
      <c r="B22" t="s">
        <v>57</v>
      </c>
      <c r="C22" s="37">
        <v>30</v>
      </c>
      <c r="D22" s="37">
        <v>15</v>
      </c>
      <c r="E22" s="41">
        <v>83920</v>
      </c>
      <c r="F22">
        <v>64</v>
      </c>
      <c r="G22" s="45">
        <v>2396195.7965927417</v>
      </c>
      <c r="H22" s="45">
        <v>1960000</v>
      </c>
      <c r="I22" s="45">
        <v>657846.90059929714</v>
      </c>
      <c r="J22" s="45">
        <v>538094.56097371085</v>
      </c>
      <c r="K22" s="42">
        <f t="shared" ref="K22:K30" si="5">I22-J22</f>
        <v>119752.33962558629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61610</v>
      </c>
      <c r="F23">
        <v>64</v>
      </c>
      <c r="G23" s="45">
        <v>3096548.0709394775</v>
      </c>
      <c r="H23" s="45">
        <v>2280000</v>
      </c>
      <c r="I23" s="45">
        <v>552519.82755129319</v>
      </c>
      <c r="J23" s="45">
        <v>406822.42870356888</v>
      </c>
      <c r="K23" s="42">
        <f t="shared" si="5"/>
        <v>145697.39884772431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50040</v>
      </c>
      <c r="F24">
        <v>70</v>
      </c>
      <c r="G24" s="45">
        <v>4186326.9092649086</v>
      </c>
      <c r="H24" s="45">
        <v>2750000</v>
      </c>
      <c r="I24" s="45">
        <v>485479.27059158089</v>
      </c>
      <c r="J24" s="45">
        <v>318911.54777524917</v>
      </c>
      <c r="K24" s="42">
        <f t="shared" si="5"/>
        <v>166567.72281633172</v>
      </c>
    </row>
    <row r="25" spans="2:28" x14ac:dyDescent="0.25">
      <c r="C25" s="38">
        <v>40</v>
      </c>
      <c r="D25" s="38">
        <v>10</v>
      </c>
      <c r="E25" s="41" t="s">
        <v>42</v>
      </c>
      <c r="F25"/>
      <c r="G25" s="45"/>
      <c r="H25" s="45"/>
      <c r="I25" s="45"/>
      <c r="J25" s="45"/>
      <c r="K25" s="42"/>
    </row>
    <row r="26" spans="2:28" x14ac:dyDescent="0.25">
      <c r="C26" s="38">
        <v>40</v>
      </c>
      <c r="D26" s="38">
        <v>15</v>
      </c>
      <c r="E26" s="41">
        <v>90700</v>
      </c>
      <c r="F26">
        <v>64</v>
      </c>
      <c r="G26" s="45">
        <v>2589787.4017035468</v>
      </c>
      <c r="H26" s="45">
        <v>1960000</v>
      </c>
      <c r="I26" s="45">
        <v>710995.16068108019</v>
      </c>
      <c r="J26" s="45">
        <v>538094.56097371085</v>
      </c>
      <c r="K26" s="42">
        <f t="shared" si="5"/>
        <v>172900.59970736934</v>
      </c>
    </row>
    <row r="27" spans="2:28" x14ac:dyDescent="0.25">
      <c r="C27" s="38">
        <v>40</v>
      </c>
      <c r="D27" s="38">
        <v>20</v>
      </c>
      <c r="E27" s="41">
        <v>69430</v>
      </c>
      <c r="F27">
        <v>64</v>
      </c>
      <c r="G27" s="45">
        <v>3489585.0116105815</v>
      </c>
      <c r="H27" s="45">
        <v>2280000</v>
      </c>
      <c r="I27" s="45">
        <v>622649.75859253865</v>
      </c>
      <c r="J27" s="45">
        <v>406822.42870356888</v>
      </c>
      <c r="K27" s="42">
        <f t="shared" si="5"/>
        <v>215827.32988896978</v>
      </c>
    </row>
    <row r="28" spans="2:28" x14ac:dyDescent="0.25">
      <c r="C28" s="38">
        <v>40</v>
      </c>
      <c r="D28" s="38">
        <v>25</v>
      </c>
      <c r="E28" s="41">
        <v>59120</v>
      </c>
      <c r="F28">
        <v>70</v>
      </c>
      <c r="G28" s="45">
        <v>4945956.1725767665</v>
      </c>
      <c r="H28" s="45">
        <v>2750000</v>
      </c>
      <c r="I28" s="45">
        <v>573571.83208181977</v>
      </c>
      <c r="J28" s="45">
        <v>318911.54777524917</v>
      </c>
      <c r="K28" s="42">
        <f t="shared" si="5"/>
        <v>254660.2843065706</v>
      </c>
    </row>
    <row r="29" spans="2:28" x14ac:dyDescent="0.25">
      <c r="C29" s="39">
        <v>50</v>
      </c>
      <c r="D29" s="39">
        <v>10</v>
      </c>
      <c r="E29" s="41" t="s">
        <v>42</v>
      </c>
      <c r="F29"/>
      <c r="G29" s="45"/>
      <c r="H29" s="45"/>
      <c r="I29" s="45"/>
      <c r="J29" s="45"/>
      <c r="K29" s="42"/>
    </row>
    <row r="30" spans="2:28" x14ac:dyDescent="0.25">
      <c r="C30" s="39">
        <v>50</v>
      </c>
      <c r="D30" s="39">
        <v>15</v>
      </c>
      <c r="E30" s="41">
        <v>106880</v>
      </c>
      <c r="F30">
        <v>64</v>
      </c>
      <c r="G30" s="45">
        <v>3051780.3472334635</v>
      </c>
      <c r="H30" s="45">
        <v>1960000</v>
      </c>
      <c r="I30" s="45">
        <v>837829.79904734169</v>
      </c>
      <c r="J30" s="45">
        <v>538094.56097371085</v>
      </c>
      <c r="K30" s="42">
        <f t="shared" si="5"/>
        <v>299735.23807363084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45"/>
      <c r="H31" s="45"/>
      <c r="I31" s="45"/>
      <c r="J31" s="45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45"/>
      <c r="H32" s="45"/>
      <c r="I32" s="45"/>
      <c r="J32" s="45"/>
      <c r="K32" s="42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T n y o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B O f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y o V l C M e G a p A A A A + w A A A B M A H A B G b 3 J t d W x h c y 9 T Z W N 0 a W 9 u M S 5 t I K I Y A C i g F A A A A A A A A A A A A A A A A A A A A A A A A A A A A I V O v Q q D Q A z e B d 8 h p I u C F D q L Q 7 F d 2 8 H + D M X h t A H F 8 6 7 E X C m I 7 9 6 r u j d L y P e b g W p p r Y F i 2 b s 0 D M J g a B T T E y 6 q 0 r S D D D R J G I C f w j q u y S P H T 0 1 6 m z t m M n K 3 3 F X W d l E 8 P k 6 q p w w X J 5 b T I 7 d G v K R M l o A N X s 2 r f V v x 8 W d p i C G 3 2 v V m Q B 8 6 u 7 a r Y G Z X M l p 6 E x j x Q t z D w b H 6 f Y t T A r g X 4 b Z y Q u i P m 9 K O M A 6 D 1 v w r T L 9 Q S w E C L Q A U A A I A C A B O f K h W 2 D Z x x q Y A A A D 2 A A A A E g A A A A A A A A A A A A A A A A A A A A A A Q 2 9 u Z m l n L 1 B h Y 2 t h Z 2 U u e G 1 s U E s B A i 0 A F A A C A A g A T n y o V g / K 6 a u k A A A A 6 Q A A A B M A A A A A A A A A A A A A A A A A 8 g A A A F t D b 2 5 0 Z W 5 0 X 1 R 5 c G V z X S 5 4 b W x Q S w E C L Q A U A A I A C A B O f K h W U I x 4 Z q k A A A D 7 A A A A E w A A A A A A A A A A A A A A A A D j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Q A A A A A A A D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Q 2 O j I y L j Y 4 M D E x N j d a I i A v P j x F b n R y e S B U e X B l P S J G a W x s Q 2 9 s d W 1 u V H l w Z X M i I F Z h b H V l P S J z Q U F Z Q S I g L z 4 8 R W 5 0 c n k g V H l w Z T 0 i R m l s b E N v b H V t b k 5 h b W V z I i B W Y W x 1 Z T 0 i c 1 s m c X V v d D t U Z X J t I E R 1 c m F 0 a W 9 u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g H / g N M m L Q r H L 0 Y 5 p p 5 z j A A A A A A I A A A A A A B B m A A A A A Q A A I A A A A O L c L u l K T e 0 h 5 y D M W B f w 5 N n Z Y c 5 8 f M x g 7 G g 5 Q L m G R c H G A A A A A A 6 A A A A A A g A A I A A A A E + / E 9 D Y D k C X f t e w B U 6 Q A C 1 8 R c V X x i p 3 p R 6 Q t V E 5 / N r j U A A A A G g R w j s j 1 Q 7 J h L + F w U R E F w 9 T w 8 B + I u i v J 1 q x w I c v k e V G d p b 1 f L W v J g 5 g 3 X R E W Y W o Q 0 e A a W + x V m C w 4 x a C / B r F h X k V O x s 7 I z 7 y 5 7 9 L a h O 4 j R h t Q A A A A F a l p L 5 1 d C 8 G 9 0 L z k r k d S h u E q K Q O Z P F Z h 3 9 p 7 R / P 5 d + M u j w O g b S V k D 6 8 b k N 6 p d g + y + p A r / S O 6 a d a 6 r e U o S 3 t X y 4 = < / D a t a M a s h u p > 
</file>

<file path=customXml/itemProps1.xml><?xml version="1.0" encoding="utf-8"?>
<ds:datastoreItem xmlns:ds="http://schemas.openxmlformats.org/officeDocument/2006/customXml" ds:itemID="{BE82EA03-95A3-4FB3-AE22-CF5FFC441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</vt:lpstr>
      <vt:lpstr>23yrs-15 endowment</vt:lpstr>
      <vt:lpstr>30yrs-15 endowment (2)</vt:lpstr>
      <vt:lpstr>40yrs-15 endowment (3)</vt:lpstr>
      <vt:lpstr>Sheet3</vt:lpstr>
      <vt:lpstr>Template</vt:lpstr>
      <vt:lpstr>Endownment Dynamic</vt:lpstr>
      <vt:lpstr>Whole-Life</vt:lpstr>
      <vt:lpstr>Anticipated Endowment_NA</vt:lpstr>
      <vt:lpstr>Amrit Barsha Money Back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2023-01-06T09:05:18Z</dcterms:created>
  <dcterms:modified xsi:type="dcterms:W3CDTF">2023-05-12T07:36:10Z</dcterms:modified>
</cp:coreProperties>
</file>