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niraj\PycharmProjects\Falcon\"/>
    </mc:Choice>
  </mc:AlternateContent>
  <xr:revisionPtr revIDLastSave="0" documentId="13_ncr:1_{B636EC4D-3922-435E-A574-68E033940586}" xr6:coauthVersionLast="47" xr6:coauthVersionMax="47" xr10:uidLastSave="{00000000-0000-0000-0000-000000000000}"/>
  <bookViews>
    <workbookView xWindow="-120" yWindow="-120" windowWidth="29040" windowHeight="15840" activeTab="1" xr2:uid="{A55E5FDA-B46E-4E4C-B0FC-D9DD7C24980F}"/>
  </bookViews>
  <sheets>
    <sheet name="Legend" sheetId="11" r:id="rId1"/>
    <sheet name="Step 1" sheetId="6" r:id="rId2"/>
    <sheet name="Step 2" sheetId="7" r:id="rId3"/>
    <sheet name="Step 3" sheetId="8" r:id="rId4"/>
    <sheet name="XS Rating Algorithm" sheetId="19" r:id="rId5"/>
    <sheet name="XS Final Premium Calculation" sheetId="21" r:id="rId6"/>
    <sheet name="XS Rate Tables Sections A-F" sheetId="13" r:id="rId7"/>
    <sheet name="XS RateTables SectionA-Georgia" sheetId="23" r:id="rId8"/>
    <sheet name="XS Rate Tables Section G" sheetId="16" r:id="rId9"/>
    <sheet name="XS Rate Tables State Exceptions" sheetId="22" r:id="rId10"/>
    <sheet name="XS Rating Step A Inputs" sheetId="12" r:id="rId11"/>
    <sheet name="XS Rating Step B-F Inputs" sheetId="14" r:id="rId12"/>
    <sheet name="XS Rating Step G Inputs" sheetId="15" r:id="rId13"/>
    <sheet name="Rating Plan Support --&gt;" sheetId="9" r:id="rId14"/>
    <sheet name="Page 1" sheetId="1" r:id="rId15"/>
    <sheet name="Page 2" sheetId="2" r:id="rId16"/>
    <sheet name="Page 4" sheetId="4" r:id="rId17"/>
    <sheet name="Page 5" sheetId="5" r:id="rId18"/>
    <sheet name="Step 2a" sheetId="10" r:id="rId19"/>
  </sheets>
  <definedNames>
    <definedName name="_xlnm.Print_Area" localSheetId="5">'XS Final Premium Calculation'!$A$1:$G$38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6" i="8" l="1"/>
  <c r="C7" i="8"/>
  <c r="C8" i="8" l="1"/>
  <c r="D16" i="8"/>
  <c r="V32" i="2"/>
  <c r="U28" i="2"/>
  <c r="V28" i="2"/>
  <c r="U29" i="2"/>
  <c r="V29" i="2"/>
  <c r="D17" i="8" s="1"/>
  <c r="U30" i="2"/>
  <c r="V30" i="2"/>
  <c r="D18" i="8"/>
  <c r="D19" i="8"/>
  <c r="C11" i="8"/>
  <c r="C16" i="8"/>
  <c r="C17" i="8"/>
  <c r="C18" i="8"/>
  <c r="C19" i="8"/>
  <c r="C26" i="7"/>
  <c r="C25" i="7" s="1"/>
  <c r="C20" i="7"/>
  <c r="E24" i="6"/>
  <c r="E16" i="6"/>
  <c r="E15" i="6"/>
  <c r="C30" i="7" l="1"/>
  <c r="B26" i="21"/>
  <c r="B15" i="21"/>
  <c r="B19" i="21"/>
  <c r="B18" i="21"/>
  <c r="B17" i="21"/>
  <c r="C32" i="12" l="1"/>
  <c r="C29" i="12"/>
  <c r="C27" i="12"/>
  <c r="C31" i="12"/>
  <c r="C30" i="12"/>
  <c r="C28" i="12"/>
  <c r="C26" i="12"/>
  <c r="E21" i="12"/>
  <c r="D21" i="12"/>
  <c r="C21" i="12"/>
  <c r="B21" i="12"/>
  <c r="A21" i="12"/>
  <c r="A15" i="15"/>
  <c r="C12" i="15"/>
  <c r="B4" i="22"/>
  <c r="B5" i="22" s="1"/>
  <c r="D22" i="12" s="1"/>
  <c r="C13" i="15"/>
  <c r="C11" i="15"/>
  <c r="C10" i="15"/>
  <c r="B22" i="12" l="1"/>
  <c r="E22" i="12"/>
  <c r="C22" i="12"/>
  <c r="C9" i="14"/>
  <c r="A22" i="12"/>
  <c r="B6" i="22"/>
  <c r="C6" i="22" l="1"/>
  <c r="C25" i="14"/>
  <c r="C10" i="14"/>
  <c r="B10" i="12"/>
  <c r="J120" i="13"/>
  <c r="J122" i="13" s="1"/>
  <c r="B24" i="21" s="1"/>
  <c r="J113" i="13"/>
  <c r="J112" i="13"/>
  <c r="J111" i="13"/>
  <c r="J110" i="13"/>
  <c r="J109" i="13"/>
  <c r="J108" i="13"/>
  <c r="J107" i="13"/>
  <c r="J106" i="13"/>
  <c r="J105" i="13"/>
  <c r="J104" i="13"/>
  <c r="J103" i="13"/>
  <c r="J102" i="13"/>
  <c r="J101" i="13"/>
  <c r="J100" i="13"/>
  <c r="J99" i="13"/>
  <c r="J98" i="13"/>
  <c r="J97" i="13"/>
  <c r="J96" i="13"/>
  <c r="B10" i="21" l="1"/>
  <c r="B16" i="21" s="1"/>
  <c r="C35" i="7" l="1"/>
  <c r="D35" i="7" s="1"/>
  <c r="D30" i="7"/>
  <c r="D25" i="7"/>
  <c r="D20" i="7"/>
  <c r="D15" i="7"/>
  <c r="H26" i="16" l="1"/>
  <c r="G26" i="16"/>
  <c r="F26" i="16"/>
  <c r="A18" i="15"/>
  <c r="L11" i="16"/>
  <c r="K11" i="16"/>
  <c r="B17" i="15" l="1"/>
  <c r="B12" i="21" s="1"/>
  <c r="B34" i="12"/>
  <c r="C34" i="12" s="1"/>
  <c r="B19" i="8"/>
  <c r="B18" i="8"/>
  <c r="B17" i="8"/>
  <c r="B16" i="8"/>
  <c r="J13" i="8"/>
  <c r="T30" i="2"/>
  <c r="T29" i="2"/>
  <c r="T28" i="2"/>
  <c r="C30" i="2"/>
  <c r="C29" i="2"/>
  <c r="C28" i="2"/>
  <c r="O29" i="2"/>
  <c r="O28" i="2"/>
  <c r="O30" i="2"/>
  <c r="B20" i="21" l="1"/>
  <c r="C38" i="12"/>
  <c r="B8" i="21"/>
  <c r="J16" i="8"/>
  <c r="B8" i="12"/>
  <c r="B6" i="21" s="1"/>
  <c r="B14" i="21" s="1"/>
  <c r="A36" i="12"/>
  <c r="J19" i="8"/>
  <c r="J18" i="8"/>
  <c r="J17" i="8"/>
  <c r="C9" i="8"/>
  <c r="C12" i="8" s="1"/>
  <c r="E16" i="8"/>
  <c r="E19" i="8"/>
  <c r="E17" i="8"/>
  <c r="E18" i="8"/>
  <c r="K30" i="2"/>
  <c r="K36" i="2"/>
  <c r="K37" i="2" s="1"/>
  <c r="K38" i="2" s="1"/>
  <c r="K35" i="2"/>
  <c r="K19" i="8" l="1"/>
  <c r="K18" i="8"/>
  <c r="K16" i="8"/>
  <c r="K17" i="8"/>
  <c r="B21" i="21"/>
  <c r="B22" i="21"/>
  <c r="B28" i="21" s="1"/>
  <c r="J36" i="13"/>
  <c r="J24" i="23"/>
  <c r="J23" i="23"/>
  <c r="J37" i="13"/>
  <c r="E104" i="6"/>
  <c r="G19" i="8" s="1"/>
  <c r="L37" i="2"/>
  <c r="L38" i="2" s="1"/>
  <c r="E17" i="6"/>
  <c r="C22" i="21" l="1"/>
  <c r="B31" i="21"/>
  <c r="B36" i="21" s="1"/>
  <c r="B30" i="21"/>
  <c r="G18" i="8"/>
  <c r="G17" i="8" s="1"/>
  <c r="P5" i="10"/>
  <c r="E18" i="6"/>
  <c r="C30" i="21" l="1"/>
  <c r="E25" i="6"/>
  <c r="E106" i="6" s="1"/>
  <c r="C14" i="8"/>
  <c r="G16" i="8"/>
  <c r="F16" i="8" l="1"/>
  <c r="H16" i="8" s="1"/>
  <c r="F17" i="8"/>
  <c r="H17" i="8" s="1"/>
  <c r="F19" i="8"/>
  <c r="H19" i="8" s="1"/>
  <c r="F18" i="8"/>
  <c r="H18" i="8" s="1"/>
  <c r="J23" i="8" l="1"/>
  <c r="C36" i="7"/>
  <c r="C39"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18173</author>
  </authors>
  <commentList>
    <comment ref="D15" authorId="0" shapeId="0" xr:uid="{F8D1708C-88E8-4F3F-8DF9-3F43436D6BF3}">
      <text>
        <r>
          <rPr>
            <b/>
            <sz val="9"/>
            <color indexed="81"/>
            <rFont val="Tahoma"/>
            <family val="2"/>
          </rPr>
          <t>18173:</t>
        </r>
        <r>
          <rPr>
            <sz val="9"/>
            <color indexed="81"/>
            <rFont val="Tahoma"/>
            <family val="2"/>
          </rPr>
          <t xml:space="preserve">
manual link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18173</author>
  </authors>
  <commentList>
    <comment ref="N11" authorId="0" shapeId="0" xr:uid="{F28FE753-C1AF-486B-A735-DBF0D1DCC6D2}">
      <text>
        <r>
          <rPr>
            <b/>
            <sz val="9"/>
            <color indexed="81"/>
            <rFont val="Tahoma"/>
            <family val="2"/>
          </rPr>
          <t>18173:</t>
        </r>
        <r>
          <rPr>
            <sz val="9"/>
            <color indexed="81"/>
            <rFont val="Tahoma"/>
            <family val="2"/>
          </rPr>
          <t xml:space="preserve">
from predictive model</t>
        </r>
      </text>
    </comment>
  </commentList>
</comments>
</file>

<file path=xl/sharedStrings.xml><?xml version="1.0" encoding="utf-8"?>
<sst xmlns="http://schemas.openxmlformats.org/spreadsheetml/2006/main" count="1463" uniqueCount="676">
  <si>
    <t>Base Premium</t>
  </si>
  <si>
    <t>Base Premium = A + B + C</t>
  </si>
  <si>
    <t>Asset Size ($millions)</t>
  </si>
  <si>
    <t>Greater Than</t>
  </si>
  <si>
    <t>Less Than</t>
  </si>
  <si>
    <t>A = Annual Premium per $1M Limit of Liability</t>
  </si>
  <si>
    <t>-</t>
  </si>
  <si>
    <t>or greater</t>
  </si>
  <si>
    <t>B = Annual Premium per $1M Limit of Liability</t>
  </si>
  <si>
    <t>C = Annual Premium per $1M Limit of Liability</t>
  </si>
  <si>
    <t>Base premium reflects $10,000 Self-Insured Retention</t>
  </si>
  <si>
    <t>Revenue Size ($millions)</t>
  </si>
  <si>
    <t>Market Capitalization ($millions)</t>
  </si>
  <si>
    <t>Directors and Officers Liability</t>
  </si>
  <si>
    <t xml:space="preserve"> Countrywide</t>
  </si>
  <si>
    <t>Limit of Liability/Rentention Factors</t>
  </si>
  <si>
    <t>Individual Risk Factors</t>
  </si>
  <si>
    <t>Side A/Difference in Conditions (DIC) Coverage</t>
  </si>
  <si>
    <t>Debit/Credit Factors</t>
  </si>
  <si>
    <t>0.45-0.65</t>
  </si>
  <si>
    <t>Independent Directors Liability (IDL)/DIC Coverage</t>
  </si>
  <si>
    <t>Credit for Side A Only with DIC Coverage</t>
  </si>
  <si>
    <t>Credit for IDL Only with DIC Coverage</t>
  </si>
  <si>
    <t>0.50-0.70</t>
  </si>
  <si>
    <t>Number of Years in Operation</t>
  </si>
  <si>
    <t>Less than 3 years</t>
  </si>
  <si>
    <t>At least 3 years but no more than 5 years</t>
  </si>
  <si>
    <t>More than 5 years</t>
  </si>
  <si>
    <t>1.05-1.25</t>
  </si>
  <si>
    <t>1.00-1.05</t>
  </si>
  <si>
    <t>0.85-1.00</t>
  </si>
  <si>
    <t>Activity within 1 year / Very high concern</t>
  </si>
  <si>
    <t>No activity in last 3 years / Low or no concern</t>
  </si>
  <si>
    <t>Activity within 1-3 years / Material-high high concern</t>
  </si>
  <si>
    <t>Significant M&amp;A Activity /Level of M&amp;A Concern</t>
  </si>
  <si>
    <t>1.30-1.50</t>
  </si>
  <si>
    <t>0.80-120</t>
  </si>
  <si>
    <t>1.20-1.30</t>
  </si>
  <si>
    <t>SEC Offering</t>
  </si>
  <si>
    <t>D&amp;O Litigation</t>
  </si>
  <si>
    <t>Other Litigation</t>
  </si>
  <si>
    <t>Coinsurance</t>
  </si>
  <si>
    <t>Coinsurance re SEC claims</t>
  </si>
  <si>
    <t>Percentage:</t>
  </si>
  <si>
    <t>0.95-0.97</t>
  </si>
  <si>
    <t>0.90-0.94</t>
  </si>
  <si>
    <t>0.87-0.91</t>
  </si>
  <si>
    <t>0.84-0.88</t>
  </si>
  <si>
    <t>0.81-0.85</t>
  </si>
  <si>
    <t>0.78-0.82</t>
  </si>
  <si>
    <t>0.75-0.79</t>
  </si>
  <si>
    <t>0.72-0.76</t>
  </si>
  <si>
    <t>0.70-0.74</t>
  </si>
  <si>
    <t>0.68-0.72</t>
  </si>
  <si>
    <t>Within 1 year</t>
  </si>
  <si>
    <t>None within last 12 months</t>
  </si>
  <si>
    <t>0.90-1.20</t>
  </si>
  <si>
    <t>1.00-1.55</t>
  </si>
  <si>
    <t>Within 1-5 years</t>
  </si>
  <si>
    <t>Within 5-10 years</t>
  </si>
  <si>
    <t>1.20-1.50</t>
  </si>
  <si>
    <t>1.00-1.50</t>
  </si>
  <si>
    <t>0.80-1.10</t>
  </si>
  <si>
    <t>Potential Cost 1-3% of assets</t>
  </si>
  <si>
    <t>Potential Cost &lt;1% of assets</t>
  </si>
  <si>
    <t>Potential Cost &gt;3% of assets</t>
  </si>
  <si>
    <t>1.10-1.20</t>
  </si>
  <si>
    <t>0.95-0.65</t>
  </si>
  <si>
    <t>Coinsurance Participation 5%-50%</t>
  </si>
  <si>
    <t>Industry Risk/Level of Confidence in Industry</t>
  </si>
  <si>
    <t>Very Confident</t>
  </si>
  <si>
    <t>Confident</t>
  </si>
  <si>
    <t>Comfortable</t>
  </si>
  <si>
    <t>Low Concern</t>
  </si>
  <si>
    <t>Material Concern</t>
  </si>
  <si>
    <t>High Concern</t>
  </si>
  <si>
    <t>Very High to Severe Concern</t>
  </si>
  <si>
    <t>0.70-0.85</t>
  </si>
  <si>
    <t>1.00-1.15</t>
  </si>
  <si>
    <t>1.15-1.35</t>
  </si>
  <si>
    <t>1.35-1.75</t>
  </si>
  <si>
    <t>1.75-1.25</t>
  </si>
  <si>
    <t>Discovery (Extended Reporting)</t>
  </si>
  <si>
    <t>% of Previous Year Premium</t>
  </si>
  <si>
    <t>1 year</t>
  </si>
  <si>
    <t>2 years</t>
  </si>
  <si>
    <t>3 years</t>
  </si>
  <si>
    <t>175%-200%</t>
  </si>
  <si>
    <t>225%-250%</t>
  </si>
  <si>
    <t>Miscellaneous Risk Factors</t>
  </si>
  <si>
    <t>Claims litigation history (severity)</t>
  </si>
  <si>
    <t>Corporate governance procedures</t>
  </si>
  <si>
    <t>Earnings consistency</t>
  </si>
  <si>
    <t>Effected by recession</t>
  </si>
  <si>
    <t>Environmental issues</t>
  </si>
  <si>
    <t>Financial solvency</t>
  </si>
  <si>
    <t>Insider trading activity</t>
  </si>
  <si>
    <t>Joint ventures/Limited partnerships/Significant subsidiary operations (including special purpose vehicles)</t>
  </si>
  <si>
    <t>Labor relations</t>
  </si>
  <si>
    <t>Liquidity</t>
  </si>
  <si>
    <t>Major customers</t>
  </si>
  <si>
    <t>Management experience or stability</t>
  </si>
  <si>
    <t>Other financial factors</t>
  </si>
  <si>
    <t>Quality of external board members</t>
  </si>
  <si>
    <t>Regulatory exposure/experience</t>
  </si>
  <si>
    <t>Stability of workforce</t>
  </si>
  <si>
    <t>Sock market sensitiviy</t>
  </si>
  <si>
    <t>Stock volatility</t>
  </si>
  <si>
    <t>Takeover potential</t>
  </si>
  <si>
    <t>Terrorism risk discount</t>
  </si>
  <si>
    <t>Transaction Event (e.g., bankruptcy, credit downgrade)</t>
  </si>
  <si>
    <t>Management ownership</t>
  </si>
  <si>
    <t>0.80-1.50</t>
  </si>
  <si>
    <t>0.75-1.50</t>
  </si>
  <si>
    <t>0.75-4.00</t>
  </si>
  <si>
    <t>0.75-2.50</t>
  </si>
  <si>
    <t>1.00-2.50</t>
  </si>
  <si>
    <t>0.80-1.25</t>
  </si>
  <si>
    <t>0.90-2.00</t>
  </si>
  <si>
    <t>0.90-1.00</t>
  </si>
  <si>
    <t>1.00-2.00</t>
  </si>
  <si>
    <t>0,240</t>
  </si>
  <si>
    <t>Company</t>
  </si>
  <si>
    <t>Ticker</t>
  </si>
  <si>
    <t>Company Info:</t>
  </si>
  <si>
    <t>Market Cap</t>
  </si>
  <si>
    <t>Total Assets</t>
  </si>
  <si>
    <t>Annual Revenues</t>
  </si>
  <si>
    <t>John Deere</t>
  </si>
  <si>
    <t>DE</t>
  </si>
  <si>
    <t>In $MMs</t>
  </si>
  <si>
    <t>A</t>
  </si>
  <si>
    <t>C</t>
  </si>
  <si>
    <t>B</t>
  </si>
  <si>
    <t>Total</t>
  </si>
  <si>
    <t>Increased Limit Factor</t>
  </si>
  <si>
    <t>Risk Adjustment Factors</t>
  </si>
  <si>
    <t>Coverage Modifiers</t>
  </si>
  <si>
    <t>Other Risk Factors</t>
  </si>
  <si>
    <t>(pre-selected 2 years)</t>
  </si>
  <si>
    <t>Stock market sensitiviy</t>
  </si>
  <si>
    <t>U/W will mannually input their modifiers / risk factors</t>
  </si>
  <si>
    <t>Total Adjusted Premium</t>
  </si>
  <si>
    <t>Re-rating Primary Policy</t>
  </si>
  <si>
    <t>Carrier</t>
  </si>
  <si>
    <t>Premium</t>
  </si>
  <si>
    <t>Rate per $MM</t>
  </si>
  <si>
    <t>Limit ($MM)</t>
  </si>
  <si>
    <t>Zurich</t>
  </si>
  <si>
    <t>XL</t>
  </si>
  <si>
    <t>Chubb</t>
  </si>
  <si>
    <t>Sompo</t>
  </si>
  <si>
    <t>Falcon</t>
  </si>
  <si>
    <t>Assumptions</t>
  </si>
  <si>
    <t>&lt;-- implied market pricing</t>
  </si>
  <si>
    <t>Total Coverage Limit ($MM)</t>
  </si>
  <si>
    <t>Factor</t>
  </si>
  <si>
    <r>
      <rPr>
        <sz val="12"/>
        <color theme="1"/>
        <rFont val="Calibri"/>
        <family val="2"/>
        <scheme val="minor"/>
      </rPr>
      <t xml:space="preserve">Incremental </t>
    </r>
    <r>
      <rPr>
        <u/>
        <sz val="12"/>
        <color theme="1"/>
        <rFont val="Calibri"/>
        <family val="2"/>
        <scheme val="minor"/>
      </rPr>
      <t>Factor</t>
    </r>
  </si>
  <si>
    <r>
      <rPr>
        <sz val="12"/>
        <color theme="1"/>
        <rFont val="Calibri"/>
        <family val="2"/>
        <scheme val="minor"/>
      </rPr>
      <t xml:space="preserve">Layer </t>
    </r>
    <r>
      <rPr>
        <u/>
        <sz val="12"/>
        <color theme="1"/>
        <rFont val="Calibri"/>
        <family val="2"/>
        <scheme val="minor"/>
      </rPr>
      <t>Premium</t>
    </r>
  </si>
  <si>
    <r>
      <rPr>
        <sz val="12"/>
        <color theme="1"/>
        <rFont val="Calibri"/>
        <family val="2"/>
        <scheme val="minor"/>
      </rPr>
      <t>Adjustment</t>
    </r>
    <r>
      <rPr>
        <u/>
        <sz val="12"/>
        <color theme="1"/>
        <rFont val="Calibri"/>
        <family val="2"/>
        <scheme val="minor"/>
      </rPr>
      <t xml:space="preserve"> Factor</t>
    </r>
  </si>
  <si>
    <r>
      <rPr>
        <sz val="12"/>
        <color theme="1"/>
        <rFont val="Calibri"/>
        <family val="2"/>
        <scheme val="minor"/>
      </rPr>
      <t xml:space="preserve">Adjusted </t>
    </r>
    <r>
      <rPr>
        <u/>
        <sz val="12"/>
        <color theme="1"/>
        <rFont val="Calibri"/>
        <family val="2"/>
        <scheme val="minor"/>
      </rPr>
      <t>Premium</t>
    </r>
  </si>
  <si>
    <r>
      <rPr>
        <sz val="12"/>
        <color theme="1"/>
        <rFont val="Calibri"/>
        <family val="2"/>
        <scheme val="minor"/>
      </rPr>
      <t xml:space="preserve">"Market" </t>
    </r>
    <r>
      <rPr>
        <u/>
        <sz val="12"/>
        <color theme="1"/>
        <rFont val="Calibri"/>
        <family val="2"/>
        <scheme val="minor"/>
      </rPr>
      <t>Adjustment</t>
    </r>
  </si>
  <si>
    <r>
      <rPr>
        <sz val="12"/>
        <color theme="1"/>
        <rFont val="Calibri"/>
        <family val="2"/>
        <scheme val="minor"/>
      </rPr>
      <t>"Market" Adjusted</t>
    </r>
    <r>
      <rPr>
        <u/>
        <sz val="12"/>
        <color theme="1"/>
        <rFont val="Calibri"/>
        <family val="2"/>
        <scheme val="minor"/>
      </rPr>
      <t xml:space="preserve"> Premium</t>
    </r>
  </si>
  <si>
    <r>
      <rPr>
        <b/>
        <sz val="12"/>
        <color theme="1"/>
        <rFont val="Calibri"/>
        <family val="2"/>
        <scheme val="minor"/>
      </rPr>
      <t>Premium</t>
    </r>
    <r>
      <rPr>
        <b/>
        <u/>
        <sz val="12"/>
        <color theme="1"/>
        <rFont val="Calibri"/>
        <family val="2"/>
        <scheme val="minor"/>
      </rPr>
      <t xml:space="preserve"> Using Table</t>
    </r>
  </si>
  <si>
    <t>Implied Factor</t>
  </si>
  <si>
    <t>&lt; 3 years</t>
  </si>
  <si>
    <t>=&lt;3 years and &lt;5 years</t>
  </si>
  <si>
    <t>&gt;5 years</t>
  </si>
  <si>
    <t>Joint ventures/Limited partnerships/Significant subsidiary operations (incl. SVPs)</t>
  </si>
  <si>
    <t>Range</t>
  </si>
  <si>
    <t>Description</t>
  </si>
  <si>
    <t>&lt;-If none = 1</t>
  </si>
  <si>
    <t>Total Adjustment Factor (Average)</t>
  </si>
  <si>
    <t>Limit ($000s)</t>
  </si>
  <si>
    <t>Self-Insured Retention ($000s)</t>
  </si>
  <si>
    <t>Adjustment Factor</t>
  </si>
  <si>
    <t>Limit x Retention ($MM)</t>
  </si>
  <si>
    <t>&lt;-- industry standard ranges from 70%-85% of preceding layer</t>
  </si>
  <si>
    <t>Total Premium</t>
  </si>
  <si>
    <t>Rating Plan Support</t>
  </si>
  <si>
    <t>Rating Based on Market Pricing of Underlying Layers</t>
  </si>
  <si>
    <t>Final Rating of Falcon Layer</t>
  </si>
  <si>
    <t>Falcon Layer / Quote</t>
  </si>
  <si>
    <t>D &amp; O Pricing Summary</t>
  </si>
  <si>
    <t>Insured:</t>
  </si>
  <si>
    <t>Effective Date</t>
  </si>
  <si>
    <t>UAW</t>
  </si>
  <si>
    <t>Underwriter Name</t>
  </si>
  <si>
    <t>Commission %:</t>
  </si>
  <si>
    <t>Aggregate Mod:</t>
  </si>
  <si>
    <t>Ticker:</t>
  </si>
  <si>
    <t>Expire Date</t>
  </si>
  <si>
    <t>Industry</t>
  </si>
  <si>
    <t>Industry Outlook:</t>
  </si>
  <si>
    <t>A-Side Inclusive:</t>
  </si>
  <si>
    <t>No</t>
  </si>
  <si>
    <t xml:space="preserve">Side A Only Coverage Credit </t>
  </si>
  <si>
    <t>A-Side Pricing Begins</t>
  </si>
  <si>
    <t>n/a</t>
  </si>
  <si>
    <t>The Pricing Output Includes</t>
  </si>
  <si>
    <t>ABC</t>
  </si>
  <si>
    <t>* Green Shaded Area Denotes Sweetspot Layer(s)</t>
  </si>
  <si>
    <t>POLICY</t>
  </si>
  <si>
    <t>EXPIRING PROGRAM</t>
  </si>
  <si>
    <t>PROPOSED NEW PROGRAM</t>
  </si>
  <si>
    <t>Falcon RATING PLAN</t>
  </si>
  <si>
    <t>Falcon PRICING BENCHMARK</t>
  </si>
  <si>
    <t>MULTIPLIER</t>
  </si>
  <si>
    <t>Primary Insurer:</t>
  </si>
  <si>
    <t>Limit:</t>
  </si>
  <si>
    <t>Primary Insurer: Chartis (AIG)</t>
  </si>
  <si>
    <t>Annual Premium:</t>
  </si>
  <si>
    <t>SIR</t>
  </si>
  <si>
    <t>SIR:</t>
  </si>
  <si>
    <t>Rate per Mil:</t>
  </si>
  <si>
    <t>Rater pet Mil:</t>
  </si>
  <si>
    <t>1. Excess Insurer:</t>
  </si>
  <si>
    <t>1 Annural Premium:</t>
  </si>
  <si>
    <t>Attachment:</t>
  </si>
  <si>
    <t>% Underlying:</t>
  </si>
  <si>
    <t>% Underlying</t>
  </si>
  <si>
    <t>2. Excess Insurer:</t>
  </si>
  <si>
    <t>2. Annural Premium:</t>
  </si>
  <si>
    <t>3. Excess Insurer:</t>
  </si>
  <si>
    <t>3. Annural Premium:</t>
  </si>
  <si>
    <t>4. Excess Insurer:</t>
  </si>
  <si>
    <t>4. Annural Premium:</t>
  </si>
  <si>
    <t>5. Excess Insurer:</t>
  </si>
  <si>
    <t>5. Annural Premium:</t>
  </si>
  <si>
    <t>6. Excess Insurer:</t>
  </si>
  <si>
    <t>6. Annural Premium:</t>
  </si>
  <si>
    <t>7. Excess Insurer:</t>
  </si>
  <si>
    <t>7. Annural Premium:</t>
  </si>
  <si>
    <t>8. Excess Insurer:</t>
  </si>
  <si>
    <t>8. Annural Premium:</t>
  </si>
  <si>
    <t>9. Excess Insurer:</t>
  </si>
  <si>
    <t>9. Annural Premium:</t>
  </si>
  <si>
    <t>10. Excess Insurer:</t>
  </si>
  <si>
    <t>10. Annural Premium:</t>
  </si>
  <si>
    <t>11. Excess Insurer:</t>
  </si>
  <si>
    <t>11. Annural Premium:</t>
  </si>
  <si>
    <t>12. Excess Insurer:</t>
  </si>
  <si>
    <t>12. Annural Premium:</t>
  </si>
  <si>
    <t>13. Excess Insurer:</t>
  </si>
  <si>
    <t>13. Annural Premium:</t>
  </si>
  <si>
    <t>14. Excess Insurer:</t>
  </si>
  <si>
    <t>14. Annural Premium:</t>
  </si>
  <si>
    <t>Manufacturing</t>
  </si>
  <si>
    <t>&lt;-- from Submission application</t>
  </si>
  <si>
    <t>Calculation</t>
  </si>
  <si>
    <t>xx</t>
  </si>
  <si>
    <t>manual entry</t>
  </si>
  <si>
    <t>pulling from another tab</t>
  </si>
  <si>
    <t>Legend:</t>
  </si>
  <si>
    <t xml:space="preserve">1. Excess Insurer: </t>
  </si>
  <si>
    <t>HCC</t>
  </si>
  <si>
    <t xml:space="preserve">2. Excess Insurer: </t>
  </si>
  <si>
    <t xml:space="preserve">3. Excess Insurer: </t>
  </si>
  <si>
    <t>Travelers</t>
  </si>
  <si>
    <t xml:space="preserve">4. Excess Insurer: </t>
  </si>
  <si>
    <t>Axis</t>
  </si>
  <si>
    <t xml:space="preserve">5. Excess Insurer: </t>
  </si>
  <si>
    <t>Excess Insurance Program</t>
  </si>
  <si>
    <t>Countrywide With Range Modifiers</t>
  </si>
  <si>
    <t>GENERAL RULES</t>
  </si>
  <si>
    <t>The base premium for our Excess Insurance coverage will be a percentage of the rate per million of Underlying Insurance.</t>
  </si>
  <si>
    <t>The percentage will be calculated as follows:</t>
  </si>
  <si>
    <t>Low Risk</t>
  </si>
  <si>
    <t>Low/Medium Risk</t>
  </si>
  <si>
    <t>Medium Risk</t>
  </si>
  <si>
    <t>Medium/High Risk</t>
  </si>
  <si>
    <t>High Risk</t>
  </si>
  <si>
    <t>40-55%</t>
  </si>
  <si>
    <t>55-65%</t>
  </si>
  <si>
    <t>65-75%</t>
  </si>
  <si>
    <t>75-85%</t>
  </si>
  <si>
    <t>85-150%</t>
  </si>
  <si>
    <t>Range Determination Methodology:</t>
  </si>
  <si>
    <t>Consider the following and determine for each its applicable numeric risk level (1 for low risk up to 5 for high risk):</t>
  </si>
  <si>
    <t>Side A with DIC Coverage</t>
  </si>
  <si>
    <t>0.60-0.90</t>
  </si>
  <si>
    <t>Independent Directors Liability (IDL) Coverage</t>
  </si>
  <si>
    <t>0.55-0.75</t>
  </si>
  <si>
    <t>The minimum premium is applied on per policy basis.</t>
  </si>
  <si>
    <t>Minimum Premium per $1 million of coverage</t>
  </si>
  <si>
    <t>Coverage</t>
  </si>
  <si>
    <t>$1M ≤ Attachment</t>
  </si>
  <si>
    <t>points &lt;$10M</t>
  </si>
  <si>
    <t>$10M ≤ Attachment</t>
  </si>
  <si>
    <t>points &lt;$25M</t>
  </si>
  <si>
    <t>$25M ≤ Attachment</t>
  </si>
  <si>
    <t>points</t>
  </si>
  <si>
    <t>Public Organizations</t>
  </si>
  <si>
    <t>Not-For-Profit Organizations</t>
  </si>
  <si>
    <t>Fiduciary Liability Insurance</t>
  </si>
  <si>
    <t>Fidelity</t>
  </si>
  <si>
    <t>ERISA Third Party Fidelity</t>
  </si>
  <si>
    <t>Private Organizations</t>
  </si>
  <si>
    <t>The minimum premium for Side A and IDL are lowered by the Side A/IDL factors.</t>
  </si>
  <si>
    <t>Terrorism coverage is provided at no additional cost to the insured. A discount will apply if rejected by the insured. The discount will be 0-2% of the final premium calculated.</t>
  </si>
  <si>
    <t>Total schedule debit(s)/credit(s) will be applied additively.</t>
  </si>
  <si>
    <t>+/- 15%</t>
  </si>
  <si>
    <t>Companies with the fewest operating entities and the least products and services are considered more favorable, and those with less than 5 operating entities are most favorable. The underwriter must document the basis for the credit or debit provided based on the above attributes.</t>
  </si>
  <si>
    <t>rating range percentage factors which correspond with the result.</t>
  </si>
  <si>
    <t>Total the risk factors and determine the average score, rounding to the nearest whole number. Utilize the</t>
  </si>
  <si>
    <t>Risk Factor</t>
  </si>
  <si>
    <t>Numerical Risk Level</t>
  </si>
  <si>
    <t>Risk Level</t>
  </si>
  <si>
    <t>Average Score</t>
  </si>
  <si>
    <t>A.      BASE PREMIUM</t>
  </si>
  <si>
    <t>B.      SIDE A/ INDEPENDENT DIRECTORS LIABILITY</t>
  </si>
  <si>
    <t>C.      RUN-OFF POLICIES</t>
  </si>
  <si>
    <t>D.      EXTENDED REPORTING PERIOD</t>
  </si>
  <si>
    <t>E.      MINIMUM PREMIUM</t>
  </si>
  <si>
    <t>F.       TERRORISM DISCOUNT</t>
  </si>
  <si>
    <t>Min</t>
  </si>
  <si>
    <t>Max</t>
  </si>
  <si>
    <t>1. Financial Condition</t>
  </si>
  <si>
    <t>2. Nature of Operation</t>
  </si>
  <si>
    <t>3. Acquisition History</t>
  </si>
  <si>
    <t>4. Management Quality</t>
  </si>
  <si>
    <t>5. Litigation History</t>
  </si>
  <si>
    <t>6. Time in Business</t>
  </si>
  <si>
    <t>7. Class of Business</t>
  </si>
  <si>
    <t>Consider the following risk factors and determine for each its applicable numeric risk level (1 for low risk up to 5 for high risk):</t>
  </si>
  <si>
    <r>
      <t xml:space="preserve">Cell Inputs are in </t>
    </r>
    <r>
      <rPr>
        <b/>
        <sz val="12"/>
        <color rgb="FF0000FF"/>
        <rFont val="Calibri"/>
        <family val="2"/>
        <scheme val="minor"/>
      </rPr>
      <t>Blue</t>
    </r>
  </si>
  <si>
    <r>
      <t xml:space="preserve">Low Risk </t>
    </r>
    <r>
      <rPr>
        <sz val="10"/>
        <color theme="1"/>
        <rFont val="Calibri"/>
        <family val="2"/>
        <scheme val="minor"/>
      </rPr>
      <t>means a less than 10% probability of financial insolvency, operations involving litigation, chance of being acquired or acquiring another entity, management quality is excellent and stable, no litigation filed in this line of business against the insured, in business over 7 years, type of business is not prone to litigation.</t>
    </r>
  </si>
  <si>
    <r>
      <t xml:space="preserve">Low/Medium Risk </t>
    </r>
    <r>
      <rPr>
        <sz val="10"/>
        <color theme="1"/>
        <rFont val="Calibri"/>
        <family val="2"/>
        <scheme val="minor"/>
      </rPr>
      <t>means a less than 20% probability of financial insolvency, operations involving minor but infrequent litigation, 20% chance of being acquired or acquiring another entity, management quality is excellent but has had recent turnover, no litigation filed in this line of business against the insured in last 3 years, in business over 5 years, type of business is prone to minimal litigation.</t>
    </r>
  </si>
  <si>
    <r>
      <t xml:space="preserve">Medium Risk </t>
    </r>
    <r>
      <rPr>
        <sz val="10"/>
        <color theme="1"/>
        <rFont val="Calibri"/>
        <family val="2"/>
        <scheme val="minor"/>
      </rPr>
      <t>means a less than 40% probability of financial insolvency, operations involving minor but frequent litigation, 40% chance of being acquired or acquiring another entity, management quality is good, but stable, no litigation filed in this line of business against the insured in last 2 years, in business over 4 years, type of business is prone to litigation.</t>
    </r>
  </si>
  <si>
    <r>
      <t xml:space="preserve">Medium/High Risk </t>
    </r>
    <r>
      <rPr>
        <sz val="10"/>
        <color theme="1"/>
        <rFont val="Calibri"/>
        <family val="2"/>
        <scheme val="minor"/>
      </rPr>
      <t>means a 50% probability of financial insolvency, operations involving frequent litigation, 60% chance of being acquired or acquiring another entity, management quality is good, but has had recent turnover, no litigation filed in this line of business against the insured in last year, in business over 2 years, type of business is prone to frequent litigation.</t>
    </r>
  </si>
  <si>
    <r>
      <t xml:space="preserve">High Risk </t>
    </r>
    <r>
      <rPr>
        <sz val="10"/>
        <color theme="1"/>
        <rFont val="Calibri"/>
        <family val="2"/>
        <scheme val="minor"/>
      </rPr>
      <t>means a 60% or higher probability of financial insolvency, operations involving significant litigation, more than 80% chance of being acquired or acquiring another entity, management quality is poor or has had a high turnover rate recently, litigation filed in this line of business against the insured during the last 2 years, in business less than 2 years, type of business is prone to significant and costly litigation.</t>
    </r>
  </si>
  <si>
    <t>Risk Level Considerations:</t>
  </si>
  <si>
    <t>A. BASE PREMIUM</t>
  </si>
  <si>
    <t>Select Percentage Factor:</t>
  </si>
  <si>
    <t>G. SCHEDULE RATING</t>
  </si>
  <si>
    <t>Category</t>
  </si>
  <si>
    <t>iv.   Primary Coverage Terms</t>
  </si>
  <si>
    <t>iii.  Coverage Enhancements/Restrictions</t>
  </si>
  <si>
    <t>ii.   Revenue Source</t>
  </si>
  <si>
    <t>i.    Complexity of Risk</t>
  </si>
  <si>
    <t>Select Credit/Debit</t>
  </si>
  <si>
    <t>Range Per Category</t>
  </si>
  <si>
    <t>Input the appropriate credit/debit factor for each category:</t>
  </si>
  <si>
    <t xml:space="preserve">      Side A with DIC Coverage</t>
  </si>
  <si>
    <t xml:space="preserve">      Independent Directors Liability (IDL) Coverage</t>
  </si>
  <si>
    <t>2 year</t>
  </si>
  <si>
    <t>3 year</t>
  </si>
  <si>
    <t>4 year</t>
  </si>
  <si>
    <t>5 year</t>
  </si>
  <si>
    <t>6 year</t>
  </si>
  <si>
    <t>B. SIDE A/INDEPENDENT DIRECTORS LIABILITY (if applicable)</t>
  </si>
  <si>
    <t>C. RUN-OFF POLICIES (if applicable)</t>
  </si>
  <si>
    <t>D. EXTENDED REPORTING PERIOD (if applicable)</t>
  </si>
  <si>
    <t>annualized premium.</t>
  </si>
  <si>
    <t>1 year—the percentage charge will be the same as the underlying subject to a minimum of 100% of the</t>
  </si>
  <si>
    <t>Yes</t>
  </si>
  <si>
    <t xml:space="preserve">      Select as applicable</t>
  </si>
  <si>
    <t>F. TERRORISM DISCOUNT</t>
  </si>
  <si>
    <t xml:space="preserve">      Is Terrorism coverage rejected by Insured?</t>
  </si>
  <si>
    <t>G.      SCHEDULE RATING</t>
  </si>
  <si>
    <r>
      <t xml:space="preserve">1. </t>
    </r>
    <r>
      <rPr>
        <sz val="10"/>
        <color theme="1"/>
        <rFont val="Calibri"/>
        <family val="2"/>
        <scheme val="minor"/>
      </rPr>
      <t>Financial Condition</t>
    </r>
  </si>
  <si>
    <r>
      <t xml:space="preserve">2. </t>
    </r>
    <r>
      <rPr>
        <sz val="10"/>
        <color theme="1"/>
        <rFont val="Calibri"/>
        <family val="2"/>
        <scheme val="minor"/>
      </rPr>
      <t>Nature of Operation</t>
    </r>
  </si>
  <si>
    <r>
      <t xml:space="preserve">3. </t>
    </r>
    <r>
      <rPr>
        <sz val="10"/>
        <color theme="1"/>
        <rFont val="Calibri"/>
        <family val="2"/>
        <scheme val="minor"/>
      </rPr>
      <t>Acquisition History</t>
    </r>
  </si>
  <si>
    <r>
      <t xml:space="preserve">4. </t>
    </r>
    <r>
      <rPr>
        <sz val="10"/>
        <color theme="1"/>
        <rFont val="Calibri"/>
        <family val="2"/>
        <scheme val="minor"/>
      </rPr>
      <t>Management Quality</t>
    </r>
  </si>
  <si>
    <r>
      <t xml:space="preserve">5. </t>
    </r>
    <r>
      <rPr>
        <sz val="10"/>
        <color theme="1"/>
        <rFont val="Calibri"/>
        <family val="2"/>
        <scheme val="minor"/>
      </rPr>
      <t>Litigation History</t>
    </r>
  </si>
  <si>
    <r>
      <t xml:space="preserve">6. </t>
    </r>
    <r>
      <rPr>
        <sz val="10"/>
        <color theme="1"/>
        <rFont val="Calibri"/>
        <family val="2"/>
        <scheme val="minor"/>
      </rPr>
      <t>Time in Business</t>
    </r>
  </si>
  <si>
    <r>
      <t xml:space="preserve">7. </t>
    </r>
    <r>
      <rPr>
        <sz val="10"/>
        <color theme="1"/>
        <rFont val="Calibri"/>
        <family val="2"/>
        <scheme val="minor"/>
      </rPr>
      <t>Class of Business</t>
    </r>
  </si>
  <si>
    <r>
      <t xml:space="preserve">i.  Complexity of Risk—Consider the following: </t>
    </r>
    <r>
      <rPr>
        <sz val="10"/>
        <color theme="1"/>
        <rFont val="Calibri"/>
        <family val="2"/>
        <scheme val="minor"/>
      </rPr>
      <t>(1) The number of operating entities within the United States; (2) The number of foreign operating entities; (3) The diversity of the products and services provided by the company.</t>
    </r>
  </si>
  <si>
    <t>Maximum total schedule rating debit(s)/credit(s) differ by state. Please refer to the Schedule Rating Table in the</t>
  </si>
  <si>
    <t>Exception Page for Maximum allowable debit(s)/credit(s).</t>
  </si>
  <si>
    <t>Alaska</t>
  </si>
  <si>
    <t>Alabama</t>
  </si>
  <si>
    <t>Arkansas</t>
  </si>
  <si>
    <t>Arizona</t>
  </si>
  <si>
    <t>CA</t>
  </si>
  <si>
    <t>California</t>
  </si>
  <si>
    <t>Colorado</t>
  </si>
  <si>
    <t>Connecticut</t>
  </si>
  <si>
    <t>Delaware</t>
  </si>
  <si>
    <t>Hawaii</t>
  </si>
  <si>
    <t>Iowa</t>
  </si>
  <si>
    <t>Idaho</t>
  </si>
  <si>
    <t>Illinois</t>
  </si>
  <si>
    <t>Indiana</t>
  </si>
  <si>
    <t>Kansas</t>
  </si>
  <si>
    <t>Kentucky</t>
  </si>
  <si>
    <t>Louisiana</t>
  </si>
  <si>
    <t>Massachusetts</t>
  </si>
  <si>
    <t>Maryland</t>
  </si>
  <si>
    <t>Maine</t>
  </si>
  <si>
    <t>Michigan</t>
  </si>
  <si>
    <t>Minnesota</t>
  </si>
  <si>
    <t>Missouri</t>
  </si>
  <si>
    <t>Mississippi</t>
  </si>
  <si>
    <t>Montana</t>
  </si>
  <si>
    <t>North Carolina</t>
  </si>
  <si>
    <t>North Dakota</t>
  </si>
  <si>
    <t>Nebraska</t>
  </si>
  <si>
    <t>New Hampshire</t>
  </si>
  <si>
    <t>New Jersey</t>
  </si>
  <si>
    <t>New Mexico</t>
  </si>
  <si>
    <t>Nevada</t>
  </si>
  <si>
    <t>NY</t>
  </si>
  <si>
    <t>New York</t>
  </si>
  <si>
    <t>Ohio</t>
  </si>
  <si>
    <t>Oklahoma</t>
  </si>
  <si>
    <t>Oregon</t>
  </si>
  <si>
    <t>Pennsylvania</t>
  </si>
  <si>
    <t>Rhode Island</t>
  </si>
  <si>
    <t>South Carolina</t>
  </si>
  <si>
    <t>South Dakota</t>
  </si>
  <si>
    <t>Tennessee</t>
  </si>
  <si>
    <t>Texas</t>
  </si>
  <si>
    <t>Utah</t>
  </si>
  <si>
    <t>Vermont</t>
  </si>
  <si>
    <t>Wisconsin</t>
  </si>
  <si>
    <t>West Virginia</t>
  </si>
  <si>
    <t>Wyoming</t>
  </si>
  <si>
    <r>
      <t>ii.  Revenue Source—</t>
    </r>
    <r>
      <rPr>
        <sz val="10"/>
        <color theme="1"/>
        <rFont val="Calibri"/>
        <family val="2"/>
        <scheme val="minor"/>
      </rPr>
      <t>The underwriter shall document if the company obtains its revenue from a high number of customers or if the company generates a significant amount of its revenue from only a few customers. Companies with a diverse and varied revenue stream are more favorable to those that generate a significant share of its revenue from few customers.</t>
    </r>
  </si>
  <si>
    <r>
      <t>iii.  Coverage Enhancements/Restrictions—</t>
    </r>
    <r>
      <rPr>
        <sz val="10"/>
        <color theme="1"/>
        <rFont val="Calibri"/>
        <family val="2"/>
        <scheme val="minor"/>
      </rPr>
      <t>The underwriter shall document endorsements made to the company’s policy that enhance or restrict coverage and may provide an overall debit or credit based on the overall risk, given the endorsements provided and the nature of the risk. The following table shall be followed regarding what is considered an enhancement or a restriction to coverage:</t>
    </r>
  </si>
  <si>
    <r>
      <t>iv.  Primary Coverage Terms—</t>
    </r>
    <r>
      <rPr>
        <sz val="10"/>
        <color theme="1"/>
        <rFont val="Calibri"/>
        <family val="2"/>
        <scheme val="minor"/>
      </rPr>
      <t>Given the nature of the risk, the underwriter shall document significant enhancements to coverage provided under the primary policy that affects Nationwide’s excess coverage. The underwriter shall provide a credit or debit to the premium as warranted.</t>
    </r>
  </si>
  <si>
    <t>NOT PERMITTED</t>
  </si>
  <si>
    <t>^STATE</t>
  </si>
  <si>
    <t>.75 - 1.25</t>
  </si>
  <si>
    <t>.60 - 1.40</t>
  </si>
  <si>
    <t>.85 - 1.15</t>
  </si>
  <si>
    <t>D of C</t>
  </si>
  <si>
    <t xml:space="preserve">Florida </t>
  </si>
  <si>
    <t>.50 - 1.50</t>
  </si>
  <si>
    <t>.60 - 1.25</t>
  </si>
  <si>
    <t>Notes:</t>
  </si>
  <si>
    <t xml:space="preserve">(1) Georgia - Maximum allowable annual aggregate modification of premium must be </t>
  </si>
  <si>
    <t xml:space="preserve">      +/- 5% of what the annual premium would be without modification.  Otherwise, limit</t>
  </si>
  <si>
    <t xml:space="preserve">       modification to +/- 15% for each risk.</t>
  </si>
  <si>
    <t>(2)) Oklahoma - the maximum debit/credit for property, IM, WC is 25% and 40% for</t>
  </si>
  <si>
    <t xml:space="preserve"> GL, auto, glass, burglary, and Professional Liability other than Lawyers (Law PL15%).</t>
  </si>
  <si>
    <t>(4) New Hampshire - For Package policies debits are not permitted.</t>
  </si>
  <si>
    <t xml:space="preserve">      can be no greater than +/- 25%.</t>
  </si>
  <si>
    <t>Minimum/Maximum</t>
  </si>
  <si>
    <t>Overall Factor</t>
  </si>
  <si>
    <t>Select State:</t>
  </si>
  <si>
    <t>(3) Nebraska allows +/- 40% deviation in lieu of prior Schedule Rating</t>
  </si>
  <si>
    <t>+/- 25%</t>
  </si>
  <si>
    <t>CW (x CA &amp; NY)</t>
  </si>
  <si>
    <t>+/- 10%</t>
  </si>
  <si>
    <t>+/- 40%</t>
  </si>
  <si>
    <t>+/- 50%</t>
  </si>
  <si>
    <t>Not Permitted</t>
  </si>
  <si>
    <t>Enter Underlying Premium:</t>
  </si>
  <si>
    <t>Enter Underlying Limit:</t>
  </si>
  <si>
    <t>Rating Algorithm</t>
  </si>
  <si>
    <r>
      <t>i.            Rate Per Million of Underlying Insurance</t>
    </r>
    <r>
      <rPr>
        <sz val="12"/>
        <color theme="1"/>
        <rFont val="Calibri"/>
        <family val="2"/>
        <scheme val="minor"/>
      </rPr>
      <t>: Rate per million = Underlying Premium / Underlying Limit (millions)</t>
    </r>
  </si>
  <si>
    <t>FINAL PREMIUM CALCULATION</t>
  </si>
  <si>
    <r>
      <t>ii.           Average Score of Risk Factors</t>
    </r>
    <r>
      <rPr>
        <sz val="12"/>
        <color theme="1"/>
        <rFont val="Calibri"/>
        <family val="2"/>
        <scheme val="minor"/>
      </rPr>
      <t>: Average score = (Financial Condition Score + Nature of Operation Score + Acquisition History Score + Management Quality Score + Litigation History Score + Time in Business Score + Class of Business Score) / 7</t>
    </r>
  </si>
  <si>
    <r>
      <t>iii.          Percentage of the Underlying Insurance</t>
    </r>
    <r>
      <rPr>
        <sz val="12"/>
        <color theme="1"/>
        <rFont val="Calibri"/>
        <family val="2"/>
        <scheme val="minor"/>
      </rPr>
      <t>: Use Average Score of Risk Factors (step ii.) to determine the Percentage of the Underlying Insurance based on the table in section A.</t>
    </r>
  </si>
  <si>
    <r>
      <t>iv.          Schedule Rating Factor</t>
    </r>
    <r>
      <rPr>
        <sz val="12"/>
        <color theme="1"/>
        <rFont val="Calibri"/>
        <family val="2"/>
        <scheme val="minor"/>
      </rPr>
      <t>: is subjected to the state specific maximum total schedule rating debit(s)/credit(s)</t>
    </r>
  </si>
  <si>
    <r>
      <t xml:space="preserve">v.           Calculated Premium </t>
    </r>
    <r>
      <rPr>
        <sz val="12"/>
        <color theme="1"/>
        <rFont val="Calibri"/>
        <family val="2"/>
        <scheme val="minor"/>
      </rPr>
      <t>= Rate Per Million of Underlying Insurance * Limit (in millions) * (Percentage of the Underlying Insurance) * (Section C. Run-Off Policies Factor, if applicable) * (Section D. Extended Reporting Period Factor, if applicable) * (1 – Section F. Terrorism Discount, if applicable) * (1 + Section G. Schedule Rating Factor)</t>
    </r>
  </si>
  <si>
    <t>vi.          Minimum Premium Calculation:</t>
  </si>
  <si>
    <t xml:space="preserve">              Minimum Premium = (Section E. Minimum Premium Per $1 Million of Coverage) * Limit (in millions)</t>
  </si>
  <si>
    <t>vii.         Final Premium Calculation:</t>
  </si>
  <si>
    <t xml:space="preserve">              a.  When Calculated Premium &lt; Minimum Premium:</t>
  </si>
  <si>
    <t xml:space="preserve">                    Final Premium = (Minimum Premium) * (Section B. Side A/Independent Directors Liability Factor)</t>
  </si>
  <si>
    <t xml:space="preserve">              b.  When Calculated Premium &gt;= Minimum Premium:</t>
  </si>
  <si>
    <t xml:space="preserve">                    Final Premium = (Calculated Premium) * (Section B. Side A/Independent Directors Liability Factor)</t>
  </si>
  <si>
    <t>Schedule Rating Considerations:</t>
  </si>
  <si>
    <t>Total Schedule Credt/Debit:</t>
  </si>
  <si>
    <t>-40%/+25%</t>
  </si>
  <si>
    <t>Georgia</t>
  </si>
  <si>
    <t>Washington</t>
  </si>
  <si>
    <t>Virginia</t>
  </si>
  <si>
    <t xml:space="preserve">      Select as appropriate </t>
  </si>
  <si>
    <t>Table of Overall +/- % By State</t>
  </si>
  <si>
    <t xml:space="preserve">(5) Virginia - Technically there is no limit, but most companies chose to state a limit of +/-50%; the DOI expects a limit to be stated </t>
  </si>
  <si>
    <t>(6) Washington - the maximum combined effect for IRPM and Schedule modification</t>
  </si>
  <si>
    <t>Section F only applies to coverages that are subject to Terrorism Risk Insurance Act (TRIA).</t>
  </si>
  <si>
    <t>&lt;-- Underwriter chooses this as an input</t>
  </si>
  <si>
    <t>&lt;-- either / or</t>
  </si>
  <si>
    <t>% as per the underlying policy</t>
  </si>
  <si>
    <t>1.75-2.0</t>
  </si>
  <si>
    <t>Enter Excess Limit to be Quoted:</t>
  </si>
  <si>
    <t xml:space="preserve">      Enter underlying percentage</t>
  </si>
  <si>
    <t xml:space="preserve">      If selected, enter underyling percentage*</t>
  </si>
  <si>
    <t xml:space="preserve">      *Subject to a minimum of 100% of the annualized premium.</t>
  </si>
  <si>
    <t>Enter Attachment Point:</t>
  </si>
  <si>
    <t>Select Coverage:</t>
  </si>
  <si>
    <t>Public Organizations1M</t>
  </si>
  <si>
    <t>Public Organizations10M</t>
  </si>
  <si>
    <t>Public Organizations25M</t>
  </si>
  <si>
    <t>Not-For-Profit Organizations1M</t>
  </si>
  <si>
    <t>Not-For-Profit Organizations10M</t>
  </si>
  <si>
    <t>Not-For-Profit Organizations25M</t>
  </si>
  <si>
    <t>Fiduciary Liability Insurance1M</t>
  </si>
  <si>
    <t>Fiduciary Liability Insurance10M</t>
  </si>
  <si>
    <t>Fiduciary Liability Insurance25M</t>
  </si>
  <si>
    <t>Fidelity1M</t>
  </si>
  <si>
    <t>Fidelity10M</t>
  </si>
  <si>
    <t>Fidelity25M</t>
  </si>
  <si>
    <t>ERISA Third Party Fidelity1M</t>
  </si>
  <si>
    <t>ERISA Third Party Fidelity10M</t>
  </si>
  <si>
    <t>ERISA Third Party Fidelity25M</t>
  </si>
  <si>
    <t>Private Organizations1M</t>
  </si>
  <si>
    <t>Private Organizations10M</t>
  </si>
  <si>
    <t>Private Organizations25M</t>
  </si>
  <si>
    <t>Attachment Point Lookup</t>
  </si>
  <si>
    <t>1M</t>
  </si>
  <si>
    <t>10M</t>
  </si>
  <si>
    <t>25M</t>
  </si>
  <si>
    <t>Lookup table for Min Prem rating algorithm:</t>
  </si>
  <si>
    <t>Attachment Poit Lookup Table</t>
  </si>
  <si>
    <t>Min Prem Lookup</t>
  </si>
  <si>
    <t>vi.   Minimum Premium Calculation:</t>
  </si>
  <si>
    <t>v.     Calculated Premium:</t>
  </si>
  <si>
    <t>iv.    Schedule Rating Factor:</t>
  </si>
  <si>
    <t>iii.   Percentage of the Underlying Insurance:</t>
  </si>
  <si>
    <t>i.      Rate Per Million of Underlying Insurance:</t>
  </si>
  <si>
    <t>ii.     Average Score of Risk Factors:</t>
  </si>
  <si>
    <t xml:space="preserve">      If "Yes", enter discount; If "No", leave blank</t>
  </si>
  <si>
    <t>Excess Final Premium Calculation</t>
  </si>
  <si>
    <t>Each calculation is rounded to the nearest whole number at each step.</t>
  </si>
  <si>
    <t>vii.   Final Premium Calculation:</t>
  </si>
  <si>
    <t xml:space="preserve">      Input the appropriate credit factor, if applicable.  Can only select one or the other</t>
  </si>
  <si>
    <t>All inputs should be removed before starting a new quote to ensure all messages and formula limits are working properly.</t>
  </si>
  <si>
    <t>+/- 40% Deviation Permitted in Lieu of Schedule Rating</t>
  </si>
  <si>
    <t>Schedule Rating Not Permitted</t>
  </si>
  <si>
    <t>See Note Below</t>
  </si>
  <si>
    <t>Countrywide</t>
  </si>
  <si>
    <t>Credit Factors - Ranges</t>
  </si>
  <si>
    <t>Credit Factors - No Ranges</t>
  </si>
  <si>
    <t>Terrorism Discount</t>
  </si>
  <si>
    <t>0% - 2%</t>
  </si>
  <si>
    <t>Credit Factors - Range</t>
  </si>
  <si>
    <t>Credit Factors - No Range</t>
  </si>
  <si>
    <t>Ranges Allowed?</t>
  </si>
  <si>
    <t>Terrorism Discount Available?</t>
  </si>
  <si>
    <t>State</t>
  </si>
  <si>
    <t>Terrorism Discount?</t>
  </si>
  <si>
    <t>Max/Min % by Category Lookup Table:</t>
  </si>
  <si>
    <t>Florida Specific</t>
  </si>
  <si>
    <t>Florida</t>
  </si>
  <si>
    <t>Florida Premium Calculation:</t>
  </si>
  <si>
    <t>Excess Liability Premium = (Excess Limit of Liability / Underlying Limit of Liability) x Underlying Premium</t>
  </si>
  <si>
    <t>4 years</t>
  </si>
  <si>
    <t>5 years</t>
  </si>
  <si>
    <t>6 years</t>
  </si>
  <si>
    <t>1.00 x the annualized premium</t>
  </si>
  <si>
    <t>1.25 x the annualized premium</t>
  </si>
  <si>
    <t>1.75 x the annualized premium</t>
  </si>
  <si>
    <t>2.00 x the annualized premium</t>
  </si>
  <si>
    <t>2.25 x the annualized premium</t>
  </si>
  <si>
    <t>2.50 x the annualized premium</t>
  </si>
  <si>
    <t>Percentage charge will be the same as the underlying</t>
  </si>
  <si>
    <t>There is no minimum premium in Maryland</t>
  </si>
  <si>
    <t>Formula does not yet reflect FL or MD specifics.</t>
  </si>
  <si>
    <t>Countrywide Ranges Allowed</t>
  </si>
  <si>
    <t>Countrywide Ranges Not Allowed</t>
  </si>
  <si>
    <t>A 3 year Extended Reporting Period shall be offerred at no more than a 200% of policy premium.</t>
  </si>
  <si>
    <t>The base premium for our Excess Insurance coverage will be a factor of the rate per million of Underlying Insurance.</t>
  </si>
  <si>
    <t>The factor will be calculated as follows:</t>
  </si>
  <si>
    <t>Group 1</t>
  </si>
  <si>
    <t>Group 2</t>
  </si>
  <si>
    <t>Group 3</t>
  </si>
  <si>
    <t>Group 4</t>
  </si>
  <si>
    <t>Group 5</t>
  </si>
  <si>
    <t>Consider the following and determine for each its applicable numeric risk level (1 for Group 1 up to 5 for Group 5):</t>
  </si>
  <si>
    <r>
      <t xml:space="preserve">2. </t>
    </r>
    <r>
      <rPr>
        <sz val="10"/>
        <color theme="1"/>
        <rFont val="Calibri"/>
        <family val="2"/>
        <scheme val="minor"/>
      </rPr>
      <t>Acquisition History</t>
    </r>
  </si>
  <si>
    <r>
      <t xml:space="preserve">3. </t>
    </r>
    <r>
      <rPr>
        <sz val="10"/>
        <color theme="1"/>
        <rFont val="Calibri"/>
        <family val="2"/>
        <scheme val="minor"/>
      </rPr>
      <t>Litigation History</t>
    </r>
  </si>
  <si>
    <r>
      <t xml:space="preserve">4. </t>
    </r>
    <r>
      <rPr>
        <sz val="10"/>
        <color theme="1"/>
        <rFont val="Calibri"/>
        <family val="2"/>
        <scheme val="minor"/>
      </rPr>
      <t>Time in Business</t>
    </r>
  </si>
  <si>
    <r>
      <t xml:space="preserve">Group 1: </t>
    </r>
    <r>
      <rPr>
        <sz val="10"/>
        <color theme="1"/>
        <rFont val="Arial"/>
        <family val="2"/>
      </rPr>
      <t>financial solvency and acquisition history are based on the rating chart below, no litigation filed in this line of business against the insured, in business over 7 years</t>
    </r>
  </si>
  <si>
    <r>
      <t xml:space="preserve">Group 2: </t>
    </r>
    <r>
      <rPr>
        <sz val="10"/>
        <color theme="1"/>
        <rFont val="Arial"/>
        <family val="2"/>
      </rPr>
      <t>financial solvency and acquisition history are based on the rating chart below, no litigation filed in this line of business against the insured in last 3 years, in business over 5 years</t>
    </r>
  </si>
  <si>
    <r>
      <t xml:space="preserve">Group 3: </t>
    </r>
    <r>
      <rPr>
        <sz val="10"/>
        <color theme="1"/>
        <rFont val="Arial"/>
        <family val="2"/>
      </rPr>
      <t>financial solvency and acquisition history are based on the rating chart below, no litigation filed in this line of business against the insured in last 2 years, in business over 4 years</t>
    </r>
  </si>
  <si>
    <r>
      <t xml:space="preserve">Group 4: </t>
    </r>
    <r>
      <rPr>
        <sz val="10"/>
        <color theme="1"/>
        <rFont val="Arial"/>
        <family val="2"/>
      </rPr>
      <t>financial solvency and acquisition history are based on the rating chart below, no litigation filed in this line of business against the insured in last year, in business over 2 years</t>
    </r>
  </si>
  <si>
    <r>
      <t xml:space="preserve">Group 5: </t>
    </r>
    <r>
      <rPr>
        <sz val="10"/>
        <color theme="1"/>
        <rFont val="Arial"/>
        <family val="2"/>
      </rPr>
      <t>financial solvency and acquisition history are based on the rating chart below, litigation filed in this line of business against the insured during the last 2 years, in business less than 2 years</t>
    </r>
  </si>
  <si>
    <t>Total the risk factors and determine the average score, rounding to the nearest whole number. Utilize the rating range factors</t>
  </si>
  <si>
    <t>which correspond with the result.</t>
  </si>
  <si>
    <t>S&amp;P</t>
  </si>
  <si>
    <t>Moody’s</t>
  </si>
  <si>
    <t>Fitch</t>
  </si>
  <si>
    <t>AA+</t>
  </si>
  <si>
    <t>Aa1</t>
  </si>
  <si>
    <t>AA</t>
  </si>
  <si>
    <t>Aa2</t>
  </si>
  <si>
    <t>AA-</t>
  </si>
  <si>
    <t>Aa3</t>
  </si>
  <si>
    <t>A+</t>
  </si>
  <si>
    <t>A1</t>
  </si>
  <si>
    <t>A2</t>
  </si>
  <si>
    <t>A-</t>
  </si>
  <si>
    <t>A3</t>
  </si>
  <si>
    <t>BBB+</t>
  </si>
  <si>
    <t>Baa1</t>
  </si>
  <si>
    <t>BBB</t>
  </si>
  <si>
    <t>Baa2</t>
  </si>
  <si>
    <t>BBB-</t>
  </si>
  <si>
    <t>Baa3</t>
  </si>
  <si>
    <t>BB+</t>
  </si>
  <si>
    <t>Ba1</t>
  </si>
  <si>
    <t>BB</t>
  </si>
  <si>
    <t>Ba2</t>
  </si>
  <si>
    <t>BB-</t>
  </si>
  <si>
    <t>Ba3</t>
  </si>
  <si>
    <t>B+</t>
  </si>
  <si>
    <t>B1</t>
  </si>
  <si>
    <t>B2</t>
  </si>
  <si>
    <t>B-</t>
  </si>
  <si>
    <t>B3</t>
  </si>
  <si>
    <t>CCC+</t>
  </si>
  <si>
    <t>Caa1</t>
  </si>
  <si>
    <t>CCC</t>
  </si>
  <si>
    <t>Caa2</t>
  </si>
  <si>
    <t>DDD</t>
  </si>
  <si>
    <t>CCC-</t>
  </si>
  <si>
    <t>Caa3</t>
  </si>
  <si>
    <t>DD</t>
  </si>
  <si>
    <t>CC</t>
  </si>
  <si>
    <t>Ca</t>
  </si>
  <si>
    <t>D</t>
  </si>
  <si>
    <t>The definition of the Range Determination Methodology factors are as follows:</t>
  </si>
  <si>
    <t>Financial Condition - Financially secure organizations frequently present attractive risk</t>
  </si>
  <si>
    <t>profiles.  Conversely, financially impaired companies might be forced to “cut corners” on key services such as compliance or claims handling thereby increasing the level of risk. The underwriter wants to see that an organization is on sound footing or a path to improved financial condition, without compromising quality, or increasing exposure to claims. Public documents such as 10Ks, 10Qs, S-1s are reviewed. These filings, including the notes to financial statements are a good source of information relative to important financial risk factors. For financial strength, the underwriter focuses on solvency. Is the company considering a private or public offering and how are the proceeds being used and what is the financial impact? The current, quick, leverage, ROE, and price to earnings ratios and long-term debt are matched up against the company’s overall peer and industry averages to see where it falls. The latest year change in revenues and/or ROE are also evaluated relative to peers, and changes in revenues on either extreme need to be evaluated to determine implication. Market capitalization is looked at in a mathematical way</t>
  </si>
  <si>
    <t>– at what percentage level does a loss in market cap become a risk to our placement and the solvency of the company. Similarly, financial restatements, asset divestiture, bankruptcy, reorganization, liquidation or similar actions are evaluated to determine if the company can recover.</t>
  </si>
  <si>
    <t>Acquisition History – The underwriter will evaluate the frequency as well as the impact of the acquisition history on the organization. The underwriter will look into how the deal was valued, whether the deal is for cash or stock, hostile or friendly; examine who benefits from the transaction, what the potential problems might be, and what has been the company’s track record with similar transactions. The underwriter needs to ensure that the management team has conducted its due diligence, that the acquisition appears to be a consistent part of the company’s overall strategy, and that shareholders have been kept reasonably informed. The underwriter also wants to check if there are any related parties involved in the deal. If so, the ability to keep certain parts of the transaction at “arms-length” needs to be investigated. In addition to valuation, how is the transaction being structured? The underwriter prefers a cash deal.  The use of stock as “acquisition currency” can open the directors and officers up to accusations of stock price manipulation. This holds true especially if the stock is volatile and depreciates shortly after the acquisition. Also, the underwriter wants to be cognizant of any new liabilities (both on and off the balance sheet) that are being assumed as part of the acquisition. The frequency of M&amp;A activity in defined periods of time is important to note. If the company is aggressively acquisitive, then there may be some underlying accounting issues to examine. For example, the underwriter will need to ask how revenue recognition policies that are different between acquired companies and the surviving entity have been resolved. The underwriter will also need to uncover the amount of time the acquired companies kept separate accounting books and maintained computer systems that do not share financial reporting abilities.</t>
  </si>
  <si>
    <t>Litigation History – The underwriter analyzes claims experience beyond the initial review done in the “Risk Section” stage. The underwriter looks for trends or areas of concentration, whether they are in certain departments, specialties, types of claims. In addition, the underwriter will also ask questions such as: How did the company turned out post-claim? Is there new management, better controls, a change in the board of directors? What did they learn?</t>
  </si>
  <si>
    <t>Time in Business – The number of years the company has been in its current business.</t>
  </si>
  <si>
    <t>This does not reflect Georgia specific rating which only allows for risk factors 1, 3, 5 and 6 below.</t>
  </si>
  <si>
    <t>GA</t>
  </si>
  <si>
    <t>N/A</t>
  </si>
  <si>
    <t>This is not yet reflected in the "XS Final Premium Calculation" tab.</t>
  </si>
  <si>
    <t>&lt;--Does not yet reflect FL and MD specific options</t>
  </si>
  <si>
    <t>Florida &amp; Maryland Specific (you must offer these options @ these rates)</t>
  </si>
  <si>
    <t>South Dakota Specific (you must offer these options @ these rates)</t>
  </si>
  <si>
    <t>Default that policyholder wants ABC Coverage.  If no ABC Coverage, would be either of these options:</t>
  </si>
  <si>
    <t>Financial Solvency / Acquisition History:</t>
  </si>
  <si>
    <t>&lt;-- use chart to answer</t>
  </si>
  <si>
    <t>Group 1-5 (u/w input)</t>
  </si>
  <si>
    <t>=Average (of 4 numbers above, rounded to nearest whole #)</t>
  </si>
  <si>
    <t xml:space="preserve">Percentage of the Underlying Insurance * </t>
  </si>
  <si>
    <t xml:space="preserve">Section C. Run-Off Policies Factor (if applicable) * </t>
  </si>
  <si>
    <t xml:space="preserve">Section D. Extended Reporting Period Factor (if applicable) * </t>
  </si>
  <si>
    <t xml:space="preserve">Rate Per Million of Underlying Insurance (= Underlying Premium / Underlying Limit) * </t>
  </si>
  <si>
    <t xml:space="preserve">1 – Section F. Terrorism Discount (if applicable) * </t>
  </si>
  <si>
    <t>= Calculated Premium</t>
  </si>
  <si>
    <t>Limit ($ Millions)</t>
  </si>
  <si>
    <t>1 + Section G. Schedule Rating Factor</t>
  </si>
  <si>
    <t>Check:</t>
  </si>
  <si>
    <t>When Calculated Premium &lt; Minimum Premium:</t>
  </si>
  <si>
    <t>Final Premium = (Minimum Premium) * (Section B. Side A/Independent Directors Liability Factor)</t>
  </si>
  <si>
    <t>When Calculated Premium &gt;= Minimum Premium:</t>
  </si>
  <si>
    <t>Final Premium = (Calculated Premium) * (Section B. Side A/Independent Directors Liability Factor)</t>
  </si>
  <si>
    <t>Section B. Side A/Independent Directors Liability Factor</t>
  </si>
  <si>
    <t>Further adjustment to: Average Score of Risk Factors</t>
  </si>
  <si>
    <t>Further adjustment to: % of the Underlying Insurance</t>
  </si>
  <si>
    <t>viii.   Final Premium Calculation (Non-Admitted ONLY):</t>
  </si>
  <si>
    <t>If Non-Admitted?</t>
  </si>
  <si>
    <t>&lt;-- only want to see this option if this is a Non-Admitted policy</t>
  </si>
  <si>
    <t>A (Assets)</t>
  </si>
  <si>
    <t>B (Revenues)</t>
  </si>
  <si>
    <t>C (Market Cap)</t>
  </si>
  <si>
    <t>Base Premium per $1MM limit</t>
  </si>
  <si>
    <t>Self-Insured Retention ($MM)</t>
  </si>
  <si>
    <t>Unadjusted Primary</t>
  </si>
  <si>
    <t>If 1, not limiting to Side A only</t>
  </si>
  <si>
    <t>If 1, not limiting to IDL only</t>
  </si>
  <si>
    <t>0.80-1.20</t>
  </si>
  <si>
    <t>&lt;-- the re-rated primary</t>
  </si>
  <si>
    <t>We assume F buys $80MM of coverage.</t>
  </si>
  <si>
    <t>Illustrative 4 layers are:</t>
  </si>
  <si>
    <t>Implied Rate / Million</t>
  </si>
  <si>
    <t>Primary Layer</t>
  </si>
  <si>
    <t>20 xs 20m</t>
  </si>
  <si>
    <t xml:space="preserve">80 xs 20m </t>
  </si>
  <si>
    <t>60 xs 20m</t>
  </si>
  <si>
    <t>&lt;--If N/A?  =1</t>
  </si>
  <si>
    <t>&lt;-- Manual input from U/W</t>
  </si>
  <si>
    <t/>
  </si>
  <si>
    <t>Boynton</t>
  </si>
  <si>
    <t>BNT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</si>
</sst>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6" formatCode="&quot;$&quot;#,##0_);[Red]\(&quot;$&quot;#,##0\)"/>
    <numFmt numFmtId="8" formatCode="&quot;$&quot;#,##0.00_);[Red]\(&quot;$&quot;#,##0.00\)"/>
    <numFmt numFmtId="44" formatCode="_(&quot;$&quot;* #,##0.00_);_(&quot;$&quot;* \(#,##0.00\);_(&quot;$&quot;* &quot;-&quot;??_);_(@_)"/>
    <numFmt numFmtId="43" formatCode="_(* #,##0.00_);_(* \(#,##0.00\);_(* &quot;-&quot;??_);_(@_)"/>
    <numFmt numFmtId="164" formatCode="[$$-809]#,##0"/>
    <numFmt numFmtId="165" formatCode="[$$-809]#,##0.00"/>
    <numFmt numFmtId="166" formatCode="0.000"/>
    <numFmt numFmtId="167" formatCode="_(* #,##0.000_);_(* \(#,##0.000\);_(* &quot;-&quot;??_);_(@_)"/>
    <numFmt numFmtId="168" formatCode="_(* #,##0_);_(* \(#,##0\);_(* &quot;-&quot;??_);_(@_)"/>
    <numFmt numFmtId="169" formatCode="_(&quot;$&quot;* #,##0_);_(&quot;$&quot;* \(#,##0\);_(&quot;$&quot;* &quot;-&quot;??_);_(@_)"/>
    <numFmt numFmtId="170" formatCode="0.0%"/>
    <numFmt numFmtId="171" formatCode="0_);\(0\)"/>
    <numFmt numFmtId="172" formatCode="&quot;$&quot;#,##0"/>
    <numFmt numFmtId="173" formatCode="#,##0.0"/>
    <numFmt numFmtId="174" formatCode="&quot;$&quot;#,##0.0_);[Red]\(&quot;$&quot;#,##0.0\)"/>
    <numFmt numFmtId="175" formatCode="&quot;$&quot;#,##0.00000"/>
  </numFmts>
  <fonts count="46" x14ac:knownFonts="1">
    <font>
      <sz val="12"/>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2"/>
      <name val="Calibri"/>
      <family val="2"/>
      <scheme val="minor"/>
    </font>
    <font>
      <sz val="11"/>
      <name val="Calibri"/>
      <family val="2"/>
      <scheme val="minor"/>
    </font>
    <font>
      <sz val="10"/>
      <name val="Calibri"/>
      <family val="2"/>
      <scheme val="minor"/>
    </font>
    <font>
      <sz val="9"/>
      <name val="Calibri"/>
      <family val="2"/>
      <scheme val="minor"/>
    </font>
    <font>
      <sz val="10"/>
      <color theme="1"/>
      <name val="Calibri"/>
      <family val="2"/>
      <scheme val="minor"/>
    </font>
    <font>
      <b/>
      <sz val="10"/>
      <color theme="1"/>
      <name val="Calibri"/>
      <family val="2"/>
      <scheme val="minor"/>
    </font>
    <font>
      <sz val="12"/>
      <color rgb="FF000000"/>
      <name val="Calibri"/>
      <family val="2"/>
      <scheme val="minor"/>
    </font>
    <font>
      <b/>
      <sz val="12"/>
      <color rgb="FF000000"/>
      <name val="Calibri"/>
      <family val="2"/>
      <scheme val="minor"/>
    </font>
    <font>
      <i/>
      <sz val="12"/>
      <color theme="1"/>
      <name val="Calibri"/>
      <family val="2"/>
      <scheme val="minor"/>
    </font>
    <font>
      <sz val="12"/>
      <color rgb="FF0000FF"/>
      <name val="Calibri"/>
      <family val="2"/>
      <scheme val="minor"/>
    </font>
    <font>
      <u/>
      <sz val="12"/>
      <color theme="1"/>
      <name val="Calibri"/>
      <family val="2"/>
      <scheme val="minor"/>
    </font>
    <font>
      <sz val="12"/>
      <color rgb="FF008000"/>
      <name val="Calibri"/>
      <family val="2"/>
      <scheme val="minor"/>
    </font>
    <font>
      <sz val="12"/>
      <color rgb="FFFF0000"/>
      <name val="Calibri"/>
      <family val="2"/>
      <scheme val="minor"/>
    </font>
    <font>
      <b/>
      <u/>
      <sz val="12"/>
      <color theme="1"/>
      <name val="Calibri"/>
      <family val="2"/>
      <scheme val="minor"/>
    </font>
    <font>
      <sz val="12"/>
      <color theme="1" tint="4.9989318521683403E-2"/>
      <name val="Calibri"/>
      <family val="2"/>
      <scheme val="minor"/>
    </font>
    <font>
      <b/>
      <sz val="12"/>
      <color rgb="FF0000FF"/>
      <name val="Calibri"/>
      <family val="2"/>
      <scheme val="minor"/>
    </font>
    <font>
      <b/>
      <sz val="12"/>
      <color rgb="FF008000"/>
      <name val="Calibri"/>
      <family val="2"/>
      <scheme val="minor"/>
    </font>
    <font>
      <sz val="13"/>
      <color theme="1"/>
      <name val="Calibri"/>
      <family val="2"/>
      <scheme val="minor"/>
    </font>
    <font>
      <b/>
      <sz val="9"/>
      <color indexed="81"/>
      <name val="Tahoma"/>
      <family val="2"/>
    </font>
    <font>
      <sz val="9"/>
      <color indexed="81"/>
      <name val="Tahoma"/>
      <family val="2"/>
    </font>
    <font>
      <sz val="12"/>
      <color theme="1"/>
      <name val="Arial"/>
      <family val="2"/>
    </font>
    <font>
      <b/>
      <i/>
      <u/>
      <sz val="12"/>
      <color theme="1"/>
      <name val="Arial"/>
      <family val="2"/>
    </font>
    <font>
      <sz val="12"/>
      <color rgb="FF008000"/>
      <name val="Arial"/>
      <family val="2"/>
    </font>
    <font>
      <b/>
      <sz val="12"/>
      <color theme="1"/>
      <name val="Arial"/>
      <family val="2"/>
    </font>
    <font>
      <sz val="12"/>
      <color rgb="FF0000FF"/>
      <name val="Arial"/>
      <family val="2"/>
    </font>
    <font>
      <u/>
      <sz val="10"/>
      <color theme="1"/>
      <name val="Calibri"/>
      <family val="2"/>
      <scheme val="minor"/>
    </font>
    <font>
      <sz val="10"/>
      <color rgb="FF0000FF"/>
      <name val="Calibri"/>
      <family val="2"/>
      <scheme val="minor"/>
    </font>
    <font>
      <b/>
      <sz val="10"/>
      <color rgb="FF0000FF"/>
      <name val="Calibri"/>
      <family val="2"/>
      <scheme val="minor"/>
    </font>
    <font>
      <sz val="10"/>
      <name val="Arial"/>
      <family val="2"/>
    </font>
    <font>
      <sz val="10"/>
      <color rgb="FFFFFFFF"/>
      <name val="Calibri"/>
      <family val="2"/>
      <scheme val="minor"/>
    </font>
    <font>
      <sz val="8"/>
      <name val="Arial"/>
      <family val="2"/>
    </font>
    <font>
      <b/>
      <sz val="10"/>
      <color rgb="FFFF0000"/>
      <name val="Calibri"/>
      <family val="2"/>
      <scheme val="minor"/>
    </font>
    <font>
      <u/>
      <sz val="10"/>
      <name val="Calibri"/>
      <family val="2"/>
      <scheme val="minor"/>
    </font>
    <font>
      <sz val="10"/>
      <color rgb="FFFF0000"/>
      <name val="Calibri"/>
      <family val="2"/>
      <scheme val="minor"/>
    </font>
    <font>
      <b/>
      <sz val="10"/>
      <color theme="1"/>
      <name val="Arial"/>
      <family val="2"/>
    </font>
    <font>
      <sz val="10"/>
      <color theme="1"/>
      <name val="Arial"/>
      <family val="2"/>
    </font>
    <font>
      <sz val="9"/>
      <color theme="1"/>
      <name val="Times New Roman"/>
      <family val="1"/>
    </font>
    <font>
      <sz val="9.5"/>
      <color theme="1"/>
      <name val="Arial"/>
      <family val="2"/>
    </font>
    <font>
      <b/>
      <sz val="12"/>
      <color rgb="FFFF0000"/>
      <name val="Calibri"/>
      <family val="2"/>
      <scheme val="minor"/>
    </font>
    <font>
      <i/>
      <sz val="10"/>
      <color theme="1"/>
      <name val="Calibri"/>
      <family val="2"/>
      <scheme val="minor"/>
    </font>
    <font>
      <b/>
      <u/>
      <sz val="10"/>
      <color theme="1"/>
      <name val="Calibri"/>
      <family val="2"/>
      <scheme val="minor"/>
    </font>
    <font>
      <sz val="10"/>
      <color rgb="FF008000"/>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theme="0"/>
        <bgColor indexed="64"/>
      </patternFill>
    </fill>
    <fill>
      <patternFill patternType="solid">
        <fgColor theme="5" tint="0.79998168889431442"/>
        <bgColor indexed="64"/>
      </patternFill>
    </fill>
    <fill>
      <patternFill patternType="solid">
        <fgColor rgb="FF92D050"/>
        <bgColor indexed="64"/>
      </patternFill>
    </fill>
    <fill>
      <patternFill patternType="gray125">
        <fgColor indexed="8"/>
      </patternFill>
    </fill>
    <fill>
      <patternFill patternType="solid">
        <fgColor rgb="FFFFFF00"/>
        <bgColor indexed="64"/>
      </patternFill>
    </fill>
  </fills>
  <borders count="4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0000FF"/>
      </left>
      <right style="thin">
        <color rgb="FF0000FF"/>
      </right>
      <top style="thin">
        <color rgb="FF0000FF"/>
      </top>
      <bottom style="thin">
        <color rgb="FF0000FF"/>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style="thin">
        <color rgb="FF0000FF"/>
      </left>
      <right style="thin">
        <color rgb="FF0000FF"/>
      </right>
      <top style="thin">
        <color rgb="FF0000FF"/>
      </top>
      <bottom/>
      <diagonal/>
    </border>
    <border>
      <left/>
      <right/>
      <top style="thin">
        <color auto="1"/>
      </top>
      <bottom/>
      <diagonal/>
    </border>
  </borders>
  <cellStyleXfs count="5">
    <xf numFmtId="0" fontId="0" fillId="0" borderId="0"/>
    <xf numFmtId="43" fontId="2" fillId="0" borderId="0" applyFont="0" applyFill="0" applyBorder="0" applyAlignment="0" applyProtection="0"/>
    <xf numFmtId="44" fontId="2" fillId="0" borderId="0" applyFont="0" applyFill="0" applyBorder="0" applyAlignment="0" applyProtection="0"/>
    <xf numFmtId="0" fontId="32" fillId="0" borderId="0"/>
    <xf numFmtId="9" fontId="2" fillId="0" borderId="0" applyFont="0" applyFill="0" applyBorder="0" applyAlignment="0" applyProtection="0"/>
  </cellStyleXfs>
  <cellXfs count="469">
    <xf numFmtId="0" fontId="0" fillId="0" borderId="0" xfId="0"/>
    <xf numFmtId="43" fontId="0" fillId="0" borderId="0" xfId="1" applyFont="1"/>
    <xf numFmtId="43" fontId="0" fillId="0" borderId="0" xfId="1" applyFont="1" applyAlignment="1">
      <alignment horizontal="right"/>
    </xf>
    <xf numFmtId="44" fontId="0" fillId="0" borderId="0" xfId="2" applyFont="1"/>
    <xf numFmtId="0" fontId="0" fillId="0" borderId="0" xfId="0" applyAlignment="1">
      <alignment wrapText="1"/>
    </xf>
    <xf numFmtId="43" fontId="0" fillId="0" borderId="3" xfId="1" applyFont="1" applyBorder="1" applyAlignment="1">
      <alignment horizontal="right" wrapText="1"/>
    </xf>
    <xf numFmtId="43" fontId="0" fillId="0" borderId="0" xfId="1" applyFont="1" applyBorder="1" applyAlignment="1">
      <alignment wrapText="1"/>
    </xf>
    <xf numFmtId="44" fontId="0" fillId="0" borderId="9" xfId="2" applyFont="1" applyBorder="1" applyAlignment="1">
      <alignment wrapText="1"/>
    </xf>
    <xf numFmtId="43" fontId="0" fillId="0" borderId="3" xfId="1" applyFont="1" applyBorder="1" applyAlignment="1">
      <alignment wrapText="1"/>
    </xf>
    <xf numFmtId="43" fontId="0" fillId="0" borderId="10" xfId="1" applyFont="1" applyBorder="1" applyAlignment="1">
      <alignment wrapText="1"/>
    </xf>
    <xf numFmtId="44" fontId="0" fillId="0" borderId="11" xfId="2" applyFont="1" applyBorder="1" applyAlignment="1">
      <alignment wrapText="1"/>
    </xf>
    <xf numFmtId="0" fontId="0" fillId="0" borderId="0" xfId="0" applyFont="1" applyAlignment="1">
      <alignment horizontal="left" vertical="top"/>
    </xf>
    <xf numFmtId="164" fontId="4" fillId="0" borderId="0" xfId="0" applyNumberFormat="1" applyFont="1"/>
    <xf numFmtId="0" fontId="0" fillId="0" borderId="1" xfId="0" applyFont="1" applyBorder="1" applyAlignment="1">
      <alignment wrapText="1"/>
    </xf>
    <xf numFmtId="44" fontId="0" fillId="0" borderId="0" xfId="2" applyFont="1" applyBorder="1" applyAlignment="1">
      <alignment wrapText="1"/>
    </xf>
    <xf numFmtId="44" fontId="0" fillId="0" borderId="1" xfId="2" applyFont="1" applyBorder="1" applyAlignment="1">
      <alignment wrapText="1"/>
    </xf>
    <xf numFmtId="44" fontId="4" fillId="0" borderId="0" xfId="2" applyFont="1" applyBorder="1"/>
    <xf numFmtId="44" fontId="4" fillId="0" borderId="9" xfId="2" applyFont="1" applyBorder="1"/>
    <xf numFmtId="0" fontId="0" fillId="0" borderId="0" xfId="0" applyFont="1"/>
    <xf numFmtId="165" fontId="4" fillId="0" borderId="0" xfId="0" applyNumberFormat="1" applyFont="1"/>
    <xf numFmtId="166" fontId="4" fillId="0" borderId="0" xfId="0" applyNumberFormat="1" applyFont="1"/>
    <xf numFmtId="3" fontId="4" fillId="0" borderId="0" xfId="0" applyNumberFormat="1" applyFont="1"/>
    <xf numFmtId="44" fontId="4" fillId="0" borderId="1" xfId="2" applyFont="1" applyBorder="1"/>
    <xf numFmtId="0" fontId="0" fillId="0" borderId="0" xfId="0" applyFont="1" applyAlignment="1">
      <alignment horizontal="center"/>
    </xf>
    <xf numFmtId="0" fontId="0" fillId="0" borderId="0" xfId="0" applyFont="1" applyAlignment="1">
      <alignment horizontal="right"/>
    </xf>
    <xf numFmtId="166" fontId="6" fillId="0" borderId="0" xfId="0" applyNumberFormat="1" applyFont="1" applyAlignment="1">
      <alignment horizontal="right"/>
    </xf>
    <xf numFmtId="0" fontId="6" fillId="0" borderId="0" xfId="0" applyFont="1" applyAlignment="1">
      <alignment horizontal="right"/>
    </xf>
    <xf numFmtId="3" fontId="6" fillId="0" borderId="0" xfId="0" applyNumberFormat="1" applyFont="1" applyAlignment="1">
      <alignment horizontal="right"/>
    </xf>
    <xf numFmtId="166" fontId="7" fillId="0" borderId="0" xfId="0" applyNumberFormat="1" applyFont="1" applyAlignment="1">
      <alignment horizontal="right"/>
    </xf>
    <xf numFmtId="1" fontId="6" fillId="0" borderId="0" xfId="0" applyNumberFormat="1" applyFont="1" applyAlignment="1">
      <alignment horizontal="right"/>
    </xf>
    <xf numFmtId="3" fontId="7" fillId="0" borderId="0" xfId="0" applyNumberFormat="1" applyFont="1" applyAlignment="1">
      <alignment horizontal="right"/>
    </xf>
    <xf numFmtId="3" fontId="5" fillId="0" borderId="0" xfId="0" applyNumberFormat="1" applyFont="1" applyAlignment="1">
      <alignment horizontal="right"/>
    </xf>
    <xf numFmtId="0" fontId="7" fillId="0" borderId="0" xfId="0" applyFont="1" applyAlignment="1">
      <alignment horizontal="right"/>
    </xf>
    <xf numFmtId="0" fontId="5" fillId="0" borderId="0" xfId="0" applyFont="1" applyAlignment="1">
      <alignment horizontal="right"/>
    </xf>
    <xf numFmtId="1" fontId="7" fillId="0" borderId="0" xfId="0" applyNumberFormat="1" applyFont="1" applyAlignment="1">
      <alignment horizontal="right"/>
    </xf>
    <xf numFmtId="0" fontId="0" fillId="0" borderId="0" xfId="0" applyFont="1" applyAlignment="1">
      <alignment horizontal="left"/>
    </xf>
    <xf numFmtId="0" fontId="9" fillId="0" borderId="2" xfId="0" applyFont="1" applyBorder="1" applyAlignment="1">
      <alignment horizontal="right"/>
    </xf>
    <xf numFmtId="0" fontId="9" fillId="0" borderId="12" xfId="0" applyFont="1" applyBorder="1" applyAlignment="1">
      <alignment horizontal="right"/>
    </xf>
    <xf numFmtId="3" fontId="9" fillId="0" borderId="12" xfId="0" applyNumberFormat="1" applyFont="1" applyBorder="1" applyAlignment="1">
      <alignment horizontal="right"/>
    </xf>
    <xf numFmtId="3" fontId="9" fillId="0" borderId="5" xfId="0" applyNumberFormat="1" applyFont="1" applyBorder="1" applyAlignment="1">
      <alignment horizontal="right"/>
    </xf>
    <xf numFmtId="168" fontId="9" fillId="0" borderId="13" xfId="1" applyNumberFormat="1" applyFont="1" applyBorder="1" applyAlignment="1">
      <alignment horizontal="right"/>
    </xf>
    <xf numFmtId="168" fontId="9" fillId="0" borderId="14" xfId="1" applyNumberFormat="1" applyFont="1" applyBorder="1" applyAlignment="1">
      <alignment horizontal="right"/>
    </xf>
    <xf numFmtId="0" fontId="8" fillId="0" borderId="0" xfId="0" applyFont="1" applyBorder="1" applyAlignment="1">
      <alignment horizontal="left"/>
    </xf>
    <xf numFmtId="0" fontId="9" fillId="0" borderId="0" xfId="0" applyFont="1" applyBorder="1" applyAlignment="1"/>
    <xf numFmtId="166" fontId="8" fillId="0" borderId="0" xfId="1" applyNumberFormat="1" applyFont="1" applyBorder="1" applyAlignment="1">
      <alignment horizontal="right"/>
    </xf>
    <xf numFmtId="166" fontId="8" fillId="0" borderId="9" xfId="1" applyNumberFormat="1" applyFont="1" applyBorder="1" applyAlignment="1">
      <alignment horizontal="right"/>
    </xf>
    <xf numFmtId="166" fontId="6" fillId="0" borderId="0" xfId="0" applyNumberFormat="1" applyFont="1" applyBorder="1" applyAlignment="1">
      <alignment horizontal="right"/>
    </xf>
    <xf numFmtId="166" fontId="6" fillId="0" borderId="9" xfId="0" applyNumberFormat="1" applyFont="1" applyBorder="1" applyAlignment="1">
      <alignment horizontal="right"/>
    </xf>
    <xf numFmtId="166" fontId="8" fillId="0" borderId="1" xfId="1" applyNumberFormat="1" applyFont="1" applyBorder="1" applyAlignment="1">
      <alignment horizontal="right"/>
    </xf>
    <xf numFmtId="166" fontId="6" fillId="0" borderId="1" xfId="0" applyNumberFormat="1" applyFont="1" applyBorder="1" applyAlignment="1">
      <alignment horizontal="right"/>
    </xf>
    <xf numFmtId="166" fontId="6" fillId="0" borderId="11" xfId="0" applyNumberFormat="1" applyFont="1" applyBorder="1" applyAlignment="1">
      <alignment horizontal="right"/>
    </xf>
    <xf numFmtId="3" fontId="9" fillId="0" borderId="4" xfId="0" applyNumberFormat="1" applyFont="1" applyBorder="1" applyAlignment="1">
      <alignment horizontal="right"/>
    </xf>
    <xf numFmtId="0" fontId="10" fillId="0" borderId="0" xfId="0" applyFont="1" applyAlignment="1">
      <alignment wrapText="1"/>
    </xf>
    <xf numFmtId="0" fontId="0" fillId="0" borderId="0" xfId="0" applyFont="1" applyAlignment="1">
      <alignment wrapText="1"/>
    </xf>
    <xf numFmtId="0" fontId="11" fillId="0" borderId="0" xfId="0" applyFont="1" applyAlignment="1">
      <alignment wrapText="1"/>
    </xf>
    <xf numFmtId="9" fontId="0" fillId="0" borderId="0" xfId="0" applyNumberFormat="1" applyFont="1" applyAlignment="1">
      <alignment wrapText="1"/>
    </xf>
    <xf numFmtId="167" fontId="6" fillId="0" borderId="0" xfId="1" applyNumberFormat="1" applyFont="1" applyBorder="1" applyAlignment="1">
      <alignment horizontal="right"/>
    </xf>
    <xf numFmtId="167" fontId="6" fillId="0" borderId="9" xfId="1" applyNumberFormat="1" applyFont="1" applyBorder="1" applyAlignment="1">
      <alignment horizontal="right"/>
    </xf>
    <xf numFmtId="167" fontId="8" fillId="0" borderId="0" xfId="1" applyNumberFormat="1" applyFont="1" applyBorder="1" applyAlignment="1">
      <alignment horizontal="right"/>
    </xf>
    <xf numFmtId="167" fontId="6" fillId="0" borderId="1" xfId="1" applyNumberFormat="1" applyFont="1" applyBorder="1" applyAlignment="1">
      <alignment horizontal="right"/>
    </xf>
    <xf numFmtId="167" fontId="6" fillId="0" borderId="11" xfId="1" applyNumberFormat="1" applyFont="1" applyBorder="1" applyAlignment="1">
      <alignment horizontal="right"/>
    </xf>
    <xf numFmtId="43" fontId="0" fillId="0" borderId="7" xfId="1" applyFont="1" applyBorder="1" applyAlignment="1">
      <alignment horizontal="left" vertical="top"/>
    </xf>
    <xf numFmtId="43" fontId="0" fillId="0" borderId="0" xfId="1" applyFont="1" applyBorder="1" applyAlignment="1">
      <alignment horizontal="left" vertical="top"/>
    </xf>
    <xf numFmtId="0" fontId="3" fillId="0" borderId="0" xfId="0" applyFont="1" applyAlignment="1">
      <alignment horizontal="left"/>
    </xf>
    <xf numFmtId="0" fontId="0" fillId="0" borderId="4" xfId="0" applyFont="1" applyBorder="1" applyAlignment="1">
      <alignment horizontal="centerContinuous"/>
    </xf>
    <xf numFmtId="0" fontId="0" fillId="0" borderId="12" xfId="0" applyFont="1" applyBorder="1" applyAlignment="1">
      <alignment horizontal="centerContinuous"/>
    </xf>
    <xf numFmtId="0" fontId="0" fillId="0" borderId="5" xfId="0" applyFont="1" applyBorder="1" applyAlignment="1">
      <alignment horizontal="centerContinuous"/>
    </xf>
    <xf numFmtId="0" fontId="9" fillId="0" borderId="0" xfId="0" applyFont="1" applyAlignment="1">
      <alignment horizontal="left"/>
    </xf>
    <xf numFmtId="0" fontId="12" fillId="0" borderId="0" xfId="0" applyFont="1"/>
    <xf numFmtId="0" fontId="3" fillId="0" borderId="0" xfId="0" applyFont="1"/>
    <xf numFmtId="0" fontId="0" fillId="0" borderId="7" xfId="0" applyBorder="1"/>
    <xf numFmtId="166" fontId="6" fillId="2" borderId="0" xfId="0" applyNumberFormat="1" applyFont="1" applyFill="1" applyBorder="1" applyAlignment="1">
      <alignment horizontal="right"/>
    </xf>
    <xf numFmtId="0" fontId="14" fillId="0" borderId="0" xfId="0" applyFont="1"/>
    <xf numFmtId="0" fontId="0" fillId="0" borderId="0" xfId="0" applyAlignment="1">
      <alignment horizontal="center"/>
    </xf>
    <xf numFmtId="0" fontId="15" fillId="0" borderId="0" xfId="0" applyFont="1" applyAlignment="1">
      <alignment horizontal="center"/>
    </xf>
    <xf numFmtId="0" fontId="13" fillId="2" borderId="0" xfId="0" applyFont="1" applyFill="1" applyAlignment="1">
      <alignment horizontal="center"/>
    </xf>
    <xf numFmtId="6" fontId="13" fillId="2" borderId="0" xfId="0" applyNumberFormat="1" applyFont="1" applyFill="1" applyAlignment="1">
      <alignment horizontal="center"/>
    </xf>
    <xf numFmtId="2" fontId="13" fillId="3" borderId="0" xfId="0" applyNumberFormat="1" applyFont="1" applyFill="1" applyAlignment="1">
      <alignment horizontal="center"/>
    </xf>
    <xf numFmtId="0" fontId="13" fillId="3" borderId="0" xfId="0" applyFont="1" applyFill="1" applyAlignment="1">
      <alignment horizontal="centerContinuous"/>
    </xf>
    <xf numFmtId="0" fontId="0" fillId="0" borderId="0" xfId="0" applyFont="1" applyAlignment="1">
      <alignment horizontal="centerContinuous"/>
    </xf>
    <xf numFmtId="2" fontId="0" fillId="0" borderId="0" xfId="0" applyNumberFormat="1" applyAlignment="1">
      <alignment horizontal="center"/>
    </xf>
    <xf numFmtId="0" fontId="3" fillId="0" borderId="12" xfId="0" applyFont="1" applyBorder="1"/>
    <xf numFmtId="0" fontId="16" fillId="2" borderId="0" xfId="0" applyFont="1" applyFill="1" applyAlignment="1">
      <alignment horizontal="center"/>
    </xf>
    <xf numFmtId="0" fontId="13" fillId="0" borderId="0" xfId="0" applyFont="1"/>
    <xf numFmtId="6" fontId="0" fillId="0" borderId="0" xfId="0" applyNumberFormat="1"/>
    <xf numFmtId="44" fontId="0" fillId="0" borderId="0" xfId="0" applyNumberFormat="1"/>
    <xf numFmtId="0" fontId="0" fillId="0" borderId="1" xfId="0" applyBorder="1" applyAlignment="1">
      <alignment horizontal="center" vertical="center" wrapText="1"/>
    </xf>
    <xf numFmtId="0" fontId="0" fillId="0" borderId="11"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9" fontId="0" fillId="0" borderId="7" xfId="0" applyNumberFormat="1" applyBorder="1" applyAlignment="1">
      <alignment horizontal="center" vertical="center" wrapText="1"/>
    </xf>
    <xf numFmtId="9" fontId="0" fillId="0" borderId="8" xfId="0" applyNumberFormat="1" applyBorder="1" applyAlignment="1">
      <alignment horizontal="center" vertical="center" wrapText="1"/>
    </xf>
    <xf numFmtId="0" fontId="0" fillId="0" borderId="9"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1" xfId="0" applyFill="1" applyBorder="1" applyAlignment="1">
      <alignment horizontal="center" vertical="center" wrapText="1"/>
    </xf>
    <xf numFmtId="0" fontId="0" fillId="0" borderId="3" xfId="0" applyBorder="1" applyAlignment="1">
      <alignment horizontal="center" vertical="center" wrapText="1"/>
    </xf>
    <xf numFmtId="0" fontId="0" fillId="0" borderId="0" xfId="0" applyBorder="1" applyAlignment="1">
      <alignment horizontal="center" vertical="center" wrapText="1"/>
    </xf>
    <xf numFmtId="0" fontId="0" fillId="0" borderId="10" xfId="0" applyBorder="1" applyAlignment="1">
      <alignment horizontal="center" vertical="center" wrapText="1"/>
    </xf>
    <xf numFmtId="0" fontId="0" fillId="0" borderId="6" xfId="0" applyBorder="1" applyAlignment="1">
      <alignment horizontal="center" vertical="center" wrapText="1"/>
    </xf>
    <xf numFmtId="0" fontId="0" fillId="0" borderId="1" xfId="0" applyBorder="1"/>
    <xf numFmtId="2" fontId="0" fillId="0" borderId="0" xfId="0" applyNumberFormat="1"/>
    <xf numFmtId="0" fontId="0" fillId="0" borderId="0" xfId="0" applyAlignment="1">
      <alignment horizontal="center" vertical="center"/>
    </xf>
    <xf numFmtId="0" fontId="0" fillId="0" borderId="0" xfId="0" applyAlignment="1">
      <alignment vertical="center"/>
    </xf>
    <xf numFmtId="166" fontId="0" fillId="0" borderId="0" xfId="0" applyNumberFormat="1" applyAlignment="1">
      <alignment horizontal="center"/>
    </xf>
    <xf numFmtId="44" fontId="0" fillId="0" borderId="0" xfId="0" applyNumberFormat="1" applyAlignment="1">
      <alignment vertical="center"/>
    </xf>
    <xf numFmtId="0" fontId="14" fillId="0" borderId="0" xfId="0" applyFont="1" applyAlignment="1">
      <alignment horizontal="center"/>
    </xf>
    <xf numFmtId="0" fontId="14" fillId="0" borderId="0" xfId="0" applyFont="1" applyAlignment="1">
      <alignment horizontal="center" wrapText="1"/>
    </xf>
    <xf numFmtId="0" fontId="17" fillId="0" borderId="0" xfId="0" applyFont="1" applyAlignment="1">
      <alignment horizontal="center" wrapText="1"/>
    </xf>
    <xf numFmtId="0" fontId="0" fillId="0" borderId="4" xfId="0" applyBorder="1" applyAlignment="1">
      <alignment horizontal="center" vertical="center"/>
    </xf>
    <xf numFmtId="166" fontId="0" fillId="0" borderId="12" xfId="0" applyNumberFormat="1" applyBorder="1" applyAlignment="1">
      <alignment horizontal="center" vertical="center"/>
    </xf>
    <xf numFmtId="2" fontId="0" fillId="0" borderId="12" xfId="0" applyNumberFormat="1" applyBorder="1" applyAlignment="1">
      <alignment horizontal="center" vertical="center"/>
    </xf>
    <xf numFmtId="0" fontId="0" fillId="0" borderId="0" xfId="0" quotePrefix="1"/>
    <xf numFmtId="9" fontId="0" fillId="0" borderId="0" xfId="0" applyNumberFormat="1" applyAlignment="1">
      <alignment horizontal="left"/>
    </xf>
    <xf numFmtId="0" fontId="0" fillId="0" borderId="0" xfId="0" applyAlignment="1">
      <alignment horizontal="left"/>
    </xf>
    <xf numFmtId="43" fontId="0" fillId="0" borderId="15" xfId="1" applyFont="1" applyBorder="1" applyAlignment="1">
      <alignment horizontal="center" vertical="center" wrapText="1"/>
    </xf>
    <xf numFmtId="0" fontId="0" fillId="0" borderId="16" xfId="0" applyFont="1" applyBorder="1" applyAlignment="1">
      <alignment horizontal="center" vertical="center" wrapText="1"/>
    </xf>
    <xf numFmtId="44" fontId="0" fillId="0" borderId="16" xfId="2" applyFont="1" applyBorder="1" applyAlignment="1">
      <alignment horizontal="center" vertical="center" wrapText="1"/>
    </xf>
    <xf numFmtId="44" fontId="0" fillId="0" borderId="17" xfId="2" applyFont="1" applyBorder="1" applyAlignment="1">
      <alignment horizontal="center" vertical="center" wrapText="1"/>
    </xf>
    <xf numFmtId="6" fontId="15" fillId="0" borderId="0" xfId="0" applyNumberFormat="1" applyFont="1"/>
    <xf numFmtId="166" fontId="15" fillId="0" borderId="12" xfId="0" applyNumberFormat="1" applyFont="1" applyBorder="1" applyAlignment="1">
      <alignment horizontal="center" vertical="center"/>
    </xf>
    <xf numFmtId="2" fontId="15" fillId="0" borderId="12" xfId="0" applyNumberFormat="1" applyFont="1" applyBorder="1" applyAlignment="1">
      <alignment horizontal="center" vertical="center"/>
    </xf>
    <xf numFmtId="169" fontId="0" fillId="0" borderId="12" xfId="0" applyNumberFormat="1" applyBorder="1" applyAlignment="1">
      <alignment vertical="center"/>
    </xf>
    <xf numFmtId="169" fontId="3" fillId="4" borderId="5" xfId="0" applyNumberFormat="1" applyFont="1" applyFill="1" applyBorder="1" applyAlignment="1">
      <alignment vertical="center"/>
    </xf>
    <xf numFmtId="169" fontId="3" fillId="0" borderId="5" xfId="0" applyNumberFormat="1" applyFont="1" applyBorder="1" applyAlignment="1">
      <alignment vertical="center"/>
    </xf>
    <xf numFmtId="6" fontId="3" fillId="4" borderId="0" xfId="0" applyNumberFormat="1" applyFont="1" applyFill="1"/>
    <xf numFmtId="0" fontId="12" fillId="0" borderId="0" xfId="0" applyFont="1" applyAlignment="1">
      <alignment vertical="center"/>
    </xf>
    <xf numFmtId="9" fontId="19" fillId="3" borderId="0" xfId="0" applyNumberFormat="1" applyFont="1" applyFill="1" applyAlignment="1">
      <alignment horizontal="center"/>
    </xf>
    <xf numFmtId="0" fontId="0" fillId="0" borderId="18" xfId="0" applyBorder="1" applyAlignment="1">
      <alignment horizontal="center" vertical="top"/>
    </xf>
    <xf numFmtId="0" fontId="3" fillId="0" borderId="7" xfId="0" applyFont="1" applyFill="1" applyBorder="1" applyAlignment="1">
      <alignment horizontal="center" vertical="top"/>
    </xf>
    <xf numFmtId="0" fontId="3" fillId="0" borderId="7" xfId="0" applyFont="1" applyBorder="1"/>
    <xf numFmtId="169" fontId="3" fillId="0" borderId="7" xfId="0" applyNumberFormat="1" applyFont="1" applyBorder="1"/>
    <xf numFmtId="9" fontId="20" fillId="3" borderId="0" xfId="0" applyNumberFormat="1" applyFont="1" applyFill="1" applyAlignment="1">
      <alignment horizontal="center"/>
    </xf>
    <xf numFmtId="0" fontId="21" fillId="0" borderId="0" xfId="0" applyFont="1"/>
    <xf numFmtId="0" fontId="15" fillId="0" borderId="2" xfId="0" applyFont="1" applyBorder="1" applyAlignment="1">
      <alignment horizontal="center" vertical="top"/>
    </xf>
    <xf numFmtId="169" fontId="15" fillId="0" borderId="12" xfId="0" applyNumberFormat="1" applyFont="1" applyBorder="1" applyAlignment="1">
      <alignment vertical="center"/>
    </xf>
    <xf numFmtId="166" fontId="15" fillId="0" borderId="0" xfId="0" applyNumberFormat="1" applyFont="1" applyAlignment="1">
      <alignment horizontal="right" vertical="center"/>
    </xf>
    <xf numFmtId="2" fontId="0" fillId="0" borderId="7" xfId="0" applyNumberFormat="1" applyBorder="1" applyAlignment="1">
      <alignment horizontal="right"/>
    </xf>
    <xf numFmtId="6" fontId="18" fillId="0" borderId="0" xfId="0" applyNumberFormat="1" applyFont="1" applyFill="1" applyAlignment="1">
      <alignment horizontal="center"/>
    </xf>
    <xf numFmtId="169" fontId="15" fillId="0" borderId="0" xfId="0" applyNumberFormat="1" applyFont="1" applyAlignment="1">
      <alignment horizontal="center"/>
    </xf>
    <xf numFmtId="169" fontId="0" fillId="0" borderId="7" xfId="0" applyNumberFormat="1" applyBorder="1" applyAlignment="1">
      <alignment horizontal="center"/>
    </xf>
    <xf numFmtId="169" fontId="3" fillId="0" borderId="12" xfId="0" applyNumberFormat="1" applyFont="1" applyBorder="1" applyAlignment="1">
      <alignment horizontal="center"/>
    </xf>
    <xf numFmtId="169" fontId="0" fillId="0" borderId="0" xfId="0" applyNumberFormat="1" applyBorder="1" applyAlignment="1">
      <alignment horizontal="center"/>
    </xf>
    <xf numFmtId="166" fontId="15" fillId="0" borderId="0" xfId="0" applyNumberFormat="1" applyFont="1" applyBorder="1" applyAlignment="1">
      <alignment horizontal="center" vertical="center"/>
    </xf>
    <xf numFmtId="0" fontId="24" fillId="0" borderId="0" xfId="0" applyFont="1"/>
    <xf numFmtId="0" fontId="24" fillId="5" borderId="19" xfId="0" applyFont="1" applyFill="1" applyBorder="1"/>
    <xf numFmtId="0" fontId="24" fillId="5" borderId="19" xfId="0" applyFont="1" applyFill="1" applyBorder="1" applyAlignment="1">
      <alignment horizontal="left"/>
    </xf>
    <xf numFmtId="0" fontId="24" fillId="0" borderId="19" xfId="0" applyFont="1" applyBorder="1"/>
    <xf numFmtId="0" fontId="25" fillId="5" borderId="19" xfId="0" applyFont="1" applyFill="1" applyBorder="1"/>
    <xf numFmtId="0" fontId="24" fillId="5" borderId="0" xfId="0" applyFont="1" applyFill="1"/>
    <xf numFmtId="0" fontId="24" fillId="5" borderId="0" xfId="0" applyFont="1" applyFill="1" applyAlignment="1">
      <alignment horizontal="left"/>
    </xf>
    <xf numFmtId="0" fontId="25" fillId="5" borderId="0" xfId="0" applyFont="1" applyFill="1"/>
    <xf numFmtId="0" fontId="24" fillId="0" borderId="20" xfId="0" applyFont="1" applyFill="1" applyBorder="1"/>
    <xf numFmtId="0" fontId="24" fillId="0" borderId="19" xfId="0" applyFont="1" applyFill="1" applyBorder="1"/>
    <xf numFmtId="0" fontId="24" fillId="0" borderId="19" xfId="0" applyFont="1" applyFill="1" applyBorder="1" applyAlignment="1">
      <alignment horizontal="left"/>
    </xf>
    <xf numFmtId="0" fontId="24" fillId="0" borderId="22" xfId="0" applyFont="1" applyFill="1" applyBorder="1"/>
    <xf numFmtId="0" fontId="24" fillId="0" borderId="21" xfId="0" applyFont="1" applyFill="1" applyBorder="1"/>
    <xf numFmtId="0" fontId="24" fillId="0" borderId="0" xfId="0" applyFont="1" applyFill="1" applyAlignment="1">
      <alignment horizontal="left"/>
    </xf>
    <xf numFmtId="0" fontId="24" fillId="0" borderId="0" xfId="0" applyFont="1" applyFill="1" applyAlignment="1">
      <alignment horizontal="right"/>
    </xf>
    <xf numFmtId="0" fontId="24" fillId="0" borderId="0" xfId="0" applyFont="1" applyFill="1"/>
    <xf numFmtId="166" fontId="26" fillId="0" borderId="0" xfId="0" applyNumberFormat="1" applyFont="1" applyFill="1" applyAlignment="1">
      <alignment horizontal="center" vertical="center"/>
    </xf>
    <xf numFmtId="0" fontId="24" fillId="0" borderId="23" xfId="0" applyFont="1" applyFill="1" applyBorder="1"/>
    <xf numFmtId="0" fontId="24" fillId="7" borderId="0" xfId="0" applyFont="1" applyFill="1" applyAlignment="1">
      <alignment horizontal="left"/>
    </xf>
    <xf numFmtId="0" fontId="24" fillId="7" borderId="0" xfId="0" applyFont="1" applyFill="1"/>
    <xf numFmtId="0" fontId="24" fillId="7" borderId="23" xfId="0" applyFont="1" applyFill="1" applyBorder="1"/>
    <xf numFmtId="0" fontId="24" fillId="0" borderId="24" xfId="0" applyFont="1" applyFill="1" applyBorder="1"/>
    <xf numFmtId="0" fontId="24" fillId="0" borderId="25" xfId="0" applyFont="1" applyFill="1" applyBorder="1"/>
    <xf numFmtId="0" fontId="24" fillId="0" borderId="25" xfId="0" applyFont="1" applyFill="1" applyBorder="1" applyAlignment="1">
      <alignment horizontal="left"/>
    </xf>
    <xf numFmtId="0" fontId="24" fillId="0" borderId="26" xfId="0" applyFont="1" applyFill="1" applyBorder="1"/>
    <xf numFmtId="0" fontId="27" fillId="6" borderId="27" xfId="0" applyFont="1" applyFill="1" applyBorder="1"/>
    <xf numFmtId="0" fontId="27" fillId="6" borderId="28" xfId="0" applyFont="1" applyFill="1" applyBorder="1"/>
    <xf numFmtId="0" fontId="27" fillId="6" borderId="29" xfId="0" applyFont="1" applyFill="1" applyBorder="1" applyAlignment="1">
      <alignment horizontal="right"/>
    </xf>
    <xf numFmtId="0" fontId="27" fillId="6" borderId="29" xfId="0" applyFont="1" applyFill="1" applyBorder="1" applyAlignment="1">
      <alignment horizontal="left"/>
    </xf>
    <xf numFmtId="0" fontId="27" fillId="6" borderId="30" xfId="0" applyFont="1" applyFill="1" applyBorder="1"/>
    <xf numFmtId="0" fontId="27" fillId="5" borderId="27" xfId="0" applyFont="1" applyFill="1" applyBorder="1"/>
    <xf numFmtId="0" fontId="27" fillId="5" borderId="29" xfId="0" applyFont="1" applyFill="1" applyBorder="1" applyAlignment="1">
      <alignment horizontal="left"/>
    </xf>
    <xf numFmtId="0" fontId="27" fillId="5" borderId="29" xfId="0" applyFont="1" applyFill="1" applyBorder="1"/>
    <xf numFmtId="0" fontId="24" fillId="0" borderId="30" xfId="0" applyFont="1" applyBorder="1"/>
    <xf numFmtId="0" fontId="27" fillId="0" borderId="29" xfId="0" applyFont="1" applyFill="1" applyBorder="1" applyAlignment="1">
      <alignment horizontal="left"/>
    </xf>
    <xf numFmtId="0" fontId="27" fillId="0" borderId="30" xfId="0" applyFont="1" applyFill="1" applyBorder="1"/>
    <xf numFmtId="0" fontId="27" fillId="0" borderId="28" xfId="0" applyFont="1" applyFill="1" applyBorder="1" applyAlignment="1">
      <alignment horizontal="left"/>
    </xf>
    <xf numFmtId="0" fontId="27" fillId="0" borderId="29" xfId="0" applyFont="1" applyFill="1" applyBorder="1"/>
    <xf numFmtId="0" fontId="27" fillId="6" borderId="31" xfId="0" applyFont="1" applyFill="1" applyBorder="1"/>
    <xf numFmtId="0" fontId="24" fillId="6" borderId="19" xfId="0" applyFont="1" applyFill="1" applyBorder="1"/>
    <xf numFmtId="0" fontId="24" fillId="6" borderId="19" xfId="0" applyFont="1" applyFill="1" applyBorder="1" applyAlignment="1">
      <alignment horizontal="left"/>
    </xf>
    <xf numFmtId="0" fontId="24" fillId="6" borderId="22" xfId="0" applyFont="1" applyFill="1" applyBorder="1"/>
    <xf numFmtId="0" fontId="27" fillId="5" borderId="31" xfId="0" applyFont="1" applyFill="1" applyBorder="1"/>
    <xf numFmtId="0" fontId="24" fillId="7" borderId="20" xfId="0" applyFont="1" applyFill="1" applyBorder="1" applyAlignment="1">
      <alignment horizontal="left"/>
    </xf>
    <xf numFmtId="0" fontId="24" fillId="7" borderId="19" xfId="0" applyFont="1" applyFill="1" applyBorder="1"/>
    <xf numFmtId="169" fontId="24" fillId="7" borderId="22" xfId="2" applyNumberFormat="1" applyFont="1" applyFill="1" applyBorder="1"/>
    <xf numFmtId="0" fontId="24" fillId="7" borderId="19" xfId="0" applyFont="1" applyFill="1" applyBorder="1" applyAlignment="1">
      <alignment horizontal="left"/>
    </xf>
    <xf numFmtId="0" fontId="24" fillId="5" borderId="31" xfId="0" applyFont="1" applyFill="1" applyBorder="1"/>
    <xf numFmtId="0" fontId="27" fillId="6" borderId="32" xfId="0" applyFont="1" applyFill="1" applyBorder="1"/>
    <xf numFmtId="0" fontId="24" fillId="6" borderId="0" xfId="0" applyFont="1" applyFill="1"/>
    <xf numFmtId="0" fontId="24" fillId="6" borderId="0" xfId="0" applyFont="1" applyFill="1" applyAlignment="1">
      <alignment horizontal="left"/>
    </xf>
    <xf numFmtId="0" fontId="24" fillId="6" borderId="23" xfId="0" applyFont="1" applyFill="1" applyBorder="1"/>
    <xf numFmtId="0" fontId="27" fillId="5" borderId="32" xfId="0" applyFont="1" applyFill="1" applyBorder="1" applyAlignment="1">
      <alignment horizontal="center"/>
    </xf>
    <xf numFmtId="0" fontId="24" fillId="7" borderId="21" xfId="0" applyFont="1" applyFill="1" applyBorder="1" applyAlignment="1">
      <alignment horizontal="left"/>
    </xf>
    <xf numFmtId="6" fontId="24" fillId="7" borderId="0" xfId="0" applyNumberFormat="1" applyFont="1" applyFill="1"/>
    <xf numFmtId="169" fontId="24" fillId="7" borderId="23" xfId="2" applyNumberFormat="1" applyFont="1" applyFill="1" applyBorder="1"/>
    <xf numFmtId="10" fontId="24" fillId="5" borderId="32" xfId="0" applyNumberFormat="1" applyFont="1" applyFill="1" applyBorder="1" applyAlignment="1">
      <alignment horizontal="center"/>
    </xf>
    <xf numFmtId="0" fontId="27" fillId="6" borderId="33" xfId="0" applyFont="1" applyFill="1" applyBorder="1"/>
    <xf numFmtId="0" fontId="24" fillId="6" borderId="25" xfId="0" applyFont="1" applyFill="1" applyBorder="1"/>
    <xf numFmtId="0" fontId="24" fillId="6" borderId="25" xfId="0" applyFont="1" applyFill="1" applyBorder="1" applyAlignment="1">
      <alignment horizontal="left"/>
    </xf>
    <xf numFmtId="0" fontId="24" fillId="6" borderId="26" xfId="0" applyFont="1" applyFill="1" applyBorder="1"/>
    <xf numFmtId="0" fontId="27" fillId="5" borderId="33" xfId="0" applyFont="1" applyFill="1" applyBorder="1"/>
    <xf numFmtId="0" fontId="24" fillId="7" borderId="24" xfId="0" applyFont="1" applyFill="1" applyBorder="1" applyAlignment="1">
      <alignment horizontal="left"/>
    </xf>
    <xf numFmtId="6" fontId="24" fillId="7" borderId="25" xfId="0" applyNumberFormat="1" applyFont="1" applyFill="1" applyBorder="1"/>
    <xf numFmtId="0" fontId="24" fillId="7" borderId="25" xfId="0" applyFont="1" applyFill="1" applyBorder="1"/>
    <xf numFmtId="6" fontId="24" fillId="7" borderId="26" xfId="0" applyNumberFormat="1" applyFont="1" applyFill="1" applyBorder="1"/>
    <xf numFmtId="0" fontId="24" fillId="7" borderId="25" xfId="0" applyFont="1" applyFill="1" applyBorder="1" applyAlignment="1">
      <alignment horizontal="left"/>
    </xf>
    <xf numFmtId="169" fontId="24" fillId="7" borderId="26" xfId="2" applyNumberFormat="1" applyFont="1" applyFill="1" applyBorder="1"/>
    <xf numFmtId="0" fontId="24" fillId="5" borderId="33" xfId="0" applyFont="1" applyFill="1" applyBorder="1"/>
    <xf numFmtId="0" fontId="24" fillId="5" borderId="20" xfId="0" applyFont="1" applyFill="1" applyBorder="1" applyAlignment="1">
      <alignment horizontal="left"/>
    </xf>
    <xf numFmtId="169" fontId="24" fillId="5" borderId="22" xfId="2" applyNumberFormat="1" applyFont="1" applyFill="1" applyBorder="1"/>
    <xf numFmtId="169" fontId="24" fillId="0" borderId="22" xfId="2" applyNumberFormat="1" applyFont="1" applyFill="1" applyBorder="1"/>
    <xf numFmtId="0" fontId="24" fillId="5" borderId="21" xfId="0" applyFont="1" applyFill="1" applyBorder="1" applyAlignment="1">
      <alignment horizontal="left"/>
    </xf>
    <xf numFmtId="169" fontId="24" fillId="5" borderId="0" xfId="2" applyNumberFormat="1" applyFont="1" applyFill="1" applyBorder="1"/>
    <xf numFmtId="169" fontId="24" fillId="5" borderId="23" xfId="2" applyNumberFormat="1" applyFont="1" applyFill="1" applyBorder="1"/>
    <xf numFmtId="169" fontId="24" fillId="0" borderId="23" xfId="2" applyNumberFormat="1" applyFont="1" applyFill="1" applyBorder="1"/>
    <xf numFmtId="0" fontId="24" fillId="5" borderId="24" xfId="0" applyFont="1" applyFill="1" applyBorder="1" applyAlignment="1">
      <alignment horizontal="left"/>
    </xf>
    <xf numFmtId="169" fontId="24" fillId="5" borderId="25" xfId="2" applyNumberFormat="1" applyFont="1" applyFill="1" applyBorder="1"/>
    <xf numFmtId="0" fontId="24" fillId="5" borderId="25" xfId="0" applyFont="1" applyFill="1" applyBorder="1"/>
    <xf numFmtId="170" fontId="24" fillId="5" borderId="26" xfId="0" applyNumberFormat="1" applyFont="1" applyFill="1" applyBorder="1"/>
    <xf numFmtId="169" fontId="24" fillId="0" borderId="26" xfId="2" applyNumberFormat="1" applyFont="1" applyFill="1" applyBorder="1"/>
    <xf numFmtId="168" fontId="24" fillId="5" borderId="26" xfId="1" applyNumberFormat="1" applyFont="1" applyFill="1" applyBorder="1"/>
    <xf numFmtId="0" fontId="24" fillId="5" borderId="22" xfId="0" applyFont="1" applyFill="1" applyBorder="1"/>
    <xf numFmtId="0" fontId="27" fillId="5" borderId="32" xfId="0" applyFont="1" applyFill="1" applyBorder="1"/>
    <xf numFmtId="0" fontId="24" fillId="5" borderId="23" xfId="0" applyFont="1" applyFill="1" applyBorder="1"/>
    <xf numFmtId="0" fontId="24" fillId="5" borderId="26" xfId="0" applyFont="1" applyFill="1" applyBorder="1"/>
    <xf numFmtId="0" fontId="24" fillId="0" borderId="21" xfId="0" applyFont="1" applyBorder="1"/>
    <xf numFmtId="0" fontId="24" fillId="0" borderId="0" xfId="0" applyFont="1" applyAlignment="1">
      <alignment horizontal="left"/>
    </xf>
    <xf numFmtId="0" fontId="28" fillId="0" borderId="0" xfId="0" applyFont="1" applyFill="1" applyAlignment="1">
      <alignment horizontal="center" vertical="center"/>
    </xf>
    <xf numFmtId="14" fontId="28" fillId="0" borderId="0" xfId="0" applyNumberFormat="1" applyFont="1" applyFill="1" applyAlignment="1">
      <alignment horizontal="center" vertical="center"/>
    </xf>
    <xf numFmtId="0" fontId="28" fillId="0" borderId="0" xfId="0" applyFont="1" applyFill="1" applyAlignment="1">
      <alignment horizontal="left" vertical="center"/>
    </xf>
    <xf numFmtId="2" fontId="28" fillId="0" borderId="0" xfId="0" applyNumberFormat="1" applyFont="1" applyFill="1" applyAlignment="1">
      <alignment horizontal="left" vertical="center"/>
    </xf>
    <xf numFmtId="0" fontId="8" fillId="0" borderId="0" xfId="0" applyFont="1"/>
    <xf numFmtId="0" fontId="9" fillId="0" borderId="0" xfId="0" applyFont="1"/>
    <xf numFmtId="0" fontId="9" fillId="0" borderId="2" xfId="0" applyFont="1" applyBorder="1" applyAlignment="1">
      <alignment horizontal="center" vertical="center" wrapText="1"/>
    </xf>
    <xf numFmtId="0" fontId="8" fillId="0" borderId="2" xfId="0" applyFont="1" applyBorder="1" applyAlignment="1">
      <alignment horizontal="center" vertical="center" wrapText="1"/>
    </xf>
    <xf numFmtId="0" fontId="8" fillId="0" borderId="0" xfId="0" applyFont="1" applyAlignment="1">
      <alignment horizontal="left" vertical="center"/>
    </xf>
    <xf numFmtId="0" fontId="29" fillId="0" borderId="0" xfId="0" applyFont="1"/>
    <xf numFmtId="0" fontId="29" fillId="0" borderId="0" xfId="0" applyFont="1" applyAlignment="1">
      <alignment horizontal="center"/>
    </xf>
    <xf numFmtId="0" fontId="8" fillId="0" borderId="0" xfId="0" applyFont="1" applyAlignment="1">
      <alignment horizontal="center"/>
    </xf>
    <xf numFmtId="0" fontId="8" fillId="0" borderId="0" xfId="0" applyFont="1" applyAlignment="1"/>
    <xf numFmtId="0" fontId="9" fillId="0" borderId="0" xfId="0" applyFont="1" applyAlignment="1">
      <alignment horizontal="left" vertical="center"/>
    </xf>
    <xf numFmtId="0" fontId="29" fillId="0" borderId="0" xfId="0" applyFont="1" applyAlignment="1">
      <alignment horizontal="center" wrapText="1"/>
    </xf>
    <xf numFmtId="0" fontId="30" fillId="0" borderId="34" xfId="0" applyFont="1" applyBorder="1" applyAlignment="1">
      <alignment horizontal="center" vertical="center"/>
    </xf>
    <xf numFmtId="2" fontId="30" fillId="0" borderId="34" xfId="0" applyNumberFormat="1" applyFont="1" applyBorder="1" applyAlignment="1">
      <alignment horizontal="center"/>
    </xf>
    <xf numFmtId="0" fontId="8" fillId="0" borderId="0" xfId="0" quotePrefix="1" applyFont="1" applyAlignment="1">
      <alignment horizontal="center"/>
    </xf>
    <xf numFmtId="9" fontId="30" fillId="0" borderId="34" xfId="0" applyNumberFormat="1" applyFont="1" applyBorder="1" applyAlignment="1">
      <alignment horizontal="center"/>
    </xf>
    <xf numFmtId="0" fontId="30" fillId="0" borderId="34" xfId="0" applyFont="1" applyBorder="1" applyAlignment="1">
      <alignment horizontal="center"/>
    </xf>
    <xf numFmtId="10" fontId="30" fillId="0" borderId="34" xfId="0" applyNumberFormat="1" applyFont="1" applyBorder="1" applyAlignment="1">
      <alignment horizontal="center"/>
    </xf>
    <xf numFmtId="0" fontId="9" fillId="0" borderId="0" xfId="0" applyFont="1" applyAlignment="1">
      <alignment horizontal="justify" vertical="center"/>
    </xf>
    <xf numFmtId="0" fontId="31" fillId="0" borderId="0" xfId="0" applyFont="1" applyAlignment="1">
      <alignment horizontal="left" vertical="center"/>
    </xf>
    <xf numFmtId="0" fontId="8" fillId="0" borderId="0" xfId="0" applyFont="1" applyAlignment="1">
      <alignment horizontal="left" vertical="center" indent="3"/>
    </xf>
    <xf numFmtId="0" fontId="8" fillId="0" borderId="0" xfId="0" applyFont="1" applyAlignment="1">
      <alignment vertical="center"/>
    </xf>
    <xf numFmtId="0" fontId="33" fillId="0" borderId="0" xfId="0" applyFont="1" applyAlignment="1">
      <alignment horizontal="left" vertical="center" indent="3"/>
    </xf>
    <xf numFmtId="0" fontId="9" fillId="0" borderId="0" xfId="0" applyFont="1" applyAlignment="1">
      <alignment horizontal="left" vertical="center" wrapText="1"/>
    </xf>
    <xf numFmtId="0" fontId="29" fillId="0" borderId="0" xfId="0" applyFont="1" applyAlignment="1">
      <alignment horizontal="right" vertical="center" wrapText="1"/>
    </xf>
    <xf numFmtId="0" fontId="9" fillId="0" borderId="0" xfId="0" applyFont="1" applyAlignment="1">
      <alignment vertical="center"/>
    </xf>
    <xf numFmtId="0" fontId="8" fillId="0" borderId="0" xfId="0" applyFont="1" applyBorder="1" applyAlignment="1">
      <alignment horizontal="left" vertical="center" wrapText="1"/>
    </xf>
    <xf numFmtId="0" fontId="8" fillId="0" borderId="0" xfId="0" applyFont="1" applyBorder="1" applyAlignment="1">
      <alignment horizontal="center" vertical="center" wrapText="1"/>
    </xf>
    <xf numFmtId="0" fontId="8" fillId="0" borderId="0" xfId="0" applyFont="1" applyAlignment="1">
      <alignment horizontal="center" vertical="center"/>
    </xf>
    <xf numFmtId="0" fontId="8" fillId="0" borderId="18"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2" xfId="0" applyFont="1" applyBorder="1" applyAlignment="1">
      <alignment horizontal="left" vertical="center" wrapText="1"/>
    </xf>
    <xf numFmtId="6" fontId="8" fillId="0" borderId="14" xfId="0" applyNumberFormat="1" applyFont="1" applyBorder="1" applyAlignment="1">
      <alignment horizontal="center" vertical="center" wrapText="1"/>
    </xf>
    <xf numFmtId="6" fontId="8" fillId="0" borderId="2" xfId="0" applyNumberFormat="1" applyFont="1" applyBorder="1" applyAlignment="1">
      <alignment horizontal="center" vertical="center" wrapText="1"/>
    </xf>
    <xf numFmtId="0" fontId="6" fillId="0" borderId="0" xfId="0" applyFont="1" applyAlignment="1">
      <alignment horizontal="left" vertical="center"/>
    </xf>
    <xf numFmtId="0" fontId="34" fillId="8" borderId="35" xfId="3" applyFont="1" applyFill="1" applyBorder="1"/>
    <xf numFmtId="0" fontId="32" fillId="8" borderId="35" xfId="3" applyFill="1" applyBorder="1" applyAlignment="1">
      <alignment horizontal="center"/>
    </xf>
    <xf numFmtId="0" fontId="34" fillId="8" borderId="36" xfId="3" applyFont="1" applyFill="1" applyBorder="1" applyAlignment="1">
      <alignment horizontal="center"/>
    </xf>
    <xf numFmtId="0" fontId="32" fillId="8" borderId="36" xfId="3" applyFill="1" applyBorder="1" applyAlignment="1">
      <alignment horizontal="center"/>
    </xf>
    <xf numFmtId="0" fontId="34" fillId="0" borderId="37" xfId="3" applyFont="1" applyBorder="1"/>
    <xf numFmtId="0" fontId="32" fillId="0" borderId="37" xfId="3" applyBorder="1" applyAlignment="1">
      <alignment horizontal="center"/>
    </xf>
    <xf numFmtId="0" fontId="34" fillId="0" borderId="35" xfId="3" applyFont="1" applyBorder="1"/>
    <xf numFmtId="0" fontId="34" fillId="0" borderId="38" xfId="3" applyFont="1" applyBorder="1"/>
    <xf numFmtId="0" fontId="32" fillId="0" borderId="38" xfId="3" applyBorder="1" applyAlignment="1">
      <alignment horizontal="center"/>
    </xf>
    <xf numFmtId="0" fontId="32" fillId="0" borderId="35" xfId="3" applyBorder="1" applyAlignment="1">
      <alignment horizontal="center"/>
    </xf>
    <xf numFmtId="0" fontId="8" fillId="0" borderId="0" xfId="0" quotePrefix="1" applyFont="1"/>
    <xf numFmtId="0" fontId="9" fillId="0" borderId="3" xfId="0" applyFont="1" applyBorder="1" applyAlignment="1">
      <alignment horizontal="left" vertical="center" wrapText="1"/>
    </xf>
    <xf numFmtId="0" fontId="9" fillId="0" borderId="0" xfId="0" applyFont="1" applyBorder="1" applyAlignment="1">
      <alignment horizontal="left" vertical="center" wrapText="1"/>
    </xf>
    <xf numFmtId="0" fontId="9" fillId="0" borderId="9" xfId="0" applyFont="1" applyBorder="1" applyAlignment="1">
      <alignment horizontal="left" vertical="center" wrapText="1"/>
    </xf>
    <xf numFmtId="0" fontId="9" fillId="0" borderId="10" xfId="0" applyFont="1" applyBorder="1" applyAlignment="1">
      <alignment horizontal="justify" vertical="center"/>
    </xf>
    <xf numFmtId="0" fontId="8" fillId="0" borderId="1" xfId="0" applyFont="1" applyBorder="1"/>
    <xf numFmtId="0" fontId="8" fillId="0" borderId="11" xfId="0" applyFont="1" applyBorder="1"/>
    <xf numFmtId="0" fontId="32" fillId="0" borderId="37" xfId="3" applyFill="1" applyBorder="1" applyAlignment="1">
      <alignment horizontal="center"/>
    </xf>
    <xf numFmtId="0" fontId="32" fillId="0" borderId="38" xfId="3" applyFill="1" applyBorder="1" applyAlignment="1">
      <alignment horizontal="center"/>
    </xf>
    <xf numFmtId="171" fontId="34" fillId="0" borderId="0" xfId="3" applyNumberFormat="1" applyFont="1" applyBorder="1" applyAlignment="1">
      <alignment horizontal="left"/>
    </xf>
    <xf numFmtId="0" fontId="8" fillId="0" borderId="0" xfId="0" quotePrefix="1" applyFont="1" applyBorder="1" applyAlignment="1">
      <alignment horizontal="center" vertical="center" wrapText="1"/>
    </xf>
    <xf numFmtId="9" fontId="30" fillId="0" borderId="34" xfId="0" applyNumberFormat="1" applyFont="1" applyBorder="1" applyAlignment="1">
      <alignment horizontal="center" vertical="center"/>
    </xf>
    <xf numFmtId="2" fontId="8" fillId="0" borderId="0" xfId="0" applyNumberFormat="1" applyFont="1" applyAlignment="1">
      <alignment horizontal="center"/>
    </xf>
    <xf numFmtId="9" fontId="8" fillId="0" borderId="0" xfId="0" applyNumberFormat="1" applyFont="1"/>
    <xf numFmtId="3" fontId="30" fillId="0" borderId="34" xfId="0" applyNumberFormat="1" applyFont="1" applyBorder="1" applyAlignment="1">
      <alignment horizontal="center" vertical="center"/>
    </xf>
    <xf numFmtId="0" fontId="3" fillId="0" borderId="0" xfId="0" applyFont="1" applyAlignment="1">
      <alignment vertical="center"/>
    </xf>
    <xf numFmtId="0" fontId="3" fillId="0" borderId="0" xfId="0" applyFont="1" applyAlignment="1">
      <alignment horizontal="left" vertical="center"/>
    </xf>
    <xf numFmtId="0" fontId="0" fillId="0" borderId="0" xfId="0" applyFont="1" applyAlignment="1">
      <alignment horizontal="left" vertical="center"/>
    </xf>
    <xf numFmtId="0" fontId="0" fillId="0" borderId="0" xfId="0" applyFont="1" applyAlignment="1"/>
    <xf numFmtId="0" fontId="17" fillId="0" borderId="0" xfId="0" applyFont="1" applyAlignment="1">
      <alignment horizontal="justify" vertical="center"/>
    </xf>
    <xf numFmtId="0" fontId="35" fillId="0" borderId="0" xfId="0" applyFont="1"/>
    <xf numFmtId="0" fontId="8" fillId="0" borderId="0" xfId="0" quotePrefix="1" applyFont="1" applyFill="1"/>
    <xf numFmtId="0" fontId="8" fillId="2" borderId="0" xfId="0" applyFont="1" applyFill="1"/>
    <xf numFmtId="0" fontId="9" fillId="2" borderId="0"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9" fillId="2" borderId="0" xfId="0" applyFont="1" applyFill="1" applyBorder="1" applyAlignment="1">
      <alignment horizontal="left" vertical="center" wrapText="1"/>
    </xf>
    <xf numFmtId="0" fontId="8" fillId="0" borderId="0" xfId="0" applyFont="1" applyFill="1"/>
    <xf numFmtId="2" fontId="8" fillId="0" borderId="0" xfId="0" applyNumberFormat="1" applyFont="1"/>
    <xf numFmtId="0" fontId="9" fillId="0" borderId="2" xfId="0" applyFont="1" applyBorder="1" applyAlignment="1">
      <alignment horizontal="center"/>
    </xf>
    <xf numFmtId="0" fontId="8" fillId="0" borderId="0" xfId="0" applyFont="1" applyBorder="1"/>
    <xf numFmtId="0" fontId="8" fillId="0" borderId="0" xfId="0" quotePrefix="1" applyFont="1" applyBorder="1"/>
    <xf numFmtId="0" fontId="36" fillId="0" borderId="0" xfId="0" applyFont="1"/>
    <xf numFmtId="0" fontId="6" fillId="0" borderId="0" xfId="0" applyFont="1"/>
    <xf numFmtId="6" fontId="13" fillId="0" borderId="0" xfId="0" applyNumberFormat="1" applyFont="1" applyFill="1" applyAlignment="1">
      <alignment horizontal="center"/>
    </xf>
    <xf numFmtId="9" fontId="4" fillId="0" borderId="0" xfId="0" applyNumberFormat="1" applyFont="1"/>
    <xf numFmtId="9" fontId="8" fillId="0" borderId="2" xfId="0" applyNumberFormat="1" applyFont="1" applyBorder="1" applyAlignment="1">
      <alignment horizontal="center"/>
    </xf>
    <xf numFmtId="2" fontId="8" fillId="0" borderId="2" xfId="0" applyNumberFormat="1" applyFont="1" applyBorder="1" applyAlignment="1">
      <alignment horizontal="center"/>
    </xf>
    <xf numFmtId="0" fontId="8" fillId="0" borderId="2" xfId="0" applyFont="1" applyBorder="1" applyAlignment="1">
      <alignment horizontal="center"/>
    </xf>
    <xf numFmtId="0" fontId="8" fillId="0" borderId="12" xfId="0" applyFont="1" applyBorder="1" applyAlignment="1">
      <alignment horizontal="center"/>
    </xf>
    <xf numFmtId="0" fontId="37" fillId="0" borderId="0" xfId="0" applyFont="1"/>
    <xf numFmtId="0" fontId="30" fillId="0" borderId="39" xfId="0" applyFont="1" applyBorder="1" applyAlignment="1">
      <alignment horizontal="center"/>
    </xf>
    <xf numFmtId="3" fontId="30" fillId="0" borderId="0" xfId="0" applyNumberFormat="1" applyFont="1" applyBorder="1" applyAlignment="1">
      <alignment horizontal="center" vertical="center"/>
    </xf>
    <xf numFmtId="0" fontId="9" fillId="0" borderId="6" xfId="0" applyFont="1" applyBorder="1"/>
    <xf numFmtId="0" fontId="8" fillId="0" borderId="8" xfId="0" applyFont="1" applyBorder="1"/>
    <xf numFmtId="0" fontId="8" fillId="0" borderId="3" xfId="0" applyFont="1" applyBorder="1"/>
    <xf numFmtId="0" fontId="8" fillId="0" borderId="9" xfId="0" applyFont="1" applyBorder="1"/>
    <xf numFmtId="0" fontId="8" fillId="0" borderId="3" xfId="0" applyFont="1" applyBorder="1" applyAlignment="1">
      <alignment horizontal="left" vertical="center"/>
    </xf>
    <xf numFmtId="6" fontId="8" fillId="0" borderId="9" xfId="0" applyNumberFormat="1" applyFont="1" applyBorder="1"/>
    <xf numFmtId="0" fontId="8" fillId="0" borderId="3" xfId="0" applyFont="1" applyBorder="1" applyAlignment="1">
      <alignment horizontal="left" vertical="center" wrapText="1"/>
    </xf>
    <xf numFmtId="0" fontId="8" fillId="0" borderId="10" xfId="0" applyFont="1" applyBorder="1"/>
    <xf numFmtId="172" fontId="8" fillId="0" borderId="2" xfId="0" applyNumberFormat="1" applyFont="1" applyBorder="1" applyAlignment="1">
      <alignment horizontal="center"/>
    </xf>
    <xf numFmtId="0" fontId="8" fillId="0" borderId="9" xfId="0" applyFont="1" applyBorder="1" applyAlignment="1">
      <alignment horizontal="right"/>
    </xf>
    <xf numFmtId="0" fontId="8" fillId="0" borderId="3" xfId="0" applyFont="1" applyBorder="1" applyAlignment="1">
      <alignment horizontal="center"/>
    </xf>
    <xf numFmtId="172" fontId="8" fillId="0" borderId="0" xfId="0" applyNumberFormat="1" applyFont="1" applyBorder="1" applyAlignment="1">
      <alignment horizontal="center"/>
    </xf>
    <xf numFmtId="172" fontId="9" fillId="0" borderId="2" xfId="0" applyNumberFormat="1" applyFont="1" applyBorder="1" applyAlignment="1">
      <alignment horizontal="center"/>
    </xf>
    <xf numFmtId="0" fontId="8" fillId="0" borderId="2" xfId="0" applyFont="1" applyBorder="1" applyAlignment="1">
      <alignment horizontal="center" vertical="center" wrapText="1"/>
    </xf>
    <xf numFmtId="0" fontId="9" fillId="0" borderId="0" xfId="0" applyFont="1" applyAlignment="1">
      <alignment horizontal="center"/>
    </xf>
    <xf numFmtId="0" fontId="8" fillId="0" borderId="0" xfId="0" quotePrefix="1" applyFont="1" applyAlignment="1"/>
    <xf numFmtId="9" fontId="30" fillId="0" borderId="0" xfId="0" applyNumberFormat="1" applyFont="1" applyBorder="1" applyAlignment="1">
      <alignment horizontal="center" vertical="center"/>
    </xf>
    <xf numFmtId="9" fontId="9" fillId="0" borderId="2" xfId="0" quotePrefix="1" applyNumberFormat="1" applyFont="1" applyBorder="1" applyAlignment="1">
      <alignment horizontal="center"/>
    </xf>
    <xf numFmtId="9" fontId="8" fillId="0" borderId="2" xfId="0" applyNumberFormat="1" applyFont="1" applyBorder="1" applyAlignment="1">
      <alignment horizontal="center" vertical="center" wrapText="1"/>
    </xf>
    <xf numFmtId="2" fontId="8" fillId="0" borderId="2" xfId="0" applyNumberFormat="1" applyFont="1" applyBorder="1" applyAlignment="1">
      <alignment horizontal="center" vertical="center" wrapText="1"/>
    </xf>
    <xf numFmtId="0" fontId="0" fillId="0" borderId="0" xfId="0" applyAlignment="1"/>
    <xf numFmtId="0" fontId="9" fillId="0" borderId="2" xfId="0" applyFont="1" applyBorder="1" applyAlignment="1">
      <alignment horizontal="center" vertical="center"/>
    </xf>
    <xf numFmtId="0" fontId="34" fillId="0" borderId="36" xfId="3" applyFont="1" applyBorder="1"/>
    <xf numFmtId="9" fontId="8" fillId="0" borderId="2" xfId="4" applyFont="1" applyBorder="1" applyAlignment="1">
      <alignment horizontal="center" vertical="center" wrapText="1"/>
    </xf>
    <xf numFmtId="9" fontId="8" fillId="0" borderId="2" xfId="4" applyNumberFormat="1" applyFont="1" applyBorder="1" applyAlignment="1">
      <alignment horizontal="center" vertical="center" wrapText="1"/>
    </xf>
    <xf numFmtId="0" fontId="8" fillId="0" borderId="2" xfId="0" applyFont="1" applyBorder="1" applyAlignment="1">
      <alignment horizontal="left" vertical="center"/>
    </xf>
    <xf numFmtId="0" fontId="8" fillId="0" borderId="0" xfId="0" applyFont="1" applyBorder="1" applyAlignment="1">
      <alignment horizontal="left" vertical="center"/>
    </xf>
    <xf numFmtId="10" fontId="8" fillId="0" borderId="0" xfId="0" applyNumberFormat="1" applyFont="1" applyAlignment="1">
      <alignment horizontal="left"/>
    </xf>
    <xf numFmtId="0" fontId="9" fillId="0" borderId="2" xfId="0" applyFont="1" applyBorder="1" applyAlignment="1">
      <alignment horizontal="left" vertical="center"/>
    </xf>
    <xf numFmtId="9" fontId="8" fillId="0" borderId="0" xfId="0" applyNumberFormat="1" applyFont="1" applyBorder="1" applyAlignment="1">
      <alignment horizontal="center" vertical="center" wrapText="1"/>
    </xf>
    <xf numFmtId="0" fontId="0" fillId="0" borderId="0" xfId="0" quotePrefix="1" applyFont="1"/>
    <xf numFmtId="8" fontId="8" fillId="0" borderId="0" xfId="0" applyNumberFormat="1" applyFont="1"/>
    <xf numFmtId="0" fontId="8" fillId="9" borderId="0" xfId="0" applyFont="1" applyFill="1" applyAlignment="1">
      <alignment horizontal="center"/>
    </xf>
    <xf numFmtId="0" fontId="8" fillId="0" borderId="2" xfId="0" applyFont="1" applyBorder="1"/>
    <xf numFmtId="0" fontId="8" fillId="0" borderId="4" xfId="0" applyFont="1" applyBorder="1" applyAlignment="1">
      <alignment horizontal="left" vertical="center"/>
    </xf>
    <xf numFmtId="0" fontId="8" fillId="0" borderId="5" xfId="0" applyFont="1" applyBorder="1"/>
    <xf numFmtId="0" fontId="8" fillId="0" borderId="6" xfId="0" applyFont="1" applyBorder="1" applyAlignment="1">
      <alignment horizontal="left" vertical="center"/>
    </xf>
    <xf numFmtId="0" fontId="8" fillId="0" borderId="7" xfId="0" applyFont="1" applyBorder="1"/>
    <xf numFmtId="0" fontId="8" fillId="0" borderId="10" xfId="0" applyFont="1" applyBorder="1" applyAlignment="1">
      <alignment horizontal="left" vertical="center"/>
    </xf>
    <xf numFmtId="0" fontId="8" fillId="0" borderId="12" xfId="0" applyFont="1" applyBorder="1"/>
    <xf numFmtId="0" fontId="40" fillId="0" borderId="2" xfId="0" applyFont="1" applyBorder="1" applyAlignment="1">
      <alignment vertical="center" wrapText="1"/>
    </xf>
    <xf numFmtId="0" fontId="1" fillId="0" borderId="2" xfId="0" applyFont="1" applyBorder="1" applyAlignment="1">
      <alignment vertical="center" wrapText="1"/>
    </xf>
    <xf numFmtId="0" fontId="1" fillId="0" borderId="0" xfId="0" applyFont="1" applyAlignment="1">
      <alignment vertical="center"/>
    </xf>
    <xf numFmtId="0" fontId="41" fillId="0" borderId="0" xfId="0" applyFont="1" applyAlignment="1">
      <alignment vertical="center"/>
    </xf>
    <xf numFmtId="0" fontId="39" fillId="0" borderId="0" xfId="0" applyFont="1" applyAlignment="1">
      <alignment vertical="center"/>
    </xf>
    <xf numFmtId="0" fontId="42" fillId="0" borderId="0" xfId="0" applyFont="1"/>
    <xf numFmtId="0" fontId="17" fillId="0" borderId="0" xfId="0" applyFont="1"/>
    <xf numFmtId="0" fontId="20" fillId="0" borderId="0" xfId="0" applyFont="1" applyAlignment="1"/>
    <xf numFmtId="0" fontId="43" fillId="0" borderId="0" xfId="0" applyFont="1" applyAlignment="1">
      <alignment vertical="center"/>
    </xf>
    <xf numFmtId="0" fontId="44" fillId="0" borderId="0" xfId="0" applyFont="1"/>
    <xf numFmtId="0" fontId="8" fillId="0" borderId="40" xfId="0" quotePrefix="1" applyFont="1" applyBorder="1"/>
    <xf numFmtId="0" fontId="43" fillId="0" borderId="0" xfId="0" applyFont="1"/>
    <xf numFmtId="0" fontId="30" fillId="0" borderId="0" xfId="0" applyFont="1"/>
    <xf numFmtId="0" fontId="8" fillId="0" borderId="0" xfId="0" applyFont="1" applyAlignment="1">
      <alignment horizontal="right" vertical="center" wrapText="1"/>
    </xf>
    <xf numFmtId="9" fontId="8" fillId="0" borderId="0" xfId="0" applyNumberFormat="1" applyFont="1" applyBorder="1" applyAlignment="1">
      <alignment horizontal="center"/>
    </xf>
    <xf numFmtId="173" fontId="8" fillId="0" borderId="0" xfId="0" applyNumberFormat="1" applyFont="1" applyBorder="1" applyAlignment="1">
      <alignment horizontal="center"/>
    </xf>
    <xf numFmtId="172" fontId="8" fillId="0" borderId="0" xfId="0" applyNumberFormat="1" applyFont="1"/>
    <xf numFmtId="0" fontId="8" fillId="0" borderId="0" xfId="0" applyFont="1" applyAlignment="1">
      <alignment horizontal="left" indent="2"/>
    </xf>
    <xf numFmtId="174" fontId="8" fillId="0" borderId="2" xfId="0" applyNumberFormat="1" applyFont="1" applyBorder="1" applyAlignment="1">
      <alignment horizontal="center"/>
    </xf>
    <xf numFmtId="174" fontId="8" fillId="0" borderId="0" xfId="0" applyNumberFormat="1" applyFont="1"/>
    <xf numFmtId="175" fontId="8" fillId="0" borderId="0" xfId="0" applyNumberFormat="1" applyFont="1" applyAlignment="1">
      <alignment horizontal="right"/>
    </xf>
    <xf numFmtId="0" fontId="8" fillId="0" borderId="40" xfId="0" quotePrefix="1" applyFont="1" applyBorder="1" applyAlignment="1">
      <alignment horizontal="left" indent="2"/>
    </xf>
    <xf numFmtId="174" fontId="8" fillId="0" borderId="40" xfId="0" applyNumberFormat="1" applyFont="1" applyBorder="1" applyAlignment="1">
      <alignment horizontal="center"/>
    </xf>
    <xf numFmtId="0" fontId="8" fillId="0" borderId="0" xfId="0" applyFont="1" applyAlignment="1">
      <alignment horizontal="right"/>
    </xf>
    <xf numFmtId="0" fontId="8" fillId="0" borderId="40" xfId="0" applyFont="1" applyBorder="1" applyAlignment="1">
      <alignment horizontal="left" indent="2"/>
    </xf>
    <xf numFmtId="172" fontId="8" fillId="0" borderId="40" xfId="0" applyNumberFormat="1" applyFont="1" applyBorder="1" applyAlignment="1">
      <alignment horizontal="center"/>
    </xf>
    <xf numFmtId="9" fontId="30" fillId="0" borderId="2" xfId="0" applyNumberFormat="1" applyFont="1" applyBorder="1" applyAlignment="1">
      <alignment horizontal="center"/>
    </xf>
    <xf numFmtId="9" fontId="30" fillId="0" borderId="0" xfId="0" applyNumberFormat="1" applyFont="1" applyBorder="1" applyAlignment="1">
      <alignment horizontal="center"/>
    </xf>
    <xf numFmtId="0" fontId="35" fillId="9" borderId="0" xfId="0" applyFont="1" applyFill="1"/>
    <xf numFmtId="0" fontId="0" fillId="0" borderId="40" xfId="0" applyBorder="1"/>
    <xf numFmtId="169" fontId="0" fillId="0" borderId="40" xfId="0" applyNumberFormat="1" applyBorder="1" applyAlignment="1">
      <alignment horizontal="center"/>
    </xf>
    <xf numFmtId="0" fontId="15" fillId="0" borderId="4" xfId="0" applyFont="1" applyBorder="1" applyAlignment="1">
      <alignment horizontal="center" vertical="center"/>
    </xf>
    <xf numFmtId="0" fontId="15" fillId="0" borderId="2" xfId="0" applyFont="1" applyBorder="1" applyAlignment="1">
      <alignment horizontal="center" vertical="center"/>
    </xf>
    <xf numFmtId="2" fontId="0" fillId="0" borderId="0" xfId="0" applyNumberFormat="1" applyAlignment="1">
      <alignment vertical="center"/>
    </xf>
    <xf numFmtId="8" fontId="45" fillId="0" borderId="34" xfId="0" applyNumberFormat="1" applyFont="1" applyBorder="1" applyAlignment="1">
      <alignment horizontal="center" vertical="center"/>
    </xf>
    <xf numFmtId="3" fontId="45" fillId="0" borderId="34" xfId="0" applyNumberFormat="1" applyFont="1" applyBorder="1" applyAlignment="1">
      <alignment horizontal="center" vertical="center"/>
    </xf>
    <xf numFmtId="6" fontId="0" fillId="0" borderId="0" xfId="0" quotePrefix="1" applyNumberFormat="1" applyAlignment="1">
      <alignment horizontal="center"/>
    </xf>
    <xf numFmtId="0" fontId="8" fillId="0" borderId="0" xfId="0" applyFont="1" applyAlignment="1">
      <alignment horizontal="left" vertical="center" wrapText="1"/>
    </xf>
    <xf numFmtId="0" fontId="8" fillId="0" borderId="2" xfId="0" applyFont="1" applyBorder="1" applyAlignment="1">
      <alignment horizontal="center" vertical="center" wrapText="1"/>
    </xf>
    <xf numFmtId="0" fontId="8" fillId="0" borderId="18" xfId="0" applyFont="1" applyBorder="1" applyAlignment="1">
      <alignment horizontal="center" vertical="center" wrapText="1"/>
    </xf>
    <xf numFmtId="0" fontId="8" fillId="0" borderId="4" xfId="0" applyFont="1" applyBorder="1" applyAlignment="1">
      <alignment horizontal="center" vertical="center" wrapText="1"/>
    </xf>
    <xf numFmtId="0" fontId="9" fillId="0" borderId="4" xfId="0" applyFont="1" applyBorder="1" applyAlignment="1">
      <alignment horizontal="left" vertical="center" wrapText="1"/>
    </xf>
    <xf numFmtId="0" fontId="9" fillId="0" borderId="12" xfId="0" applyFont="1" applyBorder="1" applyAlignment="1">
      <alignment horizontal="left" vertical="center" wrapText="1"/>
    </xf>
    <xf numFmtId="0" fontId="9" fillId="0" borderId="5" xfId="0" applyFont="1" applyBorder="1" applyAlignment="1">
      <alignment horizontal="left" vertical="center" wrapText="1"/>
    </xf>
    <xf numFmtId="0" fontId="1" fillId="0" borderId="0" xfId="0" applyFont="1" applyAlignment="1">
      <alignment horizontal="left" vertical="center" wrapText="1"/>
    </xf>
    <xf numFmtId="0" fontId="38" fillId="0" borderId="4" xfId="0" applyFont="1" applyBorder="1" applyAlignment="1">
      <alignment horizontal="left" vertical="center" wrapText="1"/>
    </xf>
    <xf numFmtId="0" fontId="38" fillId="0" borderId="12" xfId="0" applyFont="1" applyBorder="1" applyAlignment="1">
      <alignment horizontal="left" vertical="center" wrapText="1"/>
    </xf>
    <xf numFmtId="0" fontId="38" fillId="0" borderId="5" xfId="0" applyFont="1" applyBorder="1" applyAlignment="1">
      <alignment horizontal="left" vertical="center" wrapText="1"/>
    </xf>
    <xf numFmtId="0" fontId="9" fillId="0" borderId="6" xfId="0" applyFont="1" applyBorder="1" applyAlignment="1">
      <alignment horizontal="left" vertical="center" wrapText="1"/>
    </xf>
    <xf numFmtId="0" fontId="9" fillId="0" borderId="7" xfId="0" applyFont="1" applyBorder="1" applyAlignment="1">
      <alignment horizontal="left" vertical="center" wrapText="1"/>
    </xf>
    <xf numFmtId="0" fontId="9" fillId="0" borderId="8" xfId="0" applyFont="1" applyBorder="1" applyAlignment="1">
      <alignment horizontal="left" vertical="center" wrapText="1"/>
    </xf>
    <xf numFmtId="0" fontId="8" fillId="0" borderId="10" xfId="0" applyFont="1" applyBorder="1" applyAlignment="1">
      <alignment vertical="center" wrapText="1"/>
    </xf>
    <xf numFmtId="0" fontId="8" fillId="0" borderId="1" xfId="0" applyFont="1" applyBorder="1" applyAlignment="1">
      <alignment vertical="center" wrapText="1"/>
    </xf>
    <xf numFmtId="0" fontId="8" fillId="0" borderId="11" xfId="0" applyFont="1" applyBorder="1" applyAlignment="1">
      <alignment vertical="center" wrapText="1"/>
    </xf>
    <xf numFmtId="0" fontId="9" fillId="0" borderId="0" xfId="0" applyFont="1" applyAlignment="1">
      <alignment horizontal="center"/>
    </xf>
    <xf numFmtId="9" fontId="0" fillId="0" borderId="0" xfId="0" applyNumberFormat="1" applyFont="1" applyBorder="1" applyAlignment="1">
      <alignment horizontal="center" vertical="center" wrapText="1"/>
    </xf>
    <xf numFmtId="9" fontId="0" fillId="0" borderId="1" xfId="0" applyNumberFormat="1" applyFont="1" applyBorder="1" applyAlignment="1">
      <alignment horizontal="center" vertical="center" wrapText="1"/>
    </xf>
    <xf numFmtId="0" fontId="0" fillId="0" borderId="6" xfId="0" applyFont="1" applyBorder="1" applyAlignment="1">
      <alignment horizontal="center" vertical="top" wrapText="1"/>
    </xf>
    <xf numFmtId="0" fontId="0" fillId="0" borderId="3" xfId="0" applyFont="1" applyBorder="1" applyAlignment="1">
      <alignment horizontal="center" vertical="top" wrapText="1"/>
    </xf>
    <xf numFmtId="0" fontId="0" fillId="0" borderId="10" xfId="0" applyFont="1" applyBorder="1" applyAlignment="1">
      <alignment horizontal="center" vertical="top" wrapText="1"/>
    </xf>
    <xf numFmtId="9" fontId="0" fillId="0" borderId="7" xfId="0" applyNumberFormat="1" applyFont="1" applyBorder="1" applyAlignment="1">
      <alignment horizontal="center" vertical="center" wrapText="1"/>
    </xf>
    <xf numFmtId="2" fontId="0" fillId="0" borderId="0" xfId="1" applyNumberFormat="1" applyFont="1" applyBorder="1" applyAlignment="1">
      <alignment horizontal="center" vertical="center" wrapText="1"/>
    </xf>
    <xf numFmtId="2" fontId="0" fillId="0" borderId="9" xfId="1" applyNumberFormat="1" applyFont="1" applyBorder="1" applyAlignment="1">
      <alignment horizontal="center" vertical="center" wrapText="1"/>
    </xf>
    <xf numFmtId="2" fontId="0" fillId="0" borderId="1" xfId="1" applyNumberFormat="1" applyFont="1" applyBorder="1" applyAlignment="1">
      <alignment horizontal="center" vertical="center" wrapText="1"/>
    </xf>
    <xf numFmtId="2" fontId="0" fillId="0" borderId="11" xfId="1" applyNumberFormat="1" applyFont="1" applyBorder="1" applyAlignment="1">
      <alignment horizontal="center" vertical="center" wrapText="1"/>
    </xf>
    <xf numFmtId="0" fontId="11" fillId="0" borderId="0" xfId="0" applyFont="1" applyAlignment="1">
      <alignment horizontal="center" wrapText="1"/>
    </xf>
    <xf numFmtId="0" fontId="10" fillId="0" borderId="0" xfId="0" applyFont="1" applyAlignment="1">
      <alignment horizontal="center" wrapText="1"/>
    </xf>
    <xf numFmtId="0" fontId="0" fillId="0" borderId="0" xfId="0" applyFont="1" applyAlignment="1">
      <alignment horizontal="center" wrapText="1"/>
    </xf>
    <xf numFmtId="0" fontId="0" fillId="0" borderId="4" xfId="0" applyFont="1" applyBorder="1" applyAlignment="1">
      <alignment horizontal="center" wrapText="1"/>
    </xf>
    <xf numFmtId="0" fontId="0" fillId="0" borderId="12" xfId="0" applyFont="1" applyBorder="1" applyAlignment="1">
      <alignment horizontal="center" wrapText="1"/>
    </xf>
    <xf numFmtId="0" fontId="0" fillId="0" borderId="5" xfId="0" applyFont="1" applyBorder="1" applyAlignment="1">
      <alignment horizontal="center" wrapText="1"/>
    </xf>
    <xf numFmtId="2" fontId="0" fillId="0" borderId="7" xfId="1" applyNumberFormat="1" applyFont="1" applyBorder="1" applyAlignment="1">
      <alignment horizontal="center" vertical="center" wrapText="1"/>
    </xf>
    <xf numFmtId="2" fontId="0" fillId="0" borderId="8" xfId="1" applyNumberFormat="1" applyFont="1" applyBorder="1" applyAlignment="1">
      <alignment horizontal="center" vertical="center" wrapText="1"/>
    </xf>
    <xf numFmtId="0" fontId="0" fillId="0" borderId="6" xfId="0" applyFont="1" applyBorder="1" applyAlignment="1">
      <alignment horizontal="center" wrapText="1"/>
    </xf>
    <xf numFmtId="0" fontId="0" fillId="0" borderId="7" xfId="0" applyFont="1" applyBorder="1" applyAlignment="1">
      <alignment horizontal="center" wrapText="1"/>
    </xf>
    <xf numFmtId="0" fontId="0" fillId="0" borderId="8" xfId="0" applyFont="1" applyBorder="1" applyAlignment="1">
      <alignment horizontal="center" wrapText="1"/>
    </xf>
    <xf numFmtId="0" fontId="0" fillId="0" borderId="3" xfId="0" applyFont="1" applyBorder="1" applyAlignment="1">
      <alignment horizontal="center" wrapText="1"/>
    </xf>
    <xf numFmtId="0" fontId="0" fillId="0" borderId="0" xfId="0" applyFont="1" applyBorder="1" applyAlignment="1">
      <alignment horizontal="center" wrapText="1"/>
    </xf>
    <xf numFmtId="0" fontId="0" fillId="0" borderId="9" xfId="0" applyFont="1" applyBorder="1" applyAlignment="1">
      <alignment horizontal="center" wrapText="1"/>
    </xf>
    <xf numFmtId="0" fontId="0" fillId="0" borderId="10" xfId="0" applyFont="1" applyBorder="1" applyAlignment="1">
      <alignment horizontal="center" wrapText="1"/>
    </xf>
    <xf numFmtId="0" fontId="0" fillId="0" borderId="1" xfId="0" applyFont="1" applyBorder="1" applyAlignment="1">
      <alignment horizontal="center" wrapText="1"/>
    </xf>
    <xf numFmtId="0" fontId="0" fillId="0" borderId="11" xfId="0" applyFont="1" applyBorder="1" applyAlignment="1">
      <alignment horizontal="center" wrapText="1"/>
    </xf>
    <xf numFmtId="0" fontId="10" fillId="0" borderId="6" xfId="0" applyFont="1" applyBorder="1" applyAlignment="1">
      <alignment horizontal="center" wrapText="1"/>
    </xf>
    <xf numFmtId="0" fontId="10" fillId="0" borderId="7" xfId="0" applyFont="1" applyBorder="1" applyAlignment="1">
      <alignment horizontal="center" wrapText="1"/>
    </xf>
    <xf numFmtId="0" fontId="10" fillId="0" borderId="3" xfId="0" applyFont="1" applyBorder="1" applyAlignment="1">
      <alignment horizontal="center" wrapText="1"/>
    </xf>
    <xf numFmtId="0" fontId="10" fillId="0" borderId="0" xfId="0" applyFont="1" applyBorder="1" applyAlignment="1">
      <alignment horizontal="center" wrapText="1"/>
    </xf>
    <xf numFmtId="0" fontId="10" fillId="0" borderId="10" xfId="0" applyFont="1" applyBorder="1" applyAlignment="1">
      <alignment horizontal="center" wrapText="1"/>
    </xf>
    <xf numFmtId="0" fontId="10" fillId="0" borderId="1" xfId="0" applyFont="1" applyBorder="1" applyAlignment="1">
      <alignment horizontal="center" wrapText="1"/>
    </xf>
    <xf numFmtId="0" fontId="10" fillId="0" borderId="4" xfId="0" applyFont="1" applyBorder="1" applyAlignment="1">
      <alignment horizontal="center" wrapText="1"/>
    </xf>
    <xf numFmtId="0" fontId="10" fillId="0" borderId="12" xfId="0" applyFont="1" applyBorder="1" applyAlignment="1">
      <alignment horizontal="center" wrapText="1"/>
    </xf>
    <xf numFmtId="0" fontId="3" fillId="0" borderId="0" xfId="0" applyFont="1" applyAlignment="1">
      <alignment horizontal="center" wrapText="1"/>
    </xf>
    <xf numFmtId="0" fontId="0" fillId="0" borderId="1" xfId="0" applyBorder="1" applyAlignment="1">
      <alignment horizontal="center" vertical="center" wrapText="1"/>
    </xf>
    <xf numFmtId="0" fontId="0" fillId="0" borderId="11"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3" fillId="0" borderId="0" xfId="0" applyFont="1" applyFill="1" applyBorder="1" applyAlignment="1">
      <alignment horizontal="center" vertical="center" wrapText="1"/>
    </xf>
    <xf numFmtId="0" fontId="0" fillId="0" borderId="10" xfId="0" applyBorder="1" applyAlignment="1">
      <alignment vertical="center" wrapText="1"/>
    </xf>
    <xf numFmtId="0" fontId="0" fillId="0" borderId="1" xfId="0" applyBorder="1" applyAlignment="1">
      <alignment vertical="center" wrapText="1"/>
    </xf>
    <xf numFmtId="0" fontId="11" fillId="0" borderId="0" xfId="0" applyFont="1" applyAlignment="1">
      <alignment horizontal="center" vertical="center" wrapText="1"/>
    </xf>
    <xf numFmtId="0" fontId="0" fillId="0" borderId="0" xfId="0" applyAlignment="1">
      <alignment horizontal="left" vertical="center" wrapText="1"/>
    </xf>
    <xf numFmtId="0" fontId="3" fillId="0" borderId="0" xfId="0" applyFont="1" applyAlignment="1">
      <alignment vertical="center" wrapText="1"/>
    </xf>
    <xf numFmtId="0" fontId="0" fillId="0" borderId="3" xfId="0" applyBorder="1" applyAlignment="1">
      <alignment vertical="center" wrapText="1"/>
    </xf>
    <xf numFmtId="0" fontId="0" fillId="0" borderId="0"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3" fillId="0" borderId="0" xfId="0" applyFont="1" applyBorder="1" applyAlignment="1">
      <alignment horizontal="center" vertical="center" wrapText="1"/>
    </xf>
  </cellXfs>
  <cellStyles count="5">
    <cellStyle name="Comma" xfId="1" builtinId="3"/>
    <cellStyle name="Currency" xfId="2" builtinId="4"/>
    <cellStyle name="Normal" xfId="0" builtinId="0"/>
    <cellStyle name="Normal 2" xfId="3" xr:uid="{AF5ABDBE-9CC4-4281-B3D3-D37F3106CD41}"/>
    <cellStyle name="Percent" xfId="4" builtinId="5"/>
  </cellStyles>
  <dxfs count="0"/>
  <tableStyles count="0" defaultTableStyle="TableStyleMedium2" defaultPivotStyle="PivotStyleLight16"/>
  <colors>
    <mruColors>
      <color rgb="FF008000"/>
      <color rgb="FF0000FF"/>
      <color rgb="FF66CCFF"/>
      <color rgb="FF33CCFF"/>
      <color rgb="FF0099FF"/>
      <color rgb="FF3399FF"/>
      <color rgb="FF0066FF"/>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256680</xdr:colOff>
      <xdr:row>18</xdr:row>
      <xdr:rowOff>879048</xdr:rowOff>
    </xdr:from>
    <xdr:to>
      <xdr:col>3</xdr:col>
      <xdr:colOff>999631</xdr:colOff>
      <xdr:row>20</xdr:row>
      <xdr:rowOff>1323717</xdr:rowOff>
    </xdr:to>
    <xdr:grpSp>
      <xdr:nvGrpSpPr>
        <xdr:cNvPr id="2" name="Group 1">
          <a:extLst>
            <a:ext uri="{FF2B5EF4-FFF2-40B4-BE49-F238E27FC236}">
              <a16:creationId xmlns:a16="http://schemas.microsoft.com/office/drawing/2014/main" id="{CEEEE533-F729-438E-A694-B16D751FBE21}"/>
            </a:ext>
          </a:extLst>
        </xdr:cNvPr>
        <xdr:cNvGrpSpPr>
          <a:grpSpLocks/>
        </xdr:cNvGrpSpPr>
      </xdr:nvGrpSpPr>
      <xdr:grpSpPr bwMode="auto">
        <a:xfrm>
          <a:off x="256680" y="5070048"/>
          <a:ext cx="4486276" cy="2663994"/>
          <a:chOff x="-396" y="-1102"/>
          <a:chExt cx="5225" cy="3761"/>
        </a:xfrm>
      </xdr:grpSpPr>
      <xdr:sp macro="" textlink="">
        <xdr:nvSpPr>
          <xdr:cNvPr id="3" name="Text Box 3">
            <a:extLst>
              <a:ext uri="{FF2B5EF4-FFF2-40B4-BE49-F238E27FC236}">
                <a16:creationId xmlns:a16="http://schemas.microsoft.com/office/drawing/2014/main" id="{DE532DFA-5B9E-4B7A-8756-9487EC3518B5}"/>
              </a:ext>
            </a:extLst>
          </xdr:cNvPr>
          <xdr:cNvSpPr txBox="1">
            <a:spLocks noChangeArrowheads="1"/>
          </xdr:cNvSpPr>
        </xdr:nvSpPr>
        <xdr:spPr bwMode="auto">
          <a:xfrm>
            <a:off x="-396" y="776"/>
            <a:ext cx="5220" cy="1883"/>
          </a:xfrm>
          <a:prstGeom prst="rect">
            <a:avLst/>
          </a:prstGeom>
          <a:noFill/>
          <a:ln w="6096">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0" tIns="0" rIns="0" bIns="0" anchor="t" upright="1"/>
          <a:lstStyle/>
          <a:p>
            <a:pPr algn="l" rtl="0">
              <a:defRPr sz="1000"/>
            </a:pPr>
            <a:r>
              <a:rPr lang="en-US" sz="1000" b="1" i="0" u="sng" strike="noStrike" baseline="0">
                <a:solidFill>
                  <a:srgbClr val="000000"/>
                </a:solidFill>
                <a:latin typeface="+mn-lt"/>
                <a:cs typeface="Arial"/>
              </a:rPr>
              <a:t>Enhancements/Additional Coverage:</a:t>
            </a:r>
            <a:endParaRPr lang="en-US" sz="1000" b="0" i="0" u="none" strike="noStrike" baseline="0">
              <a:solidFill>
                <a:srgbClr val="000000"/>
              </a:solidFill>
              <a:latin typeface="+mn-lt"/>
              <a:cs typeface="Arial"/>
            </a:endParaRPr>
          </a:p>
          <a:p>
            <a:pPr algn="l" rtl="0">
              <a:defRPr sz="1000"/>
            </a:pPr>
            <a:r>
              <a:rPr lang="en-US" sz="1000" b="0" i="0" u="none" strike="noStrike" baseline="0">
                <a:solidFill>
                  <a:srgbClr val="000000"/>
                </a:solidFill>
                <a:latin typeface="+mn-lt"/>
                <a:cs typeface="Arial"/>
              </a:rPr>
              <a:t>Derivative Demand Investigation Costs Sublimit in excess of $100,000</a:t>
            </a:r>
          </a:p>
          <a:p>
            <a:pPr algn="l" rtl="0">
              <a:defRPr sz="1000"/>
            </a:pPr>
            <a:r>
              <a:rPr lang="en-US" sz="1000" b="0" i="0" u="none" strike="noStrike" baseline="0">
                <a:solidFill>
                  <a:srgbClr val="000000"/>
                </a:solidFill>
                <a:latin typeface="+mn-lt"/>
                <a:cs typeface="Arial"/>
              </a:rPr>
              <a:t>Privacy Event Expense Sublimit in excess of $50,000</a:t>
            </a:r>
          </a:p>
          <a:p>
            <a:pPr algn="l" rtl="0">
              <a:defRPr sz="1000"/>
            </a:pPr>
            <a:r>
              <a:rPr lang="en-US" sz="1000" b="0" i="0" u="none" strike="noStrike" baseline="0">
                <a:solidFill>
                  <a:srgbClr val="000000"/>
                </a:solidFill>
                <a:latin typeface="+mn-lt"/>
                <a:cs typeface="Arial"/>
              </a:rPr>
              <a:t>Antitrust Coverage</a:t>
            </a:r>
          </a:p>
          <a:p>
            <a:pPr algn="l" rtl="0">
              <a:defRPr sz="1000"/>
            </a:pPr>
            <a:r>
              <a:rPr lang="en-US" sz="1000" b="0" i="0" u="none" strike="noStrike" baseline="0">
                <a:solidFill>
                  <a:srgbClr val="000000"/>
                </a:solidFill>
                <a:latin typeface="+mn-lt"/>
                <a:cs typeface="Arial"/>
              </a:rPr>
              <a:t>Professional Services Coverage</a:t>
            </a:r>
          </a:p>
          <a:p>
            <a:pPr algn="l" rtl="0">
              <a:defRPr sz="1000"/>
            </a:pPr>
            <a:r>
              <a:rPr lang="en-US" sz="1000" b="0" i="0" u="none" strike="noStrike" baseline="0">
                <a:solidFill>
                  <a:srgbClr val="000000"/>
                </a:solidFill>
                <a:latin typeface="+mn-lt"/>
                <a:cs typeface="Arial"/>
              </a:rPr>
              <a:t>Employed Lawyers Coverage</a:t>
            </a:r>
          </a:p>
          <a:p>
            <a:pPr algn="l" rtl="0">
              <a:defRPr sz="1000"/>
            </a:pPr>
            <a:r>
              <a:rPr lang="en-US" sz="1000" b="0" i="0" u="none" strike="noStrike" baseline="0">
                <a:solidFill>
                  <a:srgbClr val="000000"/>
                </a:solidFill>
                <a:latin typeface="+mn-lt"/>
                <a:cs typeface="Arial"/>
              </a:rPr>
              <a:t>Expanded Public Relations Coverage</a:t>
            </a:r>
          </a:p>
          <a:p>
            <a:pPr algn="l" rtl="0">
              <a:defRPr sz="1000"/>
            </a:pPr>
            <a:r>
              <a:rPr lang="en-US" sz="1000" b="0" i="0" u="none" strike="noStrike" baseline="0">
                <a:solidFill>
                  <a:srgbClr val="000000"/>
                </a:solidFill>
                <a:latin typeface="+mn-lt"/>
                <a:cs typeface="Arial"/>
              </a:rPr>
              <a:t>Other—To be Specified by Underwriter</a:t>
            </a:r>
          </a:p>
        </xdr:txBody>
      </xdr:sp>
      <xdr:sp macro="" textlink="">
        <xdr:nvSpPr>
          <xdr:cNvPr id="4" name="Text Box 2">
            <a:extLst>
              <a:ext uri="{FF2B5EF4-FFF2-40B4-BE49-F238E27FC236}">
                <a16:creationId xmlns:a16="http://schemas.microsoft.com/office/drawing/2014/main" id="{64404158-E207-406B-95F2-79B69A0A0300}"/>
              </a:ext>
            </a:extLst>
          </xdr:cNvPr>
          <xdr:cNvSpPr txBox="1">
            <a:spLocks noChangeArrowheads="1"/>
          </xdr:cNvSpPr>
        </xdr:nvSpPr>
        <xdr:spPr bwMode="auto">
          <a:xfrm>
            <a:off x="-391" y="-1102"/>
            <a:ext cx="5220" cy="1583"/>
          </a:xfrm>
          <a:prstGeom prst="rect">
            <a:avLst/>
          </a:prstGeom>
          <a:noFill/>
          <a:ln w="6096">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0" tIns="0" rIns="0" bIns="0" anchor="t" upright="1"/>
          <a:lstStyle/>
          <a:p>
            <a:pPr algn="l" rtl="0">
              <a:defRPr sz="1000"/>
            </a:pPr>
            <a:r>
              <a:rPr lang="en-US" sz="1000" b="1" i="0" u="sng" strike="noStrike" baseline="0">
                <a:solidFill>
                  <a:srgbClr val="000000"/>
                </a:solidFill>
                <a:latin typeface="+mn-lt"/>
                <a:cs typeface="Arial"/>
              </a:rPr>
              <a:t>Restrictions in Coverage:</a:t>
            </a:r>
            <a:endParaRPr lang="en-US" sz="1000" b="0" i="0" u="none" strike="noStrike" baseline="0">
              <a:solidFill>
                <a:srgbClr val="000000"/>
              </a:solidFill>
              <a:latin typeface="+mn-lt"/>
              <a:cs typeface="Arial"/>
            </a:endParaRPr>
          </a:p>
          <a:p>
            <a:pPr algn="l" rtl="0">
              <a:defRPr sz="1000"/>
            </a:pPr>
            <a:r>
              <a:rPr lang="en-US" sz="1000" b="0" i="0" u="none" strike="noStrike" baseline="0">
                <a:solidFill>
                  <a:srgbClr val="000000"/>
                </a:solidFill>
                <a:latin typeface="+mn-lt"/>
                <a:cs typeface="Arial"/>
              </a:rPr>
              <a:t>Limit in definition terms—to be specified by Underwriter</a:t>
            </a:r>
          </a:p>
          <a:p>
            <a:pPr algn="l" rtl="0">
              <a:defRPr sz="1000"/>
            </a:pPr>
            <a:r>
              <a:rPr lang="en-US" sz="1000" b="0" i="0" u="none" strike="noStrike" baseline="0">
                <a:solidFill>
                  <a:srgbClr val="000000"/>
                </a:solidFill>
                <a:latin typeface="+mn-lt"/>
                <a:cs typeface="Arial"/>
              </a:rPr>
              <a:t>Sublimits (restriction from full coverage)—to be specified by Underwriter</a:t>
            </a:r>
          </a:p>
          <a:p>
            <a:pPr algn="l" rtl="0">
              <a:defRPr sz="1000"/>
            </a:pPr>
            <a:r>
              <a:rPr lang="en-US" sz="1000" b="0" i="0" u="none" strike="noStrike" baseline="0">
                <a:solidFill>
                  <a:srgbClr val="000000"/>
                </a:solidFill>
                <a:latin typeface="+mn-lt"/>
                <a:cs typeface="Arial"/>
              </a:rPr>
              <a:t>Prior Acts Exclusion</a:t>
            </a:r>
          </a:p>
          <a:p>
            <a:pPr algn="l" rtl="0">
              <a:defRPr sz="1000"/>
            </a:pPr>
            <a:r>
              <a:rPr lang="en-US" sz="1000" b="0" i="0" u="none" strike="noStrike" baseline="0">
                <a:solidFill>
                  <a:srgbClr val="000000"/>
                </a:solidFill>
                <a:latin typeface="+mn-lt"/>
                <a:cs typeface="Arial"/>
              </a:rPr>
              <a:t>Bankruptcy Exclusion</a:t>
            </a:r>
          </a:p>
          <a:p>
            <a:pPr algn="l" rtl="0">
              <a:defRPr sz="1000"/>
            </a:pPr>
            <a:r>
              <a:rPr lang="en-US" sz="1000" b="0" i="0" u="none" strike="noStrike" baseline="0">
                <a:solidFill>
                  <a:srgbClr val="000000"/>
                </a:solidFill>
                <a:latin typeface="+mn-lt"/>
                <a:cs typeface="Arial"/>
              </a:rPr>
              <a:t>Prior Knowledge Exclusion</a:t>
            </a:r>
          </a:p>
          <a:p>
            <a:pPr algn="l" rtl="0">
              <a:defRPr sz="1000"/>
            </a:pPr>
            <a:r>
              <a:rPr lang="en-US" sz="1000" b="0" i="0" u="none" strike="noStrike" baseline="0">
                <a:solidFill>
                  <a:srgbClr val="000000"/>
                </a:solidFill>
                <a:latin typeface="+mn-lt"/>
                <a:cs typeface="Arial"/>
              </a:rPr>
              <a:t>Other—To Be Specified by Underwriter</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256680</xdr:colOff>
      <xdr:row>24</xdr:row>
      <xdr:rowOff>2748</xdr:rowOff>
    </xdr:from>
    <xdr:to>
      <xdr:col>3</xdr:col>
      <xdr:colOff>685306</xdr:colOff>
      <xdr:row>24</xdr:row>
      <xdr:rowOff>2781142</xdr:rowOff>
    </xdr:to>
    <xdr:grpSp>
      <xdr:nvGrpSpPr>
        <xdr:cNvPr id="2" name="Group 1">
          <a:extLst>
            <a:ext uri="{FF2B5EF4-FFF2-40B4-BE49-F238E27FC236}">
              <a16:creationId xmlns:a16="http://schemas.microsoft.com/office/drawing/2014/main" id="{05D886BD-EEBE-4CE1-AA30-72EF7951A7E2}"/>
            </a:ext>
          </a:extLst>
        </xdr:cNvPr>
        <xdr:cNvGrpSpPr>
          <a:grpSpLocks/>
        </xdr:cNvGrpSpPr>
      </xdr:nvGrpSpPr>
      <xdr:grpSpPr bwMode="auto">
        <a:xfrm>
          <a:off x="256680" y="5841573"/>
          <a:ext cx="5800726" cy="2778394"/>
          <a:chOff x="-396" y="-1102"/>
          <a:chExt cx="5225" cy="3554"/>
        </a:xfrm>
      </xdr:grpSpPr>
      <xdr:sp macro="" textlink="">
        <xdr:nvSpPr>
          <xdr:cNvPr id="3" name="Text Box 3">
            <a:extLst>
              <a:ext uri="{FF2B5EF4-FFF2-40B4-BE49-F238E27FC236}">
                <a16:creationId xmlns:a16="http://schemas.microsoft.com/office/drawing/2014/main" id="{729F9870-05CE-4D9D-8FBD-9FF9EB4422F5}"/>
              </a:ext>
            </a:extLst>
          </xdr:cNvPr>
          <xdr:cNvSpPr txBox="1">
            <a:spLocks noChangeArrowheads="1"/>
          </xdr:cNvSpPr>
        </xdr:nvSpPr>
        <xdr:spPr bwMode="auto">
          <a:xfrm>
            <a:off x="-396" y="776"/>
            <a:ext cx="5220" cy="1676"/>
          </a:xfrm>
          <a:prstGeom prst="rect">
            <a:avLst/>
          </a:prstGeom>
          <a:noFill/>
          <a:ln w="6096">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0" tIns="0" rIns="0" bIns="0" anchor="t" upright="1"/>
          <a:lstStyle/>
          <a:p>
            <a:pPr algn="l" rtl="0">
              <a:defRPr sz="1000"/>
            </a:pPr>
            <a:r>
              <a:rPr lang="en-US" sz="1000" b="1" i="0" u="sng" strike="noStrike" baseline="0">
                <a:solidFill>
                  <a:srgbClr val="000000"/>
                </a:solidFill>
                <a:latin typeface="+mn-lt"/>
                <a:cs typeface="Arial"/>
              </a:rPr>
              <a:t>Enhancements/Additional Coverage:</a:t>
            </a:r>
            <a:endParaRPr lang="en-US" sz="1000" b="0" i="0" u="none" strike="noStrike" baseline="0">
              <a:solidFill>
                <a:srgbClr val="000000"/>
              </a:solidFill>
              <a:latin typeface="+mn-lt"/>
              <a:cs typeface="Arial"/>
            </a:endParaRPr>
          </a:p>
          <a:p>
            <a:pPr algn="l" rtl="0">
              <a:defRPr sz="1000"/>
            </a:pPr>
            <a:r>
              <a:rPr lang="en-US" sz="1000" b="0" i="0" u="none" strike="noStrike" baseline="0">
                <a:solidFill>
                  <a:srgbClr val="000000"/>
                </a:solidFill>
                <a:latin typeface="+mn-lt"/>
                <a:cs typeface="Arial"/>
              </a:rPr>
              <a:t>Derivative Demand Investigation Costs Sublimit in excess of $100,000</a:t>
            </a:r>
          </a:p>
          <a:p>
            <a:pPr algn="l" rtl="0">
              <a:defRPr sz="1000"/>
            </a:pPr>
            <a:r>
              <a:rPr lang="en-US" sz="1000" b="0" i="0" u="none" strike="noStrike" baseline="0">
                <a:solidFill>
                  <a:srgbClr val="000000"/>
                </a:solidFill>
                <a:latin typeface="+mn-lt"/>
                <a:cs typeface="Arial"/>
              </a:rPr>
              <a:t>Privacy Event Expense Sublimit in excess of $50,000</a:t>
            </a:r>
          </a:p>
          <a:p>
            <a:pPr algn="l" rtl="0">
              <a:defRPr sz="1000"/>
            </a:pPr>
            <a:r>
              <a:rPr lang="en-US" sz="1000" b="0" i="0" u="none" strike="noStrike" baseline="0">
                <a:solidFill>
                  <a:srgbClr val="000000"/>
                </a:solidFill>
                <a:latin typeface="+mn-lt"/>
                <a:cs typeface="Arial"/>
              </a:rPr>
              <a:t>Antitrust Coverage</a:t>
            </a:r>
          </a:p>
          <a:p>
            <a:pPr algn="l" rtl="0">
              <a:defRPr sz="1000"/>
            </a:pPr>
            <a:r>
              <a:rPr lang="en-US" sz="1000" b="0" i="0" u="none" strike="noStrike" baseline="0">
                <a:solidFill>
                  <a:srgbClr val="000000"/>
                </a:solidFill>
                <a:latin typeface="+mn-lt"/>
                <a:cs typeface="Arial"/>
              </a:rPr>
              <a:t>Professional Services Coverage</a:t>
            </a:r>
          </a:p>
          <a:p>
            <a:pPr algn="l" rtl="0">
              <a:defRPr sz="1000"/>
            </a:pPr>
            <a:r>
              <a:rPr lang="en-US" sz="1000" b="0" i="0" u="none" strike="noStrike" baseline="0">
                <a:solidFill>
                  <a:srgbClr val="000000"/>
                </a:solidFill>
                <a:latin typeface="+mn-lt"/>
                <a:cs typeface="Arial"/>
              </a:rPr>
              <a:t>Employed Lawyers Coverage</a:t>
            </a:r>
          </a:p>
          <a:p>
            <a:pPr algn="l" rtl="0">
              <a:defRPr sz="1000"/>
            </a:pPr>
            <a:r>
              <a:rPr lang="en-US" sz="1000" b="0" i="0" u="none" strike="noStrike" baseline="0">
                <a:solidFill>
                  <a:srgbClr val="000000"/>
                </a:solidFill>
                <a:latin typeface="+mn-lt"/>
                <a:cs typeface="Arial"/>
              </a:rPr>
              <a:t>Expanded Public Relations Coverage</a:t>
            </a:r>
          </a:p>
          <a:p>
            <a:pPr algn="l" rtl="0">
              <a:defRPr sz="1000"/>
            </a:pPr>
            <a:r>
              <a:rPr lang="en-US" sz="1000" b="0" i="0" u="none" strike="noStrike" baseline="0">
                <a:solidFill>
                  <a:srgbClr val="000000"/>
                </a:solidFill>
                <a:latin typeface="+mn-lt"/>
                <a:cs typeface="Arial"/>
              </a:rPr>
              <a:t>Other—To be Specified by Underwriter</a:t>
            </a:r>
          </a:p>
        </xdr:txBody>
      </xdr:sp>
      <xdr:sp macro="" textlink="">
        <xdr:nvSpPr>
          <xdr:cNvPr id="4" name="Text Box 2">
            <a:extLst>
              <a:ext uri="{FF2B5EF4-FFF2-40B4-BE49-F238E27FC236}">
                <a16:creationId xmlns:a16="http://schemas.microsoft.com/office/drawing/2014/main" id="{9923D714-FE08-4F48-9831-10DA3E7780DB}"/>
              </a:ext>
            </a:extLst>
          </xdr:cNvPr>
          <xdr:cNvSpPr txBox="1">
            <a:spLocks noChangeArrowheads="1"/>
          </xdr:cNvSpPr>
        </xdr:nvSpPr>
        <xdr:spPr bwMode="auto">
          <a:xfrm>
            <a:off x="-391" y="-1102"/>
            <a:ext cx="5220" cy="1489"/>
          </a:xfrm>
          <a:prstGeom prst="rect">
            <a:avLst/>
          </a:prstGeom>
          <a:noFill/>
          <a:ln w="6096">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0" tIns="0" rIns="0" bIns="0" anchor="t" upright="1"/>
          <a:lstStyle/>
          <a:p>
            <a:pPr algn="l" rtl="0">
              <a:defRPr sz="1000"/>
            </a:pPr>
            <a:r>
              <a:rPr lang="en-US" sz="1000" b="1" i="0" u="sng" strike="noStrike" baseline="0">
                <a:solidFill>
                  <a:srgbClr val="000000"/>
                </a:solidFill>
                <a:latin typeface="+mn-lt"/>
                <a:cs typeface="Arial"/>
              </a:rPr>
              <a:t>Restrictions in Coverage:</a:t>
            </a:r>
            <a:endParaRPr lang="en-US" sz="1000" b="0" i="0" u="none" strike="noStrike" baseline="0">
              <a:solidFill>
                <a:srgbClr val="000000"/>
              </a:solidFill>
              <a:latin typeface="+mn-lt"/>
              <a:cs typeface="Arial"/>
            </a:endParaRPr>
          </a:p>
          <a:p>
            <a:pPr algn="l" rtl="0">
              <a:defRPr sz="1000"/>
            </a:pPr>
            <a:r>
              <a:rPr lang="en-US" sz="1000" b="0" i="0" u="none" strike="noStrike" baseline="0">
                <a:solidFill>
                  <a:srgbClr val="000000"/>
                </a:solidFill>
                <a:latin typeface="+mn-lt"/>
                <a:cs typeface="Arial"/>
              </a:rPr>
              <a:t>Limit in definition terms—to be specified by Underwriter</a:t>
            </a:r>
          </a:p>
          <a:p>
            <a:pPr algn="l" rtl="0">
              <a:defRPr sz="1000"/>
            </a:pPr>
            <a:r>
              <a:rPr lang="en-US" sz="1000" b="0" i="0" u="none" strike="noStrike" baseline="0">
                <a:solidFill>
                  <a:srgbClr val="000000"/>
                </a:solidFill>
                <a:latin typeface="+mn-lt"/>
                <a:cs typeface="Arial"/>
              </a:rPr>
              <a:t>Sublimits (restriction from full coverage)—to be specified by Underwriter</a:t>
            </a:r>
          </a:p>
          <a:p>
            <a:pPr algn="l" rtl="0">
              <a:defRPr sz="1000"/>
            </a:pPr>
            <a:r>
              <a:rPr lang="en-US" sz="1000" b="0" i="0" u="none" strike="noStrike" baseline="0">
                <a:solidFill>
                  <a:srgbClr val="000000"/>
                </a:solidFill>
                <a:latin typeface="+mn-lt"/>
                <a:cs typeface="Arial"/>
              </a:rPr>
              <a:t>Prior Acts Exclusion</a:t>
            </a:r>
          </a:p>
          <a:p>
            <a:pPr algn="l" rtl="0">
              <a:defRPr sz="1000"/>
            </a:pPr>
            <a:r>
              <a:rPr lang="en-US" sz="1000" b="0" i="0" u="none" strike="noStrike" baseline="0">
                <a:solidFill>
                  <a:srgbClr val="000000"/>
                </a:solidFill>
                <a:latin typeface="+mn-lt"/>
                <a:cs typeface="Arial"/>
              </a:rPr>
              <a:t>Bankruptcy Exclusion</a:t>
            </a:r>
          </a:p>
          <a:p>
            <a:pPr algn="l" rtl="0">
              <a:defRPr sz="1000"/>
            </a:pPr>
            <a:r>
              <a:rPr lang="en-US" sz="1000" b="0" i="0" u="none" strike="noStrike" baseline="0">
                <a:solidFill>
                  <a:srgbClr val="000000"/>
                </a:solidFill>
                <a:latin typeface="+mn-lt"/>
                <a:cs typeface="Arial"/>
              </a:rPr>
              <a:t>Prior Knowledge Exclusion</a:t>
            </a:r>
          </a:p>
          <a:p>
            <a:pPr algn="l" rtl="0">
              <a:defRPr sz="1000"/>
            </a:pPr>
            <a:r>
              <a:rPr lang="en-US" sz="1000" b="0" i="0" u="none" strike="noStrike" baseline="0">
                <a:solidFill>
                  <a:srgbClr val="000000"/>
                </a:solidFill>
                <a:latin typeface="+mn-lt"/>
                <a:cs typeface="Arial"/>
              </a:rPr>
              <a:t>Other—To Be Specified by Underwriter</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1B73D-D7AB-4942-9A89-5CEF9CECBE44}">
  <dimension ref="B2:C6"/>
  <sheetViews>
    <sheetView showGridLines="0" workbookViewId="0">
      <selection activeCell="F18" sqref="F18"/>
    </sheetView>
  </sheetViews>
  <sheetFormatPr defaultRowHeight="15.75" x14ac:dyDescent="0.25"/>
  <cols>
    <col min="2" max="2" width="13.125" bestFit="1" customWidth="1"/>
    <col min="3" max="3" width="11.5" bestFit="1" customWidth="1"/>
  </cols>
  <sheetData>
    <row r="2" spans="2:3" x14ac:dyDescent="0.25">
      <c r="B2" t="s">
        <v>253</v>
      </c>
    </row>
    <row r="4" spans="2:3" x14ac:dyDescent="0.25">
      <c r="B4" s="75" t="s">
        <v>250</v>
      </c>
      <c r="C4" t="s">
        <v>251</v>
      </c>
    </row>
    <row r="5" spans="2:3" x14ac:dyDescent="0.25">
      <c r="B5" s="142">
        <v>0</v>
      </c>
      <c r="C5" t="s">
        <v>249</v>
      </c>
    </row>
    <row r="6" spans="2:3" x14ac:dyDescent="0.25">
      <c r="B6" s="143" t="s">
        <v>250</v>
      </c>
      <c r="C6" t="s">
        <v>252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D8458-C504-4913-A794-B4BC378255B4}">
  <sheetPr>
    <tabColor rgb="FF66CCFF"/>
  </sheetPr>
  <dimension ref="A1:C59"/>
  <sheetViews>
    <sheetView showGridLines="0" workbookViewId="0">
      <selection activeCell="B31" sqref="B31"/>
    </sheetView>
  </sheetViews>
  <sheetFormatPr defaultRowHeight="15.75" x14ac:dyDescent="0.25"/>
  <cols>
    <col min="1" max="1" width="19.125" bestFit="1" customWidth="1"/>
    <col min="2" max="2" width="15.625" style="342" customWidth="1"/>
    <col min="3" max="3" width="21.875" style="342" bestFit="1" customWidth="1"/>
  </cols>
  <sheetData>
    <row r="1" spans="1:3" x14ac:dyDescent="0.25">
      <c r="A1" s="236" t="s">
        <v>262</v>
      </c>
    </row>
    <row r="2" spans="1:3" x14ac:dyDescent="0.25">
      <c r="A2" s="236" t="s">
        <v>525</v>
      </c>
    </row>
    <row r="4" spans="1:3" x14ac:dyDescent="0.25">
      <c r="A4" t="s">
        <v>534</v>
      </c>
      <c r="B4" s="369" t="str">
        <f>'XS Rating Step A Inputs'!B6</f>
        <v>Michigan</v>
      </c>
    </row>
    <row r="5" spans="1:3" x14ac:dyDescent="0.25">
      <c r="A5" t="s">
        <v>532</v>
      </c>
      <c r="B5" s="369" t="str">
        <f>VLOOKUP($B$4,$A$9:$C$59,2,FALSE)</f>
        <v>Yes</v>
      </c>
    </row>
    <row r="6" spans="1:3" x14ac:dyDescent="0.25">
      <c r="A6" t="s">
        <v>535</v>
      </c>
      <c r="B6" s="369" t="str">
        <f>VLOOKUP($B$4,$A$9:$C$59,3,FALSE)</f>
        <v>Yes</v>
      </c>
      <c r="C6" s="348" t="str">
        <f>IF(B6="Yes","","Terrorism Coverage provided at no additional cost. Coverage cannot be rejected. Leave cell blank.")</f>
        <v/>
      </c>
    </row>
    <row r="8" spans="1:3" x14ac:dyDescent="0.25">
      <c r="A8" s="350" t="s">
        <v>534</v>
      </c>
      <c r="B8" s="343" t="s">
        <v>532</v>
      </c>
      <c r="C8" s="343" t="s">
        <v>533</v>
      </c>
    </row>
    <row r="9" spans="1:3" x14ac:dyDescent="0.25">
      <c r="A9" s="344" t="s">
        <v>371</v>
      </c>
      <c r="B9" s="335" t="s">
        <v>355</v>
      </c>
      <c r="C9" s="335" t="s">
        <v>355</v>
      </c>
    </row>
    <row r="10" spans="1:3" x14ac:dyDescent="0.25">
      <c r="A10" s="274" t="s">
        <v>370</v>
      </c>
      <c r="B10" s="335" t="s">
        <v>355</v>
      </c>
      <c r="C10" s="335" t="s">
        <v>355</v>
      </c>
    </row>
    <row r="11" spans="1:3" x14ac:dyDescent="0.25">
      <c r="A11" s="274" t="s">
        <v>373</v>
      </c>
      <c r="B11" s="335" t="s">
        <v>355</v>
      </c>
      <c r="C11" s="335" t="s">
        <v>355</v>
      </c>
    </row>
    <row r="12" spans="1:3" x14ac:dyDescent="0.25">
      <c r="A12" s="274" t="s">
        <v>372</v>
      </c>
      <c r="B12" s="335" t="s">
        <v>355</v>
      </c>
      <c r="C12" s="335" t="s">
        <v>355</v>
      </c>
    </row>
    <row r="13" spans="1:3" x14ac:dyDescent="0.25">
      <c r="A13" s="274" t="s">
        <v>375</v>
      </c>
      <c r="B13" s="335" t="s">
        <v>355</v>
      </c>
      <c r="C13" s="335" t="s">
        <v>355</v>
      </c>
    </row>
    <row r="14" spans="1:3" x14ac:dyDescent="0.25">
      <c r="A14" s="274" t="s">
        <v>376</v>
      </c>
      <c r="B14" s="335" t="s">
        <v>355</v>
      </c>
      <c r="C14" s="335" t="s">
        <v>355</v>
      </c>
    </row>
    <row r="15" spans="1:3" x14ac:dyDescent="0.25">
      <c r="A15" s="274" t="s">
        <v>377</v>
      </c>
      <c r="B15" s="335" t="s">
        <v>195</v>
      </c>
      <c r="C15" s="335" t="s">
        <v>355</v>
      </c>
    </row>
    <row r="16" spans="1:3" x14ac:dyDescent="0.25">
      <c r="A16" s="274" t="s">
        <v>378</v>
      </c>
      <c r="B16" s="335" t="s">
        <v>355</v>
      </c>
      <c r="C16" s="335" t="s">
        <v>355</v>
      </c>
    </row>
    <row r="17" spans="1:3" x14ac:dyDescent="0.25">
      <c r="A17" s="274" t="s">
        <v>426</v>
      </c>
      <c r="B17" s="335" t="s">
        <v>355</v>
      </c>
      <c r="C17" s="335" t="s">
        <v>355</v>
      </c>
    </row>
    <row r="18" spans="1:3" x14ac:dyDescent="0.25">
      <c r="A18" s="274" t="s">
        <v>427</v>
      </c>
      <c r="B18" s="340" t="s">
        <v>195</v>
      </c>
      <c r="C18" s="335" t="s">
        <v>355</v>
      </c>
    </row>
    <row r="19" spans="1:3" x14ac:dyDescent="0.25">
      <c r="A19" s="274" t="s">
        <v>467</v>
      </c>
      <c r="B19" s="340" t="s">
        <v>195</v>
      </c>
      <c r="C19" s="335" t="s">
        <v>355</v>
      </c>
    </row>
    <row r="20" spans="1:3" x14ac:dyDescent="0.25">
      <c r="A20" s="274" t="s">
        <v>379</v>
      </c>
      <c r="B20" s="335" t="s">
        <v>355</v>
      </c>
      <c r="C20" s="335" t="s">
        <v>355</v>
      </c>
    </row>
    <row r="21" spans="1:3" x14ac:dyDescent="0.25">
      <c r="A21" s="274" t="s">
        <v>381</v>
      </c>
      <c r="B21" s="335" t="s">
        <v>355</v>
      </c>
      <c r="C21" s="335" t="s">
        <v>355</v>
      </c>
    </row>
    <row r="22" spans="1:3" x14ac:dyDescent="0.25">
      <c r="A22" s="274" t="s">
        <v>382</v>
      </c>
      <c r="B22" s="335" t="s">
        <v>355</v>
      </c>
      <c r="C22" s="335" t="s">
        <v>355</v>
      </c>
    </row>
    <row r="23" spans="1:3" x14ac:dyDescent="0.25">
      <c r="A23" s="274" t="s">
        <v>383</v>
      </c>
      <c r="B23" s="335" t="s">
        <v>355</v>
      </c>
      <c r="C23" s="335" t="s">
        <v>355</v>
      </c>
    </row>
    <row r="24" spans="1:3" x14ac:dyDescent="0.25">
      <c r="A24" s="274" t="s">
        <v>380</v>
      </c>
      <c r="B24" s="335" t="s">
        <v>355</v>
      </c>
      <c r="C24" s="335" t="s">
        <v>355</v>
      </c>
    </row>
    <row r="25" spans="1:3" x14ac:dyDescent="0.25">
      <c r="A25" s="274" t="s">
        <v>384</v>
      </c>
      <c r="B25" s="335" t="s">
        <v>355</v>
      </c>
      <c r="C25" s="335" t="s">
        <v>355</v>
      </c>
    </row>
    <row r="26" spans="1:3" x14ac:dyDescent="0.25">
      <c r="A26" s="274" t="s">
        <v>385</v>
      </c>
      <c r="B26" s="335" t="s">
        <v>355</v>
      </c>
      <c r="C26" s="335" t="s">
        <v>355</v>
      </c>
    </row>
    <row r="27" spans="1:3" x14ac:dyDescent="0.25">
      <c r="A27" s="274" t="s">
        <v>386</v>
      </c>
      <c r="B27" s="340" t="s">
        <v>195</v>
      </c>
      <c r="C27" s="335" t="s">
        <v>195</v>
      </c>
    </row>
    <row r="28" spans="1:3" x14ac:dyDescent="0.25">
      <c r="A28" s="274" t="s">
        <v>389</v>
      </c>
      <c r="B28" s="335" t="s">
        <v>355</v>
      </c>
      <c r="C28" s="335" t="s">
        <v>355</v>
      </c>
    </row>
    <row r="29" spans="1:3" x14ac:dyDescent="0.25">
      <c r="A29" s="274" t="s">
        <v>388</v>
      </c>
      <c r="B29" s="340" t="s">
        <v>195</v>
      </c>
      <c r="C29" s="335" t="s">
        <v>355</v>
      </c>
    </row>
    <row r="30" spans="1:3" x14ac:dyDescent="0.25">
      <c r="A30" s="274" t="s">
        <v>387</v>
      </c>
      <c r="B30" s="335" t="s">
        <v>355</v>
      </c>
      <c r="C30" s="335" t="s">
        <v>355</v>
      </c>
    </row>
    <row r="31" spans="1:3" x14ac:dyDescent="0.25">
      <c r="A31" s="274" t="s">
        <v>390</v>
      </c>
      <c r="B31" s="335" t="s">
        <v>355</v>
      </c>
      <c r="C31" s="335" t="s">
        <v>355</v>
      </c>
    </row>
    <row r="32" spans="1:3" x14ac:dyDescent="0.25">
      <c r="A32" s="274" t="s">
        <v>391</v>
      </c>
      <c r="B32" s="335" t="s">
        <v>355</v>
      </c>
      <c r="C32" s="335" t="s">
        <v>355</v>
      </c>
    </row>
    <row r="33" spans="1:3" x14ac:dyDescent="0.25">
      <c r="A33" s="274" t="s">
        <v>393</v>
      </c>
      <c r="B33" s="340" t="s">
        <v>195</v>
      </c>
      <c r="C33" s="335" t="s">
        <v>195</v>
      </c>
    </row>
    <row r="34" spans="1:3" x14ac:dyDescent="0.25">
      <c r="A34" s="274" t="s">
        <v>392</v>
      </c>
      <c r="B34" s="340" t="s">
        <v>195</v>
      </c>
      <c r="C34" s="335" t="s">
        <v>195</v>
      </c>
    </row>
    <row r="35" spans="1:3" x14ac:dyDescent="0.25">
      <c r="A35" s="274" t="s">
        <v>394</v>
      </c>
      <c r="B35" s="335" t="s">
        <v>355</v>
      </c>
      <c r="C35" s="335" t="s">
        <v>355</v>
      </c>
    </row>
    <row r="36" spans="1:3" x14ac:dyDescent="0.25">
      <c r="A36" s="274" t="s">
        <v>397</v>
      </c>
      <c r="B36" s="340" t="s">
        <v>195</v>
      </c>
      <c r="C36" s="335" t="s">
        <v>355</v>
      </c>
    </row>
    <row r="37" spans="1:3" x14ac:dyDescent="0.25">
      <c r="A37" s="274" t="s">
        <v>401</v>
      </c>
      <c r="B37" s="335" t="s">
        <v>355</v>
      </c>
      <c r="C37" s="335" t="s">
        <v>355</v>
      </c>
    </row>
    <row r="38" spans="1:3" x14ac:dyDescent="0.25">
      <c r="A38" s="274" t="s">
        <v>398</v>
      </c>
      <c r="B38" s="335" t="s">
        <v>355</v>
      </c>
      <c r="C38" s="335" t="s">
        <v>355</v>
      </c>
    </row>
    <row r="39" spans="1:3" x14ac:dyDescent="0.25">
      <c r="A39" s="274" t="s">
        <v>399</v>
      </c>
      <c r="B39" s="335" t="s">
        <v>355</v>
      </c>
      <c r="C39" s="335" t="s">
        <v>355</v>
      </c>
    </row>
    <row r="40" spans="1:3" x14ac:dyDescent="0.25">
      <c r="A40" s="274" t="s">
        <v>400</v>
      </c>
      <c r="B40" s="335" t="s">
        <v>355</v>
      </c>
      <c r="C40" s="335" t="s">
        <v>355</v>
      </c>
    </row>
    <row r="41" spans="1:3" x14ac:dyDescent="0.25">
      <c r="A41" s="274" t="s">
        <v>403</v>
      </c>
      <c r="B41" s="340" t="s">
        <v>195</v>
      </c>
      <c r="C41" s="335" t="s">
        <v>355</v>
      </c>
    </row>
    <row r="42" spans="1:3" x14ac:dyDescent="0.25">
      <c r="A42" s="274" t="s">
        <v>395</v>
      </c>
      <c r="B42" s="335" t="s">
        <v>355</v>
      </c>
      <c r="C42" s="335" t="s">
        <v>355</v>
      </c>
    </row>
    <row r="43" spans="1:3" x14ac:dyDescent="0.25">
      <c r="A43" s="274" t="s">
        <v>396</v>
      </c>
      <c r="B43" s="335" t="s">
        <v>355</v>
      </c>
      <c r="C43" s="335" t="s">
        <v>355</v>
      </c>
    </row>
    <row r="44" spans="1:3" x14ac:dyDescent="0.25">
      <c r="A44" s="274" t="s">
        <v>404</v>
      </c>
      <c r="B44" s="340" t="s">
        <v>195</v>
      </c>
      <c r="C44" s="335" t="s">
        <v>195</v>
      </c>
    </row>
    <row r="45" spans="1:3" x14ac:dyDescent="0.25">
      <c r="A45" s="274" t="s">
        <v>405</v>
      </c>
      <c r="B45" s="335" t="s">
        <v>355</v>
      </c>
      <c r="C45" s="335" t="s">
        <v>355</v>
      </c>
    </row>
    <row r="46" spans="1:3" x14ac:dyDescent="0.25">
      <c r="A46" s="274" t="s">
        <v>406</v>
      </c>
      <c r="B46" s="335" t="s">
        <v>355</v>
      </c>
      <c r="C46" s="335" t="s">
        <v>355</v>
      </c>
    </row>
    <row r="47" spans="1:3" x14ac:dyDescent="0.25">
      <c r="A47" s="274" t="s">
        <v>407</v>
      </c>
      <c r="B47" s="335" t="s">
        <v>355</v>
      </c>
      <c r="C47" s="335" t="s">
        <v>355</v>
      </c>
    </row>
    <row r="48" spans="1:3" x14ac:dyDescent="0.25">
      <c r="A48" s="274" t="s">
        <v>408</v>
      </c>
      <c r="B48" s="335" t="s">
        <v>355</v>
      </c>
      <c r="C48" s="335" t="s">
        <v>355</v>
      </c>
    </row>
    <row r="49" spans="1:3" x14ac:dyDescent="0.25">
      <c r="A49" s="274" t="s">
        <v>409</v>
      </c>
      <c r="B49" s="335" t="s">
        <v>355</v>
      </c>
      <c r="C49" s="335" t="s">
        <v>355</v>
      </c>
    </row>
    <row r="50" spans="1:3" x14ac:dyDescent="0.25">
      <c r="A50" s="274" t="s">
        <v>410</v>
      </c>
      <c r="B50" s="340" t="s">
        <v>195</v>
      </c>
      <c r="C50" s="335" t="s">
        <v>355</v>
      </c>
    </row>
    <row r="51" spans="1:3" x14ac:dyDescent="0.25">
      <c r="A51" s="274" t="s">
        <v>411</v>
      </c>
      <c r="B51" s="335" t="s">
        <v>355</v>
      </c>
      <c r="C51" s="335" t="s">
        <v>355</v>
      </c>
    </row>
    <row r="52" spans="1:3" x14ac:dyDescent="0.25">
      <c r="A52" s="274" t="s">
        <v>412</v>
      </c>
      <c r="B52" s="340" t="s">
        <v>195</v>
      </c>
      <c r="C52" s="335" t="s">
        <v>355</v>
      </c>
    </row>
    <row r="53" spans="1:3" x14ac:dyDescent="0.25">
      <c r="A53" s="274" t="s">
        <v>413</v>
      </c>
      <c r="B53" s="335" t="s">
        <v>355</v>
      </c>
      <c r="C53" s="335" t="s">
        <v>355</v>
      </c>
    </row>
    <row r="54" spans="1:3" x14ac:dyDescent="0.25">
      <c r="A54" s="274" t="s">
        <v>414</v>
      </c>
      <c r="B54" s="335" t="s">
        <v>355</v>
      </c>
      <c r="C54" s="335" t="s">
        <v>355</v>
      </c>
    </row>
    <row r="55" spans="1:3" x14ac:dyDescent="0.25">
      <c r="A55" s="274" t="s">
        <v>469</v>
      </c>
      <c r="B55" s="340" t="s">
        <v>195</v>
      </c>
      <c r="C55" s="335" t="s">
        <v>355</v>
      </c>
    </row>
    <row r="56" spans="1:3" x14ac:dyDescent="0.25">
      <c r="A56" s="274" t="s">
        <v>468</v>
      </c>
      <c r="B56" s="340" t="s">
        <v>195</v>
      </c>
      <c r="C56" s="335" t="s">
        <v>355</v>
      </c>
    </row>
    <row r="57" spans="1:3" x14ac:dyDescent="0.25">
      <c r="A57" s="274" t="s">
        <v>416</v>
      </c>
      <c r="B57" s="335" t="s">
        <v>355</v>
      </c>
      <c r="C57" s="335" t="s">
        <v>355</v>
      </c>
    </row>
    <row r="58" spans="1:3" x14ac:dyDescent="0.25">
      <c r="A58" s="274" t="s">
        <v>415</v>
      </c>
      <c r="B58" s="335" t="s">
        <v>355</v>
      </c>
      <c r="C58" s="335" t="s">
        <v>355</v>
      </c>
    </row>
    <row r="59" spans="1:3" x14ac:dyDescent="0.25">
      <c r="A59" s="274" t="s">
        <v>417</v>
      </c>
      <c r="B59" s="335" t="s">
        <v>355</v>
      </c>
      <c r="C59" s="335" t="s">
        <v>355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BBA6A-3A7E-4754-8283-70DD22346E1D}">
  <sheetPr>
    <tabColor rgb="FFFF99CC"/>
  </sheetPr>
  <dimension ref="A1:E47"/>
  <sheetViews>
    <sheetView showGridLines="0" workbookViewId="0">
      <selection activeCell="B6" sqref="B6"/>
    </sheetView>
  </sheetViews>
  <sheetFormatPr defaultRowHeight="12.75" x14ac:dyDescent="0.2"/>
  <cols>
    <col min="1" max="1" width="24.125" style="236" customWidth="1"/>
    <col min="2" max="2" width="20.875" style="236" customWidth="1"/>
    <col min="3" max="5" width="18" style="236" customWidth="1"/>
    <col min="6" max="16384" width="9" style="236"/>
  </cols>
  <sheetData>
    <row r="1" spans="1:3" ht="15.75" x14ac:dyDescent="0.25">
      <c r="A1" s="69" t="s">
        <v>325</v>
      </c>
      <c r="C1" s="300" t="s">
        <v>521</v>
      </c>
    </row>
    <row r="3" spans="1:3" x14ac:dyDescent="0.2">
      <c r="A3" s="236" t="s">
        <v>262</v>
      </c>
    </row>
    <row r="4" spans="1:3" x14ac:dyDescent="0.2">
      <c r="A4" s="236" t="s">
        <v>263</v>
      </c>
    </row>
    <row r="6" spans="1:3" x14ac:dyDescent="0.2">
      <c r="A6" s="236" t="s">
        <v>440</v>
      </c>
      <c r="B6" s="247" t="s">
        <v>390</v>
      </c>
    </row>
    <row r="8" spans="1:3" x14ac:dyDescent="0.2">
      <c r="A8" s="236" t="s">
        <v>448</v>
      </c>
      <c r="B8" s="396">
        <f>'Step 2'!C30</f>
        <v>1252000</v>
      </c>
    </row>
    <row r="10" spans="1:3" x14ac:dyDescent="0.2">
      <c r="A10" s="236" t="s">
        <v>449</v>
      </c>
      <c r="B10" s="397">
        <f>'Step 2'!C32*1000000</f>
        <v>20000000</v>
      </c>
      <c r="C10" s="319"/>
    </row>
    <row r="12" spans="1:3" x14ac:dyDescent="0.2">
      <c r="A12" s="236" t="s">
        <v>479</v>
      </c>
      <c r="B12" s="397">
        <v>20000000</v>
      </c>
    </row>
    <row r="14" spans="1:3" x14ac:dyDescent="0.2">
      <c r="A14" s="236" t="s">
        <v>483</v>
      </c>
      <c r="B14" s="294">
        <v>60000000</v>
      </c>
      <c r="C14" s="353"/>
    </row>
    <row r="15" spans="1:3" x14ac:dyDescent="0.2">
      <c r="B15" s="321"/>
    </row>
    <row r="16" spans="1:3" x14ac:dyDescent="0.2">
      <c r="A16" s="236" t="s">
        <v>484</v>
      </c>
      <c r="B16" s="247" t="s">
        <v>297</v>
      </c>
    </row>
    <row r="18" spans="1:5" ht="15.75" x14ac:dyDescent="0.25">
      <c r="A18" s="69" t="s">
        <v>332</v>
      </c>
      <c r="B18" s="300"/>
    </row>
    <row r="20" spans="1:5" x14ac:dyDescent="0.2">
      <c r="A20" s="238">
        <v>1</v>
      </c>
      <c r="B20" s="238">
        <v>2</v>
      </c>
      <c r="C20" s="238">
        <v>3</v>
      </c>
      <c r="D20" s="238">
        <v>4</v>
      </c>
      <c r="E20" s="238">
        <v>5</v>
      </c>
    </row>
    <row r="21" spans="1:5" x14ac:dyDescent="0.2">
      <c r="A21" s="238" t="str">
        <f>IF($B$6="Georgia","Group 1","Low Risk")</f>
        <v>Low Risk</v>
      </c>
      <c r="B21" s="238" t="str">
        <f>IF($B$6="Georgia","Group 2","Low/Medium Risk")</f>
        <v>Low/Medium Risk</v>
      </c>
      <c r="C21" s="238" t="str">
        <f>IF($B$6="Georgia","Group 3","Medium Risk")</f>
        <v>Medium Risk</v>
      </c>
      <c r="D21" s="238" t="str">
        <f>IF($B$6="Georgia","Group 4","Medium/High Risk")</f>
        <v>Medium/High Risk</v>
      </c>
      <c r="E21" s="238" t="str">
        <f>IF($B$6="Georgia","Group 5","High Risk")</f>
        <v>High Risk</v>
      </c>
    </row>
    <row r="22" spans="1:5" x14ac:dyDescent="0.2">
      <c r="A22" s="346" t="str">
        <f>IF($B$6="Florida",'XS Rate Tables Sections A-F'!A24,IF('XS Rate Tables State Exceptions'!$B$5="Yes",'XS Rate Tables Sections A-F'!A12,'XS Rate Tables Sections A-F'!A18))</f>
        <v>40-55%</v>
      </c>
      <c r="B22" s="346" t="str">
        <f>IF($B$6="Florida",'XS Rate Tables Sections A-F'!B24,IF('XS Rate Tables State Exceptions'!$B$5="Yes",'XS Rate Tables Sections A-F'!B12,'XS Rate Tables Sections A-F'!B18))</f>
        <v>55-65%</v>
      </c>
      <c r="C22" s="346" t="str">
        <f>IF($B$6="Florida",'XS Rate Tables Sections A-F'!C24,IF('XS Rate Tables State Exceptions'!$B$5="Yes",'XS Rate Tables Sections A-F'!C12,'XS Rate Tables Sections A-F'!C18))</f>
        <v>65-75%</v>
      </c>
      <c r="D22" s="346" t="str">
        <f>IF($B$6="Florida",'XS Rate Tables Sections A-F'!D24,IF('XS Rate Tables State Exceptions'!$B$5="Yes",'XS Rate Tables Sections A-F'!D12,'XS Rate Tables Sections A-F'!D18))</f>
        <v>75-85%</v>
      </c>
      <c r="E22" s="346" t="str">
        <f>IF($B$6="Florida",'XS Rate Tables Sections A-F'!E24,IF('XS Rate Tables State Exceptions'!$B$5="Yes",'XS Rate Tables Sections A-F'!E12,'XS Rate Tables Sections A-F'!E18))</f>
        <v>85-150%</v>
      </c>
    </row>
    <row r="23" spans="1:5" x14ac:dyDescent="0.2">
      <c r="A23" s="300" t="s">
        <v>623</v>
      </c>
    </row>
    <row r="24" spans="1:5" x14ac:dyDescent="0.2">
      <c r="A24" s="240" t="s">
        <v>324</v>
      </c>
    </row>
    <row r="25" spans="1:5" ht="30.75" customHeight="1" x14ac:dyDescent="0.2">
      <c r="A25" s="241" t="s">
        <v>305</v>
      </c>
      <c r="B25" s="246" t="s">
        <v>306</v>
      </c>
      <c r="C25" s="242" t="s">
        <v>307</v>
      </c>
    </row>
    <row r="26" spans="1:5" s="244" customFormat="1" x14ac:dyDescent="0.2">
      <c r="A26" s="240" t="s">
        <v>317</v>
      </c>
      <c r="B26" s="247">
        <v>1</v>
      </c>
      <c r="C26" s="243" t="str">
        <f>IF($B$6="Georgia",VLOOKUP(B26,'XS RateTables SectionA-Georgia'!$H$16:$I$20,2,FALSE),VLOOKUP(B26,'XS Rate Tables Sections A-F'!$H$29:$I$33,2,FALSE))</f>
        <v>Low Risk</v>
      </c>
      <c r="E26" s="258"/>
    </row>
    <row r="27" spans="1:5" s="244" customFormat="1" x14ac:dyDescent="0.2">
      <c r="A27" s="240" t="s">
        <v>318</v>
      </c>
      <c r="B27" s="247">
        <v>2</v>
      </c>
      <c r="C27" s="243" t="str">
        <f>IF($B$6="Georgia","N/A - Leave cell blank",VLOOKUP(B27,'XS Rate Tables Sections A-F'!$H$29:$I$33,2,FALSE))</f>
        <v>Low/Medium Risk</v>
      </c>
      <c r="E27" s="258"/>
    </row>
    <row r="28" spans="1:5" s="244" customFormat="1" x14ac:dyDescent="0.2">
      <c r="A28" s="240" t="s">
        <v>319</v>
      </c>
      <c r="B28" s="247">
        <v>1</v>
      </c>
      <c r="C28" s="243" t="str">
        <f>IF($B$6="Georgia",VLOOKUP(B28,'XS RateTables SectionA-Georgia'!$H$16:$I$20,2,FALSE),VLOOKUP(B28,'XS Rate Tables Sections A-F'!$H$29:$I$33,2,FALSE))</f>
        <v>Low Risk</v>
      </c>
      <c r="E28" s="258"/>
    </row>
    <row r="29" spans="1:5" s="244" customFormat="1" x14ac:dyDescent="0.2">
      <c r="A29" s="240" t="s">
        <v>320</v>
      </c>
      <c r="B29" s="247">
        <v>1</v>
      </c>
      <c r="C29" s="243" t="str">
        <f>IF($B$6="Georgia","N/A - Leave cell blank",VLOOKUP(B29,'XS Rate Tables Sections A-F'!$H$29:$I$33,2,FALSE))</f>
        <v>Low Risk</v>
      </c>
      <c r="E29" s="258"/>
    </row>
    <row r="30" spans="1:5" s="244" customFormat="1" x14ac:dyDescent="0.2">
      <c r="A30" s="240" t="s">
        <v>321</v>
      </c>
      <c r="B30" s="247">
        <v>2</v>
      </c>
      <c r="C30" s="243" t="str">
        <f>IF($B$6="Georgia",VLOOKUP(B30,'XS RateTables SectionA-Georgia'!$H$16:$I$20,2,FALSE),VLOOKUP(B30,'XS Rate Tables Sections A-F'!$H$29:$I$33,2,FALSE))</f>
        <v>Low/Medium Risk</v>
      </c>
    </row>
    <row r="31" spans="1:5" s="244" customFormat="1" x14ac:dyDescent="0.2">
      <c r="A31" s="240" t="s">
        <v>322</v>
      </c>
      <c r="B31" s="247">
        <v>1</v>
      </c>
      <c r="C31" s="243" t="str">
        <f>IF($B$6="Georgia",VLOOKUP(B31,'XS RateTables SectionA-Georgia'!$H$16:$I$20,2,FALSE),VLOOKUP(B31,'XS Rate Tables Sections A-F'!$H$29:$I$33,2,FALSE))</f>
        <v>Low Risk</v>
      </c>
    </row>
    <row r="32" spans="1:5" s="244" customFormat="1" x14ac:dyDescent="0.2">
      <c r="A32" s="240" t="s">
        <v>323</v>
      </c>
      <c r="B32" s="247">
        <v>2</v>
      </c>
      <c r="C32" s="243" t="str">
        <f>IF($B$6="Georgia","N/A - Leave cell blank",VLOOKUP(B32,'XS Rate Tables Sections A-F'!$H$29:$I$33,2,FALSE))</f>
        <v>Low/Medium Risk</v>
      </c>
    </row>
    <row r="34" spans="1:5" x14ac:dyDescent="0.2">
      <c r="A34" s="245" t="s">
        <v>308</v>
      </c>
      <c r="B34" s="308">
        <f>ROUND(AVERAGE(B26:B32),0)</f>
        <v>1</v>
      </c>
      <c r="C34" s="336" t="str">
        <f>IF($B$6="Georgia",VLOOKUP(B34,'XS RateTables SectionA-Georgia'!$H$16:$I$20,2,FALSE),VLOOKUP(B34,'XS Rate Tables Sections A-F'!$H$29:$I$33,2,FALSE))</f>
        <v>Low Risk</v>
      </c>
    </row>
    <row r="36" spans="1:5" x14ac:dyDescent="0.2">
      <c r="A36" s="240" t="str">
        <f>"Select Percentage Factor Corresponding to Range of "&amp;C34&amp;":"</f>
        <v>Select Percentage Factor Corresponding to Range of Low Risk:</v>
      </c>
    </row>
    <row r="37" spans="1:5" x14ac:dyDescent="0.2">
      <c r="C37" s="243" t="s">
        <v>169</v>
      </c>
    </row>
    <row r="38" spans="1:5" x14ac:dyDescent="0.2">
      <c r="A38" s="240" t="s">
        <v>333</v>
      </c>
      <c r="B38" s="250">
        <v>0.5</v>
      </c>
      <c r="C38" s="354" t="str">
        <f>VLOOKUP(B34,'XS Rate Tables Sections A-F'!$H$29:$J$33,3,FALSE)</f>
        <v>40-55%</v>
      </c>
    </row>
    <row r="41" spans="1:5" x14ac:dyDescent="0.2">
      <c r="A41" s="237" t="s">
        <v>331</v>
      </c>
    </row>
    <row r="42" spans="1:5" ht="65.25" customHeight="1" x14ac:dyDescent="0.2">
      <c r="A42" s="403" t="s">
        <v>326</v>
      </c>
      <c r="B42" s="404"/>
      <c r="C42" s="404"/>
      <c r="D42" s="404"/>
      <c r="E42" s="405"/>
    </row>
    <row r="43" spans="1:5" ht="70.5" customHeight="1" x14ac:dyDescent="0.2">
      <c r="A43" s="403" t="s">
        <v>327</v>
      </c>
      <c r="B43" s="404"/>
      <c r="C43" s="404"/>
      <c r="D43" s="404"/>
      <c r="E43" s="405"/>
    </row>
    <row r="44" spans="1:5" ht="69" customHeight="1" x14ac:dyDescent="0.2">
      <c r="A44" s="403" t="s">
        <v>328</v>
      </c>
      <c r="B44" s="404"/>
      <c r="C44" s="404"/>
      <c r="D44" s="404"/>
      <c r="E44" s="405"/>
    </row>
    <row r="45" spans="1:5" ht="65.25" customHeight="1" x14ac:dyDescent="0.2">
      <c r="A45" s="403" t="s">
        <v>329</v>
      </c>
      <c r="B45" s="404"/>
      <c r="C45" s="404"/>
      <c r="D45" s="404"/>
      <c r="E45" s="405"/>
    </row>
    <row r="46" spans="1:5" ht="55.5" customHeight="1" x14ac:dyDescent="0.2">
      <c r="A46" s="403" t="s">
        <v>330</v>
      </c>
      <c r="B46" s="404"/>
      <c r="C46" s="404"/>
      <c r="D46" s="404"/>
      <c r="E46" s="405"/>
    </row>
    <row r="47" spans="1:5" x14ac:dyDescent="0.2">
      <c r="A47" s="411"/>
      <c r="B47" s="411"/>
      <c r="C47" s="411"/>
      <c r="D47" s="411"/>
      <c r="E47" s="411"/>
    </row>
  </sheetData>
  <mergeCells count="6">
    <mergeCell ref="A47:E47"/>
    <mergeCell ref="A42:E42"/>
    <mergeCell ref="A43:E43"/>
    <mergeCell ref="A44:E44"/>
    <mergeCell ref="A45:E45"/>
    <mergeCell ref="A46:E46"/>
  </mergeCells>
  <pageMargins left="0.7" right="0.7" top="0.75" bottom="0.75" header="0.3" footer="0.3"/>
  <extLst>
    <ext xmlns:x14="http://schemas.microsoft.com/office/spreadsheetml/2009/9/main" uri="{CCE6A557-97BC-4b89-ADB6-D9C93CAAB3DF}">
      <x14:dataValidations xmlns:xm="http://schemas.microsoft.com/office/excel/2006/main" xWindow="253" yWindow="707" count="4">
        <x14:dataValidation type="list" allowBlank="1" showInputMessage="1" showErrorMessage="1" error="Select a number between 1 and 5." xr:uid="{58A7055D-44C6-463A-BDF2-F7581A3D8040}">
          <x14:formula1>
            <xm:f>'XS Rate Tables Sections A-F'!$H$29:$H$33</xm:f>
          </x14:formula1>
          <xm:sqref>B26:B32</xm:sqref>
        </x14:dataValidation>
        <x14:dataValidation type="list" allowBlank="1" showInputMessage="1" showErrorMessage="1" xr:uid="{E57F8E48-A250-4D04-A03C-53F60A4EA984}">
          <x14:formula1>
            <xm:f>'XS Rate Tables Section G'!$A$29:$A$79</xm:f>
          </x14:formula1>
          <xm:sqref>B6</xm:sqref>
        </x14:dataValidation>
        <x14:dataValidation type="list" allowBlank="1" showInputMessage="1" showErrorMessage="1" xr:uid="{9CE018CD-6137-452D-9D7E-105B581D272E}">
          <x14:formula1>
            <xm:f>'XS Rate Tables Sections A-F'!$A$96:$A$101</xm:f>
          </x14:formula1>
          <xm:sqref>B16</xm:sqref>
        </x14:dataValidation>
        <x14:dataValidation type="decimal" allowBlank="1" showInputMessage="1" showErrorMessage="1" error="Input falls outside of allowable range.  Please revise." prompt="Input selection as a decimal, not as a whole number." xr:uid="{7A4ACEA0-4C51-47D7-9692-DA04D8687F1A}">
          <x14:formula1>
            <xm:f>'XS Rate Tables Sections A-F'!J36</xm:f>
          </x14:formula1>
          <x14:formula2>
            <xm:f>'XS Rate Tables Sections A-F'!J37</xm:f>
          </x14:formula2>
          <xm:sqref>B38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644BA-7A3C-45B8-AB7C-6A6E28447DB3}">
  <sheetPr>
    <tabColor rgb="FFFF99CC"/>
  </sheetPr>
  <dimension ref="A1:F31"/>
  <sheetViews>
    <sheetView showGridLines="0" zoomScaleNormal="100" workbookViewId="0">
      <selection activeCell="B15" sqref="B15"/>
    </sheetView>
  </sheetViews>
  <sheetFormatPr defaultRowHeight="12.75" x14ac:dyDescent="0.2"/>
  <cols>
    <col min="1" max="1" width="36.25" style="236" customWidth="1"/>
    <col min="2" max="16384" width="9" style="236"/>
  </cols>
  <sheetData>
    <row r="1" spans="1:6" ht="15.75" x14ac:dyDescent="0.25">
      <c r="A1" s="69" t="s">
        <v>325</v>
      </c>
    </row>
    <row r="3" spans="1:6" x14ac:dyDescent="0.2">
      <c r="A3" s="236" t="s">
        <v>262</v>
      </c>
    </row>
    <row r="4" spans="1:6" x14ac:dyDescent="0.2">
      <c r="A4" s="236" t="s">
        <v>263</v>
      </c>
    </row>
    <row r="6" spans="1:6" ht="15.75" x14ac:dyDescent="0.25">
      <c r="A6" s="69" t="s">
        <v>350</v>
      </c>
    </row>
    <row r="7" spans="1:6" x14ac:dyDescent="0.2">
      <c r="A7" s="240" t="s">
        <v>520</v>
      </c>
    </row>
    <row r="8" spans="1:6" x14ac:dyDescent="0.2">
      <c r="C8" s="242" t="s">
        <v>169</v>
      </c>
    </row>
    <row r="9" spans="1:6" x14ac:dyDescent="0.2">
      <c r="A9" s="236" t="s">
        <v>343</v>
      </c>
      <c r="B9" s="248"/>
      <c r="C9" s="243" t="str">
        <f>IF('XS Rate Tables State Exceptions'!$B$5="Yes",'XS Rate Tables Sections A-F'!B49,'XS Rate Tables Sections A-F'!C49)</f>
        <v>0.60-0.90</v>
      </c>
      <c r="D9" s="236" t="s">
        <v>476</v>
      </c>
    </row>
    <row r="10" spans="1:6" x14ac:dyDescent="0.2">
      <c r="A10" s="236" t="s">
        <v>344</v>
      </c>
      <c r="B10" s="248">
        <v>1</v>
      </c>
      <c r="C10" s="243" t="str">
        <f>IF('XS Rate Tables State Exceptions'!B6="Yes",'XS Rate Tables Sections A-F'!B50,'XS Rate Tables Sections A-F'!C50)</f>
        <v>0.55-0.75</v>
      </c>
      <c r="D10" s="236" t="s">
        <v>476</v>
      </c>
      <c r="F10" s="300" t="s">
        <v>671</v>
      </c>
    </row>
    <row r="12" spans="1:6" ht="15.75" x14ac:dyDescent="0.25">
      <c r="A12" s="69" t="s">
        <v>351</v>
      </c>
    </row>
    <row r="13" spans="1:6" x14ac:dyDescent="0.2">
      <c r="A13" s="236" t="s">
        <v>477</v>
      </c>
      <c r="E13" s="236">
        <v>2</v>
      </c>
      <c r="F13" s="243" t="s">
        <v>478</v>
      </c>
    </row>
    <row r="14" spans="1:6" x14ac:dyDescent="0.2">
      <c r="A14" s="236" t="s">
        <v>470</v>
      </c>
      <c r="B14" s="320" t="s">
        <v>345</v>
      </c>
    </row>
    <row r="15" spans="1:6" x14ac:dyDescent="0.2">
      <c r="A15" s="236" t="s">
        <v>480</v>
      </c>
      <c r="B15" s="248">
        <v>1</v>
      </c>
      <c r="E15" s="300" t="s">
        <v>627</v>
      </c>
    </row>
    <row r="17" spans="1:5" ht="15.75" x14ac:dyDescent="0.25">
      <c r="A17" s="69" t="s">
        <v>352</v>
      </c>
    </row>
    <row r="18" spans="1:5" x14ac:dyDescent="0.2">
      <c r="A18" s="236" t="s">
        <v>477</v>
      </c>
    </row>
    <row r="19" spans="1:5" x14ac:dyDescent="0.2">
      <c r="A19" s="236" t="s">
        <v>356</v>
      </c>
      <c r="B19" s="251" t="s">
        <v>195</v>
      </c>
    </row>
    <row r="20" spans="1:5" x14ac:dyDescent="0.2">
      <c r="A20" s="236" t="s">
        <v>481</v>
      </c>
      <c r="B20" s="248">
        <v>1</v>
      </c>
      <c r="E20" s="300" t="s">
        <v>627</v>
      </c>
    </row>
    <row r="21" spans="1:5" x14ac:dyDescent="0.2">
      <c r="A21" s="236" t="s">
        <v>482</v>
      </c>
    </row>
    <row r="23" spans="1:5" ht="15.75" x14ac:dyDescent="0.25">
      <c r="A23" s="69" t="s">
        <v>357</v>
      </c>
    </row>
    <row r="24" spans="1:5" x14ac:dyDescent="0.2">
      <c r="A24" s="236" t="s">
        <v>358</v>
      </c>
      <c r="B24" s="251" t="s">
        <v>195</v>
      </c>
      <c r="C24" s="242" t="s">
        <v>169</v>
      </c>
    </row>
    <row r="25" spans="1:5" x14ac:dyDescent="0.2">
      <c r="A25" s="236" t="s">
        <v>516</v>
      </c>
      <c r="B25" s="252">
        <v>0</v>
      </c>
      <c r="C25" s="349" t="str">
        <f>IF('XS Rate Tables State Exceptions'!B6="No",'XS Rate Tables State Exceptions'!C6,IF('XS Rate Tables State Exceptions'!B6="Yes",'XS Rate Tables Sections A-F'!B109,'XS Rate Tables Sections A-F'!C109))</f>
        <v>0% - 2%</v>
      </c>
    </row>
    <row r="30" spans="1:5" x14ac:dyDescent="0.2">
      <c r="A30" s="240"/>
    </row>
    <row r="31" spans="1:5" x14ac:dyDescent="0.2">
      <c r="A31" s="240"/>
    </row>
  </sheetData>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AFE39747-4CAF-480E-BC73-152004893EDF}">
          <x14:formula1>
            <xm:f>'XS Rate Tables Sections A-F'!$G$56:$G$61</xm:f>
          </x14:formula1>
          <xm:sqref>B14</xm:sqref>
        </x14:dataValidation>
        <x14:dataValidation type="list" allowBlank="1" showInputMessage="1" showErrorMessage="1" xr:uid="{99258DD8-21CD-41E9-A457-333F55300B53}">
          <x14:formula1>
            <xm:f>'XS Rate Tables Sections A-F'!$G$74:$G$75</xm:f>
          </x14:formula1>
          <xm:sqref>B24 B19</xm:sqref>
        </x14:dataValidation>
        <x14:dataValidation type="decimal" allowBlank="1" showInputMessage="1" showErrorMessage="1" error="Leave this cell blank if Terrorism Coverage is not rejected. " prompt="Input selection as a decimal, not as a whole number. _x000a__x000a_Leave blank if Terrorism is not rejected." xr:uid="{89E902D8-16B6-41D1-B8DC-5C09CB66AF5F}">
          <x14:formula1>
            <xm:f>IF(B24="No","",'XS Rate Tables Sections A-F'!G105)</xm:f>
          </x14:formula1>
          <x14:formula2>
            <xm:f>IF(B24="No","",'XS Rate Tables Sections A-F'!H105)</xm:f>
          </x14:formula2>
          <xm:sqref>B25</xm:sqref>
        </x14:dataValidation>
        <x14:dataValidation type="decimal" allowBlank="1" showInputMessage="1" showErrorMessage="1" error="Input falls outside of allowable range.  Please revise." prompt="Input selection as a decimal, not as a whole number._x000a__x000a_Leave blank if not applicable._x000a__x000a_If a factor is entered in this cell, then &quot;IDL Coverage&quot; input cell must remain blank." xr:uid="{7FEC4302-DFB4-49BC-A338-69C1CDF0A2DE}">
          <x14:formula1>
            <xm:f>'XS Rate Tables Sections A-F'!G49</xm:f>
          </x14:formula1>
          <x14:formula2>
            <xm:f>'XS Rate Tables Sections A-F'!H49</xm:f>
          </x14:formula2>
          <xm:sqref>B9</xm:sqref>
        </x14:dataValidation>
        <x14:dataValidation type="decimal" allowBlank="1" showInputMessage="1" showErrorMessage="1" error="Input falls outside of allowable range.  Please revise." prompt="IInput selection as a decimal, not as a whole number._x000a__x000a_Leave blank if not applicable._x000a__x000a_If a factor is entered in this cell, then &quot;Side A with DIC Coverage&quot; input cell must remain blank." xr:uid="{0B82CA18-F673-439E-9C2A-9D6D8C99ACB9}">
          <x14:formula1>
            <xm:f>IF(B9&lt;&gt;"","",'XS Rate Tables Sections A-F'!G50)</xm:f>
          </x14:formula1>
          <x14:formula2>
            <xm:f>IF(B9&lt;&gt;"","",'XS Rate Tables Sections A-F'!H50)</xm:f>
          </x14:formula2>
          <xm:sqref>B10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16AEB-7778-4E32-8C2C-8AE46E632DA4}">
  <sheetPr>
    <tabColor rgb="FFFF99CC"/>
  </sheetPr>
  <dimension ref="A1:E27"/>
  <sheetViews>
    <sheetView showGridLines="0" workbookViewId="0">
      <selection activeCell="B17" sqref="B17"/>
    </sheetView>
  </sheetViews>
  <sheetFormatPr defaultRowHeight="12.75" x14ac:dyDescent="0.2"/>
  <cols>
    <col min="1" max="1" width="32.625" style="236" customWidth="1"/>
    <col min="2" max="2" width="15.5" style="236" customWidth="1"/>
    <col min="3" max="3" width="22.375" style="236" customWidth="1"/>
    <col min="4" max="16384" width="9" style="236"/>
  </cols>
  <sheetData>
    <row r="1" spans="1:5" ht="15.75" x14ac:dyDescent="0.25">
      <c r="A1" s="69" t="s">
        <v>325</v>
      </c>
    </row>
    <row r="3" spans="1:5" x14ac:dyDescent="0.2">
      <c r="A3" s="236" t="s">
        <v>262</v>
      </c>
    </row>
    <row r="4" spans="1:5" x14ac:dyDescent="0.2">
      <c r="A4" s="236" t="s">
        <v>263</v>
      </c>
    </row>
    <row r="6" spans="1:5" ht="15.75" x14ac:dyDescent="0.25">
      <c r="A6" s="69" t="s">
        <v>334</v>
      </c>
    </row>
    <row r="8" spans="1:5" x14ac:dyDescent="0.2">
      <c r="A8" s="240" t="s">
        <v>342</v>
      </c>
    </row>
    <row r="9" spans="1:5" x14ac:dyDescent="0.2">
      <c r="A9" s="241" t="s">
        <v>335</v>
      </c>
      <c r="B9" s="246" t="s">
        <v>340</v>
      </c>
      <c r="C9" s="246" t="s">
        <v>341</v>
      </c>
    </row>
    <row r="10" spans="1:5" x14ac:dyDescent="0.2">
      <c r="A10" s="240" t="s">
        <v>339</v>
      </c>
      <c r="B10" s="291">
        <v>0.15</v>
      </c>
      <c r="C10" s="249" t="str">
        <f>IF(ISERROR(VLOOKUP('XS Rating Step A Inputs'!$B$6,'XS Rate Tables Section G'!$H$11:$I$14,2,FALSE)=TRUE),'XS Rate Tables Section G'!C11,VLOOKUP('XS Rating Step A Inputs'!$B$6,'XS Rate Tables Section G'!$H$11:$I$14,2,FALSE))</f>
        <v>+/- 25%</v>
      </c>
      <c r="E10" s="249"/>
    </row>
    <row r="11" spans="1:5" x14ac:dyDescent="0.2">
      <c r="A11" s="240" t="s">
        <v>338</v>
      </c>
      <c r="B11" s="291">
        <v>0.2</v>
      </c>
      <c r="C11" s="249" t="str">
        <f>IF(ISERROR(VLOOKUP('XS Rating Step A Inputs'!$B$6,'XS Rate Tables Section G'!$H$11:$I$14,2,FALSE)=TRUE),'XS Rate Tables Section G'!C12,VLOOKUP('XS Rating Step A Inputs'!$B$6,'XS Rate Tables Section G'!$H$11:$I$14,2,FALSE))</f>
        <v>+/- 25%</v>
      </c>
      <c r="D11" s="249"/>
    </row>
    <row r="12" spans="1:5" x14ac:dyDescent="0.2">
      <c r="A12" s="240" t="s">
        <v>337</v>
      </c>
      <c r="B12" s="291">
        <v>0</v>
      </c>
      <c r="C12" s="249" t="str">
        <f>IF('XS Rating Step A Inputs'!B6="Georgia","N/A - Leave cell blank",IF(ISERROR(VLOOKUP('XS Rating Step A Inputs'!$B$6,'XS Rate Tables Section G'!$H$11:$I$14,2,FALSE)=TRUE),'XS Rate Tables Section G'!C13,VLOOKUP('XS Rating Step A Inputs'!$B$6,'XS Rate Tables Section G'!$H$11:$I$14,2,FALSE)))</f>
        <v>+/- 25%</v>
      </c>
      <c r="D12" s="249"/>
    </row>
    <row r="13" spans="1:5" x14ac:dyDescent="0.2">
      <c r="A13" s="240" t="s">
        <v>336</v>
      </c>
      <c r="B13" s="291">
        <v>0</v>
      </c>
      <c r="C13" s="249" t="str">
        <f>IF(ISERROR(VLOOKUP('XS Rating Step A Inputs'!$B$6,'XS Rate Tables Section G'!$H$11:$I$14,2,FALSE)=TRUE),'XS Rate Tables Section G'!C14,VLOOKUP('XS Rating Step A Inputs'!$B$6,'XS Rate Tables Section G'!$H$11:$I$14,2,FALSE))</f>
        <v>+/- 25%</v>
      </c>
      <c r="D13" s="249"/>
    </row>
    <row r="14" spans="1:5" x14ac:dyDescent="0.2">
      <c r="A14" s="280"/>
      <c r="B14" s="338"/>
      <c r="C14" s="337"/>
      <c r="D14" s="249"/>
    </row>
    <row r="15" spans="1:5" x14ac:dyDescent="0.2">
      <c r="A15" s="240" t="str">
        <f>IF('XS Rating Step A Inputs'!$B$6="Nebraska","Note: +/- 40% deviation is permitted in lieu of schedule rating in Nebraska.","")</f>
        <v/>
      </c>
      <c r="B15" s="338"/>
      <c r="C15" s="337"/>
      <c r="D15" s="249"/>
    </row>
    <row r="16" spans="1:5" x14ac:dyDescent="0.2">
      <c r="D16" s="249"/>
    </row>
    <row r="17" spans="1:5" x14ac:dyDescent="0.2">
      <c r="A17" s="237" t="s">
        <v>465</v>
      </c>
      <c r="B17" s="339">
        <f>MIN(MAX(SUM($B$10:$B$13),'XS Rate Tables Section G'!$F$26),'XS Rate Tables Section G'!$G$26)</f>
        <v>0.25</v>
      </c>
    </row>
    <row r="18" spans="1:5" x14ac:dyDescent="0.2">
      <c r="A18" s="236" t="str">
        <f>"(subject to maximum Credit/Debit of "&amp;VLOOKUP('XS Rating Step A Inputs'!$B$6,'XS Rate Tables Section G'!$A$29:$C$79,3,FALSE)&amp;" allowed by state)"</f>
        <v>(subject to maximum Credit/Debit of +/- 25% allowed by state)</v>
      </c>
    </row>
    <row r="19" spans="1:5" x14ac:dyDescent="0.2">
      <c r="E19" s="293"/>
    </row>
    <row r="20" spans="1:5" x14ac:dyDescent="0.2">
      <c r="A20" s="237" t="s">
        <v>464</v>
      </c>
      <c r="E20" s="293"/>
    </row>
    <row r="21" spans="1:5" ht="39" customHeight="1" x14ac:dyDescent="0.2">
      <c r="A21" s="410" t="s">
        <v>367</v>
      </c>
      <c r="B21" s="411"/>
      <c r="C21" s="411"/>
      <c r="D21" s="411"/>
      <c r="E21" s="412"/>
    </row>
    <row r="22" spans="1:5" ht="41.25" customHeight="1" x14ac:dyDescent="0.2">
      <c r="A22" s="413" t="s">
        <v>302</v>
      </c>
      <c r="B22" s="414"/>
      <c r="C22" s="414"/>
      <c r="D22" s="414"/>
      <c r="E22" s="415"/>
    </row>
    <row r="23" spans="1:5" ht="59.25" customHeight="1" x14ac:dyDescent="0.2">
      <c r="A23" s="403" t="s">
        <v>418</v>
      </c>
      <c r="B23" s="404"/>
      <c r="C23" s="404"/>
      <c r="D23" s="404"/>
      <c r="E23" s="405"/>
    </row>
    <row r="24" spans="1:5" ht="59.25" customHeight="1" x14ac:dyDescent="0.2">
      <c r="A24" s="410" t="s">
        <v>419</v>
      </c>
      <c r="B24" s="411"/>
      <c r="C24" s="411"/>
      <c r="D24" s="411"/>
      <c r="E24" s="412"/>
    </row>
    <row r="25" spans="1:5" ht="219" customHeight="1" x14ac:dyDescent="0.2">
      <c r="A25" s="281"/>
      <c r="B25" s="282"/>
      <c r="C25" s="282"/>
      <c r="D25" s="282"/>
      <c r="E25" s="283"/>
    </row>
    <row r="26" spans="1:5" ht="13.5" customHeight="1" x14ac:dyDescent="0.2">
      <c r="A26" s="284"/>
      <c r="B26" s="285"/>
      <c r="C26" s="285"/>
      <c r="D26" s="285"/>
      <c r="E26" s="286"/>
    </row>
    <row r="27" spans="1:5" ht="59.25" customHeight="1" x14ac:dyDescent="0.2">
      <c r="A27" s="403" t="s">
        <v>420</v>
      </c>
      <c r="B27" s="404"/>
      <c r="C27" s="404"/>
      <c r="D27" s="404"/>
      <c r="E27" s="405"/>
    </row>
  </sheetData>
  <mergeCells count="5">
    <mergeCell ref="A21:E21"/>
    <mergeCell ref="A22:E22"/>
    <mergeCell ref="A23:E23"/>
    <mergeCell ref="A24:E24"/>
    <mergeCell ref="A27:E27"/>
  </mergeCells>
  <pageMargins left="0.7" right="0.7" top="0.75" bottom="0.75" header="0.3" footer="0.3"/>
  <drawing r:id="rId1"/>
  <extLst>
    <ext xmlns:x14="http://schemas.microsoft.com/office/spreadsheetml/2009/9/main" uri="{CCE6A557-97BC-4b89-ADB6-D9C93CAAB3DF}">
      <x14:dataValidations xmlns:xm="http://schemas.microsoft.com/office/excel/2006/main" count="4">
        <x14:dataValidation type="decimal" allowBlank="1" showInputMessage="1" showErrorMessage="1" error="Input falls outside of allowable range.  Please revise." prompt="Enter selection as a decimal, not as a whole number." xr:uid="{05F66365-3097-435C-8527-DA6DE8E6D657}">
          <x14:formula1>
            <xm:f>'XS Rate Tables Section G'!K11</xm:f>
          </x14:formula1>
          <x14:formula2>
            <xm:f>'XS Rate Tables Section G'!L11</xm:f>
          </x14:formula2>
          <xm:sqref>B10</xm:sqref>
        </x14:dataValidation>
        <x14:dataValidation type="decimal" allowBlank="1" showInputMessage="1" showErrorMessage="1" prompt="Enter selection as a decimal, not as a whole number." xr:uid="{F29B9E39-8008-46E5-A3AB-A8F895355807}">
          <x14:formula1>
            <xm:f>'XS Rate Tables Section G'!K11</xm:f>
          </x14:formula1>
          <x14:formula2>
            <xm:f>'XS Rate Tables Section G'!L11</xm:f>
          </x14:formula2>
          <xm:sqref>B13:B15</xm:sqref>
        </x14:dataValidation>
        <x14:dataValidation type="decimal" allowBlank="1" showInputMessage="1" showErrorMessage="1" error="Input falls outside of allowable range.  Please revise." prompt="Enter selection as a decimal, not as a whole number." xr:uid="{3C87263B-57F1-4789-ABBB-F24899EA0ED8}">
          <x14:formula1>
            <xm:f>'XS Rate Tables Section G'!K11</xm:f>
          </x14:formula1>
          <x14:formula2>
            <xm:f>'XS Rate Tables Section G'!L11</xm:f>
          </x14:formula2>
          <xm:sqref>B11</xm:sqref>
        </x14:dataValidation>
        <x14:dataValidation type="decimal" allowBlank="1" showInputMessage="1" showErrorMessage="1" error="Input falls outside of allowable range.  Please revise." prompt="Enter selection as a decimal, not as a whole number." xr:uid="{D3DC1006-2A90-4EB0-8D67-07F5EFDA4095}">
          <x14:formula1>
            <xm:f>'XS Rate Tables Section G'!K11</xm:f>
          </x14:formula1>
          <x14:formula2>
            <xm:f>'XS Rate Tables Section G'!L11</xm:f>
          </x14:formula2>
          <xm:sqref>B12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B2D05-F0C9-454B-98E5-EE6288231F7A}">
  <dimension ref="B3"/>
  <sheetViews>
    <sheetView showGridLines="0" workbookViewId="0"/>
  </sheetViews>
  <sheetFormatPr defaultRowHeight="15.75" x14ac:dyDescent="0.25"/>
  <sheetData>
    <row r="3" spans="2:2" x14ac:dyDescent="0.25">
      <c r="B3" t="s">
        <v>179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0A957-F420-5243-B67D-E7AC587743B3}">
  <dimension ref="B1:N29"/>
  <sheetViews>
    <sheetView showGridLines="0" workbookViewId="0"/>
  </sheetViews>
  <sheetFormatPr defaultColWidth="10.875" defaultRowHeight="15.75" x14ac:dyDescent="0.25"/>
  <cols>
    <col min="1" max="1" width="10.875" style="18"/>
    <col min="2" max="2" width="11.5" style="1" bestFit="1" customWidth="1"/>
    <col min="3" max="3" width="11.5" style="18" bestFit="1" customWidth="1"/>
    <col min="4" max="4" width="12.5" style="3" bestFit="1" customWidth="1"/>
    <col min="5" max="6" width="10.875" style="18"/>
    <col min="7" max="7" width="11.5" style="18" bestFit="1" customWidth="1"/>
    <col min="8" max="9" width="11.125" style="18" bestFit="1" customWidth="1"/>
    <col min="10" max="10" width="11.5" style="18" bestFit="1" customWidth="1"/>
    <col min="11" max="16384" width="10.875" style="18"/>
  </cols>
  <sheetData>
    <row r="1" spans="2:14" x14ac:dyDescent="0.25">
      <c r="B1" s="63"/>
      <c r="C1" s="63"/>
      <c r="D1" s="63"/>
      <c r="E1" s="63"/>
      <c r="F1" s="63"/>
      <c r="G1" s="63"/>
      <c r="H1" s="63"/>
      <c r="I1" s="63"/>
      <c r="J1" s="63"/>
    </row>
    <row r="2" spans="2:14" x14ac:dyDescent="0.25">
      <c r="B2" s="11" t="s">
        <v>1</v>
      </c>
      <c r="C2" s="11"/>
      <c r="D2" s="11"/>
      <c r="E2" s="11"/>
      <c r="F2" s="11"/>
      <c r="G2" s="11"/>
      <c r="H2" s="11"/>
      <c r="I2" s="11"/>
      <c r="J2" s="11"/>
    </row>
    <row r="3" spans="2:14" x14ac:dyDescent="0.25">
      <c r="B3" s="11"/>
      <c r="C3" s="11"/>
      <c r="D3" s="11"/>
      <c r="E3" s="11"/>
      <c r="F3" s="11"/>
      <c r="G3" s="11"/>
      <c r="H3" s="11"/>
      <c r="I3" s="11"/>
      <c r="J3" s="11"/>
    </row>
    <row r="4" spans="2:14" x14ac:dyDescent="0.25">
      <c r="B4" s="64" t="s">
        <v>2</v>
      </c>
      <c r="C4" s="65"/>
      <c r="D4" s="66"/>
      <c r="E4" s="64" t="s">
        <v>11</v>
      </c>
      <c r="F4" s="65"/>
      <c r="G4" s="66"/>
      <c r="H4" s="64" t="s">
        <v>12</v>
      </c>
      <c r="I4" s="65"/>
      <c r="J4" s="66"/>
    </row>
    <row r="5" spans="2:14" ht="63" x14ac:dyDescent="0.25">
      <c r="B5" s="115" t="s">
        <v>3</v>
      </c>
      <c r="C5" s="116" t="s">
        <v>4</v>
      </c>
      <c r="D5" s="117" t="s">
        <v>5</v>
      </c>
      <c r="E5" s="115" t="s">
        <v>3</v>
      </c>
      <c r="F5" s="116" t="s">
        <v>4</v>
      </c>
      <c r="G5" s="117" t="s">
        <v>8</v>
      </c>
      <c r="H5" s="115" t="s">
        <v>3</v>
      </c>
      <c r="I5" s="116" t="s">
        <v>4</v>
      </c>
      <c r="J5" s="118" t="s">
        <v>9</v>
      </c>
      <c r="M5" s="12"/>
    </row>
    <row r="6" spans="2:14" x14ac:dyDescent="0.25">
      <c r="B6" s="5" t="s">
        <v>6</v>
      </c>
      <c r="C6" s="6">
        <v>1</v>
      </c>
      <c r="D6" s="14">
        <v>1977</v>
      </c>
      <c r="E6" s="5" t="s">
        <v>6</v>
      </c>
      <c r="F6" s="6">
        <v>0.4</v>
      </c>
      <c r="G6" s="16">
        <v>988</v>
      </c>
      <c r="H6" s="5" t="s">
        <v>6</v>
      </c>
      <c r="I6" s="6">
        <v>0.7</v>
      </c>
      <c r="J6" s="17">
        <v>1977</v>
      </c>
      <c r="M6" s="12"/>
      <c r="N6" s="12"/>
    </row>
    <row r="7" spans="2:14" x14ac:dyDescent="0.25">
      <c r="B7" s="8">
        <v>1</v>
      </c>
      <c r="C7" s="6">
        <v>2.5</v>
      </c>
      <c r="D7" s="14">
        <v>2298</v>
      </c>
      <c r="E7" s="8">
        <v>0.4</v>
      </c>
      <c r="F7" s="6">
        <v>1</v>
      </c>
      <c r="G7" s="16">
        <v>1149</v>
      </c>
      <c r="H7" s="8">
        <v>0.7</v>
      </c>
      <c r="I7" s="6">
        <v>1.75</v>
      </c>
      <c r="J7" s="17">
        <v>2298</v>
      </c>
      <c r="M7" s="12"/>
      <c r="N7" s="12"/>
    </row>
    <row r="8" spans="2:14" x14ac:dyDescent="0.25">
      <c r="B8" s="8">
        <v>2.5</v>
      </c>
      <c r="C8" s="6">
        <v>5</v>
      </c>
      <c r="D8" s="14">
        <v>2817</v>
      </c>
      <c r="E8" s="8">
        <v>1</v>
      </c>
      <c r="F8" s="6">
        <v>2</v>
      </c>
      <c r="G8" s="16">
        <v>1408</v>
      </c>
      <c r="H8" s="8">
        <v>1.75</v>
      </c>
      <c r="I8" s="6">
        <v>3.5</v>
      </c>
      <c r="J8" s="17">
        <v>2817</v>
      </c>
      <c r="L8" s="12"/>
      <c r="N8" s="12"/>
    </row>
    <row r="9" spans="2:14" x14ac:dyDescent="0.25">
      <c r="B9" s="8">
        <v>5</v>
      </c>
      <c r="C9" s="6">
        <v>10</v>
      </c>
      <c r="D9" s="14">
        <v>3583</v>
      </c>
      <c r="E9" s="8">
        <v>2</v>
      </c>
      <c r="F9" s="6">
        <v>4</v>
      </c>
      <c r="G9" s="16">
        <v>1791</v>
      </c>
      <c r="H9" s="8">
        <v>3.5</v>
      </c>
      <c r="I9" s="6">
        <v>7</v>
      </c>
      <c r="J9" s="17">
        <v>3583</v>
      </c>
      <c r="L9" s="12"/>
      <c r="M9" s="12"/>
    </row>
    <row r="10" spans="2:14" x14ac:dyDescent="0.25">
      <c r="B10" s="8">
        <v>10</v>
      </c>
      <c r="C10" s="6">
        <v>15</v>
      </c>
      <c r="D10" s="14">
        <v>4102</v>
      </c>
      <c r="E10" s="8">
        <v>4</v>
      </c>
      <c r="F10" s="6">
        <v>6</v>
      </c>
      <c r="G10" s="16">
        <v>2051</v>
      </c>
      <c r="H10" s="8">
        <v>7</v>
      </c>
      <c r="I10" s="6">
        <v>10.5</v>
      </c>
      <c r="J10" s="17">
        <v>4102</v>
      </c>
      <c r="L10" s="12"/>
      <c r="M10" s="12"/>
      <c r="N10" s="19"/>
    </row>
    <row r="11" spans="2:14" x14ac:dyDescent="0.25">
      <c r="B11" s="8">
        <v>15</v>
      </c>
      <c r="C11" s="6">
        <v>20</v>
      </c>
      <c r="D11" s="14">
        <v>4448</v>
      </c>
      <c r="E11" s="8">
        <v>6</v>
      </c>
      <c r="F11" s="6">
        <v>8</v>
      </c>
      <c r="G11" s="16">
        <v>2224</v>
      </c>
      <c r="H11" s="8">
        <v>10.5</v>
      </c>
      <c r="I11" s="6">
        <v>14</v>
      </c>
      <c r="J11" s="17">
        <v>4448</v>
      </c>
      <c r="M11" s="12"/>
      <c r="N11" s="12"/>
    </row>
    <row r="12" spans="2:14" x14ac:dyDescent="0.25">
      <c r="B12" s="8">
        <v>20</v>
      </c>
      <c r="C12" s="6">
        <v>25</v>
      </c>
      <c r="D12" s="14">
        <v>4719</v>
      </c>
      <c r="E12" s="8">
        <v>8</v>
      </c>
      <c r="F12" s="6">
        <v>10</v>
      </c>
      <c r="G12" s="16">
        <v>2360</v>
      </c>
      <c r="H12" s="8">
        <v>14</v>
      </c>
      <c r="I12" s="6">
        <v>17.5</v>
      </c>
      <c r="J12" s="17">
        <v>4719</v>
      </c>
      <c r="M12" s="19"/>
      <c r="N12" s="12"/>
    </row>
    <row r="13" spans="2:14" x14ac:dyDescent="0.25">
      <c r="B13" s="8">
        <v>25</v>
      </c>
      <c r="C13" s="6">
        <v>50</v>
      </c>
      <c r="D13" s="14">
        <v>5559</v>
      </c>
      <c r="E13" s="8">
        <v>10</v>
      </c>
      <c r="F13" s="6">
        <v>20</v>
      </c>
      <c r="G13" s="16">
        <v>2780</v>
      </c>
      <c r="H13" s="8">
        <v>17.5</v>
      </c>
      <c r="I13" s="6">
        <v>35</v>
      </c>
      <c r="J13" s="17">
        <v>5559</v>
      </c>
      <c r="M13" s="20"/>
      <c r="N13" s="19"/>
    </row>
    <row r="14" spans="2:14" x14ac:dyDescent="0.25">
      <c r="B14" s="8">
        <v>50</v>
      </c>
      <c r="C14" s="6">
        <v>75</v>
      </c>
      <c r="D14" s="14">
        <v>6301</v>
      </c>
      <c r="E14" s="8">
        <v>20</v>
      </c>
      <c r="F14" s="6">
        <v>30</v>
      </c>
      <c r="G14" s="14">
        <v>3150</v>
      </c>
      <c r="H14" s="8">
        <v>35</v>
      </c>
      <c r="I14" s="6">
        <v>52.5</v>
      </c>
      <c r="J14" s="17">
        <v>6301</v>
      </c>
      <c r="N14" s="12"/>
    </row>
    <row r="15" spans="2:14" x14ac:dyDescent="0.25">
      <c r="B15" s="8">
        <v>75</v>
      </c>
      <c r="C15" s="6">
        <v>100</v>
      </c>
      <c r="D15" s="14">
        <v>6993</v>
      </c>
      <c r="E15" s="8">
        <v>30</v>
      </c>
      <c r="F15" s="6">
        <v>40</v>
      </c>
      <c r="G15" s="14">
        <v>3496</v>
      </c>
      <c r="H15" s="8">
        <v>52.5</v>
      </c>
      <c r="I15" s="6">
        <v>70</v>
      </c>
      <c r="J15" s="17">
        <v>6993</v>
      </c>
      <c r="M15" s="12"/>
    </row>
    <row r="16" spans="2:14" x14ac:dyDescent="0.25">
      <c r="B16" s="8">
        <v>100</v>
      </c>
      <c r="C16" s="6">
        <v>150</v>
      </c>
      <c r="D16" s="14">
        <v>8104</v>
      </c>
      <c r="E16" s="8">
        <v>40</v>
      </c>
      <c r="F16" s="6">
        <v>60</v>
      </c>
      <c r="G16" s="14">
        <v>4052</v>
      </c>
      <c r="H16" s="8">
        <v>70</v>
      </c>
      <c r="I16" s="6">
        <v>105</v>
      </c>
      <c r="J16" s="17">
        <v>8104</v>
      </c>
      <c r="M16" s="12"/>
      <c r="N16" s="19"/>
    </row>
    <row r="17" spans="2:14" x14ac:dyDescent="0.25">
      <c r="B17" s="8">
        <v>150</v>
      </c>
      <c r="C17" s="6">
        <v>250</v>
      </c>
      <c r="D17" s="14">
        <v>9389</v>
      </c>
      <c r="E17" s="8">
        <v>60</v>
      </c>
      <c r="F17" s="6">
        <v>100</v>
      </c>
      <c r="G17" s="14">
        <v>4695</v>
      </c>
      <c r="H17" s="8">
        <v>105</v>
      </c>
      <c r="I17" s="6">
        <v>175</v>
      </c>
      <c r="J17" s="17">
        <v>9389</v>
      </c>
      <c r="M17" s="12"/>
      <c r="N17" s="12"/>
    </row>
    <row r="18" spans="2:14" x14ac:dyDescent="0.25">
      <c r="B18" s="8">
        <v>250</v>
      </c>
      <c r="C18" s="6">
        <v>500</v>
      </c>
      <c r="D18" s="14">
        <v>11860</v>
      </c>
      <c r="E18" s="8">
        <v>100</v>
      </c>
      <c r="F18" s="6">
        <v>200</v>
      </c>
      <c r="G18" s="14">
        <v>5930</v>
      </c>
      <c r="H18" s="8">
        <v>175</v>
      </c>
      <c r="I18" s="6">
        <v>350</v>
      </c>
      <c r="J18" s="17">
        <v>11860</v>
      </c>
      <c r="M18" s="12"/>
      <c r="N18" s="19"/>
    </row>
    <row r="19" spans="2:14" x14ac:dyDescent="0.25">
      <c r="B19" s="8">
        <v>500</v>
      </c>
      <c r="C19" s="6">
        <v>750</v>
      </c>
      <c r="D19" s="14">
        <v>14208</v>
      </c>
      <c r="E19" s="8">
        <v>200</v>
      </c>
      <c r="F19" s="6">
        <v>300</v>
      </c>
      <c r="G19" s="14">
        <v>7104</v>
      </c>
      <c r="H19" s="8">
        <v>350</v>
      </c>
      <c r="I19" s="6">
        <v>525</v>
      </c>
      <c r="J19" s="17">
        <v>14208</v>
      </c>
      <c r="M19" s="19"/>
      <c r="N19" s="12"/>
    </row>
    <row r="20" spans="2:14" x14ac:dyDescent="0.25">
      <c r="B20" s="8">
        <v>750</v>
      </c>
      <c r="C20" s="6">
        <v>1000</v>
      </c>
      <c r="D20" s="14">
        <v>16308</v>
      </c>
      <c r="E20" s="8">
        <v>300</v>
      </c>
      <c r="F20" s="6">
        <v>400</v>
      </c>
      <c r="G20" s="14">
        <v>8154</v>
      </c>
      <c r="H20" s="8">
        <v>525</v>
      </c>
      <c r="I20" s="6">
        <v>700</v>
      </c>
      <c r="J20" s="17">
        <v>16308</v>
      </c>
      <c r="M20" s="12"/>
      <c r="N20" s="19"/>
    </row>
    <row r="21" spans="2:14" x14ac:dyDescent="0.25">
      <c r="B21" s="8">
        <v>1000</v>
      </c>
      <c r="C21" s="6">
        <v>5000</v>
      </c>
      <c r="D21" s="14">
        <v>21744</v>
      </c>
      <c r="E21" s="8">
        <v>400</v>
      </c>
      <c r="F21" s="6">
        <v>2000</v>
      </c>
      <c r="G21" s="14">
        <v>10872</v>
      </c>
      <c r="H21" s="8">
        <v>700</v>
      </c>
      <c r="I21" s="6">
        <v>3500</v>
      </c>
      <c r="J21" s="7">
        <v>21744</v>
      </c>
      <c r="M21" s="12"/>
      <c r="N21" s="20"/>
    </row>
    <row r="22" spans="2:14" x14ac:dyDescent="0.25">
      <c r="B22" s="8">
        <v>5000</v>
      </c>
      <c r="C22" s="6">
        <v>10000</v>
      </c>
      <c r="D22" s="14">
        <v>26661</v>
      </c>
      <c r="E22" s="8">
        <v>2000</v>
      </c>
      <c r="F22" s="6">
        <v>4000</v>
      </c>
      <c r="G22" s="14">
        <v>13330</v>
      </c>
      <c r="H22" s="8">
        <v>3500</v>
      </c>
      <c r="I22" s="6">
        <v>7000</v>
      </c>
      <c r="J22" s="7">
        <v>26661</v>
      </c>
      <c r="M22" s="19"/>
      <c r="N22" s="12"/>
    </row>
    <row r="23" spans="2:14" x14ac:dyDescent="0.25">
      <c r="B23" s="8">
        <v>10000</v>
      </c>
      <c r="C23" s="6">
        <v>15000</v>
      </c>
      <c r="D23" s="14">
        <v>29379</v>
      </c>
      <c r="E23" s="8">
        <v>4000</v>
      </c>
      <c r="F23" s="6">
        <v>6000</v>
      </c>
      <c r="G23" s="14">
        <v>14689</v>
      </c>
      <c r="H23" s="8">
        <v>7000</v>
      </c>
      <c r="I23" s="6">
        <v>10500</v>
      </c>
      <c r="J23" s="17">
        <v>29379</v>
      </c>
      <c r="M23" s="19"/>
      <c r="N23" s="12"/>
    </row>
    <row r="24" spans="2:14" x14ac:dyDescent="0.25">
      <c r="B24" s="8">
        <v>15000</v>
      </c>
      <c r="C24" s="6">
        <v>25000</v>
      </c>
      <c r="D24" s="14">
        <v>32023</v>
      </c>
      <c r="E24" s="8">
        <v>6000</v>
      </c>
      <c r="F24" s="6">
        <v>10000</v>
      </c>
      <c r="G24" s="14">
        <v>16011</v>
      </c>
      <c r="H24" s="8">
        <v>10500</v>
      </c>
      <c r="I24" s="6">
        <v>17500</v>
      </c>
      <c r="J24" s="7">
        <v>32023</v>
      </c>
      <c r="M24" s="12"/>
      <c r="N24" s="21"/>
    </row>
    <row r="25" spans="2:14" x14ac:dyDescent="0.25">
      <c r="B25" s="8">
        <v>25000</v>
      </c>
      <c r="C25" s="6">
        <v>50000</v>
      </c>
      <c r="D25" s="14">
        <v>37038</v>
      </c>
      <c r="E25" s="8">
        <v>10000</v>
      </c>
      <c r="F25" s="6">
        <v>20000</v>
      </c>
      <c r="G25" s="16">
        <v>18519</v>
      </c>
      <c r="H25" s="8">
        <v>17500</v>
      </c>
      <c r="I25" s="6">
        <v>35000</v>
      </c>
      <c r="J25" s="7">
        <v>37038</v>
      </c>
      <c r="M25" s="21"/>
      <c r="N25" s="12"/>
    </row>
    <row r="26" spans="2:14" x14ac:dyDescent="0.25">
      <c r="B26" s="8">
        <v>50000</v>
      </c>
      <c r="C26" s="6">
        <v>100000</v>
      </c>
      <c r="D26" s="14">
        <v>46947</v>
      </c>
      <c r="E26" s="8">
        <v>20000</v>
      </c>
      <c r="F26" s="6">
        <v>40000</v>
      </c>
      <c r="G26" s="16">
        <v>23473</v>
      </c>
      <c r="H26" s="8">
        <v>35000</v>
      </c>
      <c r="I26" s="6">
        <v>70000</v>
      </c>
      <c r="J26" s="7">
        <v>46947</v>
      </c>
      <c r="M26" s="12"/>
      <c r="N26" s="19"/>
    </row>
    <row r="27" spans="2:14" x14ac:dyDescent="0.25">
      <c r="B27" s="9">
        <v>100000</v>
      </c>
      <c r="C27" s="13" t="s">
        <v>7</v>
      </c>
      <c r="D27" s="15">
        <v>53124</v>
      </c>
      <c r="E27" s="9">
        <v>40000</v>
      </c>
      <c r="F27" s="13" t="s">
        <v>7</v>
      </c>
      <c r="G27" s="22">
        <v>26562</v>
      </c>
      <c r="H27" s="9">
        <v>70000</v>
      </c>
      <c r="I27" s="13" t="s">
        <v>7</v>
      </c>
      <c r="J27" s="10">
        <v>53124</v>
      </c>
      <c r="M27" s="12"/>
      <c r="N27" s="12"/>
    </row>
    <row r="28" spans="2:14" x14ac:dyDescent="0.25">
      <c r="B28" s="18"/>
      <c r="C28" s="61"/>
      <c r="D28" s="61"/>
      <c r="E28" s="62"/>
      <c r="F28" s="62"/>
      <c r="G28" s="62"/>
      <c r="H28" s="62"/>
      <c r="I28" s="62"/>
      <c r="J28" s="62"/>
      <c r="M28" s="19"/>
      <c r="N28" s="12"/>
    </row>
    <row r="29" spans="2:14" x14ac:dyDescent="0.25">
      <c r="B29" s="62" t="s">
        <v>10</v>
      </c>
      <c r="N29" s="1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2DC31-774E-0740-9B58-21E0BF83F55B}">
  <dimension ref="A1:AG56"/>
  <sheetViews>
    <sheetView showGridLines="0" workbookViewId="0">
      <pane xSplit="1" ySplit="7" topLeftCell="B8" activePane="bottomRight" state="frozen"/>
      <selection pane="topRight" activeCell="B1" sqref="B1"/>
      <selection pane="bottomLeft" activeCell="A7" sqref="A7"/>
      <selection pane="bottomRight" activeCell="A21" sqref="A21:XFD21"/>
    </sheetView>
  </sheetViews>
  <sheetFormatPr defaultColWidth="10.875" defaultRowHeight="15.75" x14ac:dyDescent="0.25"/>
  <cols>
    <col min="1" max="1" width="13" style="24" bestFit="1" customWidth="1"/>
    <col min="2" max="16384" width="10.875" style="24"/>
  </cols>
  <sheetData>
    <row r="1" spans="1:33" s="23" customFormat="1" x14ac:dyDescent="0.25">
      <c r="A1" s="416"/>
      <c r="B1" s="416"/>
      <c r="C1" s="416"/>
      <c r="D1" s="416"/>
      <c r="E1" s="416"/>
      <c r="F1" s="416"/>
      <c r="G1" s="416"/>
      <c r="H1" s="416"/>
      <c r="I1" s="416"/>
      <c r="J1" s="416"/>
      <c r="K1" s="416"/>
      <c r="L1" s="416"/>
      <c r="M1" s="416"/>
      <c r="N1" s="416"/>
      <c r="O1" s="416"/>
      <c r="P1" s="416"/>
      <c r="Q1" s="416"/>
    </row>
    <row r="2" spans="1:33" s="23" customFormat="1" x14ac:dyDescent="0.25">
      <c r="A2" s="67" t="s">
        <v>13</v>
      </c>
      <c r="B2" s="67"/>
      <c r="C2" s="67"/>
      <c r="D2" s="67"/>
      <c r="E2" s="67"/>
      <c r="F2" s="67"/>
      <c r="G2" s="67"/>
      <c r="H2" s="67"/>
      <c r="I2" s="67"/>
      <c r="J2" s="67"/>
      <c r="K2" s="67"/>
      <c r="L2" s="67"/>
      <c r="M2" s="67"/>
      <c r="N2" s="67"/>
      <c r="O2" s="67"/>
      <c r="P2" s="67"/>
      <c r="Q2" s="67"/>
    </row>
    <row r="3" spans="1:33" s="23" customFormat="1" x14ac:dyDescent="0.25">
      <c r="A3" s="67" t="s">
        <v>14</v>
      </c>
      <c r="B3" s="67"/>
      <c r="C3" s="67"/>
      <c r="D3" s="67"/>
      <c r="E3" s="67"/>
      <c r="F3" s="67"/>
      <c r="G3" s="67"/>
      <c r="H3" s="67"/>
      <c r="I3" s="67"/>
      <c r="J3" s="67"/>
      <c r="K3" s="67"/>
      <c r="L3" s="67"/>
      <c r="M3" s="67"/>
      <c r="N3" s="67"/>
      <c r="O3" s="67"/>
      <c r="P3" s="67"/>
      <c r="Q3" s="67"/>
    </row>
    <row r="4" spans="1:33" s="35" customFormat="1" x14ac:dyDescent="0.25">
      <c r="A4" s="67" t="s">
        <v>15</v>
      </c>
      <c r="B4" s="67"/>
      <c r="C4" s="67"/>
      <c r="D4" s="67"/>
      <c r="E4" s="67"/>
      <c r="F4" s="67"/>
      <c r="G4" s="67"/>
      <c r="H4" s="67"/>
      <c r="I4" s="67"/>
      <c r="J4" s="67"/>
      <c r="K4" s="67"/>
      <c r="L4" s="67"/>
      <c r="M4" s="67"/>
      <c r="N4" s="67"/>
      <c r="O4" s="67"/>
      <c r="P4" s="67"/>
      <c r="Q4" s="67"/>
    </row>
    <row r="5" spans="1:33" s="35" customFormat="1" x14ac:dyDescent="0.25">
      <c r="A5" s="67"/>
      <c r="B5" s="67"/>
      <c r="C5" s="67"/>
      <c r="D5" s="67"/>
      <c r="E5" s="67"/>
      <c r="F5" s="67"/>
      <c r="G5" s="67"/>
      <c r="H5" s="67"/>
      <c r="I5" s="67"/>
      <c r="J5" s="67"/>
      <c r="K5" s="67"/>
      <c r="L5" s="67"/>
      <c r="M5" s="67"/>
      <c r="N5" s="67"/>
      <c r="O5" s="67"/>
      <c r="P5" s="67"/>
      <c r="Q5" s="67"/>
    </row>
    <row r="6" spans="1:33" s="35" customFormat="1" x14ac:dyDescent="0.25">
      <c r="A6" s="42"/>
      <c r="B6" s="43" t="s">
        <v>174</v>
      </c>
      <c r="C6" s="42"/>
      <c r="D6" s="42"/>
      <c r="E6" s="42"/>
      <c r="F6" s="42"/>
      <c r="G6" s="42"/>
      <c r="H6" s="42"/>
      <c r="I6" s="42"/>
      <c r="J6" s="42"/>
      <c r="K6" s="42"/>
      <c r="L6" s="42"/>
      <c r="M6" s="42"/>
      <c r="N6" s="42"/>
      <c r="O6" s="42"/>
      <c r="P6" s="42"/>
      <c r="Q6" s="42"/>
    </row>
    <row r="7" spans="1:33" x14ac:dyDescent="0.25">
      <c r="A7" s="36" t="s">
        <v>173</v>
      </c>
      <c r="B7" s="37">
        <v>5</v>
      </c>
      <c r="C7" s="37">
        <v>10</v>
      </c>
      <c r="D7" s="37">
        <v>25</v>
      </c>
      <c r="E7" s="37">
        <v>50</v>
      </c>
      <c r="F7" s="37">
        <v>75</v>
      </c>
      <c r="G7" s="37">
        <v>100</v>
      </c>
      <c r="H7" s="37">
        <v>250</v>
      </c>
      <c r="I7" s="37">
        <v>500</v>
      </c>
      <c r="J7" s="37">
        <v>750</v>
      </c>
      <c r="K7" s="38">
        <v>1000</v>
      </c>
      <c r="L7" s="38">
        <v>2000</v>
      </c>
      <c r="M7" s="38">
        <v>3000</v>
      </c>
      <c r="N7" s="38">
        <v>4000</v>
      </c>
      <c r="O7" s="38">
        <v>5000</v>
      </c>
      <c r="P7" s="38">
        <v>6000</v>
      </c>
      <c r="Q7" s="39">
        <v>7000</v>
      </c>
      <c r="R7" s="51">
        <v>8000</v>
      </c>
      <c r="S7" s="38">
        <v>9000</v>
      </c>
      <c r="T7" s="38">
        <v>10000</v>
      </c>
      <c r="U7" s="38">
        <v>15000</v>
      </c>
      <c r="V7" s="38">
        <v>20000</v>
      </c>
      <c r="W7" s="38">
        <v>25000</v>
      </c>
      <c r="X7" s="38">
        <v>30000</v>
      </c>
      <c r="Y7" s="38">
        <v>35000</v>
      </c>
      <c r="Z7" s="38">
        <v>40000</v>
      </c>
      <c r="AA7" s="38">
        <v>45000</v>
      </c>
      <c r="AB7" s="38">
        <v>50000</v>
      </c>
      <c r="AC7" s="38">
        <v>60000</v>
      </c>
      <c r="AD7" s="38">
        <v>70000</v>
      </c>
      <c r="AE7" s="38">
        <v>80000</v>
      </c>
      <c r="AF7" s="38">
        <v>90000</v>
      </c>
      <c r="AG7" s="39">
        <v>100000</v>
      </c>
    </row>
    <row r="8" spans="1:33" x14ac:dyDescent="0.25">
      <c r="A8" s="40">
        <v>500</v>
      </c>
      <c r="B8" s="44">
        <v>1.004</v>
      </c>
      <c r="C8" s="44">
        <v>1</v>
      </c>
      <c r="D8" s="44">
        <v>0.98799999999999999</v>
      </c>
      <c r="E8" s="44">
        <v>0.97</v>
      </c>
      <c r="F8" s="44">
        <v>0.95199999999999996</v>
      </c>
      <c r="G8" s="44">
        <v>0.93600000000000005</v>
      </c>
      <c r="H8" s="44">
        <v>0.85699999999999998</v>
      </c>
      <c r="I8" s="44">
        <v>0.79</v>
      </c>
      <c r="J8" s="44">
        <v>0.76200000000000001</v>
      </c>
      <c r="K8" s="44">
        <v>0.73599999999999999</v>
      </c>
      <c r="L8" s="44">
        <v>0.64800000000000002</v>
      </c>
      <c r="M8" s="44">
        <v>0.57899999999999996</v>
      </c>
      <c r="N8" s="44">
        <v>0.52400000000000002</v>
      </c>
      <c r="O8" s="44">
        <v>0.47799999999999998</v>
      </c>
      <c r="P8" s="44">
        <v>0.44</v>
      </c>
      <c r="Q8" s="45">
        <v>0.40699999999999997</v>
      </c>
      <c r="R8" s="56">
        <v>0.379</v>
      </c>
      <c r="S8" s="56">
        <v>0.35499999999999998</v>
      </c>
      <c r="T8" s="56">
        <v>0.311</v>
      </c>
      <c r="U8" s="56">
        <v>0.29399999999999998</v>
      </c>
      <c r="V8" s="56">
        <v>0.27700000000000002</v>
      </c>
      <c r="W8" s="56">
        <v>0.25700000000000001</v>
      </c>
      <c r="X8" s="56">
        <v>0.224</v>
      </c>
      <c r="Y8" s="56">
        <v>0.185</v>
      </c>
      <c r="Z8" s="56">
        <v>0.16</v>
      </c>
      <c r="AA8" s="56">
        <v>0.129</v>
      </c>
      <c r="AB8" s="56">
        <v>0.124</v>
      </c>
      <c r="AC8" s="56">
        <v>0.10100000000000001</v>
      </c>
      <c r="AD8" s="56">
        <v>8.5000000000000006E-2</v>
      </c>
      <c r="AE8" s="56">
        <v>7.1999999999999995E-2</v>
      </c>
      <c r="AF8" s="56">
        <v>6.0999999999999999E-2</v>
      </c>
      <c r="AG8" s="57">
        <v>5.2999999999999999E-2</v>
      </c>
    </row>
    <row r="9" spans="1:33" x14ac:dyDescent="0.25">
      <c r="A9" s="40">
        <v>750</v>
      </c>
      <c r="B9" s="44">
        <v>1.4059999999999999</v>
      </c>
      <c r="C9" s="44">
        <v>1.401</v>
      </c>
      <c r="D9" s="44">
        <v>1.389</v>
      </c>
      <c r="E9" s="44">
        <v>1.369</v>
      </c>
      <c r="F9" s="44">
        <v>1.35</v>
      </c>
      <c r="G9" s="44">
        <v>1.3320000000000001</v>
      </c>
      <c r="H9" s="44">
        <v>1.2450000000000001</v>
      </c>
      <c r="I9" s="44">
        <v>1.1639999999999999</v>
      </c>
      <c r="J9" s="44">
        <v>1.1240000000000001</v>
      </c>
      <c r="K9" s="44">
        <v>1.0860000000000001</v>
      </c>
      <c r="L9" s="44">
        <v>0.95899999999999996</v>
      </c>
      <c r="M9" s="44">
        <v>0.85799999999999998</v>
      </c>
      <c r="N9" s="44">
        <v>0.77700000000000002</v>
      </c>
      <c r="O9" s="44">
        <v>0.71</v>
      </c>
      <c r="P9" s="44">
        <v>0.65300000000000002</v>
      </c>
      <c r="Q9" s="45">
        <v>0.60499999999999998</v>
      </c>
      <c r="R9" s="56">
        <v>0.56399999999999995</v>
      </c>
      <c r="S9" s="56">
        <v>0.52800000000000002</v>
      </c>
      <c r="T9" s="56">
        <v>0.46700000000000003</v>
      </c>
      <c r="U9" s="56">
        <v>0.44</v>
      </c>
      <c r="V9" s="56">
        <v>0.41499999999999998</v>
      </c>
      <c r="W9" s="56">
        <v>0.38500000000000001</v>
      </c>
      <c r="X9" s="56">
        <v>0.33700000000000002</v>
      </c>
      <c r="Y9" s="56">
        <v>0.27700000000000002</v>
      </c>
      <c r="Z9" s="56" t="s">
        <v>121</v>
      </c>
      <c r="AA9" s="56">
        <v>0.193</v>
      </c>
      <c r="AB9" s="56">
        <v>0.185</v>
      </c>
      <c r="AC9" s="56">
        <v>0.152</v>
      </c>
      <c r="AD9" s="56">
        <v>0.127</v>
      </c>
      <c r="AE9" s="56">
        <v>0.107</v>
      </c>
      <c r="AF9" s="56">
        <v>9.1999999999999998E-2</v>
      </c>
      <c r="AG9" s="57">
        <v>0.08</v>
      </c>
    </row>
    <row r="10" spans="1:33" x14ac:dyDescent="0.25">
      <c r="A10" s="40">
        <v>1000</v>
      </c>
      <c r="B10" s="44">
        <v>1.7929999999999999</v>
      </c>
      <c r="C10" s="44">
        <v>1.7889999999999999</v>
      </c>
      <c r="D10" s="44">
        <v>1.7749999999999999</v>
      </c>
      <c r="E10" s="44">
        <v>1.754</v>
      </c>
      <c r="F10" s="44">
        <v>1.734</v>
      </c>
      <c r="G10" s="44">
        <v>1.714</v>
      </c>
      <c r="H10" s="44">
        <v>1.619</v>
      </c>
      <c r="I10" s="44">
        <v>1.526</v>
      </c>
      <c r="J10" s="44">
        <v>1.474</v>
      </c>
      <c r="K10" s="44">
        <v>1.4259999999999999</v>
      </c>
      <c r="L10" s="44">
        <v>1.26</v>
      </c>
      <c r="M10" s="44">
        <v>1.1299999999999999</v>
      </c>
      <c r="N10" s="44">
        <v>1.024</v>
      </c>
      <c r="O10" s="44">
        <v>0.93600000000000005</v>
      </c>
      <c r="P10" s="44">
        <v>0.86299999999999999</v>
      </c>
      <c r="Q10" s="45">
        <v>0.8</v>
      </c>
      <c r="R10" s="56">
        <v>0.746</v>
      </c>
      <c r="S10" s="56">
        <v>0.69899999999999995</v>
      </c>
      <c r="T10" s="56">
        <v>0.622</v>
      </c>
      <c r="U10" s="56">
        <v>0.58699999999999997</v>
      </c>
      <c r="V10" s="56">
        <v>0.55400000000000005</v>
      </c>
      <c r="W10" s="56">
        <v>0.51400000000000001</v>
      </c>
      <c r="X10" s="56">
        <v>0.44900000000000001</v>
      </c>
      <c r="Y10" s="56">
        <v>0.37</v>
      </c>
      <c r="Z10" s="56">
        <v>0.32</v>
      </c>
      <c r="AA10" s="56">
        <v>0.25700000000000001</v>
      </c>
      <c r="AB10" s="56">
        <v>0.246</v>
      </c>
      <c r="AC10" s="56">
        <v>0.20200000000000001</v>
      </c>
      <c r="AD10" s="56">
        <v>0.16900000000000001</v>
      </c>
      <c r="AE10" s="56">
        <v>0.14299999999999999</v>
      </c>
      <c r="AF10" s="56">
        <v>0.123</v>
      </c>
      <c r="AG10" s="57">
        <v>0.106</v>
      </c>
    </row>
    <row r="11" spans="1:33" x14ac:dyDescent="0.25">
      <c r="A11" s="40">
        <v>2000</v>
      </c>
      <c r="B11" s="44">
        <v>3.218</v>
      </c>
      <c r="C11" s="44">
        <v>3.2120000000000002</v>
      </c>
      <c r="D11" s="44">
        <v>3.1960000000000002</v>
      </c>
      <c r="E11" s="46">
        <v>3.17</v>
      </c>
      <c r="F11" s="46">
        <v>3.145</v>
      </c>
      <c r="G11" s="46">
        <v>3.1219999999999999</v>
      </c>
      <c r="H11" s="46">
        <v>2.9990000000000001</v>
      </c>
      <c r="I11" s="46">
        <v>2.8639999999999999</v>
      </c>
      <c r="J11" s="46">
        <v>2.7719999999999998</v>
      </c>
      <c r="K11" s="46">
        <v>2.6859999999999999</v>
      </c>
      <c r="L11" s="46">
        <v>2.39</v>
      </c>
      <c r="M11" s="46">
        <v>2.1539999999999999</v>
      </c>
      <c r="N11" s="46">
        <v>1.96</v>
      </c>
      <c r="O11" s="46">
        <v>1.7989999999999999</v>
      </c>
      <c r="P11" s="46">
        <v>1.663</v>
      </c>
      <c r="Q11" s="47">
        <v>1.546</v>
      </c>
      <c r="R11" s="56">
        <v>1.4450000000000001</v>
      </c>
      <c r="S11" s="56">
        <v>1.321</v>
      </c>
      <c r="T11" s="56">
        <v>1.244</v>
      </c>
      <c r="U11" s="56">
        <v>1.175</v>
      </c>
      <c r="V11" s="56">
        <v>1.107</v>
      </c>
      <c r="W11" s="56">
        <v>1.028</v>
      </c>
      <c r="X11" s="56">
        <v>0.89800000000000002</v>
      </c>
      <c r="Y11" s="56">
        <v>0.73899999999999999</v>
      </c>
      <c r="Z11" s="56">
        <v>0.64100000000000001</v>
      </c>
      <c r="AA11" s="56">
        <v>0.51400000000000001</v>
      </c>
      <c r="AB11" s="56">
        <v>0.48799999999999999</v>
      </c>
      <c r="AC11" s="56">
        <v>0.4</v>
      </c>
      <c r="AD11" s="56">
        <v>0.33500000000000002</v>
      </c>
      <c r="AE11" s="56">
        <v>0.28399999999999997</v>
      </c>
      <c r="AF11" s="56">
        <v>0.24399999999999999</v>
      </c>
      <c r="AG11" s="57">
        <v>0.21099999999999999</v>
      </c>
    </row>
    <row r="12" spans="1:33" x14ac:dyDescent="0.25">
      <c r="A12" s="40">
        <v>3000</v>
      </c>
      <c r="B12" s="44">
        <v>4.4779999999999998</v>
      </c>
      <c r="C12" s="44">
        <v>4.4710000000000001</v>
      </c>
      <c r="D12" s="44">
        <v>4.4530000000000003</v>
      </c>
      <c r="E12" s="46">
        <v>4.423</v>
      </c>
      <c r="F12" s="46">
        <v>4.3949999999999996</v>
      </c>
      <c r="G12" s="46">
        <v>4.367</v>
      </c>
      <c r="H12" s="46">
        <v>4.2240000000000002</v>
      </c>
      <c r="I12" s="46">
        <v>4.0549999999999997</v>
      </c>
      <c r="J12" s="46">
        <v>3.9319999999999999</v>
      </c>
      <c r="K12" s="46">
        <v>3.8159999999999998</v>
      </c>
      <c r="L12" s="46">
        <v>3.4140000000000001</v>
      </c>
      <c r="M12" s="46">
        <v>3.09</v>
      </c>
      <c r="N12" s="46">
        <v>2.823</v>
      </c>
      <c r="O12" s="46">
        <v>2.5990000000000002</v>
      </c>
      <c r="P12" s="46">
        <v>2.4089999999999998</v>
      </c>
      <c r="Q12" s="47">
        <v>2.2450000000000001</v>
      </c>
      <c r="R12" s="56">
        <v>2.0670000000000002</v>
      </c>
      <c r="S12" s="56">
        <v>1.9430000000000001</v>
      </c>
      <c r="T12" s="56">
        <v>1.8660000000000001</v>
      </c>
      <c r="U12" s="56">
        <v>1.762</v>
      </c>
      <c r="V12" s="56">
        <v>1.661</v>
      </c>
      <c r="W12" s="56">
        <v>1.542</v>
      </c>
      <c r="X12" s="56">
        <v>1.347</v>
      </c>
      <c r="Y12" s="56">
        <v>1.109</v>
      </c>
      <c r="Z12" s="56">
        <v>0.96099999999999997</v>
      </c>
      <c r="AA12" s="56">
        <v>0.77100000000000002</v>
      </c>
      <c r="AB12" s="56">
        <v>0.72699999999999998</v>
      </c>
      <c r="AC12" s="56">
        <v>0.59599999999999997</v>
      </c>
      <c r="AD12" s="56">
        <v>0.499</v>
      </c>
      <c r="AE12" s="56">
        <v>0.42399999999999999</v>
      </c>
      <c r="AF12" s="56">
        <v>0.36399999999999999</v>
      </c>
      <c r="AG12" s="57">
        <v>0.315</v>
      </c>
    </row>
    <row r="13" spans="1:33" x14ac:dyDescent="0.25">
      <c r="A13" s="40">
        <v>4000</v>
      </c>
      <c r="B13" s="44">
        <v>5.6070000000000002</v>
      </c>
      <c r="C13" s="44">
        <v>5.6</v>
      </c>
      <c r="D13" s="44">
        <v>5.58</v>
      </c>
      <c r="E13" s="46">
        <v>5.5469999999999997</v>
      </c>
      <c r="F13" s="46">
        <v>5.516</v>
      </c>
      <c r="G13" s="46">
        <v>5.4859999999999998</v>
      </c>
      <c r="H13" s="46">
        <v>5.3250000000000002</v>
      </c>
      <c r="I13" s="46">
        <v>5.13</v>
      </c>
      <c r="J13" s="46">
        <v>4.9800000000000004</v>
      </c>
      <c r="K13" s="46">
        <v>4.84</v>
      </c>
      <c r="L13" s="46">
        <v>4.3499999999999996</v>
      </c>
      <c r="M13" s="46">
        <v>3.9529999999999998</v>
      </c>
      <c r="N13" s="46">
        <v>3.6230000000000002</v>
      </c>
      <c r="O13" s="46">
        <v>3.3450000000000002</v>
      </c>
      <c r="P13" s="46">
        <v>3.1080000000000001</v>
      </c>
      <c r="Q13" s="47">
        <v>2.867</v>
      </c>
      <c r="R13" s="56">
        <v>2.6890000000000001</v>
      </c>
      <c r="S13" s="56">
        <v>2.5649999999999999</v>
      </c>
      <c r="T13" s="56">
        <v>2.448</v>
      </c>
      <c r="U13" s="56">
        <v>2.3490000000000002</v>
      </c>
      <c r="V13" s="56">
        <v>2.214</v>
      </c>
      <c r="W13" s="56">
        <v>2.056</v>
      </c>
      <c r="X13" s="56">
        <v>1.7949999999999999</v>
      </c>
      <c r="Y13" s="56">
        <v>1.4790000000000001</v>
      </c>
      <c r="Z13" s="56">
        <v>1.2809999999999999</v>
      </c>
      <c r="AA13" s="56">
        <v>1.028</v>
      </c>
      <c r="AB13" s="56">
        <v>0.96099999999999997</v>
      </c>
      <c r="AC13" s="56">
        <v>0.78900000000000003</v>
      </c>
      <c r="AD13" s="56">
        <v>0.66200000000000003</v>
      </c>
      <c r="AE13" s="56">
        <v>0.56200000000000006</v>
      </c>
      <c r="AF13" s="56">
        <v>0.48299999999999998</v>
      </c>
      <c r="AG13" s="57">
        <v>0.41899999999999998</v>
      </c>
    </row>
    <row r="14" spans="1:33" x14ac:dyDescent="0.25">
      <c r="A14" s="40">
        <v>5000</v>
      </c>
      <c r="B14" s="44">
        <v>6.63</v>
      </c>
      <c r="C14" s="44">
        <v>6.6230000000000002</v>
      </c>
      <c r="D14" s="44">
        <v>6.601</v>
      </c>
      <c r="E14" s="46">
        <v>6.5670000000000002</v>
      </c>
      <c r="F14" s="46">
        <v>6.5330000000000004</v>
      </c>
      <c r="G14" s="46">
        <v>6.5</v>
      </c>
      <c r="H14" s="46">
        <v>6.3259999999999996</v>
      </c>
      <c r="I14" s="46">
        <v>6.1079999999999997</v>
      </c>
      <c r="J14" s="46">
        <v>5.9370000000000003</v>
      </c>
      <c r="K14" s="46">
        <v>5.7759999999999998</v>
      </c>
      <c r="L14" s="46">
        <v>5.2130000000000001</v>
      </c>
      <c r="M14" s="46">
        <v>4.7530000000000001</v>
      </c>
      <c r="N14" s="46">
        <v>4.3689999999999998</v>
      </c>
      <c r="O14" s="46">
        <v>4.0439999999999996</v>
      </c>
      <c r="P14" s="46">
        <v>3.73</v>
      </c>
      <c r="Q14" s="47">
        <v>3.4889999999999999</v>
      </c>
      <c r="R14" s="56">
        <v>3.3109999999999999</v>
      </c>
      <c r="S14" s="56">
        <v>3.1869999999999998</v>
      </c>
      <c r="T14" s="56">
        <v>3.11</v>
      </c>
      <c r="U14" s="56">
        <v>2.9359999999999999</v>
      </c>
      <c r="V14" s="56">
        <v>2.7679999999999998</v>
      </c>
      <c r="W14" s="56">
        <v>2.57</v>
      </c>
      <c r="X14" s="56">
        <v>2.2440000000000002</v>
      </c>
      <c r="Y14" s="56">
        <v>1.849</v>
      </c>
      <c r="Z14" s="56">
        <v>1.6020000000000001</v>
      </c>
      <c r="AA14" s="56">
        <v>1.2849999999999999</v>
      </c>
      <c r="AB14" s="56">
        <v>1.1910000000000001</v>
      </c>
      <c r="AC14" s="56">
        <v>0.98</v>
      </c>
      <c r="AD14" s="56">
        <v>0.82199999999999995</v>
      </c>
      <c r="AE14" s="56">
        <v>0.69899999999999995</v>
      </c>
      <c r="AF14" s="56">
        <v>0.60099999999999998</v>
      </c>
      <c r="AG14" s="57">
        <v>0.52100000000000002</v>
      </c>
    </row>
    <row r="15" spans="1:33" x14ac:dyDescent="0.25">
      <c r="A15" s="40">
        <v>6000</v>
      </c>
      <c r="B15" s="44">
        <v>7.5659999999999998</v>
      </c>
      <c r="C15" s="44">
        <v>7.5590000000000002</v>
      </c>
      <c r="D15" s="44">
        <v>7.5359999999999996</v>
      </c>
      <c r="E15" s="46">
        <v>7.4989999999999997</v>
      </c>
      <c r="F15" s="46">
        <v>7.4630000000000001</v>
      </c>
      <c r="G15" s="46">
        <v>7.4290000000000003</v>
      </c>
      <c r="H15" s="46">
        <v>7.2430000000000003</v>
      </c>
      <c r="I15" s="46">
        <v>7.0060000000000002</v>
      </c>
      <c r="J15" s="46">
        <v>6.8170000000000002</v>
      </c>
      <c r="K15" s="46">
        <v>6.6390000000000002</v>
      </c>
      <c r="L15" s="46">
        <v>6.0129999999999999</v>
      </c>
      <c r="M15" s="46">
        <v>5.4989999999999997</v>
      </c>
      <c r="N15" s="46">
        <v>5.0679999999999996</v>
      </c>
      <c r="O15" s="46">
        <v>4.6660000000000004</v>
      </c>
      <c r="P15" s="46">
        <v>4.3520000000000003</v>
      </c>
      <c r="Q15" s="47">
        <v>4.1109999999999998</v>
      </c>
      <c r="R15" s="56">
        <v>3.9329999999999998</v>
      </c>
      <c r="S15" s="56">
        <v>3.8090000000000002</v>
      </c>
      <c r="T15" s="56">
        <v>3.6970000000000001</v>
      </c>
      <c r="U15" s="56">
        <v>3.49</v>
      </c>
      <c r="V15" s="56">
        <v>3.282</v>
      </c>
      <c r="W15" s="56">
        <v>3.0190000000000001</v>
      </c>
      <c r="X15" s="56">
        <v>2.6139999999999999</v>
      </c>
      <c r="Y15" s="56">
        <v>2.169</v>
      </c>
      <c r="Z15" s="56">
        <v>1.859</v>
      </c>
      <c r="AA15" s="56">
        <v>1.532</v>
      </c>
      <c r="AB15" s="56">
        <v>1.4179999999999999</v>
      </c>
      <c r="AC15" s="56">
        <v>1.1679999999999999</v>
      </c>
      <c r="AD15" s="56">
        <v>0.98</v>
      </c>
      <c r="AE15" s="56">
        <v>0.83499999999999996</v>
      </c>
      <c r="AF15" s="56">
        <v>0.71799999999999997</v>
      </c>
      <c r="AG15" s="57">
        <v>0.622</v>
      </c>
    </row>
    <row r="16" spans="1:33" x14ac:dyDescent="0.25">
      <c r="A16" s="40">
        <v>7000</v>
      </c>
      <c r="B16" s="44">
        <v>8.4290000000000003</v>
      </c>
      <c r="C16" s="44">
        <v>8.4209999999999994</v>
      </c>
      <c r="D16" s="44">
        <v>8.3970000000000002</v>
      </c>
      <c r="E16" s="46">
        <v>8.3580000000000005</v>
      </c>
      <c r="F16" s="46">
        <v>8.3209999999999997</v>
      </c>
      <c r="G16" s="46">
        <v>8.2850000000000001</v>
      </c>
      <c r="H16" s="46">
        <v>8.0890000000000004</v>
      </c>
      <c r="I16" s="46">
        <v>7.8360000000000003</v>
      </c>
      <c r="J16" s="46">
        <v>7.6319999999999997</v>
      </c>
      <c r="K16" s="46">
        <v>7.4390000000000001</v>
      </c>
      <c r="L16" s="46">
        <v>6.7590000000000003</v>
      </c>
      <c r="M16" s="46">
        <v>6.1980000000000004</v>
      </c>
      <c r="N16" s="46">
        <v>5.69</v>
      </c>
      <c r="O16" s="46">
        <v>5.2880000000000003</v>
      </c>
      <c r="P16" s="46">
        <v>4.9740000000000002</v>
      </c>
      <c r="Q16" s="47">
        <v>4.7329999999999997</v>
      </c>
      <c r="R16" s="56">
        <v>4.5549999999999997</v>
      </c>
      <c r="S16" s="56">
        <v>4.3959999999999999</v>
      </c>
      <c r="T16" s="56">
        <v>4.2850000000000001</v>
      </c>
      <c r="U16" s="56">
        <v>4.0430000000000001</v>
      </c>
      <c r="V16" s="56">
        <v>3.7959999999999998</v>
      </c>
      <c r="W16" s="56">
        <v>3.468</v>
      </c>
      <c r="X16" s="56">
        <v>2.984</v>
      </c>
      <c r="Y16" s="56">
        <v>2.4889999999999999</v>
      </c>
      <c r="Z16" s="56">
        <v>2.1160000000000001</v>
      </c>
      <c r="AA16" s="56">
        <v>1.774</v>
      </c>
      <c r="AB16" s="56">
        <v>1.641</v>
      </c>
      <c r="AC16" s="56">
        <v>1.353</v>
      </c>
      <c r="AD16" s="56">
        <v>1.137</v>
      </c>
      <c r="AE16" s="56">
        <v>0.96799999999999997</v>
      </c>
      <c r="AF16" s="56">
        <v>0.83299999999999996</v>
      </c>
      <c r="AG16" s="57">
        <v>0.72299999999999998</v>
      </c>
    </row>
    <row r="17" spans="1:33" x14ac:dyDescent="0.25">
      <c r="A17" s="40">
        <v>8000</v>
      </c>
      <c r="B17" s="44">
        <v>9.2289999999999992</v>
      </c>
      <c r="C17" s="44">
        <v>9.2200000000000006</v>
      </c>
      <c r="D17" s="44">
        <v>9.1959999999999997</v>
      </c>
      <c r="E17" s="46">
        <v>9.1560000000000006</v>
      </c>
      <c r="F17" s="46">
        <v>9.1170000000000009</v>
      </c>
      <c r="G17" s="46">
        <v>9.0790000000000006</v>
      </c>
      <c r="H17" s="46">
        <v>8.875</v>
      </c>
      <c r="I17" s="46">
        <v>8.6080000000000005</v>
      </c>
      <c r="J17" s="46">
        <v>8.391</v>
      </c>
      <c r="K17" s="46">
        <v>8.1850000000000005</v>
      </c>
      <c r="L17" s="46">
        <v>7.4580000000000002</v>
      </c>
      <c r="M17" s="46">
        <v>6.82</v>
      </c>
      <c r="N17" s="46">
        <v>6.3120000000000003</v>
      </c>
      <c r="O17" s="46">
        <v>5.91</v>
      </c>
      <c r="P17" s="46">
        <v>5.5960000000000001</v>
      </c>
      <c r="Q17" s="47">
        <v>5.3550000000000004</v>
      </c>
      <c r="R17" s="56">
        <v>5.1420000000000003</v>
      </c>
      <c r="S17" s="56">
        <v>4.9829999999999997</v>
      </c>
      <c r="T17" s="56">
        <v>4.8719999999999999</v>
      </c>
      <c r="U17" s="56">
        <v>4.5970000000000004</v>
      </c>
      <c r="V17" s="56">
        <v>4.3099999999999996</v>
      </c>
      <c r="W17" s="56">
        <v>3.9169999999999998</v>
      </c>
      <c r="X17" s="56">
        <v>3.3530000000000002</v>
      </c>
      <c r="Y17" s="56">
        <v>2.81</v>
      </c>
      <c r="Z17" s="56">
        <v>2.3730000000000002</v>
      </c>
      <c r="AA17" s="56">
        <v>2.012</v>
      </c>
      <c r="AB17" s="56">
        <v>1.861</v>
      </c>
      <c r="AC17" s="56">
        <v>1.536</v>
      </c>
      <c r="AD17" s="56">
        <v>1.292</v>
      </c>
      <c r="AE17" s="56">
        <v>1.101</v>
      </c>
      <c r="AF17" s="56">
        <v>0.94799999999999995</v>
      </c>
      <c r="AG17" s="57">
        <v>0.82199999999999995</v>
      </c>
    </row>
    <row r="18" spans="1:33" x14ac:dyDescent="0.25">
      <c r="A18" s="40">
        <v>9000</v>
      </c>
      <c r="B18" s="44">
        <v>9.9740000000000002</v>
      </c>
      <c r="C18" s="44">
        <v>9.9659999999999993</v>
      </c>
      <c r="D18" s="44">
        <v>9.94</v>
      </c>
      <c r="E18" s="46">
        <v>9.8989999999999991</v>
      </c>
      <c r="F18" s="46">
        <v>9.859</v>
      </c>
      <c r="G18" s="46">
        <v>9.82</v>
      </c>
      <c r="H18" s="46">
        <v>9.6080000000000005</v>
      </c>
      <c r="I18" s="46">
        <v>9.33</v>
      </c>
      <c r="J18" s="46">
        <v>9.1010000000000009</v>
      </c>
      <c r="K18" s="46">
        <v>8.8840000000000003</v>
      </c>
      <c r="L18" s="46">
        <v>8.08</v>
      </c>
      <c r="M18" s="46">
        <v>7.4420000000000002</v>
      </c>
      <c r="N18" s="46">
        <v>6.9340000000000002</v>
      </c>
      <c r="O18" s="46">
        <v>6.532</v>
      </c>
      <c r="P18" s="46">
        <v>6.218</v>
      </c>
      <c r="Q18" s="47">
        <v>5.9420000000000002</v>
      </c>
      <c r="R18" s="56">
        <v>5.7290000000000001</v>
      </c>
      <c r="S18" s="56">
        <v>5.5709999999999997</v>
      </c>
      <c r="T18" s="56">
        <v>5.4589999999999996</v>
      </c>
      <c r="U18" s="56">
        <v>5.1509999999999998</v>
      </c>
      <c r="V18" s="56">
        <v>4.8239999999999998</v>
      </c>
      <c r="W18" s="56">
        <v>4.3659999999999997</v>
      </c>
      <c r="X18" s="56">
        <v>3.7229999999999999</v>
      </c>
      <c r="Y18" s="56">
        <v>3.13</v>
      </c>
      <c r="Z18" s="56">
        <v>2.63</v>
      </c>
      <c r="AA18" s="56">
        <v>2.246</v>
      </c>
      <c r="AB18" s="56">
        <v>2.077</v>
      </c>
      <c r="AC18" s="56">
        <v>1.716</v>
      </c>
      <c r="AD18" s="56">
        <v>1.444</v>
      </c>
      <c r="AE18" s="56">
        <v>1.232</v>
      </c>
      <c r="AF18" s="56">
        <v>1.0609999999999999</v>
      </c>
      <c r="AG18" s="57">
        <v>0.92100000000000004</v>
      </c>
    </row>
    <row r="19" spans="1:33" x14ac:dyDescent="0.25">
      <c r="A19" s="40">
        <v>10000</v>
      </c>
      <c r="B19" s="44">
        <v>10.673999999999999</v>
      </c>
      <c r="C19" s="44">
        <v>10.664999999999999</v>
      </c>
      <c r="D19" s="44">
        <v>10.64</v>
      </c>
      <c r="E19" s="46">
        <v>10.6</v>
      </c>
      <c r="F19" s="46">
        <v>10.56</v>
      </c>
      <c r="G19" s="46">
        <v>10.52</v>
      </c>
      <c r="H19" s="46">
        <v>10.284000000000001</v>
      </c>
      <c r="I19" s="46">
        <v>9.9849999999999994</v>
      </c>
      <c r="J19" s="46">
        <v>9.7379999999999995</v>
      </c>
      <c r="K19" s="46">
        <v>9.5060000000000002</v>
      </c>
      <c r="L19" s="46">
        <v>8.702</v>
      </c>
      <c r="M19" s="46">
        <v>8.0640000000000001</v>
      </c>
      <c r="N19" s="46">
        <v>7.556</v>
      </c>
      <c r="O19" s="46">
        <v>7.1539999999999999</v>
      </c>
      <c r="P19" s="46">
        <v>6.8049999999999997</v>
      </c>
      <c r="Q19" s="47">
        <v>6.5289999999999999</v>
      </c>
      <c r="R19" s="56">
        <v>6.3170000000000002</v>
      </c>
      <c r="S19" s="56">
        <v>6.1580000000000004</v>
      </c>
      <c r="T19" s="56">
        <v>6.0460000000000003</v>
      </c>
      <c r="U19" s="56">
        <v>5.7039999999999997</v>
      </c>
      <c r="V19" s="56">
        <v>5.3380000000000001</v>
      </c>
      <c r="W19" s="56">
        <v>4.8140000000000001</v>
      </c>
      <c r="X19" s="56">
        <v>4.093</v>
      </c>
      <c r="Y19" s="56">
        <v>3.45</v>
      </c>
      <c r="Z19" s="56">
        <v>2.887</v>
      </c>
      <c r="AA19" s="56">
        <v>2.476</v>
      </c>
      <c r="AB19" s="56">
        <v>2.2909999999999999</v>
      </c>
      <c r="AC19" s="56">
        <v>1.895</v>
      </c>
      <c r="AD19" s="56">
        <v>1.5960000000000001</v>
      </c>
      <c r="AE19" s="56">
        <v>1.3620000000000001</v>
      </c>
      <c r="AF19" s="56">
        <v>1.1739999999999999</v>
      </c>
      <c r="AG19" s="57">
        <v>1.0189999999999999</v>
      </c>
    </row>
    <row r="20" spans="1:33" x14ac:dyDescent="0.25">
      <c r="A20" s="40">
        <v>15000</v>
      </c>
      <c r="B20" s="44">
        <v>13.786</v>
      </c>
      <c r="C20" s="44">
        <v>13.775</v>
      </c>
      <c r="D20" s="44">
        <v>13.75</v>
      </c>
      <c r="E20" s="46">
        <v>13.708</v>
      </c>
      <c r="F20" s="46">
        <v>13.667</v>
      </c>
      <c r="G20" s="46">
        <v>13.625999999999999</v>
      </c>
      <c r="H20" s="46">
        <v>13.385</v>
      </c>
      <c r="I20" s="46">
        <v>13.077</v>
      </c>
      <c r="J20" s="46">
        <v>12.821999999999999</v>
      </c>
      <c r="K20" s="46">
        <v>12.581</v>
      </c>
      <c r="L20" s="46">
        <v>11.743</v>
      </c>
      <c r="M20" s="46">
        <v>11.07</v>
      </c>
      <c r="N20" s="46">
        <v>10.526999999999999</v>
      </c>
      <c r="O20" s="46">
        <v>10.09</v>
      </c>
      <c r="P20" s="46">
        <v>9.7080000000000002</v>
      </c>
      <c r="Q20" s="47">
        <v>9.3979999999999997</v>
      </c>
      <c r="R20" s="56">
        <v>9.1519999999999992</v>
      </c>
      <c r="S20" s="56">
        <v>8.9600000000000009</v>
      </c>
      <c r="T20" s="56">
        <v>8.8140000000000001</v>
      </c>
      <c r="U20" s="56">
        <v>8.2750000000000004</v>
      </c>
      <c r="V20" s="56">
        <v>7.5830000000000002</v>
      </c>
      <c r="W20" s="56">
        <v>6.6630000000000003</v>
      </c>
      <c r="X20" s="56">
        <v>5.694</v>
      </c>
      <c r="Y20" s="56">
        <v>4.7350000000000003</v>
      </c>
      <c r="Z20" s="56">
        <v>4.0780000000000003</v>
      </c>
      <c r="AA20" s="56">
        <v>3.5760000000000001</v>
      </c>
      <c r="AB20" s="56">
        <v>3.27</v>
      </c>
      <c r="AC20" s="56">
        <v>2.7170000000000001</v>
      </c>
      <c r="AD20" s="56">
        <v>2.2949999999999999</v>
      </c>
      <c r="AE20" s="56">
        <v>1.9630000000000001</v>
      </c>
      <c r="AF20" s="56">
        <v>1.6950000000000001</v>
      </c>
      <c r="AG20" s="57">
        <v>1.4970000000000001</v>
      </c>
    </row>
    <row r="21" spans="1:33" x14ac:dyDescent="0.25">
      <c r="A21" s="40">
        <v>20000</v>
      </c>
      <c r="B21" s="44">
        <v>16.722999999999999</v>
      </c>
      <c r="C21" s="44">
        <v>16.710999999999999</v>
      </c>
      <c r="D21" s="44">
        <v>16.684999999999999</v>
      </c>
      <c r="E21" s="46">
        <v>16.643000000000001</v>
      </c>
      <c r="F21" s="46">
        <v>16.600999999999999</v>
      </c>
      <c r="G21" s="46">
        <v>16.559000000000001</v>
      </c>
      <c r="H21" s="46">
        <v>16.312999999999999</v>
      </c>
      <c r="I21" s="46">
        <v>15.997</v>
      </c>
      <c r="J21" s="46">
        <v>15.733000000000001</v>
      </c>
      <c r="K21" s="46">
        <v>15.484</v>
      </c>
      <c r="L21" s="46">
        <v>14.612</v>
      </c>
      <c r="M21" s="46">
        <v>13.904999999999999</v>
      </c>
      <c r="N21" s="46">
        <v>13.329000000000001</v>
      </c>
      <c r="O21" s="46">
        <v>12.858000000000001</v>
      </c>
      <c r="P21" s="46">
        <v>12.436</v>
      </c>
      <c r="Q21" s="47">
        <v>12.087</v>
      </c>
      <c r="R21" s="56">
        <v>11.801</v>
      </c>
      <c r="S21" s="56">
        <v>11.569000000000001</v>
      </c>
      <c r="T21" s="56">
        <v>11.385</v>
      </c>
      <c r="U21" s="56">
        <v>10.519</v>
      </c>
      <c r="V21" s="71">
        <v>9.4309999999999992</v>
      </c>
      <c r="W21" s="56">
        <v>8.2650000000000006</v>
      </c>
      <c r="X21" s="56">
        <v>6.98</v>
      </c>
      <c r="Y21" s="56">
        <v>5.9269999999999996</v>
      </c>
      <c r="Z21" s="56">
        <v>5.1769999999999996</v>
      </c>
      <c r="AA21" s="56">
        <v>4.556</v>
      </c>
      <c r="AB21" s="56">
        <v>4.1849999999999996</v>
      </c>
      <c r="AC21" s="56">
        <v>3.49</v>
      </c>
      <c r="AD21" s="56">
        <v>2.9569999999999999</v>
      </c>
      <c r="AE21" s="56">
        <v>2.536</v>
      </c>
      <c r="AF21" s="56">
        <v>2.1930000000000001</v>
      </c>
      <c r="AG21" s="57">
        <v>1.956</v>
      </c>
    </row>
    <row r="22" spans="1:33" x14ac:dyDescent="0.25">
      <c r="A22" s="40">
        <v>25000</v>
      </c>
      <c r="B22" s="44">
        <v>19.492999999999999</v>
      </c>
      <c r="C22" s="44">
        <v>19.478000000000002</v>
      </c>
      <c r="D22" s="44">
        <v>19.452000000000002</v>
      </c>
      <c r="E22" s="46">
        <v>19.408999999999999</v>
      </c>
      <c r="F22" s="46">
        <v>19.366</v>
      </c>
      <c r="G22" s="46">
        <v>19.323</v>
      </c>
      <c r="H22" s="46">
        <v>19.071000000000002</v>
      </c>
      <c r="I22" s="46">
        <v>18.745000000000001</v>
      </c>
      <c r="J22" s="46">
        <v>18.471</v>
      </c>
      <c r="K22" s="46">
        <v>18.212</v>
      </c>
      <c r="L22" s="46">
        <v>17.300999999999998</v>
      </c>
      <c r="M22" s="46">
        <v>16.553999999999998</v>
      </c>
      <c r="N22" s="46">
        <v>15.939</v>
      </c>
      <c r="O22" s="46">
        <v>15.429</v>
      </c>
      <c r="P22" s="46">
        <v>14.941000000000001</v>
      </c>
      <c r="Q22" s="47">
        <v>14.526999999999999</v>
      </c>
      <c r="R22" s="56">
        <v>14.176</v>
      </c>
      <c r="S22" s="56">
        <v>13.879</v>
      </c>
      <c r="T22" s="56">
        <v>13.629</v>
      </c>
      <c r="U22" s="56">
        <v>12.367000000000001</v>
      </c>
      <c r="V22" s="56">
        <v>11.032999999999999</v>
      </c>
      <c r="W22" s="56">
        <v>9.5500000000000007</v>
      </c>
      <c r="X22" s="56">
        <v>8.1709999999999994</v>
      </c>
      <c r="Y22" s="56">
        <v>7.0259999999999998</v>
      </c>
      <c r="Z22" s="56">
        <v>6.157</v>
      </c>
      <c r="AA22" s="56">
        <v>5.47</v>
      </c>
      <c r="AB22" s="56">
        <v>5.0069999999999997</v>
      </c>
      <c r="AC22" s="56">
        <v>4.1890000000000001</v>
      </c>
      <c r="AD22" s="56">
        <v>3.5590000000000002</v>
      </c>
      <c r="AE22" s="56">
        <v>3.056</v>
      </c>
      <c r="AF22" s="56">
        <v>2.6709999999999998</v>
      </c>
      <c r="AG22" s="57">
        <v>2.3969999999999998</v>
      </c>
    </row>
    <row r="23" spans="1:33" x14ac:dyDescent="0.25">
      <c r="A23" s="40">
        <v>30000</v>
      </c>
      <c r="B23" s="44">
        <v>22.064</v>
      </c>
      <c r="C23" s="44">
        <v>22.047999999999998</v>
      </c>
      <c r="D23" s="44">
        <v>22.021000000000001</v>
      </c>
      <c r="E23" s="46">
        <v>21.975999999999999</v>
      </c>
      <c r="F23" s="46">
        <v>21.931000000000001</v>
      </c>
      <c r="G23" s="46">
        <v>21.887</v>
      </c>
      <c r="H23" s="46">
        <v>21.625</v>
      </c>
      <c r="I23" s="46">
        <v>21.283000000000001</v>
      </c>
      <c r="J23" s="46">
        <v>20.933</v>
      </c>
      <c r="K23" s="46">
        <v>20.716999999999999</v>
      </c>
      <c r="L23" s="46">
        <v>19.739999999999998</v>
      </c>
      <c r="M23" s="46">
        <v>18.928999999999998</v>
      </c>
      <c r="N23" s="46">
        <v>18.248000000000001</v>
      </c>
      <c r="O23" s="46">
        <v>17.672999999999998</v>
      </c>
      <c r="P23" s="46">
        <v>17.106000000000002</v>
      </c>
      <c r="Q23" s="47">
        <v>16.613</v>
      </c>
      <c r="R23" s="56">
        <v>16.183</v>
      </c>
      <c r="S23" s="56">
        <v>15.805999999999999</v>
      </c>
      <c r="T23" s="56">
        <v>15.478</v>
      </c>
      <c r="U23" s="56">
        <v>13.968999999999999</v>
      </c>
      <c r="V23" s="56">
        <v>12.318</v>
      </c>
      <c r="W23" s="56">
        <v>10.714</v>
      </c>
      <c r="X23" s="56">
        <v>9.27</v>
      </c>
      <c r="Y23" s="56">
        <v>8.0060000000000002</v>
      </c>
      <c r="Z23" s="56">
        <v>7.0720000000000001</v>
      </c>
      <c r="AA23" s="56">
        <v>6.2919999999999998</v>
      </c>
      <c r="AB23" s="56">
        <v>5.7809999999999997</v>
      </c>
      <c r="AC23" s="56">
        <v>4.8520000000000003</v>
      </c>
      <c r="AD23" s="56">
        <v>4.1310000000000002</v>
      </c>
      <c r="AE23" s="56">
        <v>3.5550000000000002</v>
      </c>
      <c r="AF23" s="56">
        <v>3.13</v>
      </c>
      <c r="AG23" s="57">
        <v>2.823</v>
      </c>
    </row>
    <row r="24" spans="1:33" x14ac:dyDescent="0.25">
      <c r="A24" s="40">
        <v>35000</v>
      </c>
      <c r="B24" s="44">
        <v>24.308</v>
      </c>
      <c r="C24" s="44">
        <v>24.291</v>
      </c>
      <c r="D24" s="44">
        <v>24.263000000000002</v>
      </c>
      <c r="E24" s="46">
        <v>24.216000000000001</v>
      </c>
      <c r="F24" s="46">
        <v>24.17</v>
      </c>
      <c r="G24" s="46">
        <v>24.123000000000001</v>
      </c>
      <c r="H24" s="46">
        <v>23.85</v>
      </c>
      <c r="I24" s="46">
        <v>23.486999999999998</v>
      </c>
      <c r="J24" s="46">
        <v>23.178000000000001</v>
      </c>
      <c r="K24" s="46">
        <v>22.882000000000001</v>
      </c>
      <c r="L24" s="46">
        <v>21.826000000000001</v>
      </c>
      <c r="M24" s="46">
        <v>20.936</v>
      </c>
      <c r="N24" s="46">
        <v>20.175999999999998</v>
      </c>
      <c r="O24" s="46">
        <v>19.521999999999998</v>
      </c>
      <c r="P24" s="46">
        <v>18.905999999999999</v>
      </c>
      <c r="Q24" s="47">
        <v>18.363</v>
      </c>
      <c r="R24" s="56">
        <v>17.882999999999999</v>
      </c>
      <c r="S24" s="56">
        <v>17.457000000000001</v>
      </c>
      <c r="T24" s="56">
        <v>17.079000000000001</v>
      </c>
      <c r="U24" s="56">
        <v>15.254</v>
      </c>
      <c r="V24" s="56">
        <v>13.509</v>
      </c>
      <c r="W24" s="56">
        <v>11.84</v>
      </c>
      <c r="X24" s="56">
        <v>10.25</v>
      </c>
      <c r="Y24" s="56">
        <v>8.9209999999999994</v>
      </c>
      <c r="Z24" s="56">
        <v>7.8940000000000001</v>
      </c>
      <c r="AA24" s="56">
        <v>7.0659999999999998</v>
      </c>
      <c r="AB24" s="56">
        <v>6.48</v>
      </c>
      <c r="AC24" s="56">
        <v>5.4530000000000003</v>
      </c>
      <c r="AD24" s="56">
        <v>4.6520000000000001</v>
      </c>
      <c r="AE24" s="56">
        <v>4.0330000000000004</v>
      </c>
      <c r="AF24" s="56">
        <v>3.5710000000000002</v>
      </c>
      <c r="AG24" s="57">
        <v>3.2330000000000001</v>
      </c>
    </row>
    <row r="25" spans="1:33" x14ac:dyDescent="0.25">
      <c r="A25" s="40">
        <v>40000</v>
      </c>
      <c r="B25" s="44">
        <v>26.157</v>
      </c>
      <c r="C25" s="44">
        <v>26.14</v>
      </c>
      <c r="D25" s="44">
        <v>26.111000000000001</v>
      </c>
      <c r="E25" s="46">
        <v>26.062000000000001</v>
      </c>
      <c r="F25" s="46">
        <v>26.013999999999999</v>
      </c>
      <c r="G25" s="46">
        <v>25.966999999999999</v>
      </c>
      <c r="H25" s="46">
        <v>25.686</v>
      </c>
      <c r="I25" s="46">
        <v>25.311</v>
      </c>
      <c r="J25" s="46">
        <v>24.989000000000001</v>
      </c>
      <c r="K25" s="46">
        <v>24.681999999999999</v>
      </c>
      <c r="L25" s="46">
        <v>23.576000000000001</v>
      </c>
      <c r="M25" s="46">
        <v>22.635999999999999</v>
      </c>
      <c r="N25" s="46">
        <v>21.827000000000002</v>
      </c>
      <c r="O25" s="46">
        <v>21.123000000000001</v>
      </c>
      <c r="P25" s="46">
        <v>20.443999999999999</v>
      </c>
      <c r="Q25" s="47">
        <v>19.838000000000001</v>
      </c>
      <c r="R25" s="56">
        <v>19.295000000000002</v>
      </c>
      <c r="S25" s="56">
        <v>18.806000000000001</v>
      </c>
      <c r="T25" s="56">
        <v>18.364000000000001</v>
      </c>
      <c r="U25" s="58">
        <v>16.445</v>
      </c>
      <c r="V25" s="56">
        <v>14.609</v>
      </c>
      <c r="W25" s="56">
        <v>12.82</v>
      </c>
      <c r="X25" s="56">
        <v>11.164999999999999</v>
      </c>
      <c r="Y25" s="56">
        <v>9.7420000000000009</v>
      </c>
      <c r="Z25" s="56">
        <v>8.6679999999999993</v>
      </c>
      <c r="AA25" s="56">
        <v>7.7649999999999997</v>
      </c>
      <c r="AB25" s="56">
        <v>7.1429999999999998</v>
      </c>
      <c r="AC25" s="56">
        <v>6.0259999999999998</v>
      </c>
      <c r="AD25" s="56">
        <v>5.15</v>
      </c>
      <c r="AE25" s="56">
        <v>4.4909999999999997</v>
      </c>
      <c r="AF25" s="56">
        <v>3.996</v>
      </c>
      <c r="AG25" s="57">
        <v>3.629</v>
      </c>
    </row>
    <row r="26" spans="1:33" x14ac:dyDescent="0.25">
      <c r="A26" s="40">
        <v>45000</v>
      </c>
      <c r="B26" s="44">
        <v>27.759</v>
      </c>
      <c r="C26" s="44">
        <v>27.74</v>
      </c>
      <c r="D26" s="44">
        <v>27.710999999999999</v>
      </c>
      <c r="E26" s="46">
        <v>27.661000000000001</v>
      </c>
      <c r="F26" s="46">
        <v>27.611000000000001</v>
      </c>
      <c r="G26" s="46">
        <v>27.562000000000001</v>
      </c>
      <c r="H26" s="46">
        <v>27.271999999999998</v>
      </c>
      <c r="I26" s="46">
        <v>26.881</v>
      </c>
      <c r="J26" s="46">
        <v>26.542999999999999</v>
      </c>
      <c r="K26" s="46">
        <v>26.22</v>
      </c>
      <c r="L26" s="46">
        <v>25.050999999999998</v>
      </c>
      <c r="M26" s="46">
        <v>24.047999999999998</v>
      </c>
      <c r="N26" s="46">
        <v>23.175000000000001</v>
      </c>
      <c r="O26" s="46">
        <v>22.408000000000001</v>
      </c>
      <c r="P26" s="46">
        <v>21.718</v>
      </c>
      <c r="Q26" s="47">
        <v>21.097000000000001</v>
      </c>
      <c r="R26" s="56">
        <v>20.535</v>
      </c>
      <c r="S26" s="56">
        <v>20.024000000000001</v>
      </c>
      <c r="T26" s="56">
        <v>19.556000000000001</v>
      </c>
      <c r="U26" s="56">
        <v>17.545100000000001</v>
      </c>
      <c r="V26" s="56">
        <v>15.587999999999999</v>
      </c>
      <c r="W26" s="56">
        <v>13.734999999999999</v>
      </c>
      <c r="X26" s="56">
        <v>11.987</v>
      </c>
      <c r="Y26" s="56">
        <v>10.516</v>
      </c>
      <c r="Z26" s="56">
        <v>9.3670000000000009</v>
      </c>
      <c r="AA26" s="56">
        <v>8.4280000000000008</v>
      </c>
      <c r="AB26" s="56">
        <v>7.7439999999999998</v>
      </c>
      <c r="AC26" s="56">
        <v>6.5469999999999997</v>
      </c>
      <c r="AD26" s="56">
        <v>5.6280000000000001</v>
      </c>
      <c r="AE26" s="56">
        <v>4.9329999999999998</v>
      </c>
      <c r="AF26" s="56">
        <v>4.407</v>
      </c>
      <c r="AG26" s="57">
        <v>4.0119999999999996</v>
      </c>
    </row>
    <row r="27" spans="1:33" x14ac:dyDescent="0.25">
      <c r="A27" s="40">
        <v>50000</v>
      </c>
      <c r="B27" s="44">
        <v>29.042999999999999</v>
      </c>
      <c r="C27" s="44">
        <v>29.024000000000001</v>
      </c>
      <c r="D27" s="44">
        <v>28.992000000000001</v>
      </c>
      <c r="E27" s="46">
        <v>28.939</v>
      </c>
      <c r="F27" s="46">
        <v>28.887</v>
      </c>
      <c r="G27" s="46">
        <v>28.835999999999999</v>
      </c>
      <c r="H27" s="46">
        <v>28.555</v>
      </c>
      <c r="I27" s="46">
        <v>28.161999999999999</v>
      </c>
      <c r="J27" s="46">
        <v>27.821000000000002</v>
      </c>
      <c r="K27" s="46">
        <v>27.494</v>
      </c>
      <c r="L27" s="46">
        <v>26.311</v>
      </c>
      <c r="M27" s="46">
        <v>25.289000000000001</v>
      </c>
      <c r="N27" s="46">
        <v>24.393000000000001</v>
      </c>
      <c r="O27" s="46">
        <v>23.6</v>
      </c>
      <c r="P27" s="46">
        <v>22.89</v>
      </c>
      <c r="Q27" s="47">
        <v>22.25</v>
      </c>
      <c r="R27" s="56">
        <v>21.67</v>
      </c>
      <c r="S27" s="56">
        <v>21.14</v>
      </c>
      <c r="T27" s="56">
        <v>20.655000000000001</v>
      </c>
      <c r="U27" s="56">
        <v>18.524999999999999</v>
      </c>
      <c r="V27" s="56">
        <v>16.503</v>
      </c>
      <c r="W27" s="56">
        <v>14.557</v>
      </c>
      <c r="X27" s="56">
        <v>12.76</v>
      </c>
      <c r="Y27" s="56">
        <v>11.215</v>
      </c>
      <c r="Z27" s="56">
        <v>10.029</v>
      </c>
      <c r="AA27" s="56">
        <v>9.0289999999999999</v>
      </c>
      <c r="AB27" s="56">
        <v>8.3160000000000007</v>
      </c>
      <c r="AC27" s="56">
        <v>7.0449999999999999</v>
      </c>
      <c r="AD27" s="56">
        <v>6.0869999999999997</v>
      </c>
      <c r="AE27" s="56">
        <v>5.3579999999999997</v>
      </c>
      <c r="AF27" s="56">
        <v>4.8029999999999999</v>
      </c>
      <c r="AG27" s="57">
        <v>4.383</v>
      </c>
    </row>
    <row r="28" spans="1:33" x14ac:dyDescent="0.25">
      <c r="A28" s="40">
        <v>55000</v>
      </c>
      <c r="B28" s="44"/>
      <c r="C28" s="46">
        <f>-(($A$27-$A$28)/($A$27-$A$31)*(C27-C31)-C27)</f>
        <v>30.025200000000002</v>
      </c>
      <c r="D28" s="44"/>
      <c r="E28" s="46"/>
      <c r="F28" s="46"/>
      <c r="G28" s="46"/>
      <c r="H28" s="46"/>
      <c r="I28" s="46"/>
      <c r="J28" s="46"/>
      <c r="K28" s="46"/>
      <c r="L28" s="46"/>
      <c r="M28" s="46"/>
      <c r="N28" s="46"/>
      <c r="O28" s="46">
        <f>-(($A$27-$A$28)/($A$27-$A$31)*(O27-O31)-O27)</f>
        <v>24.517800000000001</v>
      </c>
      <c r="P28" s="46"/>
      <c r="Q28" s="47"/>
      <c r="R28" s="56"/>
      <c r="S28" s="56"/>
      <c r="T28" s="46">
        <f>-(($A$27-$A$28)/($A$27-$A$31)*(T27-T31)-T27)</f>
        <v>21.492800000000003</v>
      </c>
      <c r="U28" s="46">
        <f t="shared" ref="U28:V28" si="0">-(($A$27-$A$28)/($A$27-$A$31)*(U27-U31)-U27)</f>
        <v>19.299399999999999</v>
      </c>
      <c r="V28" s="46">
        <f t="shared" si="0"/>
        <v>17.2148</v>
      </c>
      <c r="W28" s="56"/>
      <c r="X28" s="56"/>
      <c r="Y28" s="56"/>
      <c r="Z28" s="56"/>
      <c r="AA28" s="56"/>
      <c r="AB28" s="56"/>
      <c r="AC28" s="56"/>
      <c r="AD28" s="56"/>
      <c r="AE28" s="56"/>
      <c r="AF28" s="56"/>
      <c r="AG28" s="57"/>
    </row>
    <row r="29" spans="1:33" x14ac:dyDescent="0.25">
      <c r="A29" s="40">
        <v>60000</v>
      </c>
      <c r="B29" s="44"/>
      <c r="C29" s="46">
        <f>-(($A$27-$A$29)/($A$27-$A$31)*(C27-C31)-C27)</f>
        <v>31.026400000000002</v>
      </c>
      <c r="D29" s="44"/>
      <c r="E29" s="46"/>
      <c r="F29" s="46"/>
      <c r="G29" s="46"/>
      <c r="H29" s="46"/>
      <c r="I29" s="46"/>
      <c r="J29" s="46"/>
      <c r="K29" s="46"/>
      <c r="L29" s="46"/>
      <c r="M29" s="46"/>
      <c r="N29" s="46"/>
      <c r="O29" s="46">
        <f>-(($A$27-$A$29)/($A$27-$A$31)*(O27-O31)-O27)</f>
        <v>25.435600000000001</v>
      </c>
      <c r="P29" s="46"/>
      <c r="Q29" s="47"/>
      <c r="R29" s="56"/>
      <c r="S29" s="56"/>
      <c r="T29" s="46">
        <f>-(($A$27-$A$29)/($A$27-$A$31)*(T27-T31)-T27)</f>
        <v>22.3306</v>
      </c>
      <c r="U29" s="46">
        <f t="shared" ref="U29:V29" si="1">-(($A$27-$A$29)/($A$27-$A$31)*(U27-U31)-U27)</f>
        <v>20.073799999999999</v>
      </c>
      <c r="V29" s="46">
        <f t="shared" si="1"/>
        <v>17.926600000000001</v>
      </c>
      <c r="W29" s="56"/>
      <c r="X29" s="56"/>
      <c r="Y29" s="56"/>
      <c r="Z29" s="56"/>
      <c r="AA29" s="56"/>
      <c r="AB29" s="56"/>
      <c r="AC29" s="56"/>
      <c r="AD29" s="56"/>
      <c r="AE29" s="56"/>
      <c r="AF29" s="56"/>
      <c r="AG29" s="57"/>
    </row>
    <row r="30" spans="1:33" x14ac:dyDescent="0.25">
      <c r="A30" s="40">
        <v>65000</v>
      </c>
      <c r="B30" s="44"/>
      <c r="C30" s="46">
        <f>-(($A$27-$A$30)/($A$27-$A$31)*(C27-C31)-C27)</f>
        <v>32.0276</v>
      </c>
      <c r="D30" s="44"/>
      <c r="E30" s="46"/>
      <c r="F30" s="46"/>
      <c r="G30" s="46"/>
      <c r="H30" s="46"/>
      <c r="I30" s="46"/>
      <c r="J30" s="46"/>
      <c r="K30" s="46">
        <f>-(($A$27-$A$30)/($A$27-$A$31)*(K27-K31)-K27)</f>
        <v>30.446000000000002</v>
      </c>
      <c r="L30" s="46"/>
      <c r="M30" s="46"/>
      <c r="N30" s="46"/>
      <c r="O30" s="46">
        <f>-(($A$27-$A$30)/($A$27-$A$31)*(O27-O31)-O27)</f>
        <v>26.353400000000001</v>
      </c>
      <c r="P30" s="46"/>
      <c r="Q30" s="47"/>
      <c r="R30" s="56"/>
      <c r="S30" s="56"/>
      <c r="T30" s="46">
        <f>-(($A$27-$A$30)/($A$27-$A$31)*(T27-T31)-T27)</f>
        <v>23.168400000000002</v>
      </c>
      <c r="U30" s="46">
        <f t="shared" ref="U30:V32" si="2">-(($A$27-$A$30)/($A$27-$A$31)*(U27-U31)-U27)</f>
        <v>20.848199999999999</v>
      </c>
      <c r="V30" s="46">
        <f t="shared" si="2"/>
        <v>18.638400000000001</v>
      </c>
      <c r="W30" s="56"/>
      <c r="X30" s="56"/>
      <c r="Y30" s="56"/>
      <c r="Z30" s="56"/>
      <c r="AA30" s="56"/>
      <c r="AB30" s="56"/>
      <c r="AC30" s="56"/>
      <c r="AD30" s="56"/>
      <c r="AE30" s="56"/>
      <c r="AF30" s="56"/>
      <c r="AG30" s="57"/>
    </row>
    <row r="31" spans="1:33" x14ac:dyDescent="0.25">
      <c r="A31" s="40">
        <v>75000</v>
      </c>
      <c r="B31" s="44">
        <v>34.051000000000002</v>
      </c>
      <c r="C31" s="44">
        <v>34.03</v>
      </c>
      <c r="D31" s="44">
        <v>33.996000000000002</v>
      </c>
      <c r="E31" s="46">
        <v>33.941000000000003</v>
      </c>
      <c r="F31" s="46">
        <v>33.887</v>
      </c>
      <c r="G31" s="46">
        <v>33.834000000000003</v>
      </c>
      <c r="H31" s="46">
        <v>33.54</v>
      </c>
      <c r="I31" s="46">
        <v>33.124000000000002</v>
      </c>
      <c r="J31" s="46">
        <v>32.762</v>
      </c>
      <c r="K31" s="46">
        <v>32.414000000000001</v>
      </c>
      <c r="L31" s="46">
        <v>31.143999999999998</v>
      </c>
      <c r="M31" s="46">
        <v>30.039000000000001</v>
      </c>
      <c r="N31" s="46">
        <v>29.062000000000001</v>
      </c>
      <c r="O31" s="46">
        <v>28.189</v>
      </c>
      <c r="P31" s="46">
        <v>27.396000000000001</v>
      </c>
      <c r="Q31" s="47">
        <v>26.673999999999999</v>
      </c>
      <c r="R31" s="56">
        <v>26.013999999999999</v>
      </c>
      <c r="S31" s="56">
        <v>25.405999999999999</v>
      </c>
      <c r="T31" s="56">
        <v>24.844000000000001</v>
      </c>
      <c r="U31" s="56">
        <v>22.396999999999998</v>
      </c>
      <c r="V31" s="56">
        <v>20.062000000000001</v>
      </c>
      <c r="W31" s="56">
        <v>17.866</v>
      </c>
      <c r="X31" s="56">
        <v>15.817</v>
      </c>
      <c r="Y31" s="56">
        <v>14.071</v>
      </c>
      <c r="Z31" s="56">
        <v>12.7</v>
      </c>
      <c r="AA31" s="56">
        <v>11.557</v>
      </c>
      <c r="AB31" s="56">
        <v>10.714</v>
      </c>
      <c r="AC31" s="56">
        <v>9.2590000000000003</v>
      </c>
      <c r="AD31" s="56">
        <v>8.1440000000000001</v>
      </c>
      <c r="AE31" s="56">
        <v>7.2789999999999999</v>
      </c>
      <c r="AF31" s="56">
        <v>6.6040000000000001</v>
      </c>
      <c r="AG31" s="57">
        <v>6.08</v>
      </c>
    </row>
    <row r="32" spans="1:33" x14ac:dyDescent="0.25">
      <c r="A32" s="40">
        <v>80000</v>
      </c>
      <c r="B32" s="44"/>
      <c r="C32" s="44"/>
      <c r="D32" s="44"/>
      <c r="E32" s="46"/>
      <c r="F32" s="46"/>
      <c r="G32" s="46"/>
      <c r="H32" s="46"/>
      <c r="I32" s="46"/>
      <c r="J32" s="46"/>
      <c r="K32" s="46"/>
      <c r="L32" s="46"/>
      <c r="M32" s="46"/>
      <c r="N32" s="46"/>
      <c r="O32" s="46"/>
      <c r="P32" s="46"/>
      <c r="Q32" s="47"/>
      <c r="R32" s="56"/>
      <c r="S32" s="56"/>
      <c r="T32" s="56"/>
      <c r="U32" s="56"/>
      <c r="V32" s="46">
        <f t="shared" si="2"/>
        <v>20.724640000000001</v>
      </c>
      <c r="W32" s="56"/>
      <c r="X32" s="56"/>
      <c r="Y32" s="56"/>
      <c r="Z32" s="56"/>
      <c r="AA32" s="56"/>
      <c r="AB32" s="56"/>
      <c r="AC32" s="56"/>
      <c r="AD32" s="56"/>
      <c r="AE32" s="56"/>
      <c r="AF32" s="56"/>
      <c r="AG32" s="57"/>
    </row>
    <row r="33" spans="1:33" x14ac:dyDescent="0.25">
      <c r="A33" s="41">
        <v>100000</v>
      </c>
      <c r="B33" s="48">
        <v>37.362000000000002</v>
      </c>
      <c r="C33" s="48">
        <v>37.338999999999999</v>
      </c>
      <c r="D33" s="48">
        <v>37.304000000000002</v>
      </c>
      <c r="E33" s="49">
        <v>37.247999999999998</v>
      </c>
      <c r="F33" s="49">
        <v>37.192</v>
      </c>
      <c r="G33" s="49">
        <v>37.137999999999998</v>
      </c>
      <c r="H33" s="49">
        <v>36.835999999999999</v>
      </c>
      <c r="I33" s="49">
        <v>36.406999999999996</v>
      </c>
      <c r="J33" s="49">
        <v>36.031999999999996</v>
      </c>
      <c r="K33" s="49">
        <v>35.670999999999999</v>
      </c>
      <c r="L33" s="49">
        <v>34.35</v>
      </c>
      <c r="M33" s="49">
        <v>33.194000000000003</v>
      </c>
      <c r="N33" s="49">
        <v>32.167000000000002</v>
      </c>
      <c r="O33" s="49">
        <v>31.245999999999999</v>
      </c>
      <c r="P33" s="49">
        <v>30.440999999999999</v>
      </c>
      <c r="Q33" s="50">
        <v>29.648</v>
      </c>
      <c r="R33" s="59">
        <v>28.948</v>
      </c>
      <c r="S33" s="59">
        <v>28.300999999999998</v>
      </c>
      <c r="T33" s="59">
        <v>27.7</v>
      </c>
      <c r="U33" s="59">
        <v>25.068000000000001</v>
      </c>
      <c r="V33" s="59">
        <v>22.59</v>
      </c>
      <c r="W33" s="59">
        <v>20.263999999999999</v>
      </c>
      <c r="X33" s="59">
        <v>18.117999999999999</v>
      </c>
      <c r="Y33" s="59">
        <v>16.285</v>
      </c>
      <c r="Z33" s="59">
        <v>14.832000000000001</v>
      </c>
      <c r="AA33" s="59">
        <v>13.614000000000001</v>
      </c>
      <c r="AB33" s="59">
        <v>12.7</v>
      </c>
      <c r="AC33" s="59">
        <v>11.118</v>
      </c>
      <c r="AD33" s="59">
        <v>9.891</v>
      </c>
      <c r="AE33" s="59">
        <v>8.9269999999999996</v>
      </c>
      <c r="AF33" s="59">
        <v>8.1649999999999991</v>
      </c>
      <c r="AG33" s="60">
        <v>7.5609999999999999</v>
      </c>
    </row>
    <row r="34" spans="1:33" x14ac:dyDescent="0.25">
      <c r="A34" s="2"/>
      <c r="E34" s="28"/>
      <c r="F34" s="28"/>
      <c r="G34" s="32"/>
      <c r="H34" s="28"/>
      <c r="I34" s="32"/>
      <c r="J34" s="32"/>
      <c r="K34" s="32"/>
      <c r="L34" s="32"/>
      <c r="M34" s="32"/>
      <c r="N34" s="32"/>
      <c r="O34" s="32"/>
      <c r="P34" s="32"/>
      <c r="Q34" s="32"/>
      <c r="R34" s="32"/>
      <c r="S34" s="32"/>
      <c r="T34" s="32"/>
      <c r="U34" s="32"/>
      <c r="V34" s="32"/>
      <c r="W34" s="32"/>
      <c r="X34" s="25"/>
      <c r="Y34" s="25"/>
      <c r="Z34" s="25"/>
    </row>
    <row r="35" spans="1:33" x14ac:dyDescent="0.25">
      <c r="A35" s="2"/>
      <c r="E35" s="25"/>
      <c r="F35" s="28"/>
      <c r="G35" s="25"/>
      <c r="H35" s="25"/>
      <c r="I35" s="25"/>
      <c r="J35" s="26"/>
      <c r="K35" s="25">
        <f>+T25</f>
        <v>18.364000000000001</v>
      </c>
      <c r="L35" s="25"/>
      <c r="M35" s="26"/>
      <c r="N35" s="25"/>
      <c r="O35" s="25"/>
      <c r="P35" s="25"/>
      <c r="Q35" s="25"/>
      <c r="R35" s="25"/>
      <c r="S35" s="25"/>
      <c r="T35" s="25"/>
      <c r="U35" s="28"/>
      <c r="V35" s="28"/>
      <c r="W35" s="28"/>
      <c r="X35" s="28"/>
      <c r="Y35" s="28"/>
      <c r="Z35" s="28"/>
    </row>
    <row r="36" spans="1:33" x14ac:dyDescent="0.25">
      <c r="E36" s="25"/>
      <c r="F36" s="28"/>
      <c r="G36" s="28"/>
      <c r="H36" s="27"/>
      <c r="I36" s="25"/>
      <c r="J36" s="26"/>
      <c r="K36" s="25">
        <f>+T27</f>
        <v>20.655000000000001</v>
      </c>
      <c r="L36" s="26"/>
      <c r="M36" s="25"/>
      <c r="N36" s="25"/>
      <c r="O36" s="25"/>
      <c r="P36" s="25"/>
      <c r="Q36" s="25"/>
      <c r="R36" s="25"/>
      <c r="S36" s="25"/>
      <c r="T36" s="25"/>
      <c r="U36" s="25"/>
      <c r="V36" s="25"/>
      <c r="W36" s="25"/>
      <c r="X36" s="25"/>
      <c r="Y36" s="25"/>
      <c r="Z36" s="25"/>
    </row>
    <row r="37" spans="1:33" x14ac:dyDescent="0.25">
      <c r="E37" s="26"/>
      <c r="F37" s="25"/>
      <c r="G37" s="25"/>
      <c r="H37" s="25"/>
      <c r="I37" s="25"/>
      <c r="J37" s="25"/>
      <c r="K37" s="25">
        <f>+K36-K35</f>
        <v>2.2910000000000004</v>
      </c>
      <c r="L37" s="25">
        <f>+K37/'Step 1'!E24</f>
        <v>0.24292227759516494</v>
      </c>
      <c r="M37" s="25"/>
      <c r="N37" s="25"/>
      <c r="O37" s="25"/>
      <c r="P37" s="25"/>
      <c r="Q37" s="25"/>
      <c r="R37" s="25"/>
      <c r="S37" s="26"/>
      <c r="T37" s="26"/>
      <c r="U37" s="25"/>
      <c r="V37" s="25"/>
    </row>
    <row r="38" spans="1:33" x14ac:dyDescent="0.25">
      <c r="E38" s="25"/>
      <c r="F38" s="25"/>
      <c r="G38" s="25"/>
      <c r="H38" s="25"/>
      <c r="I38" s="25"/>
      <c r="J38" s="25"/>
      <c r="K38" s="25">
        <f>+K37*800000</f>
        <v>1832800.0000000002</v>
      </c>
      <c r="L38" s="25">
        <f>+L37*800000</f>
        <v>194337.82207613194</v>
      </c>
      <c r="M38" s="25"/>
      <c r="N38" s="25"/>
      <c r="O38" s="25"/>
      <c r="P38" s="27"/>
      <c r="Q38" s="25"/>
      <c r="R38" s="27"/>
      <c r="S38" s="26"/>
      <c r="T38" s="25"/>
      <c r="U38" s="25"/>
      <c r="V38" s="25"/>
    </row>
    <row r="39" spans="1:33" x14ac:dyDescent="0.25">
      <c r="E39" s="25"/>
      <c r="F39" s="28"/>
      <c r="G39" s="25"/>
      <c r="H39" s="28"/>
      <c r="I39" s="27"/>
      <c r="J39" s="28"/>
      <c r="K39" s="28"/>
      <c r="L39" s="25"/>
      <c r="M39" s="28"/>
      <c r="N39" s="28"/>
      <c r="O39" s="25"/>
      <c r="P39" s="28"/>
      <c r="Q39" s="25"/>
      <c r="R39" s="28"/>
      <c r="S39" s="26"/>
      <c r="T39" s="25"/>
      <c r="U39" s="28"/>
      <c r="V39" s="25"/>
    </row>
    <row r="40" spans="1:33" x14ac:dyDescent="0.25">
      <c r="E40" s="25"/>
      <c r="F40" s="28"/>
      <c r="G40" s="25"/>
      <c r="H40" s="28"/>
      <c r="I40" s="28"/>
      <c r="J40" s="28"/>
      <c r="K40" s="28"/>
      <c r="L40" s="28"/>
      <c r="M40" s="28"/>
      <c r="N40" s="28"/>
      <c r="O40" s="25"/>
      <c r="P40" s="25"/>
      <c r="Q40" s="25"/>
      <c r="R40" s="25"/>
      <c r="S40" s="26"/>
      <c r="T40" s="25"/>
      <c r="U40" s="25"/>
      <c r="V40" s="25"/>
    </row>
    <row r="41" spans="1:33" x14ac:dyDescent="0.25">
      <c r="E41" s="28"/>
      <c r="F41" s="25"/>
      <c r="G41" s="25"/>
      <c r="H41" s="25"/>
      <c r="I41" s="25"/>
      <c r="J41" s="25"/>
      <c r="K41" s="26"/>
      <c r="L41" s="25"/>
      <c r="M41" s="27"/>
      <c r="N41" s="25"/>
      <c r="O41" s="25"/>
      <c r="P41" s="25"/>
      <c r="Q41" s="25"/>
      <c r="R41" s="25"/>
      <c r="S41" s="26"/>
      <c r="T41" s="25"/>
      <c r="U41" s="25"/>
      <c r="V41" s="25"/>
    </row>
    <row r="42" spans="1:33" x14ac:dyDescent="0.25">
      <c r="E42" s="26"/>
      <c r="F42" s="25"/>
      <c r="G42" s="25"/>
      <c r="H42" s="25"/>
      <c r="I42" s="25"/>
      <c r="J42" s="25"/>
      <c r="K42" s="25"/>
      <c r="L42" s="25"/>
      <c r="M42" s="25"/>
      <c r="N42" s="25"/>
      <c r="O42" s="25"/>
      <c r="P42" s="25"/>
      <c r="Q42" s="25"/>
      <c r="R42" s="25"/>
      <c r="S42" s="33"/>
      <c r="T42" s="25"/>
      <c r="U42" s="27"/>
      <c r="V42" s="29"/>
    </row>
    <row r="43" spans="1:33" x14ac:dyDescent="0.25">
      <c r="E43" s="25"/>
      <c r="F43" s="25"/>
      <c r="G43" s="25"/>
      <c r="H43" s="28"/>
      <c r="I43" s="25"/>
      <c r="J43" s="28"/>
      <c r="K43" s="25"/>
      <c r="L43" s="25"/>
      <c r="M43" s="25"/>
      <c r="N43" s="25"/>
      <c r="O43" s="25"/>
      <c r="P43" s="25"/>
      <c r="Q43" s="25"/>
      <c r="R43" s="25"/>
      <c r="S43" s="26"/>
      <c r="T43" s="25"/>
      <c r="U43" s="25"/>
      <c r="V43" s="27"/>
    </row>
    <row r="44" spans="1:33" x14ac:dyDescent="0.25">
      <c r="E44" s="25"/>
      <c r="F44" s="25"/>
      <c r="G44" s="25"/>
      <c r="H44" s="28"/>
      <c r="I44" s="25"/>
      <c r="J44" s="25"/>
      <c r="K44" s="25"/>
      <c r="L44" s="25"/>
      <c r="M44" s="25"/>
      <c r="N44" s="25"/>
      <c r="O44" s="25"/>
      <c r="P44" s="25"/>
      <c r="Q44" s="25"/>
      <c r="R44" s="25"/>
      <c r="S44" s="26"/>
      <c r="T44" s="25"/>
      <c r="U44" s="25"/>
      <c r="V44" s="25"/>
    </row>
    <row r="45" spans="1:33" x14ac:dyDescent="0.25">
      <c r="E45" s="25"/>
      <c r="F45" s="25"/>
      <c r="G45" s="25"/>
      <c r="H45" s="25"/>
      <c r="I45" s="25"/>
      <c r="J45" s="25"/>
      <c r="K45" s="25"/>
      <c r="L45" s="25"/>
      <c r="M45" s="25"/>
      <c r="N45" s="25"/>
      <c r="O45" s="25"/>
      <c r="P45" s="25"/>
      <c r="Q45" s="25"/>
      <c r="R45" s="25"/>
      <c r="S45" s="26"/>
      <c r="T45" s="25"/>
      <c r="U45" s="25"/>
      <c r="V45" s="29"/>
    </row>
    <row r="46" spans="1:33" x14ac:dyDescent="0.25">
      <c r="E46" s="25"/>
      <c r="F46" s="28"/>
      <c r="G46" s="25"/>
      <c r="H46" s="25"/>
      <c r="I46" s="25"/>
      <c r="J46" s="25"/>
      <c r="K46" s="25"/>
      <c r="L46" s="25"/>
      <c r="M46" s="25"/>
      <c r="N46" s="25"/>
      <c r="O46" s="25"/>
      <c r="P46" s="25"/>
      <c r="Q46" s="25"/>
      <c r="R46" s="25"/>
      <c r="S46" s="26"/>
      <c r="T46" s="25"/>
      <c r="U46" s="25"/>
      <c r="V46" s="25"/>
    </row>
    <row r="47" spans="1:33" x14ac:dyDescent="0.25">
      <c r="E47" s="25"/>
      <c r="F47" s="25"/>
      <c r="G47" s="26"/>
      <c r="H47" s="26"/>
      <c r="I47" s="25"/>
      <c r="J47" s="25"/>
      <c r="K47" s="25"/>
      <c r="L47" s="25"/>
      <c r="M47" s="25"/>
      <c r="N47" s="25"/>
      <c r="O47" s="25"/>
      <c r="P47" s="25"/>
      <c r="Q47" s="25"/>
      <c r="R47" s="25"/>
      <c r="S47" s="26"/>
      <c r="T47" s="25"/>
      <c r="U47" s="25"/>
      <c r="V47" s="25"/>
    </row>
    <row r="48" spans="1:33" x14ac:dyDescent="0.25">
      <c r="E48" s="28"/>
      <c r="F48" s="28"/>
      <c r="G48" s="28"/>
      <c r="H48" s="30"/>
      <c r="I48" s="28"/>
      <c r="J48" s="28"/>
      <c r="K48" s="28"/>
      <c r="L48" s="28"/>
      <c r="M48" s="28"/>
      <c r="N48" s="28"/>
      <c r="O48" s="28"/>
      <c r="P48" s="28"/>
      <c r="Q48" s="28"/>
      <c r="R48" s="28"/>
      <c r="S48" s="26"/>
      <c r="T48" s="28"/>
      <c r="U48" s="28"/>
      <c r="V48" s="25"/>
    </row>
    <row r="49" spans="5:22" x14ac:dyDescent="0.25">
      <c r="E49" s="25"/>
      <c r="F49" s="25"/>
      <c r="G49" s="27"/>
      <c r="H49" s="25"/>
      <c r="I49" s="27"/>
      <c r="J49" s="27"/>
      <c r="K49" s="25"/>
      <c r="L49" s="25"/>
      <c r="M49" s="25"/>
      <c r="N49" s="25"/>
      <c r="O49" s="25"/>
      <c r="P49" s="25"/>
      <c r="Q49" s="25"/>
      <c r="R49" s="25"/>
      <c r="S49" s="26"/>
      <c r="T49" s="25"/>
      <c r="U49" s="25"/>
      <c r="V49" s="25"/>
    </row>
    <row r="50" spans="5:22" x14ac:dyDescent="0.25">
      <c r="E50" s="25"/>
      <c r="F50" s="25"/>
      <c r="G50" s="25"/>
      <c r="H50" s="25"/>
      <c r="I50" s="25"/>
      <c r="J50" s="28"/>
      <c r="K50" s="28"/>
      <c r="L50" s="28"/>
      <c r="M50" s="28"/>
      <c r="N50" s="28"/>
      <c r="O50" s="25"/>
      <c r="P50" s="25"/>
      <c r="Q50" s="25"/>
      <c r="R50" s="25"/>
      <c r="S50" s="26"/>
      <c r="T50" s="25"/>
      <c r="U50" s="27"/>
      <c r="V50" s="25"/>
    </row>
    <row r="51" spans="5:22" x14ac:dyDescent="0.25">
      <c r="E51" s="25"/>
      <c r="F51" s="25"/>
      <c r="G51" s="25"/>
      <c r="H51" s="25"/>
      <c r="I51" s="25"/>
      <c r="J51" s="25"/>
      <c r="K51" s="25"/>
      <c r="L51" s="25"/>
      <c r="M51" s="28"/>
      <c r="N51" s="28"/>
      <c r="O51" s="28"/>
      <c r="P51" s="28"/>
      <c r="Q51" s="28"/>
      <c r="R51" s="28"/>
      <c r="S51" s="26"/>
      <c r="T51" s="28"/>
      <c r="U51" s="28"/>
      <c r="V51" s="28"/>
    </row>
    <row r="52" spans="5:22" x14ac:dyDescent="0.25">
      <c r="E52" s="28"/>
      <c r="F52" s="28"/>
      <c r="G52" s="28"/>
      <c r="H52" s="28"/>
      <c r="I52" s="28"/>
      <c r="J52" s="25"/>
      <c r="K52" s="25"/>
      <c r="L52" s="25"/>
      <c r="M52" s="25"/>
      <c r="N52" s="25"/>
      <c r="O52" s="26"/>
      <c r="P52" s="25"/>
      <c r="Q52" s="26"/>
      <c r="R52" s="25"/>
      <c r="S52" s="26"/>
      <c r="T52" s="25"/>
      <c r="U52" s="25"/>
      <c r="V52" s="25"/>
    </row>
    <row r="53" spans="5:22" x14ac:dyDescent="0.25">
      <c r="E53" s="25"/>
      <c r="F53" s="25"/>
      <c r="G53" s="25"/>
      <c r="H53" s="28"/>
      <c r="I53" s="25"/>
      <c r="J53" s="28"/>
      <c r="K53" s="28"/>
      <c r="L53" s="25"/>
      <c r="M53" s="25"/>
      <c r="N53" s="25"/>
      <c r="O53" s="25"/>
      <c r="P53" s="25"/>
      <c r="Q53" s="25"/>
      <c r="R53" s="25"/>
      <c r="S53" s="26"/>
      <c r="T53" s="28"/>
      <c r="U53" s="28"/>
      <c r="V53" s="28"/>
    </row>
    <row r="54" spans="5:22" x14ac:dyDescent="0.25">
      <c r="E54" s="34"/>
      <c r="F54" s="28"/>
      <c r="G54" s="28"/>
      <c r="H54" s="28"/>
      <c r="I54" s="25"/>
      <c r="J54" s="31"/>
      <c r="K54" s="25"/>
      <c r="L54" s="25"/>
      <c r="M54" s="28"/>
      <c r="N54" s="28"/>
      <c r="O54" s="28"/>
      <c r="P54" s="28"/>
      <c r="Q54" s="28"/>
      <c r="R54" s="28"/>
      <c r="S54" s="26"/>
      <c r="T54" s="28"/>
      <c r="U54" s="28"/>
      <c r="V54" s="28"/>
    </row>
    <row r="55" spans="5:22" x14ac:dyDescent="0.25">
      <c r="E55" s="25"/>
      <c r="F55" s="25"/>
      <c r="G55" s="25"/>
      <c r="H55" s="25"/>
      <c r="I55" s="25"/>
      <c r="J55" s="27"/>
      <c r="K55" s="25"/>
      <c r="L55" s="25"/>
      <c r="M55" s="25"/>
      <c r="N55" s="25"/>
      <c r="O55" s="25"/>
      <c r="P55" s="25"/>
      <c r="Q55" s="25"/>
      <c r="R55" s="25"/>
      <c r="S55" s="26"/>
      <c r="T55" s="25"/>
      <c r="U55" s="25"/>
      <c r="V55" s="25"/>
    </row>
    <row r="56" spans="5:22" x14ac:dyDescent="0.25">
      <c r="E56" s="26"/>
      <c r="F56" s="26"/>
      <c r="G56" s="26"/>
      <c r="H56" s="26"/>
      <c r="I56" s="26"/>
      <c r="J56" s="26"/>
      <c r="K56" s="26"/>
      <c r="L56" s="26"/>
      <c r="M56" s="26"/>
      <c r="N56" s="26"/>
      <c r="O56" s="26"/>
      <c r="P56" s="26"/>
      <c r="Q56" s="26"/>
      <c r="R56" s="26"/>
      <c r="S56" s="26"/>
      <c r="T56" s="26"/>
      <c r="U56" s="26"/>
      <c r="V56" s="26"/>
    </row>
  </sheetData>
  <mergeCells count="1">
    <mergeCell ref="A1:Q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18254-9DA0-BA4E-AE60-25717A3F4DC2}">
  <dimension ref="A1:Q43"/>
  <sheetViews>
    <sheetView showGridLines="0" zoomScaleNormal="100" workbookViewId="0">
      <pane ySplit="5" topLeftCell="A57" activePane="bottomLeft" state="frozen"/>
      <selection pane="bottomLeft" activeCell="D6" sqref="D6:E6"/>
    </sheetView>
  </sheetViews>
  <sheetFormatPr defaultColWidth="10.875" defaultRowHeight="15.75" x14ac:dyDescent="0.25"/>
  <cols>
    <col min="1" max="1" width="10.875" style="53"/>
    <col min="2" max="2" width="15.875" style="53" customWidth="1"/>
    <col min="3" max="16384" width="10.875" style="53"/>
  </cols>
  <sheetData>
    <row r="1" spans="1:17" x14ac:dyDescent="0.25">
      <c r="A1" s="427"/>
      <c r="B1" s="427"/>
      <c r="C1" s="427"/>
      <c r="D1" s="427"/>
      <c r="E1" s="427"/>
      <c r="F1" s="52"/>
      <c r="G1" s="52"/>
      <c r="H1" s="52"/>
      <c r="I1" s="52"/>
      <c r="J1" s="52"/>
      <c r="K1" s="52"/>
      <c r="L1" s="52"/>
      <c r="M1" s="52"/>
      <c r="N1" s="52"/>
      <c r="O1" s="52"/>
      <c r="P1" s="52"/>
      <c r="Q1" s="52"/>
    </row>
    <row r="2" spans="1:17" x14ac:dyDescent="0.25">
      <c r="A2" s="427" t="s">
        <v>13</v>
      </c>
      <c r="B2" s="427"/>
      <c r="C2" s="427"/>
      <c r="D2" s="427"/>
      <c r="E2" s="427"/>
      <c r="F2" s="52"/>
      <c r="G2" s="52"/>
      <c r="H2" s="52"/>
      <c r="I2" s="52"/>
      <c r="J2" s="52"/>
      <c r="K2" s="52"/>
      <c r="L2" s="52"/>
      <c r="M2" s="52"/>
      <c r="N2" s="52"/>
      <c r="O2" s="52"/>
      <c r="P2" s="52"/>
      <c r="Q2" s="52"/>
    </row>
    <row r="3" spans="1:17" x14ac:dyDescent="0.25">
      <c r="A3" s="427" t="s">
        <v>14</v>
      </c>
      <c r="B3" s="427"/>
      <c r="C3" s="427"/>
      <c r="D3" s="427"/>
      <c r="E3" s="427"/>
      <c r="F3" s="52"/>
      <c r="G3" s="52"/>
      <c r="H3" s="52"/>
      <c r="I3" s="52"/>
      <c r="J3" s="52"/>
      <c r="K3" s="52"/>
      <c r="L3" s="52"/>
      <c r="M3" s="52"/>
      <c r="N3" s="52"/>
      <c r="O3" s="52"/>
      <c r="P3" s="52"/>
      <c r="Q3" s="52"/>
    </row>
    <row r="4" spans="1:17" ht="37.5" customHeight="1" x14ac:dyDescent="0.25">
      <c r="A4" s="427" t="s">
        <v>16</v>
      </c>
      <c r="B4" s="427"/>
      <c r="C4" s="427"/>
      <c r="D4" s="54"/>
      <c r="E4" s="54"/>
    </row>
    <row r="5" spans="1:17" ht="37.5" customHeight="1" x14ac:dyDescent="0.25">
      <c r="A5" s="427" t="s">
        <v>17</v>
      </c>
      <c r="B5" s="427"/>
      <c r="C5" s="427"/>
      <c r="D5" s="452" t="s">
        <v>18</v>
      </c>
      <c r="E5" s="452"/>
    </row>
    <row r="6" spans="1:17" ht="37.5" customHeight="1" x14ac:dyDescent="0.25">
      <c r="A6" s="450" t="s">
        <v>21</v>
      </c>
      <c r="B6" s="451"/>
      <c r="C6" s="451"/>
      <c r="D6" s="431" t="s">
        <v>19</v>
      </c>
      <c r="E6" s="432"/>
    </row>
    <row r="7" spans="1:17" ht="37.5" customHeight="1" x14ac:dyDescent="0.25">
      <c r="A7" s="427" t="s">
        <v>20</v>
      </c>
      <c r="B7" s="427"/>
      <c r="C7" s="427"/>
      <c r="D7" s="429"/>
      <c r="E7" s="429"/>
    </row>
    <row r="8" spans="1:17" ht="37.5" customHeight="1" x14ac:dyDescent="0.25">
      <c r="A8" s="450" t="s">
        <v>22</v>
      </c>
      <c r="B8" s="451"/>
      <c r="C8" s="451"/>
      <c r="D8" s="431" t="s">
        <v>23</v>
      </c>
      <c r="E8" s="432"/>
    </row>
    <row r="9" spans="1:17" ht="37.5" customHeight="1" x14ac:dyDescent="0.25">
      <c r="A9" s="427" t="s">
        <v>24</v>
      </c>
      <c r="B9" s="427"/>
      <c r="C9" s="427"/>
      <c r="D9" s="428"/>
      <c r="E9" s="428"/>
    </row>
    <row r="10" spans="1:17" ht="37.5" customHeight="1" x14ac:dyDescent="0.25">
      <c r="A10" s="444" t="s">
        <v>25</v>
      </c>
      <c r="B10" s="445"/>
      <c r="C10" s="445"/>
      <c r="D10" s="436" t="s">
        <v>28</v>
      </c>
      <c r="E10" s="437"/>
    </row>
    <row r="11" spans="1:17" ht="37.5" customHeight="1" x14ac:dyDescent="0.25">
      <c r="A11" s="446" t="s">
        <v>26</v>
      </c>
      <c r="B11" s="447"/>
      <c r="C11" s="447"/>
      <c r="D11" s="439" t="s">
        <v>29</v>
      </c>
      <c r="E11" s="440"/>
    </row>
    <row r="12" spans="1:17" ht="37.5" customHeight="1" x14ac:dyDescent="0.25">
      <c r="A12" s="448" t="s">
        <v>27</v>
      </c>
      <c r="B12" s="449"/>
      <c r="C12" s="449"/>
      <c r="D12" s="442" t="s">
        <v>30</v>
      </c>
      <c r="E12" s="443"/>
    </row>
    <row r="13" spans="1:17" ht="37.5" customHeight="1" x14ac:dyDescent="0.25">
      <c r="A13" s="427" t="s">
        <v>34</v>
      </c>
      <c r="B13" s="427"/>
      <c r="C13" s="427"/>
      <c r="D13" s="428"/>
      <c r="E13" s="428"/>
    </row>
    <row r="14" spans="1:17" ht="37.5" customHeight="1" x14ac:dyDescent="0.25">
      <c r="A14" s="435" t="s">
        <v>31</v>
      </c>
      <c r="B14" s="436"/>
      <c r="C14" s="436"/>
      <c r="D14" s="436" t="s">
        <v>35</v>
      </c>
      <c r="E14" s="437"/>
    </row>
    <row r="15" spans="1:17" ht="37.5" customHeight="1" x14ac:dyDescent="0.25">
      <c r="A15" s="438" t="s">
        <v>33</v>
      </c>
      <c r="B15" s="439"/>
      <c r="C15" s="439"/>
      <c r="D15" s="439" t="s">
        <v>37</v>
      </c>
      <c r="E15" s="440"/>
    </row>
    <row r="16" spans="1:17" ht="37.5" customHeight="1" x14ac:dyDescent="0.25">
      <c r="A16" s="441" t="s">
        <v>32</v>
      </c>
      <c r="B16" s="442"/>
      <c r="C16" s="442"/>
      <c r="D16" s="442" t="s">
        <v>36</v>
      </c>
      <c r="E16" s="443"/>
    </row>
    <row r="17" spans="1:5" ht="37.5" customHeight="1" x14ac:dyDescent="0.25">
      <c r="A17" s="427" t="s">
        <v>38</v>
      </c>
      <c r="B17" s="427"/>
      <c r="C17" s="427"/>
      <c r="D17" s="428"/>
      <c r="E17" s="428"/>
    </row>
    <row r="18" spans="1:5" ht="37.5" customHeight="1" x14ac:dyDescent="0.25">
      <c r="A18" s="435" t="s">
        <v>54</v>
      </c>
      <c r="B18" s="436"/>
      <c r="C18" s="436"/>
      <c r="D18" s="436" t="s">
        <v>57</v>
      </c>
      <c r="E18" s="437"/>
    </row>
    <row r="19" spans="1:5" ht="37.5" customHeight="1" x14ac:dyDescent="0.25">
      <c r="A19" s="441" t="s">
        <v>55</v>
      </c>
      <c r="B19" s="442"/>
      <c r="C19" s="442"/>
      <c r="D19" s="442" t="s">
        <v>56</v>
      </c>
      <c r="E19" s="443"/>
    </row>
    <row r="20" spans="1:5" ht="37.5" customHeight="1" x14ac:dyDescent="0.25">
      <c r="A20" s="427" t="s">
        <v>39</v>
      </c>
      <c r="B20" s="427"/>
      <c r="C20" s="427"/>
      <c r="D20" s="428"/>
      <c r="E20" s="428"/>
    </row>
    <row r="21" spans="1:5" ht="37.5" customHeight="1" x14ac:dyDescent="0.25">
      <c r="A21" s="435" t="s">
        <v>54</v>
      </c>
      <c r="B21" s="436"/>
      <c r="C21" s="436"/>
      <c r="D21" s="436" t="s">
        <v>60</v>
      </c>
      <c r="E21" s="437"/>
    </row>
    <row r="22" spans="1:5" ht="37.5" customHeight="1" x14ac:dyDescent="0.25">
      <c r="A22" s="438" t="s">
        <v>58</v>
      </c>
      <c r="B22" s="439"/>
      <c r="C22" s="439"/>
      <c r="D22" s="439" t="s">
        <v>61</v>
      </c>
      <c r="E22" s="440"/>
    </row>
    <row r="23" spans="1:5" ht="37.5" customHeight="1" x14ac:dyDescent="0.25">
      <c r="A23" s="441" t="s">
        <v>59</v>
      </c>
      <c r="B23" s="442"/>
      <c r="C23" s="442"/>
      <c r="D23" s="442" t="s">
        <v>62</v>
      </c>
      <c r="E23" s="443"/>
    </row>
    <row r="24" spans="1:5" ht="37.5" customHeight="1" x14ac:dyDescent="0.25">
      <c r="A24" s="427" t="s">
        <v>40</v>
      </c>
      <c r="B24" s="427"/>
      <c r="C24" s="427"/>
      <c r="D24" s="428"/>
      <c r="E24" s="428"/>
    </row>
    <row r="25" spans="1:5" ht="37.5" customHeight="1" x14ac:dyDescent="0.25">
      <c r="A25" s="435" t="s">
        <v>65</v>
      </c>
      <c r="B25" s="436"/>
      <c r="C25" s="436"/>
      <c r="D25" s="436" t="s">
        <v>37</v>
      </c>
      <c r="E25" s="437"/>
    </row>
    <row r="26" spans="1:5" ht="37.5" customHeight="1" x14ac:dyDescent="0.25">
      <c r="A26" s="438" t="s">
        <v>63</v>
      </c>
      <c r="B26" s="439"/>
      <c r="C26" s="439"/>
      <c r="D26" s="439" t="s">
        <v>66</v>
      </c>
      <c r="E26" s="440"/>
    </row>
    <row r="27" spans="1:5" ht="37.5" customHeight="1" x14ac:dyDescent="0.25">
      <c r="A27" s="441" t="s">
        <v>64</v>
      </c>
      <c r="B27" s="442"/>
      <c r="C27" s="442"/>
      <c r="D27" s="442" t="s">
        <v>62</v>
      </c>
      <c r="E27" s="443"/>
    </row>
    <row r="28" spans="1:5" ht="37.5" customHeight="1" x14ac:dyDescent="0.25">
      <c r="A28" s="427" t="s">
        <v>41</v>
      </c>
      <c r="B28" s="427"/>
      <c r="C28" s="427"/>
      <c r="D28" s="428"/>
      <c r="E28" s="428"/>
    </row>
    <row r="29" spans="1:5" ht="37.5" customHeight="1" x14ac:dyDescent="0.25">
      <c r="A29" s="430" t="s">
        <v>68</v>
      </c>
      <c r="B29" s="431"/>
      <c r="C29" s="431"/>
      <c r="D29" s="431" t="s">
        <v>67</v>
      </c>
      <c r="E29" s="432"/>
    </row>
    <row r="30" spans="1:5" ht="37.5" customHeight="1" x14ac:dyDescent="0.25">
      <c r="A30" s="427" t="s">
        <v>42</v>
      </c>
      <c r="B30" s="427"/>
      <c r="C30" s="427"/>
      <c r="D30" s="429"/>
      <c r="E30" s="429"/>
    </row>
    <row r="31" spans="1:5" ht="37.5" customHeight="1" x14ac:dyDescent="0.25">
      <c r="A31" s="419" t="s">
        <v>43</v>
      </c>
      <c r="B31" s="422">
        <v>0</v>
      </c>
      <c r="C31" s="422"/>
      <c r="D31" s="433">
        <v>1</v>
      </c>
      <c r="E31" s="434"/>
    </row>
    <row r="32" spans="1:5" ht="37.5" customHeight="1" x14ac:dyDescent="0.25">
      <c r="A32" s="420"/>
      <c r="B32" s="417">
        <v>0.05</v>
      </c>
      <c r="C32" s="417"/>
      <c r="D32" s="423" t="s">
        <v>44</v>
      </c>
      <c r="E32" s="424"/>
    </row>
    <row r="33" spans="1:5" ht="37.5" customHeight="1" x14ac:dyDescent="0.25">
      <c r="A33" s="420"/>
      <c r="B33" s="417">
        <v>0.1</v>
      </c>
      <c r="C33" s="417"/>
      <c r="D33" s="423" t="s">
        <v>45</v>
      </c>
      <c r="E33" s="424"/>
    </row>
    <row r="34" spans="1:5" ht="37.5" customHeight="1" x14ac:dyDescent="0.25">
      <c r="A34" s="420"/>
      <c r="B34" s="417">
        <v>0.15</v>
      </c>
      <c r="C34" s="417"/>
      <c r="D34" s="423" t="s">
        <v>46</v>
      </c>
      <c r="E34" s="424"/>
    </row>
    <row r="35" spans="1:5" ht="37.5" customHeight="1" x14ac:dyDescent="0.25">
      <c r="A35" s="420"/>
      <c r="B35" s="417">
        <v>0.2</v>
      </c>
      <c r="C35" s="417"/>
      <c r="D35" s="423" t="s">
        <v>47</v>
      </c>
      <c r="E35" s="424"/>
    </row>
    <row r="36" spans="1:5" ht="37.5" customHeight="1" x14ac:dyDescent="0.25">
      <c r="A36" s="420"/>
      <c r="B36" s="417">
        <v>0.25</v>
      </c>
      <c r="C36" s="417"/>
      <c r="D36" s="423" t="s">
        <v>48</v>
      </c>
      <c r="E36" s="424"/>
    </row>
    <row r="37" spans="1:5" ht="37.5" customHeight="1" x14ac:dyDescent="0.25">
      <c r="A37" s="420"/>
      <c r="B37" s="417">
        <v>0.3</v>
      </c>
      <c r="C37" s="417"/>
      <c r="D37" s="423" t="s">
        <v>49</v>
      </c>
      <c r="E37" s="424"/>
    </row>
    <row r="38" spans="1:5" ht="37.5" customHeight="1" x14ac:dyDescent="0.25">
      <c r="A38" s="420"/>
      <c r="B38" s="417">
        <v>0.35</v>
      </c>
      <c r="C38" s="417"/>
      <c r="D38" s="423" t="s">
        <v>50</v>
      </c>
      <c r="E38" s="424"/>
    </row>
    <row r="39" spans="1:5" ht="37.5" customHeight="1" x14ac:dyDescent="0.25">
      <c r="A39" s="420"/>
      <c r="B39" s="417">
        <v>0.4</v>
      </c>
      <c r="C39" s="417"/>
      <c r="D39" s="423" t="s">
        <v>51</v>
      </c>
      <c r="E39" s="424"/>
    </row>
    <row r="40" spans="1:5" ht="37.5" customHeight="1" x14ac:dyDescent="0.25">
      <c r="A40" s="420"/>
      <c r="B40" s="417">
        <v>0.45</v>
      </c>
      <c r="C40" s="417"/>
      <c r="D40" s="423" t="s">
        <v>52</v>
      </c>
      <c r="E40" s="424"/>
    </row>
    <row r="41" spans="1:5" ht="37.5" customHeight="1" x14ac:dyDescent="0.25">
      <c r="A41" s="421"/>
      <c r="B41" s="418">
        <v>0.5</v>
      </c>
      <c r="C41" s="418"/>
      <c r="D41" s="425" t="s">
        <v>53</v>
      </c>
      <c r="E41" s="426"/>
    </row>
    <row r="42" spans="1:5" x14ac:dyDescent="0.25">
      <c r="B42" s="55"/>
    </row>
    <row r="43" spans="1:5" x14ac:dyDescent="0.25">
      <c r="B43" s="55"/>
    </row>
  </sheetData>
  <mergeCells count="79">
    <mergeCell ref="A4:C4"/>
    <mergeCell ref="A5:C5"/>
    <mergeCell ref="A3:E3"/>
    <mergeCell ref="A2:E2"/>
    <mergeCell ref="A1:E1"/>
    <mergeCell ref="D5:E5"/>
    <mergeCell ref="A6:C6"/>
    <mergeCell ref="A7:C7"/>
    <mergeCell ref="D7:E7"/>
    <mergeCell ref="D6:E6"/>
    <mergeCell ref="A8:C8"/>
    <mergeCell ref="D8:E8"/>
    <mergeCell ref="A9:C9"/>
    <mergeCell ref="D9:E9"/>
    <mergeCell ref="A10:C10"/>
    <mergeCell ref="A11:C11"/>
    <mergeCell ref="A12:C12"/>
    <mergeCell ref="D10:E10"/>
    <mergeCell ref="D11:E11"/>
    <mergeCell ref="D12:E12"/>
    <mergeCell ref="A13:C13"/>
    <mergeCell ref="D13:E13"/>
    <mergeCell ref="A14:C14"/>
    <mergeCell ref="A15:C15"/>
    <mergeCell ref="A16:C16"/>
    <mergeCell ref="D14:E14"/>
    <mergeCell ref="D15:E15"/>
    <mergeCell ref="D16:E16"/>
    <mergeCell ref="A20:C20"/>
    <mergeCell ref="D20:E20"/>
    <mergeCell ref="A21:C21"/>
    <mergeCell ref="D21:E21"/>
    <mergeCell ref="A17:C17"/>
    <mergeCell ref="D17:E17"/>
    <mergeCell ref="A18:C18"/>
    <mergeCell ref="D18:E18"/>
    <mergeCell ref="A19:C19"/>
    <mergeCell ref="D19:E19"/>
    <mergeCell ref="A22:C22"/>
    <mergeCell ref="D22:E22"/>
    <mergeCell ref="A23:C23"/>
    <mergeCell ref="D23:E23"/>
    <mergeCell ref="A24:C24"/>
    <mergeCell ref="D24:E24"/>
    <mergeCell ref="A25:C25"/>
    <mergeCell ref="D25:E25"/>
    <mergeCell ref="A26:C26"/>
    <mergeCell ref="D26:E26"/>
    <mergeCell ref="A27:C27"/>
    <mergeCell ref="D27:E27"/>
    <mergeCell ref="D36:E36"/>
    <mergeCell ref="A28:C28"/>
    <mergeCell ref="D28:E28"/>
    <mergeCell ref="A30:C30"/>
    <mergeCell ref="D30:E30"/>
    <mergeCell ref="A29:C29"/>
    <mergeCell ref="D29:E29"/>
    <mergeCell ref="D31:E31"/>
    <mergeCell ref="D32:E32"/>
    <mergeCell ref="D33:E33"/>
    <mergeCell ref="D34:E34"/>
    <mergeCell ref="D35:E35"/>
    <mergeCell ref="D37:E37"/>
    <mergeCell ref="D38:E38"/>
    <mergeCell ref="D39:E39"/>
    <mergeCell ref="D40:E40"/>
    <mergeCell ref="D41:E41"/>
    <mergeCell ref="B39:C39"/>
    <mergeCell ref="B40:C40"/>
    <mergeCell ref="B41:C41"/>
    <mergeCell ref="A31:A41"/>
    <mergeCell ref="B31:C31"/>
    <mergeCell ref="B32:C32"/>
    <mergeCell ref="B33:C33"/>
    <mergeCell ref="B34:C34"/>
    <mergeCell ref="B35:C35"/>
    <mergeCell ref="B36:C36"/>
    <mergeCell ref="B37:C37"/>
    <mergeCell ref="B38:C38"/>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AC462-7920-254D-A37B-B198CB86F0B6}">
  <dimension ref="A1:D39"/>
  <sheetViews>
    <sheetView showGridLines="0" workbookViewId="0">
      <selection sqref="A1:D1"/>
    </sheetView>
  </sheetViews>
  <sheetFormatPr defaultColWidth="10.875" defaultRowHeight="15.75" x14ac:dyDescent="0.25"/>
  <cols>
    <col min="1" max="4" width="32.25" style="4" customWidth="1"/>
    <col min="5" max="16384" width="10.875" style="4"/>
  </cols>
  <sheetData>
    <row r="1" spans="1:4" ht="24.75" customHeight="1" x14ac:dyDescent="0.25">
      <c r="A1" s="461"/>
      <c r="B1" s="461"/>
      <c r="C1" s="461"/>
      <c r="D1" s="461"/>
    </row>
    <row r="2" spans="1:4" ht="24.75" customHeight="1" x14ac:dyDescent="0.25">
      <c r="A2" s="461" t="s">
        <v>13</v>
      </c>
      <c r="B2" s="461"/>
      <c r="C2" s="461"/>
      <c r="D2" s="461"/>
    </row>
    <row r="3" spans="1:4" ht="24.75" customHeight="1" x14ac:dyDescent="0.25">
      <c r="A3" s="461" t="s">
        <v>14</v>
      </c>
      <c r="B3" s="461"/>
      <c r="C3" s="461"/>
      <c r="D3" s="461"/>
    </row>
    <row r="4" spans="1:4" ht="24.75" customHeight="1" x14ac:dyDescent="0.25">
      <c r="A4" s="462" t="s">
        <v>16</v>
      </c>
      <c r="B4" s="462"/>
      <c r="C4" s="462"/>
      <c r="D4" s="462"/>
    </row>
    <row r="5" spans="1:4" ht="24.75" customHeight="1" x14ac:dyDescent="0.25">
      <c r="A5" s="468" t="s">
        <v>69</v>
      </c>
      <c r="B5" s="468"/>
      <c r="C5" s="463" t="s">
        <v>18</v>
      </c>
      <c r="D5" s="463"/>
    </row>
    <row r="6" spans="1:4" ht="24.75" customHeight="1" x14ac:dyDescent="0.25">
      <c r="A6" s="99" t="s">
        <v>70</v>
      </c>
      <c r="B6" s="89"/>
      <c r="C6" s="89" t="s">
        <v>77</v>
      </c>
      <c r="D6" s="90"/>
    </row>
    <row r="7" spans="1:4" ht="24.75" customHeight="1" x14ac:dyDescent="0.25">
      <c r="A7" s="96" t="s">
        <v>71</v>
      </c>
      <c r="B7" s="97"/>
      <c r="C7" s="88" t="s">
        <v>30</v>
      </c>
      <c r="D7" s="88"/>
    </row>
    <row r="8" spans="1:4" ht="24.75" customHeight="1" x14ac:dyDescent="0.25">
      <c r="A8" s="96" t="s">
        <v>72</v>
      </c>
      <c r="B8" s="97"/>
      <c r="C8" s="88">
        <v>1</v>
      </c>
      <c r="D8" s="88"/>
    </row>
    <row r="9" spans="1:4" ht="24.75" customHeight="1" x14ac:dyDescent="0.25">
      <c r="A9" s="96" t="s">
        <v>73</v>
      </c>
      <c r="B9" s="97"/>
      <c r="C9" s="88" t="s">
        <v>78</v>
      </c>
      <c r="D9" s="88"/>
    </row>
    <row r="10" spans="1:4" ht="24.75" customHeight="1" x14ac:dyDescent="0.25">
      <c r="A10" s="96" t="s">
        <v>74</v>
      </c>
      <c r="B10" s="97"/>
      <c r="C10" s="88" t="s">
        <v>79</v>
      </c>
      <c r="D10" s="88"/>
    </row>
    <row r="11" spans="1:4" ht="24.75" customHeight="1" x14ac:dyDescent="0.25">
      <c r="A11" s="96" t="s">
        <v>75</v>
      </c>
      <c r="B11" s="97"/>
      <c r="C11" s="88" t="s">
        <v>80</v>
      </c>
      <c r="D11" s="88"/>
    </row>
    <row r="12" spans="1:4" ht="24.75" customHeight="1" x14ac:dyDescent="0.25">
      <c r="A12" s="98" t="s">
        <v>76</v>
      </c>
      <c r="B12" s="86"/>
      <c r="C12" s="86" t="s">
        <v>81</v>
      </c>
      <c r="D12" s="87"/>
    </row>
    <row r="13" spans="1:4" ht="24.75" customHeight="1" x14ac:dyDescent="0.25">
      <c r="A13" s="468" t="s">
        <v>82</v>
      </c>
      <c r="B13" s="468"/>
      <c r="C13" s="458" t="s">
        <v>83</v>
      </c>
      <c r="D13" s="458"/>
    </row>
    <row r="14" spans="1:4" ht="24.75" customHeight="1" x14ac:dyDescent="0.25">
      <c r="A14" s="99" t="s">
        <v>84</v>
      </c>
      <c r="B14" s="89"/>
      <c r="C14" s="91">
        <v>1</v>
      </c>
      <c r="D14" s="92"/>
    </row>
    <row r="15" spans="1:4" ht="24.75" customHeight="1" x14ac:dyDescent="0.25">
      <c r="A15" s="96" t="s">
        <v>85</v>
      </c>
      <c r="B15" s="97"/>
      <c r="C15" s="93" t="s">
        <v>87</v>
      </c>
      <c r="D15" s="93"/>
    </row>
    <row r="16" spans="1:4" ht="24.75" customHeight="1" x14ac:dyDescent="0.25">
      <c r="A16" s="98" t="s">
        <v>86</v>
      </c>
      <c r="B16" s="86"/>
      <c r="C16" s="94" t="s">
        <v>88</v>
      </c>
      <c r="D16" s="95"/>
    </row>
    <row r="17" spans="1:4" ht="24.75" customHeight="1" x14ac:dyDescent="0.25">
      <c r="A17" s="468" t="s">
        <v>89</v>
      </c>
      <c r="B17" s="468"/>
      <c r="C17" s="458" t="s">
        <v>18</v>
      </c>
      <c r="D17" s="458"/>
    </row>
    <row r="18" spans="1:4" ht="24.75" customHeight="1" x14ac:dyDescent="0.25">
      <c r="A18" s="466" t="s">
        <v>90</v>
      </c>
      <c r="B18" s="467"/>
      <c r="C18" s="456" t="s">
        <v>112</v>
      </c>
      <c r="D18" s="457"/>
    </row>
    <row r="19" spans="1:4" ht="24.75" customHeight="1" x14ac:dyDescent="0.25">
      <c r="A19" s="464" t="s">
        <v>91</v>
      </c>
      <c r="B19" s="465"/>
      <c r="C19" s="455" t="s">
        <v>113</v>
      </c>
      <c r="D19" s="455"/>
    </row>
    <row r="20" spans="1:4" ht="24.75" customHeight="1" x14ac:dyDescent="0.25">
      <c r="A20" s="464" t="s">
        <v>92</v>
      </c>
      <c r="B20" s="465"/>
      <c r="C20" s="455" t="s">
        <v>114</v>
      </c>
      <c r="D20" s="455"/>
    </row>
    <row r="21" spans="1:4" ht="24.75" customHeight="1" x14ac:dyDescent="0.25">
      <c r="A21" s="464" t="s">
        <v>93</v>
      </c>
      <c r="B21" s="465"/>
      <c r="C21" s="455" t="s">
        <v>112</v>
      </c>
      <c r="D21" s="455"/>
    </row>
    <row r="22" spans="1:4" ht="24.75" customHeight="1" x14ac:dyDescent="0.25">
      <c r="A22" s="464" t="s">
        <v>94</v>
      </c>
      <c r="B22" s="465"/>
      <c r="C22" s="455" t="s">
        <v>112</v>
      </c>
      <c r="D22" s="455"/>
    </row>
    <row r="23" spans="1:4" ht="24.75" customHeight="1" x14ac:dyDescent="0.25">
      <c r="A23" s="464" t="s">
        <v>95</v>
      </c>
      <c r="B23" s="465"/>
      <c r="C23" s="455" t="s">
        <v>115</v>
      </c>
      <c r="D23" s="455"/>
    </row>
    <row r="24" spans="1:4" ht="24.75" customHeight="1" x14ac:dyDescent="0.25">
      <c r="A24" s="464" t="s">
        <v>96</v>
      </c>
      <c r="B24" s="465"/>
      <c r="C24" s="455" t="s">
        <v>61</v>
      </c>
      <c r="D24" s="455"/>
    </row>
    <row r="25" spans="1:4" ht="24.75" customHeight="1" x14ac:dyDescent="0.25">
      <c r="A25" s="464" t="s">
        <v>97</v>
      </c>
      <c r="B25" s="465"/>
      <c r="C25" s="455" t="s">
        <v>116</v>
      </c>
      <c r="D25" s="455"/>
    </row>
    <row r="26" spans="1:4" ht="24.75" customHeight="1" x14ac:dyDescent="0.25">
      <c r="A26" s="464" t="s">
        <v>98</v>
      </c>
      <c r="B26" s="465"/>
      <c r="C26" s="455" t="s">
        <v>112</v>
      </c>
      <c r="D26" s="455"/>
    </row>
    <row r="27" spans="1:4" ht="24.75" customHeight="1" x14ac:dyDescent="0.25">
      <c r="A27" s="459" t="s">
        <v>99</v>
      </c>
      <c r="B27" s="460"/>
      <c r="C27" s="453" t="s">
        <v>115</v>
      </c>
      <c r="D27" s="454"/>
    </row>
    <row r="28" spans="1:4" ht="24.75" customHeight="1" x14ac:dyDescent="0.25">
      <c r="A28" s="466" t="s">
        <v>100</v>
      </c>
      <c r="B28" s="467"/>
      <c r="C28" s="456" t="s">
        <v>112</v>
      </c>
      <c r="D28" s="457"/>
    </row>
    <row r="29" spans="1:4" ht="24.75" customHeight="1" x14ac:dyDescent="0.25">
      <c r="A29" s="464" t="s">
        <v>101</v>
      </c>
      <c r="B29" s="465"/>
      <c r="C29" s="455" t="s">
        <v>112</v>
      </c>
      <c r="D29" s="455"/>
    </row>
    <row r="30" spans="1:4" ht="24.75" customHeight="1" x14ac:dyDescent="0.25">
      <c r="A30" s="464" t="s">
        <v>111</v>
      </c>
      <c r="B30" s="465"/>
      <c r="C30" s="455" t="s">
        <v>117</v>
      </c>
      <c r="D30" s="455"/>
    </row>
    <row r="31" spans="1:4" ht="24.75" customHeight="1" x14ac:dyDescent="0.25">
      <c r="A31" s="464" t="s">
        <v>102</v>
      </c>
      <c r="B31" s="465"/>
      <c r="C31" s="455" t="s">
        <v>112</v>
      </c>
      <c r="D31" s="455"/>
    </row>
    <row r="32" spans="1:4" ht="24.75" customHeight="1" x14ac:dyDescent="0.25">
      <c r="A32" s="464" t="s">
        <v>103</v>
      </c>
      <c r="B32" s="465"/>
      <c r="C32" s="455" t="s">
        <v>112</v>
      </c>
      <c r="D32" s="455"/>
    </row>
    <row r="33" spans="1:4" ht="24.75" customHeight="1" x14ac:dyDescent="0.25">
      <c r="A33" s="464" t="s">
        <v>104</v>
      </c>
      <c r="B33" s="465"/>
      <c r="C33" s="455" t="s">
        <v>118</v>
      </c>
      <c r="D33" s="455"/>
    </row>
    <row r="34" spans="1:4" ht="24.75" customHeight="1" x14ac:dyDescent="0.25">
      <c r="A34" s="464" t="s">
        <v>105</v>
      </c>
      <c r="B34" s="465"/>
      <c r="C34" s="455" t="s">
        <v>112</v>
      </c>
      <c r="D34" s="455"/>
    </row>
    <row r="35" spans="1:4" ht="24.75" customHeight="1" x14ac:dyDescent="0.25">
      <c r="A35" s="464" t="s">
        <v>106</v>
      </c>
      <c r="B35" s="465"/>
      <c r="C35" s="455" t="s">
        <v>112</v>
      </c>
      <c r="D35" s="455"/>
    </row>
    <row r="36" spans="1:4" ht="24.75" customHeight="1" x14ac:dyDescent="0.25">
      <c r="A36" s="464" t="s">
        <v>107</v>
      </c>
      <c r="B36" s="465"/>
      <c r="C36" s="455" t="s">
        <v>115</v>
      </c>
      <c r="D36" s="455"/>
    </row>
    <row r="37" spans="1:4" ht="24.75" customHeight="1" x14ac:dyDescent="0.25">
      <c r="A37" s="464" t="s">
        <v>108</v>
      </c>
      <c r="B37" s="465"/>
      <c r="C37" s="455" t="s">
        <v>112</v>
      </c>
      <c r="D37" s="455"/>
    </row>
    <row r="38" spans="1:4" ht="24.75" customHeight="1" x14ac:dyDescent="0.25">
      <c r="A38" s="464" t="s">
        <v>109</v>
      </c>
      <c r="B38" s="465"/>
      <c r="C38" s="455" t="s">
        <v>119</v>
      </c>
      <c r="D38" s="455"/>
    </row>
    <row r="39" spans="1:4" ht="24.75" customHeight="1" x14ac:dyDescent="0.25">
      <c r="A39" s="459" t="s">
        <v>110</v>
      </c>
      <c r="B39" s="460"/>
      <c r="C39" s="453" t="s">
        <v>120</v>
      </c>
      <c r="D39" s="454"/>
    </row>
  </sheetData>
  <mergeCells count="54">
    <mergeCell ref="A5:B5"/>
    <mergeCell ref="A20:B20"/>
    <mergeCell ref="A13:B13"/>
    <mergeCell ref="A17:B17"/>
    <mergeCell ref="A18:B18"/>
    <mergeCell ref="A19:B19"/>
    <mergeCell ref="A31:B31"/>
    <mergeCell ref="A32:B32"/>
    <mergeCell ref="A21:B21"/>
    <mergeCell ref="A22:B22"/>
    <mergeCell ref="A23:B23"/>
    <mergeCell ref="A24:B24"/>
    <mergeCell ref="A25:B25"/>
    <mergeCell ref="A26:B26"/>
    <mergeCell ref="A39:B39"/>
    <mergeCell ref="A1:D1"/>
    <mergeCell ref="A2:D2"/>
    <mergeCell ref="A3:D3"/>
    <mergeCell ref="A4:D4"/>
    <mergeCell ref="C5:D5"/>
    <mergeCell ref="A33:B33"/>
    <mergeCell ref="A34:B34"/>
    <mergeCell ref="A35:B35"/>
    <mergeCell ref="A36:B36"/>
    <mergeCell ref="A37:B37"/>
    <mergeCell ref="A38:B38"/>
    <mergeCell ref="A27:B27"/>
    <mergeCell ref="A28:B28"/>
    <mergeCell ref="A29:B29"/>
    <mergeCell ref="A30:B30"/>
    <mergeCell ref="C20:D20"/>
    <mergeCell ref="C13:D13"/>
    <mergeCell ref="C17:D17"/>
    <mergeCell ref="C18:D18"/>
    <mergeCell ref="C19:D19"/>
    <mergeCell ref="C32:D32"/>
    <mergeCell ref="C21:D21"/>
    <mergeCell ref="C22:D22"/>
    <mergeCell ref="C23:D23"/>
    <mergeCell ref="C24:D24"/>
    <mergeCell ref="C25:D25"/>
    <mergeCell ref="C26:D26"/>
    <mergeCell ref="C27:D27"/>
    <mergeCell ref="C28:D28"/>
    <mergeCell ref="C29:D29"/>
    <mergeCell ref="C30:D30"/>
    <mergeCell ref="C31:D31"/>
    <mergeCell ref="C39:D39"/>
    <mergeCell ref="C33:D33"/>
    <mergeCell ref="C34:D34"/>
    <mergeCell ref="C35:D35"/>
    <mergeCell ref="C36:D36"/>
    <mergeCell ref="C37:D37"/>
    <mergeCell ref="C38:D3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CB29B-C6FF-45BF-A99F-0B9539A30828}">
  <dimension ref="A1:Q57"/>
  <sheetViews>
    <sheetView showGridLines="0" zoomScale="70" zoomScaleNormal="70" workbookViewId="0">
      <pane xSplit="2" ySplit="11" topLeftCell="C12" activePane="bottomRight" state="frozen"/>
      <selection pane="topRight" activeCell="C1" sqref="C1"/>
      <selection pane="bottomLeft" activeCell="A12" sqref="A12"/>
      <selection pane="bottomRight" activeCell="B12" sqref="B12"/>
    </sheetView>
  </sheetViews>
  <sheetFormatPr defaultColWidth="10.875" defaultRowHeight="15" outlineLevelRow="1" x14ac:dyDescent="0.2"/>
  <cols>
    <col min="1" max="1" width="10.875" style="144"/>
    <col min="2" max="2" width="10.875" style="230"/>
    <col min="3" max="3" width="16.875" style="144" bestFit="1" customWidth="1"/>
    <col min="4" max="4" width="10.875" style="144"/>
    <col min="5" max="5" width="25" style="231" bestFit="1" customWidth="1"/>
    <col min="6" max="7" width="10.875" style="144"/>
    <col min="8" max="8" width="34.125" style="231" bestFit="1" customWidth="1"/>
    <col min="9" max="9" width="12.5" style="144" bestFit="1" customWidth="1"/>
    <col min="10" max="10" width="21.625" style="144" bestFit="1" customWidth="1"/>
    <col min="11" max="11" width="15" style="144" bestFit="1" customWidth="1"/>
    <col min="12" max="12" width="24.625" style="231" bestFit="1" customWidth="1"/>
    <col min="13" max="13" width="14.5" style="144" bestFit="1" customWidth="1"/>
    <col min="14" max="14" width="29.375" style="231" customWidth="1"/>
    <col min="15" max="15" width="10.875" style="144"/>
    <col min="16" max="16" width="12.5" style="144" bestFit="1" customWidth="1"/>
    <col min="17" max="16384" width="10.875" style="144"/>
  </cols>
  <sheetData>
    <row r="1" spans="1:17" s="147" customFormat="1" x14ac:dyDescent="0.2">
      <c r="A1" s="144"/>
      <c r="B1" s="144"/>
      <c r="C1" s="145"/>
      <c r="D1" s="145"/>
      <c r="E1" s="146"/>
      <c r="F1" s="145"/>
      <c r="G1" s="145"/>
      <c r="H1" s="146"/>
      <c r="J1" s="148"/>
      <c r="K1" s="145"/>
      <c r="L1" s="146"/>
      <c r="M1" s="145"/>
      <c r="N1" s="146"/>
      <c r="O1" s="145"/>
      <c r="P1" s="145"/>
      <c r="Q1" s="145"/>
    </row>
    <row r="2" spans="1:17" x14ac:dyDescent="0.2">
      <c r="B2" s="144" t="s">
        <v>183</v>
      </c>
      <c r="C2" s="149"/>
      <c r="D2" s="149"/>
      <c r="E2" s="150"/>
      <c r="F2" s="149"/>
      <c r="G2" s="149"/>
      <c r="H2" s="150"/>
      <c r="I2" s="149"/>
      <c r="K2" s="149"/>
      <c r="L2" s="150"/>
      <c r="M2" s="149"/>
      <c r="N2" s="150"/>
      <c r="O2" s="149"/>
      <c r="P2" s="149"/>
      <c r="Q2" s="149"/>
    </row>
    <row r="3" spans="1:17" ht="15.75" thickBot="1" x14ac:dyDescent="0.25">
      <c r="B3" s="144"/>
      <c r="C3" s="149"/>
      <c r="D3" s="149"/>
      <c r="E3" s="150"/>
      <c r="F3" s="149"/>
      <c r="G3" s="149"/>
      <c r="H3" s="150"/>
      <c r="J3" s="151"/>
      <c r="K3" s="149"/>
      <c r="L3" s="150"/>
      <c r="M3" s="149"/>
      <c r="N3" s="150"/>
      <c r="O3" s="149"/>
      <c r="P3" s="149"/>
      <c r="Q3" s="149"/>
    </row>
    <row r="4" spans="1:17" x14ac:dyDescent="0.2">
      <c r="B4" s="152"/>
      <c r="C4" s="153"/>
      <c r="D4" s="153"/>
      <c r="E4" s="154"/>
      <c r="F4" s="153"/>
      <c r="G4" s="153"/>
      <c r="H4" s="154"/>
      <c r="I4" s="153"/>
      <c r="J4" s="153"/>
      <c r="K4" s="153"/>
      <c r="L4" s="154"/>
      <c r="M4" s="153"/>
      <c r="N4" s="154"/>
      <c r="O4" s="153"/>
      <c r="P4" s="153"/>
      <c r="Q4" s="155"/>
    </row>
    <row r="5" spans="1:17" x14ac:dyDescent="0.2">
      <c r="B5" s="156"/>
      <c r="C5" s="157" t="s">
        <v>184</v>
      </c>
      <c r="D5" s="232" t="s">
        <v>128</v>
      </c>
      <c r="E5" s="157" t="s">
        <v>185</v>
      </c>
      <c r="F5" s="158"/>
      <c r="G5" s="233">
        <v>44743</v>
      </c>
      <c r="H5" s="157" t="s">
        <v>186</v>
      </c>
      <c r="I5" s="234" t="s">
        <v>187</v>
      </c>
      <c r="J5" s="159"/>
      <c r="K5" s="159"/>
      <c r="L5" s="157" t="s">
        <v>188</v>
      </c>
      <c r="M5" s="235">
        <v>0</v>
      </c>
      <c r="N5" s="157"/>
      <c r="O5" s="158" t="s">
        <v>189</v>
      </c>
      <c r="P5" s="160">
        <f>+'Step 1'!E104</f>
        <v>0.97818181818181826</v>
      </c>
      <c r="Q5" s="161"/>
    </row>
    <row r="6" spans="1:17" x14ac:dyDescent="0.2">
      <c r="B6" s="156"/>
      <c r="C6" s="157"/>
      <c r="D6" s="232"/>
      <c r="E6" s="157"/>
      <c r="F6" s="158"/>
      <c r="G6" s="232"/>
      <c r="H6" s="157"/>
      <c r="I6" s="232"/>
      <c r="J6" s="159"/>
      <c r="K6" s="159"/>
      <c r="L6" s="157"/>
      <c r="M6" s="232"/>
      <c r="N6" s="157"/>
      <c r="O6" s="159"/>
      <c r="P6" s="159"/>
      <c r="Q6" s="161"/>
    </row>
    <row r="7" spans="1:17" x14ac:dyDescent="0.2">
      <c r="B7" s="156"/>
      <c r="C7" s="157" t="s">
        <v>190</v>
      </c>
      <c r="D7" s="232" t="s">
        <v>129</v>
      </c>
      <c r="E7" s="157" t="s">
        <v>191</v>
      </c>
      <c r="F7" s="158"/>
      <c r="G7" s="233">
        <v>45108</v>
      </c>
      <c r="H7" s="157" t="s">
        <v>192</v>
      </c>
      <c r="I7" s="234" t="s">
        <v>247</v>
      </c>
      <c r="J7" s="159"/>
      <c r="K7" s="159"/>
      <c r="L7" s="157" t="s">
        <v>193</v>
      </c>
      <c r="M7" s="234" t="s">
        <v>70</v>
      </c>
      <c r="N7" s="157"/>
      <c r="O7" s="159"/>
      <c r="P7" s="159"/>
      <c r="Q7" s="161"/>
    </row>
    <row r="8" spans="1:17" x14ac:dyDescent="0.2">
      <c r="B8" s="156"/>
      <c r="C8" s="157"/>
      <c r="D8" s="232"/>
      <c r="E8" s="157"/>
      <c r="F8" s="158"/>
      <c r="G8" s="232"/>
      <c r="H8" s="157"/>
      <c r="I8" s="232"/>
      <c r="J8" s="159"/>
      <c r="K8" s="159"/>
      <c r="L8" s="157"/>
      <c r="M8" s="232"/>
      <c r="N8" s="157"/>
      <c r="O8" s="159"/>
      <c r="P8" s="159"/>
      <c r="Q8" s="161"/>
    </row>
    <row r="9" spans="1:17" x14ac:dyDescent="0.2">
      <c r="B9" s="156"/>
      <c r="C9" s="157" t="s">
        <v>194</v>
      </c>
      <c r="D9" s="232" t="s">
        <v>195</v>
      </c>
      <c r="E9" s="157" t="s">
        <v>196</v>
      </c>
      <c r="F9" s="158"/>
      <c r="G9" s="232">
        <v>1</v>
      </c>
      <c r="H9" s="157" t="s">
        <v>197</v>
      </c>
      <c r="I9" s="234" t="s">
        <v>198</v>
      </c>
      <c r="J9" s="159"/>
      <c r="K9" s="159"/>
      <c r="L9" s="157" t="s">
        <v>199</v>
      </c>
      <c r="M9" s="234" t="s">
        <v>200</v>
      </c>
      <c r="N9" s="162" t="s">
        <v>201</v>
      </c>
      <c r="O9" s="163"/>
      <c r="P9" s="163"/>
      <c r="Q9" s="164"/>
    </row>
    <row r="10" spans="1:17" ht="15.75" thickBot="1" x14ac:dyDescent="0.25">
      <c r="B10" s="165"/>
      <c r="C10" s="166"/>
      <c r="D10" s="166"/>
      <c r="E10" s="167"/>
      <c r="F10" s="166"/>
      <c r="G10" s="166"/>
      <c r="H10" s="167"/>
      <c r="I10" s="166"/>
      <c r="J10" s="166"/>
      <c r="K10" s="166"/>
      <c r="L10" s="167"/>
      <c r="M10" s="166"/>
      <c r="N10" s="167"/>
      <c r="O10" s="166"/>
      <c r="P10" s="166"/>
      <c r="Q10" s="168"/>
    </row>
    <row r="11" spans="1:17" ht="16.5" thickBot="1" x14ac:dyDescent="0.3">
      <c r="B11" s="169" t="s">
        <v>202</v>
      </c>
      <c r="C11" s="170"/>
      <c r="D11" s="171" t="s">
        <v>203</v>
      </c>
      <c r="E11" s="172"/>
      <c r="F11" s="173"/>
      <c r="G11" s="174" t="s">
        <v>202</v>
      </c>
      <c r="H11" s="175" t="s">
        <v>204</v>
      </c>
      <c r="I11" s="176"/>
      <c r="J11" s="176"/>
      <c r="K11" s="177"/>
      <c r="L11" s="178" t="s">
        <v>205</v>
      </c>
      <c r="M11" s="179"/>
      <c r="N11" s="180" t="s">
        <v>206</v>
      </c>
      <c r="O11" s="181"/>
      <c r="P11" s="179"/>
      <c r="Q11" s="174" t="s">
        <v>207</v>
      </c>
    </row>
    <row r="12" spans="1:17" ht="15.75" x14ac:dyDescent="0.25">
      <c r="B12" s="182"/>
      <c r="C12" s="183" t="s">
        <v>208</v>
      </c>
      <c r="D12" s="183"/>
      <c r="E12" s="184" t="s">
        <v>209</v>
      </c>
      <c r="F12" s="185"/>
      <c r="G12" s="186"/>
      <c r="H12" s="187" t="s">
        <v>210</v>
      </c>
      <c r="I12" s="188"/>
      <c r="J12" s="188" t="s">
        <v>209</v>
      </c>
      <c r="K12" s="189"/>
      <c r="L12" s="190" t="s">
        <v>211</v>
      </c>
      <c r="M12" s="189"/>
      <c r="N12" s="190" t="s">
        <v>211</v>
      </c>
      <c r="O12" s="188"/>
      <c r="P12" s="189"/>
      <c r="Q12" s="191"/>
    </row>
    <row r="13" spans="1:17" ht="15.75" x14ac:dyDescent="0.25">
      <c r="B13" s="192"/>
      <c r="C13" s="193" t="s">
        <v>211</v>
      </c>
      <c r="D13" s="193"/>
      <c r="E13" s="194" t="s">
        <v>212</v>
      </c>
      <c r="F13" s="195"/>
      <c r="G13" s="196" t="s">
        <v>200</v>
      </c>
      <c r="H13" s="197" t="s">
        <v>211</v>
      </c>
      <c r="I13" s="198"/>
      <c r="J13" s="163" t="s">
        <v>213</v>
      </c>
      <c r="K13" s="199"/>
      <c r="L13" s="162" t="s">
        <v>214</v>
      </c>
      <c r="M13" s="199"/>
      <c r="N13" s="162" t="s">
        <v>214</v>
      </c>
      <c r="O13" s="163"/>
      <c r="P13" s="199"/>
      <c r="Q13" s="200"/>
    </row>
    <row r="14" spans="1:17" ht="16.5" thickBot="1" x14ac:dyDescent="0.3">
      <c r="B14" s="201"/>
      <c r="C14" s="202" t="s">
        <v>214</v>
      </c>
      <c r="D14" s="202"/>
      <c r="E14" s="203"/>
      <c r="F14" s="204"/>
      <c r="G14" s="205"/>
      <c r="H14" s="206" t="s">
        <v>215</v>
      </c>
      <c r="I14" s="207"/>
      <c r="J14" s="208"/>
      <c r="K14" s="209"/>
      <c r="L14" s="210"/>
      <c r="M14" s="211"/>
      <c r="N14" s="210"/>
      <c r="O14" s="208"/>
      <c r="P14" s="211"/>
      <c r="Q14" s="212"/>
    </row>
    <row r="15" spans="1:17" ht="15.75" x14ac:dyDescent="0.25">
      <c r="B15" s="182"/>
      <c r="C15" s="183" t="s">
        <v>216</v>
      </c>
      <c r="D15" s="183"/>
      <c r="E15" s="184" t="s">
        <v>209</v>
      </c>
      <c r="F15" s="185"/>
      <c r="G15" s="186"/>
      <c r="H15" s="213" t="s">
        <v>254</v>
      </c>
      <c r="I15" s="145" t="s">
        <v>255</v>
      </c>
      <c r="J15" s="145" t="s">
        <v>209</v>
      </c>
      <c r="K15" s="214"/>
      <c r="L15" s="154" t="s">
        <v>217</v>
      </c>
      <c r="M15" s="215"/>
      <c r="N15" s="154" t="s">
        <v>217</v>
      </c>
      <c r="O15" s="153"/>
      <c r="P15" s="215"/>
      <c r="Q15" s="191"/>
    </row>
    <row r="16" spans="1:17" ht="15.75" x14ac:dyDescent="0.25">
      <c r="B16" s="192"/>
      <c r="C16" s="193" t="s">
        <v>211</v>
      </c>
      <c r="D16" s="193"/>
      <c r="E16" s="194" t="s">
        <v>218</v>
      </c>
      <c r="F16" s="195"/>
      <c r="G16" s="196" t="s">
        <v>200</v>
      </c>
      <c r="H16" s="216" t="s">
        <v>211</v>
      </c>
      <c r="I16" s="217"/>
      <c r="J16" s="149" t="s">
        <v>218</v>
      </c>
      <c r="K16" s="218"/>
      <c r="L16" s="157" t="s">
        <v>214</v>
      </c>
      <c r="M16" s="219"/>
      <c r="N16" s="157" t="s">
        <v>214</v>
      </c>
      <c r="O16" s="159"/>
      <c r="P16" s="219"/>
      <c r="Q16" s="200"/>
    </row>
    <row r="17" spans="2:17" ht="16.5" thickBot="1" x14ac:dyDescent="0.3">
      <c r="B17" s="201"/>
      <c r="C17" s="202" t="s">
        <v>214</v>
      </c>
      <c r="D17" s="202"/>
      <c r="E17" s="203" t="s">
        <v>219</v>
      </c>
      <c r="F17" s="204"/>
      <c r="G17" s="205"/>
      <c r="H17" s="220" t="s">
        <v>215</v>
      </c>
      <c r="I17" s="221"/>
      <c r="J17" s="222" t="s">
        <v>220</v>
      </c>
      <c r="K17" s="223"/>
      <c r="L17" s="167"/>
      <c r="M17" s="224"/>
      <c r="N17" s="167"/>
      <c r="O17" s="166"/>
      <c r="P17" s="224"/>
      <c r="Q17" s="212"/>
    </row>
    <row r="18" spans="2:17" ht="15.75" x14ac:dyDescent="0.25">
      <c r="B18" s="182"/>
      <c r="C18" s="183" t="s">
        <v>221</v>
      </c>
      <c r="D18" s="183"/>
      <c r="E18" s="184" t="s">
        <v>209</v>
      </c>
      <c r="F18" s="185"/>
      <c r="G18" s="186"/>
      <c r="H18" s="213" t="s">
        <v>256</v>
      </c>
      <c r="I18" s="145" t="s">
        <v>148</v>
      </c>
      <c r="J18" s="145" t="s">
        <v>209</v>
      </c>
      <c r="K18" s="214"/>
      <c r="L18" s="154" t="s">
        <v>222</v>
      </c>
      <c r="M18" s="215"/>
      <c r="N18" s="154" t="s">
        <v>222</v>
      </c>
      <c r="O18" s="153"/>
      <c r="P18" s="215"/>
      <c r="Q18" s="191"/>
    </row>
    <row r="19" spans="2:17" ht="15.75" x14ac:dyDescent="0.25">
      <c r="B19" s="192"/>
      <c r="C19" s="193" t="s">
        <v>211</v>
      </c>
      <c r="D19" s="193"/>
      <c r="E19" s="194" t="s">
        <v>218</v>
      </c>
      <c r="F19" s="195"/>
      <c r="G19" s="196" t="s">
        <v>200</v>
      </c>
      <c r="H19" s="216" t="s">
        <v>211</v>
      </c>
      <c r="I19" s="217"/>
      <c r="J19" s="149" t="s">
        <v>218</v>
      </c>
      <c r="K19" s="218"/>
      <c r="L19" s="157" t="s">
        <v>214</v>
      </c>
      <c r="M19" s="219"/>
      <c r="N19" s="157" t="s">
        <v>214</v>
      </c>
      <c r="O19" s="159"/>
      <c r="P19" s="219"/>
      <c r="Q19" s="200"/>
    </row>
    <row r="20" spans="2:17" ht="16.5" thickBot="1" x14ac:dyDescent="0.3">
      <c r="B20" s="201"/>
      <c r="C20" s="202" t="s">
        <v>214</v>
      </c>
      <c r="D20" s="202"/>
      <c r="E20" s="203" t="s">
        <v>219</v>
      </c>
      <c r="F20" s="204"/>
      <c r="G20" s="205"/>
      <c r="H20" s="220" t="s">
        <v>215</v>
      </c>
      <c r="I20" s="217"/>
      <c r="J20" s="222" t="s">
        <v>220</v>
      </c>
      <c r="K20" s="225"/>
      <c r="L20" s="167"/>
      <c r="M20" s="224"/>
      <c r="N20" s="167"/>
      <c r="O20" s="166"/>
      <c r="P20" s="224"/>
      <c r="Q20" s="212"/>
    </row>
    <row r="21" spans="2:17" ht="15.75" x14ac:dyDescent="0.25">
      <c r="B21" s="182"/>
      <c r="C21" s="183" t="s">
        <v>223</v>
      </c>
      <c r="D21" s="183"/>
      <c r="E21" s="184" t="s">
        <v>209</v>
      </c>
      <c r="F21" s="185"/>
      <c r="G21" s="186"/>
      <c r="H21" s="213" t="s">
        <v>257</v>
      </c>
      <c r="I21" s="145" t="s">
        <v>258</v>
      </c>
      <c r="J21" s="145" t="s">
        <v>209</v>
      </c>
      <c r="K21" s="214"/>
      <c r="L21" s="154" t="s">
        <v>224</v>
      </c>
      <c r="M21" s="215"/>
      <c r="N21" s="154" t="s">
        <v>224</v>
      </c>
      <c r="O21" s="153"/>
      <c r="P21" s="215"/>
      <c r="Q21" s="191"/>
    </row>
    <row r="22" spans="2:17" ht="15.75" x14ac:dyDescent="0.25">
      <c r="B22" s="192"/>
      <c r="C22" s="193" t="s">
        <v>211</v>
      </c>
      <c r="D22" s="193"/>
      <c r="E22" s="194" t="s">
        <v>218</v>
      </c>
      <c r="F22" s="195"/>
      <c r="G22" s="196" t="s">
        <v>200</v>
      </c>
      <c r="H22" s="216" t="s">
        <v>211</v>
      </c>
      <c r="I22" s="217"/>
      <c r="J22" s="149" t="s">
        <v>218</v>
      </c>
      <c r="K22" s="218"/>
      <c r="L22" s="157" t="s">
        <v>214</v>
      </c>
      <c r="M22" s="219"/>
      <c r="N22" s="157" t="s">
        <v>214</v>
      </c>
      <c r="O22" s="159"/>
      <c r="P22" s="219"/>
      <c r="Q22" s="200"/>
    </row>
    <row r="23" spans="2:17" ht="16.5" thickBot="1" x14ac:dyDescent="0.3">
      <c r="B23" s="201"/>
      <c r="C23" s="202" t="s">
        <v>214</v>
      </c>
      <c r="D23" s="202"/>
      <c r="E23" s="203" t="s">
        <v>219</v>
      </c>
      <c r="F23" s="204"/>
      <c r="G23" s="205"/>
      <c r="H23" s="220" t="s">
        <v>215</v>
      </c>
      <c r="I23" s="221"/>
      <c r="J23" s="222" t="s">
        <v>220</v>
      </c>
      <c r="K23" s="223"/>
      <c r="L23" s="167"/>
      <c r="M23" s="224"/>
      <c r="N23" s="167"/>
      <c r="O23" s="166"/>
      <c r="P23" s="224"/>
      <c r="Q23" s="212"/>
    </row>
    <row r="24" spans="2:17" ht="15.75" x14ac:dyDescent="0.25">
      <c r="B24" s="182"/>
      <c r="C24" s="183" t="s">
        <v>225</v>
      </c>
      <c r="D24" s="183"/>
      <c r="E24" s="184" t="s">
        <v>209</v>
      </c>
      <c r="F24" s="185"/>
      <c r="G24" s="186"/>
      <c r="H24" s="213" t="s">
        <v>259</v>
      </c>
      <c r="I24" s="145" t="s">
        <v>260</v>
      </c>
      <c r="J24" s="145" t="s">
        <v>209</v>
      </c>
      <c r="K24" s="214"/>
      <c r="L24" s="154" t="s">
        <v>226</v>
      </c>
      <c r="M24" s="215"/>
      <c r="N24" s="154" t="s">
        <v>226</v>
      </c>
      <c r="O24" s="153"/>
      <c r="P24" s="219"/>
      <c r="Q24" s="191"/>
    </row>
    <row r="25" spans="2:17" ht="15.75" x14ac:dyDescent="0.25">
      <c r="B25" s="192"/>
      <c r="C25" s="193" t="s">
        <v>211</v>
      </c>
      <c r="D25" s="193"/>
      <c r="E25" s="194" t="s">
        <v>218</v>
      </c>
      <c r="F25" s="195"/>
      <c r="G25" s="196" t="s">
        <v>200</v>
      </c>
      <c r="H25" s="216" t="s">
        <v>211</v>
      </c>
      <c r="I25" s="217"/>
      <c r="J25" s="149" t="s">
        <v>218</v>
      </c>
      <c r="K25" s="218"/>
      <c r="L25" s="157" t="s">
        <v>214</v>
      </c>
      <c r="M25" s="219"/>
      <c r="N25" s="157" t="s">
        <v>214</v>
      </c>
      <c r="O25" s="159"/>
      <c r="P25" s="219"/>
      <c r="Q25" s="200"/>
    </row>
    <row r="26" spans="2:17" ht="16.5" thickBot="1" x14ac:dyDescent="0.3">
      <c r="B26" s="201"/>
      <c r="C26" s="202" t="s">
        <v>214</v>
      </c>
      <c r="D26" s="202"/>
      <c r="E26" s="203" t="s">
        <v>219</v>
      </c>
      <c r="F26" s="204"/>
      <c r="G26" s="205"/>
      <c r="H26" s="220" t="s">
        <v>215</v>
      </c>
      <c r="I26" s="221"/>
      <c r="J26" s="222" t="s">
        <v>220</v>
      </c>
      <c r="K26" s="223"/>
      <c r="L26" s="167"/>
      <c r="M26" s="224"/>
      <c r="N26" s="167"/>
      <c r="O26" s="166"/>
      <c r="P26" s="224"/>
      <c r="Q26" s="212"/>
    </row>
    <row r="27" spans="2:17" ht="15.75" x14ac:dyDescent="0.25">
      <c r="B27" s="182"/>
      <c r="C27" s="183" t="s">
        <v>227</v>
      </c>
      <c r="D27" s="183"/>
      <c r="E27" s="184" t="s">
        <v>209</v>
      </c>
      <c r="F27" s="185"/>
      <c r="G27" s="186"/>
      <c r="H27" s="213" t="s">
        <v>261</v>
      </c>
      <c r="I27" s="145" t="s">
        <v>152</v>
      </c>
      <c r="J27" s="145" t="s">
        <v>209</v>
      </c>
      <c r="K27" s="214"/>
      <c r="L27" s="154" t="s">
        <v>228</v>
      </c>
      <c r="M27" s="215"/>
      <c r="N27" s="154" t="s">
        <v>228</v>
      </c>
      <c r="O27" s="153"/>
      <c r="P27" s="215"/>
      <c r="Q27" s="191"/>
    </row>
    <row r="28" spans="2:17" ht="15.75" x14ac:dyDescent="0.25">
      <c r="B28" s="192"/>
      <c r="C28" s="193" t="s">
        <v>211</v>
      </c>
      <c r="D28" s="193"/>
      <c r="E28" s="194" t="s">
        <v>218</v>
      </c>
      <c r="F28" s="195"/>
      <c r="G28" s="196" t="s">
        <v>200</v>
      </c>
      <c r="H28" s="216" t="s">
        <v>211</v>
      </c>
      <c r="I28" s="217"/>
      <c r="J28" s="149" t="s">
        <v>218</v>
      </c>
      <c r="K28" s="218"/>
      <c r="L28" s="157" t="s">
        <v>214</v>
      </c>
      <c r="M28" s="219"/>
      <c r="N28" s="157" t="s">
        <v>214</v>
      </c>
      <c r="O28" s="159"/>
      <c r="P28" s="219"/>
      <c r="Q28" s="200"/>
    </row>
    <row r="29" spans="2:17" ht="16.5" thickBot="1" x14ac:dyDescent="0.3">
      <c r="B29" s="201"/>
      <c r="C29" s="202" t="s">
        <v>214</v>
      </c>
      <c r="D29" s="202"/>
      <c r="E29" s="203" t="s">
        <v>219</v>
      </c>
      <c r="F29" s="204"/>
      <c r="G29" s="205"/>
      <c r="H29" s="220" t="s">
        <v>215</v>
      </c>
      <c r="I29" s="221"/>
      <c r="J29" s="222" t="s">
        <v>220</v>
      </c>
      <c r="K29" s="223"/>
      <c r="L29" s="167"/>
      <c r="M29" s="168"/>
      <c r="N29" s="167"/>
      <c r="O29" s="166"/>
      <c r="P29" s="224"/>
      <c r="Q29" s="212"/>
    </row>
    <row r="30" spans="2:17" ht="15.75" hidden="1" outlineLevel="1" x14ac:dyDescent="0.25">
      <c r="B30" s="182"/>
      <c r="C30" s="183" t="s">
        <v>229</v>
      </c>
      <c r="D30" s="183"/>
      <c r="E30" s="184" t="s">
        <v>209</v>
      </c>
      <c r="F30" s="185"/>
      <c r="G30" s="186"/>
      <c r="H30" s="213" t="s">
        <v>229</v>
      </c>
      <c r="I30" s="145"/>
      <c r="J30" s="145" t="s">
        <v>209</v>
      </c>
      <c r="K30" s="226"/>
      <c r="L30" s="154" t="s">
        <v>230</v>
      </c>
      <c r="M30" s="155"/>
      <c r="N30" s="154" t="s">
        <v>230</v>
      </c>
      <c r="O30" s="153"/>
      <c r="P30" s="215"/>
      <c r="Q30" s="186"/>
    </row>
    <row r="31" spans="2:17" ht="15.75" hidden="1" outlineLevel="1" x14ac:dyDescent="0.25">
      <c r="B31" s="192"/>
      <c r="C31" s="193" t="s">
        <v>211</v>
      </c>
      <c r="D31" s="193"/>
      <c r="E31" s="194" t="s">
        <v>218</v>
      </c>
      <c r="F31" s="195"/>
      <c r="G31" s="227"/>
      <c r="H31" s="216" t="s">
        <v>211</v>
      </c>
      <c r="I31" s="149"/>
      <c r="J31" s="149" t="s">
        <v>218</v>
      </c>
      <c r="K31" s="228"/>
      <c r="L31" s="157" t="s">
        <v>214</v>
      </c>
      <c r="M31" s="161"/>
      <c r="N31" s="157" t="s">
        <v>214</v>
      </c>
      <c r="O31" s="159"/>
      <c r="P31" s="219"/>
      <c r="Q31" s="227"/>
    </row>
    <row r="32" spans="2:17" ht="16.5" hidden="1" outlineLevel="1" thickBot="1" x14ac:dyDescent="0.3">
      <c r="B32" s="201"/>
      <c r="C32" s="202" t="s">
        <v>214</v>
      </c>
      <c r="D32" s="202"/>
      <c r="E32" s="203" t="s">
        <v>219</v>
      </c>
      <c r="F32" s="204"/>
      <c r="G32" s="205"/>
      <c r="H32" s="220" t="s">
        <v>215</v>
      </c>
      <c r="I32" s="222"/>
      <c r="J32" s="222" t="s">
        <v>220</v>
      </c>
      <c r="K32" s="229"/>
      <c r="L32" s="167"/>
      <c r="M32" s="168"/>
      <c r="N32" s="167"/>
      <c r="O32" s="166"/>
      <c r="P32" s="224"/>
      <c r="Q32" s="205"/>
    </row>
    <row r="33" spans="2:17" ht="15.75" hidden="1" outlineLevel="1" x14ac:dyDescent="0.25">
      <c r="B33" s="182"/>
      <c r="C33" s="193" t="s">
        <v>231</v>
      </c>
      <c r="D33" s="193"/>
      <c r="E33" s="194" t="s">
        <v>209</v>
      </c>
      <c r="F33" s="195"/>
      <c r="G33" s="186"/>
      <c r="H33" s="213" t="s">
        <v>231</v>
      </c>
      <c r="I33" s="145"/>
      <c r="J33" s="145" t="s">
        <v>209</v>
      </c>
      <c r="K33" s="226"/>
      <c r="L33" s="154" t="s">
        <v>232</v>
      </c>
      <c r="M33" s="155"/>
      <c r="N33" s="154" t="s">
        <v>232</v>
      </c>
      <c r="O33" s="153"/>
      <c r="P33" s="215"/>
      <c r="Q33" s="186"/>
    </row>
    <row r="34" spans="2:17" ht="15.75" hidden="1" outlineLevel="1" x14ac:dyDescent="0.25">
      <c r="B34" s="192"/>
      <c r="C34" s="193" t="s">
        <v>211</v>
      </c>
      <c r="D34" s="193"/>
      <c r="E34" s="194" t="s">
        <v>218</v>
      </c>
      <c r="F34" s="195"/>
      <c r="G34" s="227"/>
      <c r="H34" s="216" t="s">
        <v>211</v>
      </c>
      <c r="I34" s="149"/>
      <c r="J34" s="149" t="s">
        <v>218</v>
      </c>
      <c r="K34" s="228"/>
      <c r="L34" s="157" t="s">
        <v>214</v>
      </c>
      <c r="M34" s="161"/>
      <c r="N34" s="157" t="s">
        <v>214</v>
      </c>
      <c r="O34" s="159"/>
      <c r="P34" s="219"/>
      <c r="Q34" s="227"/>
    </row>
    <row r="35" spans="2:17" ht="16.5" hidden="1" outlineLevel="1" thickBot="1" x14ac:dyDescent="0.3">
      <c r="B35" s="201"/>
      <c r="C35" s="193" t="s">
        <v>214</v>
      </c>
      <c r="D35" s="193"/>
      <c r="E35" s="194" t="s">
        <v>219</v>
      </c>
      <c r="F35" s="195"/>
      <c r="G35" s="205"/>
      <c r="H35" s="220" t="s">
        <v>215</v>
      </c>
      <c r="I35" s="222"/>
      <c r="J35" s="222" t="s">
        <v>220</v>
      </c>
      <c r="K35" s="229"/>
      <c r="L35" s="167"/>
      <c r="M35" s="168"/>
      <c r="N35" s="167"/>
      <c r="O35" s="166"/>
      <c r="P35" s="224"/>
      <c r="Q35" s="205"/>
    </row>
    <row r="36" spans="2:17" ht="15.75" hidden="1" outlineLevel="1" x14ac:dyDescent="0.25">
      <c r="B36" s="182"/>
      <c r="C36" s="183" t="s">
        <v>233</v>
      </c>
      <c r="D36" s="183"/>
      <c r="E36" s="184" t="s">
        <v>209</v>
      </c>
      <c r="F36" s="185"/>
      <c r="G36" s="186"/>
      <c r="H36" s="213" t="s">
        <v>233</v>
      </c>
      <c r="I36" s="145"/>
      <c r="J36" s="145" t="s">
        <v>209</v>
      </c>
      <c r="K36" s="226"/>
      <c r="L36" s="154" t="s">
        <v>234</v>
      </c>
      <c r="M36" s="155"/>
      <c r="N36" s="154" t="s">
        <v>234</v>
      </c>
      <c r="O36" s="153"/>
      <c r="P36" s="215"/>
      <c r="Q36" s="186"/>
    </row>
    <row r="37" spans="2:17" ht="15.75" hidden="1" outlineLevel="1" x14ac:dyDescent="0.25">
      <c r="B37" s="192"/>
      <c r="C37" s="193" t="s">
        <v>211</v>
      </c>
      <c r="D37" s="193"/>
      <c r="E37" s="194" t="s">
        <v>218</v>
      </c>
      <c r="F37" s="195"/>
      <c r="G37" s="227"/>
      <c r="H37" s="216" t="s">
        <v>211</v>
      </c>
      <c r="I37" s="149"/>
      <c r="J37" s="149" t="s">
        <v>218</v>
      </c>
      <c r="K37" s="228"/>
      <c r="L37" s="157" t="s">
        <v>214</v>
      </c>
      <c r="M37" s="161"/>
      <c r="N37" s="157" t="s">
        <v>214</v>
      </c>
      <c r="O37" s="159"/>
      <c r="P37" s="219"/>
      <c r="Q37" s="227"/>
    </row>
    <row r="38" spans="2:17" ht="16.5" hidden="1" outlineLevel="1" thickBot="1" x14ac:dyDescent="0.3">
      <c r="B38" s="201"/>
      <c r="C38" s="202" t="s">
        <v>214</v>
      </c>
      <c r="D38" s="202"/>
      <c r="E38" s="203" t="s">
        <v>219</v>
      </c>
      <c r="F38" s="204"/>
      <c r="G38" s="205"/>
      <c r="H38" s="220" t="s">
        <v>215</v>
      </c>
      <c r="I38" s="222"/>
      <c r="J38" s="222" t="s">
        <v>220</v>
      </c>
      <c r="K38" s="229"/>
      <c r="L38" s="167"/>
      <c r="M38" s="168"/>
      <c r="N38" s="167"/>
      <c r="O38" s="166"/>
      <c r="P38" s="224"/>
      <c r="Q38" s="205"/>
    </row>
    <row r="39" spans="2:17" ht="15.75" hidden="1" outlineLevel="1" x14ac:dyDescent="0.25">
      <c r="B39" s="182"/>
      <c r="C39" s="193" t="s">
        <v>235</v>
      </c>
      <c r="D39" s="193"/>
      <c r="E39" s="194" t="s">
        <v>209</v>
      </c>
      <c r="F39" s="195"/>
      <c r="G39" s="186"/>
      <c r="H39" s="213" t="s">
        <v>235</v>
      </c>
      <c r="I39" s="145"/>
      <c r="J39" s="145" t="s">
        <v>209</v>
      </c>
      <c r="K39" s="226"/>
      <c r="L39" s="154" t="s">
        <v>236</v>
      </c>
      <c r="M39" s="155"/>
      <c r="N39" s="154" t="s">
        <v>236</v>
      </c>
      <c r="O39" s="153"/>
      <c r="P39" s="215"/>
      <c r="Q39" s="186"/>
    </row>
    <row r="40" spans="2:17" ht="15.75" hidden="1" outlineLevel="1" x14ac:dyDescent="0.25">
      <c r="B40" s="192"/>
      <c r="C40" s="193" t="s">
        <v>211</v>
      </c>
      <c r="D40" s="193"/>
      <c r="E40" s="194" t="s">
        <v>218</v>
      </c>
      <c r="F40" s="195"/>
      <c r="G40" s="227"/>
      <c r="H40" s="216" t="s">
        <v>211</v>
      </c>
      <c r="I40" s="149"/>
      <c r="J40" s="149" t="s">
        <v>218</v>
      </c>
      <c r="K40" s="228"/>
      <c r="L40" s="157" t="s">
        <v>214</v>
      </c>
      <c r="M40" s="161"/>
      <c r="N40" s="157" t="s">
        <v>214</v>
      </c>
      <c r="O40" s="159"/>
      <c r="P40" s="219"/>
      <c r="Q40" s="227"/>
    </row>
    <row r="41" spans="2:17" ht="16.5" hidden="1" outlineLevel="1" thickBot="1" x14ac:dyDescent="0.3">
      <c r="B41" s="201"/>
      <c r="C41" s="202" t="s">
        <v>214</v>
      </c>
      <c r="D41" s="202"/>
      <c r="E41" s="203" t="s">
        <v>219</v>
      </c>
      <c r="F41" s="204"/>
      <c r="G41" s="205"/>
      <c r="H41" s="220" t="s">
        <v>215</v>
      </c>
      <c r="I41" s="222"/>
      <c r="J41" s="222" t="s">
        <v>220</v>
      </c>
      <c r="K41" s="229"/>
      <c r="L41" s="167"/>
      <c r="M41" s="168"/>
      <c r="N41" s="167"/>
      <c r="O41" s="166"/>
      <c r="P41" s="224"/>
      <c r="Q41" s="205"/>
    </row>
    <row r="42" spans="2:17" ht="15.75" hidden="1" outlineLevel="1" x14ac:dyDescent="0.25">
      <c r="B42" s="182"/>
      <c r="C42" s="183" t="s">
        <v>237</v>
      </c>
      <c r="D42" s="183"/>
      <c r="E42" s="184" t="s">
        <v>209</v>
      </c>
      <c r="F42" s="185"/>
      <c r="G42" s="186"/>
      <c r="H42" s="213" t="s">
        <v>237</v>
      </c>
      <c r="I42" s="145"/>
      <c r="J42" s="145" t="s">
        <v>209</v>
      </c>
      <c r="K42" s="226"/>
      <c r="L42" s="154" t="s">
        <v>238</v>
      </c>
      <c r="M42" s="155"/>
      <c r="N42" s="154" t="s">
        <v>238</v>
      </c>
      <c r="O42" s="153"/>
      <c r="P42" s="215"/>
      <c r="Q42" s="186"/>
    </row>
    <row r="43" spans="2:17" ht="15.75" hidden="1" outlineLevel="1" x14ac:dyDescent="0.25">
      <c r="B43" s="192"/>
      <c r="C43" s="193" t="s">
        <v>211</v>
      </c>
      <c r="D43" s="193"/>
      <c r="E43" s="194" t="s">
        <v>218</v>
      </c>
      <c r="F43" s="195"/>
      <c r="G43" s="227"/>
      <c r="H43" s="216" t="s">
        <v>211</v>
      </c>
      <c r="I43" s="149"/>
      <c r="J43" s="149" t="s">
        <v>218</v>
      </c>
      <c r="K43" s="228"/>
      <c r="L43" s="157" t="s">
        <v>214</v>
      </c>
      <c r="M43" s="161"/>
      <c r="N43" s="157" t="s">
        <v>214</v>
      </c>
      <c r="O43" s="159"/>
      <c r="P43" s="219"/>
      <c r="Q43" s="227"/>
    </row>
    <row r="44" spans="2:17" ht="16.5" hidden="1" outlineLevel="1" thickBot="1" x14ac:dyDescent="0.3">
      <c r="B44" s="201"/>
      <c r="C44" s="202" t="s">
        <v>214</v>
      </c>
      <c r="D44" s="202"/>
      <c r="E44" s="203" t="s">
        <v>219</v>
      </c>
      <c r="F44" s="204"/>
      <c r="G44" s="205"/>
      <c r="H44" s="220" t="s">
        <v>215</v>
      </c>
      <c r="I44" s="222"/>
      <c r="J44" s="222" t="s">
        <v>220</v>
      </c>
      <c r="K44" s="229"/>
      <c r="L44" s="167"/>
      <c r="M44" s="168"/>
      <c r="N44" s="167"/>
      <c r="O44" s="166"/>
      <c r="P44" s="224"/>
      <c r="Q44" s="205"/>
    </row>
    <row r="45" spans="2:17" ht="15.75" hidden="1" outlineLevel="1" x14ac:dyDescent="0.25">
      <c r="B45" s="182"/>
      <c r="C45" s="183" t="s">
        <v>239</v>
      </c>
      <c r="D45" s="183"/>
      <c r="E45" s="184" t="s">
        <v>209</v>
      </c>
      <c r="F45" s="185"/>
      <c r="G45" s="186"/>
      <c r="H45" s="213" t="s">
        <v>239</v>
      </c>
      <c r="I45" s="145"/>
      <c r="J45" s="145" t="s">
        <v>209</v>
      </c>
      <c r="K45" s="226"/>
      <c r="L45" s="154" t="s">
        <v>240</v>
      </c>
      <c r="M45" s="155"/>
      <c r="N45" s="154" t="s">
        <v>240</v>
      </c>
      <c r="O45" s="153"/>
      <c r="P45" s="215"/>
      <c r="Q45" s="186"/>
    </row>
    <row r="46" spans="2:17" ht="15.75" hidden="1" outlineLevel="1" x14ac:dyDescent="0.25">
      <c r="B46" s="192"/>
      <c r="C46" s="193" t="s">
        <v>211</v>
      </c>
      <c r="D46" s="193"/>
      <c r="E46" s="194" t="s">
        <v>218</v>
      </c>
      <c r="F46" s="195"/>
      <c r="G46" s="227"/>
      <c r="H46" s="216" t="s">
        <v>211</v>
      </c>
      <c r="I46" s="149"/>
      <c r="J46" s="149" t="s">
        <v>218</v>
      </c>
      <c r="K46" s="228"/>
      <c r="L46" s="157" t="s">
        <v>214</v>
      </c>
      <c r="M46" s="161"/>
      <c r="N46" s="157" t="s">
        <v>214</v>
      </c>
      <c r="O46" s="159"/>
      <c r="P46" s="219"/>
      <c r="Q46" s="227"/>
    </row>
    <row r="47" spans="2:17" ht="16.5" hidden="1" outlineLevel="1" thickBot="1" x14ac:dyDescent="0.3">
      <c r="B47" s="201"/>
      <c r="C47" s="202" t="s">
        <v>214</v>
      </c>
      <c r="D47" s="202"/>
      <c r="E47" s="203" t="s">
        <v>219</v>
      </c>
      <c r="F47" s="204"/>
      <c r="G47" s="205"/>
      <c r="H47" s="220" t="s">
        <v>215</v>
      </c>
      <c r="I47" s="222"/>
      <c r="J47" s="222" t="s">
        <v>220</v>
      </c>
      <c r="K47" s="229"/>
      <c r="L47" s="167"/>
      <c r="M47" s="168"/>
      <c r="N47" s="167"/>
      <c r="O47" s="166"/>
      <c r="P47" s="224"/>
      <c r="Q47" s="205"/>
    </row>
    <row r="48" spans="2:17" ht="15.75" hidden="1" outlineLevel="1" x14ac:dyDescent="0.25">
      <c r="B48" s="182"/>
      <c r="C48" s="183" t="s">
        <v>241</v>
      </c>
      <c r="D48" s="183"/>
      <c r="E48" s="184" t="s">
        <v>209</v>
      </c>
      <c r="F48" s="185"/>
      <c r="G48" s="186"/>
      <c r="H48" s="213" t="s">
        <v>241</v>
      </c>
      <c r="I48" s="145"/>
      <c r="J48" s="145" t="s">
        <v>209</v>
      </c>
      <c r="K48" s="226"/>
      <c r="L48" s="154" t="s">
        <v>242</v>
      </c>
      <c r="M48" s="155"/>
      <c r="N48" s="154" t="s">
        <v>242</v>
      </c>
      <c r="O48" s="153"/>
      <c r="P48" s="215"/>
      <c r="Q48" s="186"/>
    </row>
    <row r="49" spans="2:17" ht="15.75" hidden="1" outlineLevel="1" x14ac:dyDescent="0.25">
      <c r="B49" s="192"/>
      <c r="C49" s="193" t="s">
        <v>211</v>
      </c>
      <c r="D49" s="193"/>
      <c r="E49" s="194" t="s">
        <v>218</v>
      </c>
      <c r="F49" s="195"/>
      <c r="G49" s="227"/>
      <c r="H49" s="216" t="s">
        <v>211</v>
      </c>
      <c r="I49" s="149"/>
      <c r="J49" s="149" t="s">
        <v>218</v>
      </c>
      <c r="K49" s="228"/>
      <c r="L49" s="157" t="s">
        <v>214</v>
      </c>
      <c r="M49" s="161"/>
      <c r="N49" s="157" t="s">
        <v>214</v>
      </c>
      <c r="O49" s="159"/>
      <c r="P49" s="219"/>
      <c r="Q49" s="227"/>
    </row>
    <row r="50" spans="2:17" ht="16.5" hidden="1" outlineLevel="1" thickBot="1" x14ac:dyDescent="0.3">
      <c r="B50" s="201"/>
      <c r="C50" s="202" t="s">
        <v>214</v>
      </c>
      <c r="D50" s="202"/>
      <c r="E50" s="203" t="s">
        <v>219</v>
      </c>
      <c r="F50" s="204"/>
      <c r="G50" s="205"/>
      <c r="H50" s="220" t="s">
        <v>215</v>
      </c>
      <c r="I50" s="222"/>
      <c r="J50" s="222" t="s">
        <v>220</v>
      </c>
      <c r="K50" s="229"/>
      <c r="L50" s="167"/>
      <c r="M50" s="168"/>
      <c r="N50" s="167"/>
      <c r="O50" s="166"/>
      <c r="P50" s="224"/>
      <c r="Q50" s="205"/>
    </row>
    <row r="51" spans="2:17" ht="15.75" hidden="1" outlineLevel="1" x14ac:dyDescent="0.25">
      <c r="B51" s="182"/>
      <c r="C51" s="183" t="s">
        <v>243</v>
      </c>
      <c r="D51" s="183"/>
      <c r="E51" s="184" t="s">
        <v>209</v>
      </c>
      <c r="F51" s="185"/>
      <c r="G51" s="186"/>
      <c r="H51" s="213" t="s">
        <v>243</v>
      </c>
      <c r="I51" s="145"/>
      <c r="J51" s="145" t="s">
        <v>209</v>
      </c>
      <c r="K51" s="226"/>
      <c r="L51" s="154" t="s">
        <v>244</v>
      </c>
      <c r="M51" s="155"/>
      <c r="N51" s="154" t="s">
        <v>244</v>
      </c>
      <c r="O51" s="153"/>
      <c r="P51" s="215"/>
      <c r="Q51" s="186"/>
    </row>
    <row r="52" spans="2:17" ht="15.75" hidden="1" outlineLevel="1" x14ac:dyDescent="0.25">
      <c r="B52" s="192"/>
      <c r="C52" s="193" t="s">
        <v>211</v>
      </c>
      <c r="D52" s="193"/>
      <c r="E52" s="194" t="s">
        <v>218</v>
      </c>
      <c r="F52" s="195"/>
      <c r="G52" s="227"/>
      <c r="H52" s="216" t="s">
        <v>211</v>
      </c>
      <c r="I52" s="149"/>
      <c r="J52" s="149" t="s">
        <v>218</v>
      </c>
      <c r="K52" s="228"/>
      <c r="L52" s="157" t="s">
        <v>214</v>
      </c>
      <c r="M52" s="161"/>
      <c r="N52" s="157" t="s">
        <v>214</v>
      </c>
      <c r="O52" s="159"/>
      <c r="P52" s="219"/>
      <c r="Q52" s="227"/>
    </row>
    <row r="53" spans="2:17" ht="16.5" hidden="1" outlineLevel="1" thickBot="1" x14ac:dyDescent="0.3">
      <c r="B53" s="201"/>
      <c r="C53" s="202" t="s">
        <v>214</v>
      </c>
      <c r="D53" s="202"/>
      <c r="E53" s="203" t="s">
        <v>219</v>
      </c>
      <c r="F53" s="204"/>
      <c r="G53" s="205"/>
      <c r="H53" s="220" t="s">
        <v>215</v>
      </c>
      <c r="I53" s="222"/>
      <c r="J53" s="222" t="s">
        <v>220</v>
      </c>
      <c r="K53" s="229"/>
      <c r="L53" s="167"/>
      <c r="M53" s="168"/>
      <c r="N53" s="167"/>
      <c r="O53" s="166"/>
      <c r="P53" s="224"/>
      <c r="Q53" s="205"/>
    </row>
    <row r="54" spans="2:17" ht="15.75" hidden="1" outlineLevel="1" x14ac:dyDescent="0.25">
      <c r="B54" s="182"/>
      <c r="C54" s="183" t="s">
        <v>245</v>
      </c>
      <c r="D54" s="183"/>
      <c r="E54" s="184" t="s">
        <v>209</v>
      </c>
      <c r="F54" s="185"/>
      <c r="G54" s="186"/>
      <c r="H54" s="213" t="s">
        <v>245</v>
      </c>
      <c r="I54" s="145"/>
      <c r="J54" s="145" t="s">
        <v>209</v>
      </c>
      <c r="K54" s="226"/>
      <c r="L54" s="154" t="s">
        <v>246</v>
      </c>
      <c r="M54" s="155"/>
      <c r="N54" s="154" t="s">
        <v>246</v>
      </c>
      <c r="O54" s="153"/>
      <c r="P54" s="215"/>
      <c r="Q54" s="186"/>
    </row>
    <row r="55" spans="2:17" ht="15.75" hidden="1" outlineLevel="1" x14ac:dyDescent="0.25">
      <c r="B55" s="192"/>
      <c r="C55" s="193" t="s">
        <v>211</v>
      </c>
      <c r="D55" s="193"/>
      <c r="E55" s="194" t="s">
        <v>218</v>
      </c>
      <c r="F55" s="195"/>
      <c r="G55" s="227"/>
      <c r="H55" s="216" t="s">
        <v>211</v>
      </c>
      <c r="I55" s="149"/>
      <c r="J55" s="149" t="s">
        <v>218</v>
      </c>
      <c r="K55" s="228"/>
      <c r="L55" s="157" t="s">
        <v>214</v>
      </c>
      <c r="M55" s="161"/>
      <c r="N55" s="157" t="s">
        <v>214</v>
      </c>
      <c r="O55" s="159"/>
      <c r="P55" s="219"/>
      <c r="Q55" s="227"/>
    </row>
    <row r="56" spans="2:17" ht="16.5" hidden="1" outlineLevel="1" thickBot="1" x14ac:dyDescent="0.3">
      <c r="B56" s="201"/>
      <c r="C56" s="202" t="s">
        <v>214</v>
      </c>
      <c r="D56" s="202"/>
      <c r="E56" s="203" t="s">
        <v>219</v>
      </c>
      <c r="F56" s="204"/>
      <c r="G56" s="205"/>
      <c r="H56" s="220" t="s">
        <v>215</v>
      </c>
      <c r="I56" s="222"/>
      <c r="J56" s="222" t="s">
        <v>220</v>
      </c>
      <c r="K56" s="229"/>
      <c r="L56" s="167"/>
      <c r="M56" s="168"/>
      <c r="N56" s="167"/>
      <c r="O56" s="166"/>
      <c r="P56" s="224"/>
      <c r="Q56" s="205"/>
    </row>
    <row r="57" spans="2:17" collapsed="1" x14ac:dyDescent="0.2"/>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01B93-11B2-42B1-8AA2-E834D937DA7C}">
  <dimension ref="B2:F108"/>
  <sheetViews>
    <sheetView showGridLines="0" tabSelected="1" zoomScale="85" zoomScaleNormal="85" workbookViewId="0">
      <pane xSplit="1" ySplit="2" topLeftCell="B3" activePane="bottomRight" state="frozen"/>
      <selection pane="topRight" activeCell="B1" sqref="B1"/>
      <selection pane="bottomLeft" activeCell="A3" sqref="A3"/>
      <selection pane="bottomRight" activeCell="E8" sqref="E8"/>
    </sheetView>
  </sheetViews>
  <sheetFormatPr defaultRowHeight="15.75" x14ac:dyDescent="0.25"/>
  <cols>
    <col min="2" max="2" width="52.375" customWidth="1"/>
    <col min="3" max="3" width="45" bestFit="1" customWidth="1"/>
    <col min="4" max="4" width="14.75" customWidth="1"/>
    <col min="5" max="5" width="13.75" style="73" bestFit="1" customWidth="1"/>
    <col min="6" max="6" width="11.5" bestFit="1" customWidth="1"/>
  </cols>
  <sheetData>
    <row r="2" spans="2:6" ht="17.25" x14ac:dyDescent="0.3">
      <c r="B2" s="133" t="s">
        <v>143</v>
      </c>
    </row>
    <row r="4" spans="2:6" x14ac:dyDescent="0.25">
      <c r="B4" t="s">
        <v>124</v>
      </c>
    </row>
    <row r="5" spans="2:6" x14ac:dyDescent="0.25">
      <c r="B5" t="s">
        <v>130</v>
      </c>
    </row>
    <row r="7" spans="2:6" x14ac:dyDescent="0.25">
      <c r="B7" t="s">
        <v>122</v>
      </c>
      <c r="E7" s="75" t="s">
        <v>674</v>
      </c>
      <c r="F7" s="68" t="s">
        <v>248</v>
      </c>
    </row>
    <row r="8" spans="2:6" x14ac:dyDescent="0.25">
      <c r="B8" t="s">
        <v>123</v>
      </c>
      <c r="E8" s="75" t="s">
        <v>675</v>
      </c>
      <c r="F8" s="68" t="s">
        <v>248</v>
      </c>
    </row>
    <row r="9" spans="2:6" x14ac:dyDescent="0.25">
      <c r="B9" t="s">
        <v>125</v>
      </c>
      <c r="E9" s="76">
        <v>890000</v>
      </c>
      <c r="F9" s="68" t="s">
        <v>248</v>
      </c>
    </row>
    <row r="10" spans="2:6" x14ac:dyDescent="0.25">
      <c r="B10" t="s">
        <v>126</v>
      </c>
      <c r="E10" s="76">
        <v>380000</v>
      </c>
      <c r="F10" s="68" t="s">
        <v>248</v>
      </c>
    </row>
    <row r="11" spans="2:6" x14ac:dyDescent="0.25">
      <c r="B11" t="s">
        <v>127</v>
      </c>
      <c r="E11" s="76">
        <v>104000</v>
      </c>
      <c r="F11" s="68" t="s">
        <v>248</v>
      </c>
    </row>
    <row r="13" spans="2:6" x14ac:dyDescent="0.25">
      <c r="B13" s="69" t="s">
        <v>657</v>
      </c>
      <c r="C13" s="69"/>
      <c r="D13" s="69"/>
    </row>
    <row r="15" spans="2:6" x14ac:dyDescent="0.25">
      <c r="B15" t="s">
        <v>654</v>
      </c>
      <c r="E15" s="139">
        <f>'Page 1'!D27</f>
        <v>53124</v>
      </c>
    </row>
    <row r="16" spans="2:6" x14ac:dyDescent="0.25">
      <c r="B16" t="s">
        <v>655</v>
      </c>
      <c r="E16" s="139">
        <f>'Page 1'!G27</f>
        <v>26562</v>
      </c>
    </row>
    <row r="17" spans="2:5" x14ac:dyDescent="0.25">
      <c r="B17" t="s">
        <v>656</v>
      </c>
      <c r="E17" s="139">
        <f>'Page 1'!J27</f>
        <v>53124</v>
      </c>
    </row>
    <row r="18" spans="2:5" x14ac:dyDescent="0.25">
      <c r="B18" s="70" t="s">
        <v>134</v>
      </c>
      <c r="C18" s="70"/>
      <c r="D18" s="70"/>
      <c r="E18" s="140">
        <f>SUM(E15:E17)</f>
        <v>132810</v>
      </c>
    </row>
    <row r="20" spans="2:5" x14ac:dyDescent="0.25">
      <c r="B20" t="s">
        <v>135</v>
      </c>
      <c r="C20" s="69"/>
      <c r="D20" s="69"/>
    </row>
    <row r="21" spans="2:5" x14ac:dyDescent="0.25">
      <c r="C21" s="69"/>
      <c r="D21" s="69"/>
    </row>
    <row r="22" spans="2:5" x14ac:dyDescent="0.25">
      <c r="B22" s="18" t="s">
        <v>147</v>
      </c>
      <c r="C22" s="69"/>
      <c r="D22" s="69"/>
      <c r="E22" s="76">
        <v>20</v>
      </c>
    </row>
    <row r="23" spans="2:5" x14ac:dyDescent="0.25">
      <c r="B23" t="s">
        <v>658</v>
      </c>
      <c r="C23" s="69"/>
      <c r="D23" s="69"/>
      <c r="E23" s="76">
        <v>20</v>
      </c>
    </row>
    <row r="24" spans="2:5" x14ac:dyDescent="0.25">
      <c r="B24" s="18" t="s">
        <v>135</v>
      </c>
      <c r="E24" s="74">
        <f>'Page 2'!V21</f>
        <v>9.4309999999999992</v>
      </c>
    </row>
    <row r="25" spans="2:5" x14ac:dyDescent="0.25">
      <c r="B25" s="391" t="s">
        <v>659</v>
      </c>
      <c r="C25" s="391"/>
      <c r="D25" s="391"/>
      <c r="E25" s="392">
        <f>E18*E24</f>
        <v>1252531.1099999999</v>
      </c>
    </row>
    <row r="27" spans="2:5" x14ac:dyDescent="0.25">
      <c r="B27" s="69" t="s">
        <v>136</v>
      </c>
      <c r="C27" s="69"/>
      <c r="D27" s="69"/>
    </row>
    <row r="28" spans="2:5" x14ac:dyDescent="0.25">
      <c r="B28" s="69"/>
      <c r="C28" s="69"/>
      <c r="D28" s="69"/>
    </row>
    <row r="29" spans="2:5" x14ac:dyDescent="0.25">
      <c r="B29" s="78" t="s">
        <v>141</v>
      </c>
      <c r="C29" s="78"/>
      <c r="D29" s="78"/>
      <c r="E29" s="79"/>
    </row>
    <row r="30" spans="2:5" x14ac:dyDescent="0.25">
      <c r="B30" s="69"/>
      <c r="C30" s="69"/>
      <c r="D30" s="69"/>
    </row>
    <row r="31" spans="2:5" x14ac:dyDescent="0.25">
      <c r="B31" s="72" t="s">
        <v>137</v>
      </c>
      <c r="C31" s="72" t="s">
        <v>170</v>
      </c>
      <c r="D31" s="72" t="s">
        <v>169</v>
      </c>
    </row>
    <row r="32" spans="2:5" x14ac:dyDescent="0.25">
      <c r="B32" t="s">
        <v>21</v>
      </c>
      <c r="C32" t="s">
        <v>660</v>
      </c>
      <c r="D32" t="s">
        <v>19</v>
      </c>
      <c r="E32" s="77">
        <v>0.55000000000000004</v>
      </c>
    </row>
    <row r="33" spans="2:5" x14ac:dyDescent="0.25">
      <c r="B33" t="s">
        <v>22</v>
      </c>
      <c r="C33" t="s">
        <v>661</v>
      </c>
      <c r="D33" t="s">
        <v>23</v>
      </c>
      <c r="E33" s="77">
        <v>0.65</v>
      </c>
    </row>
    <row r="34" spans="2:5" x14ac:dyDescent="0.25">
      <c r="E34" s="77"/>
    </row>
    <row r="35" spans="2:5" x14ac:dyDescent="0.25">
      <c r="B35" t="s">
        <v>24</v>
      </c>
      <c r="C35" t="s">
        <v>165</v>
      </c>
      <c r="D35" t="s">
        <v>28</v>
      </c>
      <c r="E35" s="77"/>
    </row>
    <row r="36" spans="2:5" x14ac:dyDescent="0.25">
      <c r="C36" s="112" t="s">
        <v>166</v>
      </c>
      <c r="D36" t="s">
        <v>29</v>
      </c>
      <c r="E36" s="77"/>
    </row>
    <row r="37" spans="2:5" x14ac:dyDescent="0.25">
      <c r="C37" t="s">
        <v>167</v>
      </c>
      <c r="D37" t="s">
        <v>30</v>
      </c>
      <c r="E37" s="77">
        <v>1</v>
      </c>
    </row>
    <row r="38" spans="2:5" x14ac:dyDescent="0.25">
      <c r="E38" s="77"/>
    </row>
    <row r="39" spans="2:5" x14ac:dyDescent="0.25">
      <c r="B39" t="s">
        <v>34</v>
      </c>
      <c r="C39" t="s">
        <v>31</v>
      </c>
      <c r="D39" t="s">
        <v>35</v>
      </c>
      <c r="E39" s="77"/>
    </row>
    <row r="40" spans="2:5" x14ac:dyDescent="0.25">
      <c r="C40" t="s">
        <v>33</v>
      </c>
      <c r="D40" t="s">
        <v>37</v>
      </c>
      <c r="E40" s="77"/>
    </row>
    <row r="41" spans="2:5" x14ac:dyDescent="0.25">
      <c r="C41" t="s">
        <v>32</v>
      </c>
      <c r="D41" t="s">
        <v>662</v>
      </c>
      <c r="E41" s="77">
        <v>1</v>
      </c>
    </row>
    <row r="42" spans="2:5" x14ac:dyDescent="0.25">
      <c r="E42" s="77"/>
    </row>
    <row r="43" spans="2:5" x14ac:dyDescent="0.25">
      <c r="B43" t="s">
        <v>38</v>
      </c>
      <c r="C43" t="s">
        <v>54</v>
      </c>
      <c r="D43" t="s">
        <v>57</v>
      </c>
      <c r="E43" s="77"/>
    </row>
    <row r="44" spans="2:5" x14ac:dyDescent="0.25">
      <c r="C44" t="s">
        <v>55</v>
      </c>
      <c r="D44" t="s">
        <v>56</v>
      </c>
      <c r="E44" s="77">
        <v>1</v>
      </c>
    </row>
    <row r="45" spans="2:5" x14ac:dyDescent="0.25">
      <c r="E45" s="77"/>
    </row>
    <row r="46" spans="2:5" x14ac:dyDescent="0.25">
      <c r="B46" t="s">
        <v>39</v>
      </c>
      <c r="C46" t="s">
        <v>54</v>
      </c>
      <c r="D46" t="s">
        <v>60</v>
      </c>
      <c r="E46" s="77"/>
    </row>
    <row r="47" spans="2:5" x14ac:dyDescent="0.25">
      <c r="C47" t="s">
        <v>58</v>
      </c>
      <c r="D47" t="s">
        <v>61</v>
      </c>
      <c r="E47" s="77"/>
    </row>
    <row r="48" spans="2:5" x14ac:dyDescent="0.25">
      <c r="C48" t="s">
        <v>59</v>
      </c>
      <c r="D48" t="s">
        <v>62</v>
      </c>
      <c r="E48" s="77">
        <v>0.8</v>
      </c>
    </row>
    <row r="49" spans="2:6" x14ac:dyDescent="0.25">
      <c r="E49" s="77"/>
    </row>
    <row r="50" spans="2:6" x14ac:dyDescent="0.25">
      <c r="B50" t="s">
        <v>40</v>
      </c>
      <c r="C50" t="s">
        <v>65</v>
      </c>
      <c r="D50" t="s">
        <v>37</v>
      </c>
      <c r="E50" s="77"/>
    </row>
    <row r="51" spans="2:6" x14ac:dyDescent="0.25">
      <c r="C51" t="s">
        <v>63</v>
      </c>
      <c r="D51" t="s">
        <v>66</v>
      </c>
      <c r="E51" s="77"/>
    </row>
    <row r="52" spans="2:6" x14ac:dyDescent="0.25">
      <c r="C52" t="s">
        <v>64</v>
      </c>
      <c r="D52" t="s">
        <v>62</v>
      </c>
      <c r="E52" s="77">
        <v>1</v>
      </c>
    </row>
    <row r="53" spans="2:6" x14ac:dyDescent="0.25">
      <c r="E53" s="77"/>
    </row>
    <row r="54" spans="2:6" x14ac:dyDescent="0.25">
      <c r="B54" t="s">
        <v>41</v>
      </c>
      <c r="C54" t="s">
        <v>68</v>
      </c>
      <c r="D54" t="s">
        <v>67</v>
      </c>
      <c r="E54" s="77">
        <v>0.95</v>
      </c>
      <c r="F54" t="s">
        <v>171</v>
      </c>
    </row>
    <row r="55" spans="2:6" x14ac:dyDescent="0.25">
      <c r="E55" s="77"/>
    </row>
    <row r="56" spans="2:6" x14ac:dyDescent="0.25">
      <c r="B56" t="s">
        <v>42</v>
      </c>
      <c r="C56" s="113">
        <v>0</v>
      </c>
      <c r="D56" s="114">
        <v>1</v>
      </c>
      <c r="E56" s="77"/>
    </row>
    <row r="57" spans="2:6" x14ac:dyDescent="0.25">
      <c r="C57" s="113">
        <v>0.05</v>
      </c>
      <c r="D57" t="s">
        <v>44</v>
      </c>
      <c r="E57" s="77"/>
    </row>
    <row r="58" spans="2:6" x14ac:dyDescent="0.25">
      <c r="C58" s="113">
        <v>0.1</v>
      </c>
      <c r="D58" t="s">
        <v>45</v>
      </c>
      <c r="E58" s="77">
        <v>0.93</v>
      </c>
    </row>
    <row r="59" spans="2:6" x14ac:dyDescent="0.25">
      <c r="C59" s="113">
        <v>0.15</v>
      </c>
      <c r="D59" t="s">
        <v>46</v>
      </c>
      <c r="E59" s="77"/>
    </row>
    <row r="60" spans="2:6" x14ac:dyDescent="0.25">
      <c r="C60" s="113">
        <v>0.2</v>
      </c>
      <c r="D60" t="s">
        <v>47</v>
      </c>
      <c r="E60" s="77"/>
    </row>
    <row r="61" spans="2:6" x14ac:dyDescent="0.25">
      <c r="C61" s="113">
        <v>0.25</v>
      </c>
      <c r="D61" t="s">
        <v>48</v>
      </c>
      <c r="E61" s="77"/>
    </row>
    <row r="62" spans="2:6" x14ac:dyDescent="0.25">
      <c r="C62" s="113">
        <v>0.3</v>
      </c>
      <c r="D62" t="s">
        <v>49</v>
      </c>
      <c r="E62" s="77"/>
    </row>
    <row r="63" spans="2:6" x14ac:dyDescent="0.25">
      <c r="C63" s="113">
        <v>0.35</v>
      </c>
      <c r="D63" t="s">
        <v>50</v>
      </c>
      <c r="E63" s="77"/>
    </row>
    <row r="64" spans="2:6" x14ac:dyDescent="0.25">
      <c r="C64" s="113">
        <v>0.4</v>
      </c>
      <c r="D64" t="s">
        <v>51</v>
      </c>
      <c r="E64" s="77"/>
    </row>
    <row r="65" spans="2:6" x14ac:dyDescent="0.25">
      <c r="C65" s="113">
        <v>0.45</v>
      </c>
      <c r="D65" t="s">
        <v>52</v>
      </c>
      <c r="E65" s="77"/>
    </row>
    <row r="66" spans="2:6" x14ac:dyDescent="0.25">
      <c r="C66" s="113">
        <v>0.5</v>
      </c>
      <c r="D66" t="s">
        <v>53</v>
      </c>
      <c r="E66" s="77"/>
    </row>
    <row r="68" spans="2:6" x14ac:dyDescent="0.25">
      <c r="B68" s="72" t="s">
        <v>138</v>
      </c>
      <c r="C68" s="72"/>
      <c r="D68" s="72"/>
    </row>
    <row r="69" spans="2:6" x14ac:dyDescent="0.25">
      <c r="B69" t="s">
        <v>69</v>
      </c>
      <c r="C69" t="s">
        <v>70</v>
      </c>
      <c r="D69" t="s">
        <v>77</v>
      </c>
      <c r="E69" s="77"/>
    </row>
    <row r="70" spans="2:6" x14ac:dyDescent="0.25">
      <c r="C70" t="s">
        <v>71</v>
      </c>
      <c r="D70" t="s">
        <v>30</v>
      </c>
      <c r="E70" s="77"/>
    </row>
    <row r="71" spans="2:6" x14ac:dyDescent="0.25">
      <c r="C71" t="s">
        <v>72</v>
      </c>
      <c r="D71" s="114">
        <v>1</v>
      </c>
      <c r="E71" s="77"/>
    </row>
    <row r="72" spans="2:6" x14ac:dyDescent="0.25">
      <c r="C72" t="s">
        <v>73</v>
      </c>
      <c r="D72" t="s">
        <v>78</v>
      </c>
      <c r="E72" s="77">
        <v>1.1499999999999999</v>
      </c>
    </row>
    <row r="73" spans="2:6" x14ac:dyDescent="0.25">
      <c r="C73" t="s">
        <v>74</v>
      </c>
      <c r="D73" t="s">
        <v>79</v>
      </c>
      <c r="E73" s="77"/>
    </row>
    <row r="74" spans="2:6" x14ac:dyDescent="0.25">
      <c r="C74" t="s">
        <v>75</v>
      </c>
      <c r="D74" t="s">
        <v>80</v>
      </c>
      <c r="E74" s="77"/>
    </row>
    <row r="75" spans="2:6" x14ac:dyDescent="0.25">
      <c r="C75" t="s">
        <v>76</v>
      </c>
      <c r="D75" t="s">
        <v>81</v>
      </c>
      <c r="E75" s="77"/>
    </row>
    <row r="76" spans="2:6" x14ac:dyDescent="0.25">
      <c r="E76" s="77"/>
    </row>
    <row r="77" spans="2:6" x14ac:dyDescent="0.25">
      <c r="B77" t="s">
        <v>82</v>
      </c>
      <c r="C77" t="s">
        <v>84</v>
      </c>
      <c r="D77" s="114">
        <v>1</v>
      </c>
      <c r="E77" s="77"/>
      <c r="F77" t="s">
        <v>139</v>
      </c>
    </row>
    <row r="78" spans="2:6" x14ac:dyDescent="0.25">
      <c r="C78" t="s">
        <v>85</v>
      </c>
      <c r="D78" t="s">
        <v>87</v>
      </c>
      <c r="E78" s="77">
        <v>2</v>
      </c>
    </row>
    <row r="79" spans="2:6" x14ac:dyDescent="0.25">
      <c r="C79" t="s">
        <v>86</v>
      </c>
      <c r="D79" t="s">
        <v>88</v>
      </c>
      <c r="E79" s="77"/>
    </row>
    <row r="80" spans="2:6" x14ac:dyDescent="0.25">
      <c r="E80" s="77"/>
    </row>
    <row r="81" spans="2:5" x14ac:dyDescent="0.25">
      <c r="B81" t="s">
        <v>90</v>
      </c>
      <c r="D81" t="s">
        <v>112</v>
      </c>
      <c r="E81" s="77">
        <v>1</v>
      </c>
    </row>
    <row r="82" spans="2:5" x14ac:dyDescent="0.25">
      <c r="B82" t="s">
        <v>91</v>
      </c>
      <c r="D82" t="s">
        <v>113</v>
      </c>
      <c r="E82" s="77">
        <v>0.9</v>
      </c>
    </row>
    <row r="83" spans="2:5" x14ac:dyDescent="0.25">
      <c r="B83" t="s">
        <v>92</v>
      </c>
      <c r="D83" t="s">
        <v>114</v>
      </c>
      <c r="E83" s="77">
        <v>0.95</v>
      </c>
    </row>
    <row r="84" spans="2:5" x14ac:dyDescent="0.25">
      <c r="B84" t="s">
        <v>93</v>
      </c>
      <c r="D84" t="s">
        <v>112</v>
      </c>
      <c r="E84" s="77">
        <v>0.9</v>
      </c>
    </row>
    <row r="85" spans="2:5" x14ac:dyDescent="0.25">
      <c r="B85" t="s">
        <v>94</v>
      </c>
      <c r="D85" t="s">
        <v>112</v>
      </c>
      <c r="E85" s="77">
        <v>0.9</v>
      </c>
    </row>
    <row r="86" spans="2:5" x14ac:dyDescent="0.25">
      <c r="B86" t="s">
        <v>95</v>
      </c>
      <c r="D86" t="s">
        <v>115</v>
      </c>
      <c r="E86" s="77">
        <v>1.1000000000000001</v>
      </c>
    </row>
    <row r="87" spans="2:5" x14ac:dyDescent="0.25">
      <c r="B87" t="s">
        <v>96</v>
      </c>
      <c r="D87" t="s">
        <v>61</v>
      </c>
      <c r="E87" s="77">
        <v>1</v>
      </c>
    </row>
    <row r="88" spans="2:5" x14ac:dyDescent="0.25">
      <c r="B88" t="s">
        <v>168</v>
      </c>
      <c r="D88" t="s">
        <v>116</v>
      </c>
      <c r="E88" s="77">
        <v>1</v>
      </c>
    </row>
    <row r="89" spans="2:5" x14ac:dyDescent="0.25">
      <c r="B89" t="s">
        <v>98</v>
      </c>
      <c r="D89" t="s">
        <v>112</v>
      </c>
      <c r="E89" s="77">
        <v>0.95</v>
      </c>
    </row>
    <row r="90" spans="2:5" x14ac:dyDescent="0.25">
      <c r="B90" t="s">
        <v>99</v>
      </c>
      <c r="D90" t="s">
        <v>115</v>
      </c>
      <c r="E90" s="77">
        <v>0.95</v>
      </c>
    </row>
    <row r="91" spans="2:5" x14ac:dyDescent="0.25">
      <c r="B91" t="s">
        <v>100</v>
      </c>
      <c r="D91" t="s">
        <v>112</v>
      </c>
      <c r="E91" s="77">
        <v>0.95</v>
      </c>
    </row>
    <row r="92" spans="2:5" x14ac:dyDescent="0.25">
      <c r="B92" t="s">
        <v>101</v>
      </c>
      <c r="D92" t="s">
        <v>112</v>
      </c>
      <c r="E92" s="77">
        <v>0.8</v>
      </c>
    </row>
    <row r="93" spans="2:5" x14ac:dyDescent="0.25">
      <c r="B93" t="s">
        <v>111</v>
      </c>
      <c r="D93" t="s">
        <v>117</v>
      </c>
      <c r="E93" s="77">
        <v>0.95</v>
      </c>
    </row>
    <row r="94" spans="2:5" x14ac:dyDescent="0.25">
      <c r="B94" t="s">
        <v>102</v>
      </c>
      <c r="D94" t="s">
        <v>112</v>
      </c>
      <c r="E94" s="77">
        <v>1</v>
      </c>
    </row>
    <row r="95" spans="2:5" x14ac:dyDescent="0.25">
      <c r="B95" t="s">
        <v>103</v>
      </c>
      <c r="D95" t="s">
        <v>112</v>
      </c>
      <c r="E95" s="77">
        <v>1</v>
      </c>
    </row>
    <row r="96" spans="2:5" x14ac:dyDescent="0.25">
      <c r="B96" t="s">
        <v>104</v>
      </c>
      <c r="D96" t="s">
        <v>118</v>
      </c>
      <c r="E96" s="77">
        <v>1</v>
      </c>
    </row>
    <row r="97" spans="2:6" x14ac:dyDescent="0.25">
      <c r="B97" t="s">
        <v>105</v>
      </c>
      <c r="D97" t="s">
        <v>112</v>
      </c>
      <c r="E97" s="77">
        <v>1</v>
      </c>
    </row>
    <row r="98" spans="2:6" x14ac:dyDescent="0.25">
      <c r="B98" t="s">
        <v>140</v>
      </c>
      <c r="D98" t="s">
        <v>112</v>
      </c>
      <c r="E98" s="77">
        <v>0.9</v>
      </c>
    </row>
    <row r="99" spans="2:6" x14ac:dyDescent="0.25">
      <c r="B99" t="s">
        <v>107</v>
      </c>
      <c r="D99" t="s">
        <v>115</v>
      </c>
      <c r="E99" s="77">
        <v>0.9</v>
      </c>
    </row>
    <row r="100" spans="2:6" x14ac:dyDescent="0.25">
      <c r="B100" t="s">
        <v>108</v>
      </c>
      <c r="D100" t="s">
        <v>112</v>
      </c>
      <c r="E100" s="77">
        <v>1.1000000000000001</v>
      </c>
    </row>
    <row r="101" spans="2:6" x14ac:dyDescent="0.25">
      <c r="B101" t="s">
        <v>109</v>
      </c>
      <c r="D101" t="s">
        <v>119</v>
      </c>
      <c r="E101" s="77">
        <v>1</v>
      </c>
    </row>
    <row r="102" spans="2:6" x14ac:dyDescent="0.25">
      <c r="B102" t="s">
        <v>110</v>
      </c>
      <c r="D102" t="s">
        <v>120</v>
      </c>
      <c r="E102" s="77">
        <v>1</v>
      </c>
    </row>
    <row r="104" spans="2:6" x14ac:dyDescent="0.25">
      <c r="B104" t="s">
        <v>172</v>
      </c>
      <c r="E104" s="104">
        <f>SUM(E32:E102)/COUNTA(E32:E102)</f>
        <v>0.97818181818181826</v>
      </c>
    </row>
    <row r="105" spans="2:6" x14ac:dyDescent="0.25">
      <c r="E105" s="80"/>
    </row>
    <row r="106" spans="2:6" x14ac:dyDescent="0.25">
      <c r="B106" s="81" t="s">
        <v>142</v>
      </c>
      <c r="C106" s="81"/>
      <c r="D106" s="81"/>
      <c r="E106" s="141">
        <f>E104*E25</f>
        <v>1225203.1585090908</v>
      </c>
      <c r="F106" t="s">
        <v>663</v>
      </c>
    </row>
    <row r="108" spans="2:6" x14ac:dyDescent="0.25">
      <c r="B108" t="s">
        <v>666</v>
      </c>
      <c r="E108" s="398" t="s">
        <v>673</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AF3D9-0713-4990-9E33-0B6A6EAEFFE5}">
  <dimension ref="B2:F39"/>
  <sheetViews>
    <sheetView showGridLines="0" zoomScale="85" zoomScaleNormal="85" workbookViewId="0">
      <pane xSplit="1" ySplit="2" topLeftCell="B9" activePane="bottomRight" state="frozen"/>
      <selection pane="topRight" activeCell="B1" sqref="B1"/>
      <selection pane="bottomLeft" activeCell="A3" sqref="A3"/>
      <selection pane="bottomRight" activeCell="C25" sqref="C25"/>
    </sheetView>
  </sheetViews>
  <sheetFormatPr defaultRowHeight="15.75" outlineLevelRow="1" x14ac:dyDescent="0.25"/>
  <cols>
    <col min="2" max="2" width="24" bestFit="1" customWidth="1"/>
    <col min="3" max="3" width="12.125" bestFit="1" customWidth="1"/>
    <col min="6" max="6" width="11.5" bestFit="1" customWidth="1"/>
  </cols>
  <sheetData>
    <row r="2" spans="2:6" ht="17.25" x14ac:dyDescent="0.3">
      <c r="B2" s="133" t="s">
        <v>180</v>
      </c>
    </row>
    <row r="4" spans="2:6" x14ac:dyDescent="0.25">
      <c r="B4" t="s">
        <v>664</v>
      </c>
    </row>
    <row r="5" spans="2:6" x14ac:dyDescent="0.25">
      <c r="B5" t="s">
        <v>665</v>
      </c>
    </row>
    <row r="7" spans="2:6" outlineLevel="1" x14ac:dyDescent="0.25">
      <c r="B7" t="s">
        <v>175</v>
      </c>
      <c r="C7" s="127">
        <v>0.7</v>
      </c>
      <c r="D7" t="s">
        <v>475</v>
      </c>
    </row>
    <row r="8" spans="2:6" outlineLevel="1" x14ac:dyDescent="0.25"/>
    <row r="9" spans="2:6" x14ac:dyDescent="0.25">
      <c r="B9" t="s">
        <v>144</v>
      </c>
      <c r="C9" s="75"/>
    </row>
    <row r="10" spans="2:6" x14ac:dyDescent="0.25">
      <c r="B10" t="s">
        <v>145</v>
      </c>
      <c r="C10" s="313"/>
      <c r="F10" s="84"/>
    </row>
    <row r="11" spans="2:6" x14ac:dyDescent="0.25">
      <c r="B11" t="s">
        <v>146</v>
      </c>
      <c r="C11" s="76"/>
    </row>
    <row r="12" spans="2:6" x14ac:dyDescent="0.25">
      <c r="B12" t="s">
        <v>147</v>
      </c>
      <c r="C12" s="83"/>
      <c r="F12" s="84"/>
    </row>
    <row r="13" spans="2:6" x14ac:dyDescent="0.25">
      <c r="C13" s="83"/>
    </row>
    <row r="14" spans="2:6" x14ac:dyDescent="0.25">
      <c r="B14" t="s">
        <v>144</v>
      </c>
      <c r="C14" s="75"/>
    </row>
    <row r="15" spans="2:6" x14ac:dyDescent="0.25">
      <c r="B15" t="s">
        <v>145</v>
      </c>
      <c r="C15" s="313"/>
      <c r="D15" s="314" t="e">
        <f>C15/C10</f>
        <v>#DIV/0!</v>
      </c>
    </row>
    <row r="16" spans="2:6" x14ac:dyDescent="0.25">
      <c r="B16" t="s">
        <v>146</v>
      </c>
      <c r="C16" s="76"/>
    </row>
    <row r="17" spans="2:6" x14ac:dyDescent="0.25">
      <c r="B17" t="s">
        <v>147</v>
      </c>
      <c r="C17" s="83"/>
    </row>
    <row r="18" spans="2:6" x14ac:dyDescent="0.25">
      <c r="C18" s="83"/>
    </row>
    <row r="19" spans="2:6" x14ac:dyDescent="0.25">
      <c r="B19" t="s">
        <v>144</v>
      </c>
      <c r="C19" s="75" t="s">
        <v>149</v>
      </c>
    </row>
    <row r="20" spans="2:6" x14ac:dyDescent="0.25">
      <c r="B20" t="s">
        <v>145</v>
      </c>
      <c r="C20" s="138">
        <f>+C21*C22</f>
        <v>613480</v>
      </c>
      <c r="D20" s="314" t="e">
        <f>C20/C15</f>
        <v>#DIV/0!</v>
      </c>
    </row>
    <row r="21" spans="2:6" x14ac:dyDescent="0.25">
      <c r="B21" t="s">
        <v>146</v>
      </c>
      <c r="C21" s="76">
        <v>30674</v>
      </c>
      <c r="F21">
        <v>30674</v>
      </c>
    </row>
    <row r="22" spans="2:6" x14ac:dyDescent="0.25">
      <c r="B22" t="s">
        <v>147</v>
      </c>
      <c r="C22" s="83">
        <v>20</v>
      </c>
    </row>
    <row r="23" spans="2:6" x14ac:dyDescent="0.25">
      <c r="C23" s="83"/>
    </row>
    <row r="24" spans="2:6" x14ac:dyDescent="0.25">
      <c r="B24" t="s">
        <v>144</v>
      </c>
      <c r="C24" s="75" t="s">
        <v>150</v>
      </c>
    </row>
    <row r="25" spans="2:6" x14ac:dyDescent="0.25">
      <c r="B25" t="s">
        <v>145</v>
      </c>
      <c r="C25" s="138">
        <f>+C26*C27</f>
        <v>429436</v>
      </c>
      <c r="D25" s="314">
        <f>C25/C20</f>
        <v>0.7</v>
      </c>
    </row>
    <row r="26" spans="2:6" x14ac:dyDescent="0.25">
      <c r="B26" t="s">
        <v>146</v>
      </c>
      <c r="C26" s="76">
        <f>+C21*C7</f>
        <v>21471.8</v>
      </c>
    </row>
    <row r="27" spans="2:6" x14ac:dyDescent="0.25">
      <c r="B27" t="s">
        <v>147</v>
      </c>
      <c r="C27" s="83">
        <v>20</v>
      </c>
    </row>
    <row r="28" spans="2:6" x14ac:dyDescent="0.25">
      <c r="C28" s="83"/>
    </row>
    <row r="29" spans="2:6" x14ac:dyDescent="0.25">
      <c r="B29" t="s">
        <v>144</v>
      </c>
      <c r="C29" s="75" t="s">
        <v>151</v>
      </c>
    </row>
    <row r="30" spans="2:6" x14ac:dyDescent="0.25">
      <c r="B30" t="s">
        <v>145</v>
      </c>
      <c r="C30" s="138">
        <f>+C31*C32</f>
        <v>1252000</v>
      </c>
      <c r="D30" s="314">
        <f>C30/C25</f>
        <v>2.9154518950437316</v>
      </c>
    </row>
    <row r="31" spans="2:6" x14ac:dyDescent="0.25">
      <c r="B31" t="s">
        <v>146</v>
      </c>
      <c r="C31" s="76">
        <v>62600</v>
      </c>
      <c r="F31">
        <v>62600</v>
      </c>
    </row>
    <row r="32" spans="2:6" x14ac:dyDescent="0.25">
      <c r="B32" t="s">
        <v>147</v>
      </c>
      <c r="C32" s="83">
        <v>20</v>
      </c>
    </row>
    <row r="34" spans="2:4" x14ac:dyDescent="0.25">
      <c r="B34" t="s">
        <v>144</v>
      </c>
      <c r="C34" s="82" t="s">
        <v>152</v>
      </c>
    </row>
    <row r="35" spans="2:4" x14ac:dyDescent="0.25">
      <c r="B35" t="s">
        <v>145</v>
      </c>
      <c r="C35" s="138">
        <f>+C30*$C$7</f>
        <v>876400</v>
      </c>
      <c r="D35" s="314">
        <f>C35/C30</f>
        <v>0.7</v>
      </c>
    </row>
    <row r="36" spans="2:4" x14ac:dyDescent="0.25">
      <c r="B36" t="s">
        <v>146</v>
      </c>
      <c r="C36" s="76">
        <f>C35/10</f>
        <v>87640</v>
      </c>
      <c r="D36" t="s">
        <v>154</v>
      </c>
    </row>
    <row r="37" spans="2:4" x14ac:dyDescent="0.25">
      <c r="B37" t="s">
        <v>147</v>
      </c>
      <c r="C37" s="83">
        <v>20</v>
      </c>
    </row>
    <row r="39" spans="2:4" x14ac:dyDescent="0.25">
      <c r="B39" s="81" t="s">
        <v>155</v>
      </c>
      <c r="C39" s="81">
        <f>SUM(C12,C17,C22,C27,C32,C37)</f>
        <v>80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A0C0C-3158-485A-9670-83B8B332D2EF}">
  <dimension ref="B2:R23"/>
  <sheetViews>
    <sheetView showGridLines="0" zoomScale="85" zoomScaleNormal="85" workbookViewId="0">
      <pane xSplit="1" ySplit="2" topLeftCell="B3" activePane="bottomRight" state="frozen"/>
      <selection pane="topRight" activeCell="B1" sqref="B1"/>
      <selection pane="bottomLeft" activeCell="A3" sqref="A3"/>
      <selection pane="bottomRight" activeCell="K16" sqref="K16"/>
    </sheetView>
  </sheetViews>
  <sheetFormatPr defaultRowHeight="15.75" outlineLevelRow="1" outlineLevelCol="1" x14ac:dyDescent="0.25"/>
  <cols>
    <col min="2" max="2" width="33.125" bestFit="1" customWidth="1"/>
    <col min="3" max="3" width="20.875" bestFit="1" customWidth="1"/>
    <col min="4" max="4" width="13.75" bestFit="1" customWidth="1"/>
    <col min="5" max="6" width="12.125" bestFit="1" customWidth="1"/>
    <col min="7" max="7" width="11.25" customWidth="1"/>
    <col min="8" max="8" width="12.125" bestFit="1" customWidth="1"/>
    <col min="9" max="9" width="11.25" customWidth="1" outlineLevel="1"/>
    <col min="10" max="10" width="12.125" customWidth="1" outlineLevel="1"/>
    <col min="11" max="12" width="12.125" bestFit="1" customWidth="1"/>
    <col min="14" max="14" width="12.125" bestFit="1" customWidth="1"/>
    <col min="16" max="16" width="13.75" bestFit="1" customWidth="1"/>
    <col min="18" max="18" width="12.125" bestFit="1" customWidth="1"/>
  </cols>
  <sheetData>
    <row r="2" spans="2:18" ht="17.25" x14ac:dyDescent="0.3">
      <c r="B2" s="133" t="s">
        <v>181</v>
      </c>
    </row>
    <row r="4" spans="2:18" outlineLevel="1" x14ac:dyDescent="0.25">
      <c r="B4" t="s">
        <v>153</v>
      </c>
    </row>
    <row r="5" spans="2:18" outlineLevel="1" x14ac:dyDescent="0.25"/>
    <row r="6" spans="2:18" outlineLevel="1" x14ac:dyDescent="0.25">
      <c r="B6" t="s">
        <v>669</v>
      </c>
      <c r="C6" s="136">
        <f>'Page 2'!V32</f>
        <v>20.724640000000001</v>
      </c>
      <c r="D6" s="85"/>
    </row>
    <row r="7" spans="2:18" outlineLevel="1" x14ac:dyDescent="0.25">
      <c r="B7" t="s">
        <v>670</v>
      </c>
      <c r="C7" s="136">
        <f>'Page 2'!V29</f>
        <v>17.926600000000001</v>
      </c>
      <c r="D7" s="85"/>
    </row>
    <row r="8" spans="2:18" outlineLevel="1" x14ac:dyDescent="0.25">
      <c r="B8" s="100" t="s">
        <v>668</v>
      </c>
      <c r="C8" s="136">
        <f>'Page 2'!V21</f>
        <v>9.4309999999999992</v>
      </c>
    </row>
    <row r="9" spans="2:18" outlineLevel="1" x14ac:dyDescent="0.25">
      <c r="B9" s="70" t="s">
        <v>164</v>
      </c>
      <c r="C9" s="137">
        <f>(C6-C7)/C8</f>
        <v>0.2966853992153537</v>
      </c>
    </row>
    <row r="10" spans="2:18" outlineLevel="1" x14ac:dyDescent="0.25">
      <c r="C10" s="85"/>
    </row>
    <row r="11" spans="2:18" x14ac:dyDescent="0.25">
      <c r="B11" t="s">
        <v>667</v>
      </c>
      <c r="C11" s="119">
        <f>'Step 2'!C20</f>
        <v>613480</v>
      </c>
    </row>
    <row r="12" spans="2:18" x14ac:dyDescent="0.25">
      <c r="B12" s="69" t="s">
        <v>182</v>
      </c>
      <c r="C12" s="125">
        <f>C9*C11</f>
        <v>182010.55871063517</v>
      </c>
    </row>
    <row r="13" spans="2:18" ht="20.100000000000001" customHeight="1" x14ac:dyDescent="0.25">
      <c r="C13" s="84"/>
      <c r="J13" s="132">
        <f>+'Step 2'!C7</f>
        <v>0.7</v>
      </c>
      <c r="K13" s="68" t="s">
        <v>177</v>
      </c>
    </row>
    <row r="14" spans="2:18" ht="20.100000000000001" customHeight="1" x14ac:dyDescent="0.25">
      <c r="B14" t="s">
        <v>0</v>
      </c>
      <c r="C14" s="119">
        <f>'Step 1'!E18</f>
        <v>132810</v>
      </c>
    </row>
    <row r="15" spans="2:18" ht="46.5" customHeight="1" x14ac:dyDescent="0.25">
      <c r="C15" s="106" t="s">
        <v>176</v>
      </c>
      <c r="D15" s="106" t="s">
        <v>156</v>
      </c>
      <c r="E15" s="107" t="s">
        <v>157</v>
      </c>
      <c r="F15" s="107" t="s">
        <v>158</v>
      </c>
      <c r="G15" s="107" t="s">
        <v>159</v>
      </c>
      <c r="H15" s="107" t="s">
        <v>160</v>
      </c>
      <c r="I15" s="107" t="s">
        <v>161</v>
      </c>
      <c r="J15" s="107" t="s">
        <v>162</v>
      </c>
      <c r="K15" s="108" t="s">
        <v>163</v>
      </c>
    </row>
    <row r="16" spans="2:18" s="103" customFormat="1" ht="39.950000000000003" customHeight="1" x14ac:dyDescent="0.25">
      <c r="B16" s="394" t="str">
        <f>+'Step 2'!C34</f>
        <v>Falcon</v>
      </c>
      <c r="C16" s="393">
        <f>+C17+'Step 2'!C37</f>
        <v>80</v>
      </c>
      <c r="D16" s="120">
        <f>'Page 2'!V32</f>
        <v>20.724640000000001</v>
      </c>
      <c r="E16" s="110">
        <f t="shared" ref="E16:E19" si="0">+D16-D17</f>
        <v>2.7980400000000003</v>
      </c>
      <c r="F16" s="122">
        <f t="shared" ref="F16:F19" si="1">$C$14*E16</f>
        <v>371607.69240000006</v>
      </c>
      <c r="G16" s="121">
        <f t="shared" ref="G16:G18" si="2">G17</f>
        <v>0.97818181818181826</v>
      </c>
      <c r="H16" s="122">
        <f>F16*G16</f>
        <v>363499.8882021819</v>
      </c>
      <c r="I16" s="111"/>
      <c r="J16" s="135">
        <f>+'Step 2'!C35</f>
        <v>876400</v>
      </c>
      <c r="K16" s="123">
        <f>E16/$E$19*$J$19</f>
        <v>182010.55871063517</v>
      </c>
      <c r="L16" s="105"/>
      <c r="N16" s="105"/>
      <c r="O16" s="395"/>
      <c r="P16" s="105"/>
      <c r="Q16" s="105"/>
      <c r="R16" s="105"/>
    </row>
    <row r="17" spans="2:18" s="103" customFormat="1" ht="39.950000000000003" customHeight="1" x14ac:dyDescent="0.25">
      <c r="B17" s="394" t="str">
        <f>+'Step 2'!C29</f>
        <v>Sompo</v>
      </c>
      <c r="C17" s="393">
        <f>+C18+'Step 2'!C32</f>
        <v>60</v>
      </c>
      <c r="D17" s="120">
        <f>'Page 2'!V29</f>
        <v>17.926600000000001</v>
      </c>
      <c r="E17" s="110">
        <f t="shared" si="0"/>
        <v>3.3176000000000005</v>
      </c>
      <c r="F17" s="122">
        <f t="shared" si="1"/>
        <v>440610.45600000006</v>
      </c>
      <c r="G17" s="121">
        <f t="shared" si="2"/>
        <v>0.97818181818181826</v>
      </c>
      <c r="H17" s="122">
        <f t="shared" ref="H17:H19" si="3">F17*G17</f>
        <v>430997.13696000009</v>
      </c>
      <c r="I17" s="111"/>
      <c r="J17" s="135">
        <f>+'Step 2'!C30</f>
        <v>1252000</v>
      </c>
      <c r="K17" s="124">
        <f>E17/$E$19*$J$19</f>
        <v>215807.57586682224</v>
      </c>
      <c r="L17" s="126"/>
      <c r="N17" s="105"/>
      <c r="O17" s="395"/>
      <c r="P17" s="105"/>
      <c r="Q17" s="105"/>
      <c r="R17" s="105"/>
    </row>
    <row r="18" spans="2:18" s="103" customFormat="1" ht="39.950000000000003" customHeight="1" x14ac:dyDescent="0.25">
      <c r="B18" s="394" t="str">
        <f>+'Step 2'!C24</f>
        <v>Chubb</v>
      </c>
      <c r="C18" s="393">
        <f>+C19+'Step 2'!C27</f>
        <v>40</v>
      </c>
      <c r="D18" s="120">
        <f>'Page 2'!V25</f>
        <v>14.609</v>
      </c>
      <c r="E18" s="110">
        <f t="shared" si="0"/>
        <v>5.1780000000000008</v>
      </c>
      <c r="F18" s="122">
        <f t="shared" si="1"/>
        <v>687690.18000000017</v>
      </c>
      <c r="G18" s="121">
        <f t="shared" si="2"/>
        <v>0.97818181818181826</v>
      </c>
      <c r="H18" s="122">
        <f t="shared" si="3"/>
        <v>672686.03061818203</v>
      </c>
      <c r="I18" s="111"/>
      <c r="J18" s="135">
        <f>+'Step 2'!C25</f>
        <v>429436</v>
      </c>
      <c r="K18" s="124">
        <f>E18/$E$19*$J$19</f>
        <v>336825.30378538871</v>
      </c>
      <c r="L18" s="126"/>
      <c r="N18" s="105"/>
      <c r="O18" s="395"/>
      <c r="P18" s="105"/>
      <c r="Q18" s="105"/>
      <c r="R18" s="105"/>
    </row>
    <row r="19" spans="2:18" s="103" customFormat="1" ht="39.950000000000003" customHeight="1" x14ac:dyDescent="0.25">
      <c r="B19" s="394" t="str">
        <f>+'Step 2'!C19</f>
        <v>XL</v>
      </c>
      <c r="C19" s="393">
        <f>+'Step 2'!C22</f>
        <v>20</v>
      </c>
      <c r="D19" s="120">
        <f>'Page 2'!V21</f>
        <v>9.4309999999999992</v>
      </c>
      <c r="E19" s="110">
        <f t="shared" si="0"/>
        <v>9.4309999999999992</v>
      </c>
      <c r="F19" s="122">
        <f t="shared" si="1"/>
        <v>1252531.1099999999</v>
      </c>
      <c r="G19" s="121">
        <f>+'Step 1'!E104</f>
        <v>0.97818181818181826</v>
      </c>
      <c r="H19" s="122">
        <f t="shared" si="3"/>
        <v>1225203.1585090908</v>
      </c>
      <c r="I19" s="111"/>
      <c r="J19" s="135">
        <f>+'Step 2'!C20</f>
        <v>613480</v>
      </c>
      <c r="K19" s="124">
        <f>E19/$E$19*$J$19</f>
        <v>613480</v>
      </c>
      <c r="L19" s="126"/>
      <c r="N19" s="105"/>
      <c r="O19" s="395"/>
      <c r="P19" s="105"/>
      <c r="Q19" s="105"/>
      <c r="R19" s="105"/>
    </row>
    <row r="20" spans="2:18" ht="39.950000000000003" customHeight="1" x14ac:dyDescent="0.25">
      <c r="B20" s="134"/>
      <c r="C20" s="109"/>
      <c r="D20" s="120"/>
      <c r="E20" s="110"/>
      <c r="F20" s="122"/>
      <c r="G20" s="121"/>
      <c r="H20" s="122"/>
      <c r="I20" s="111"/>
      <c r="J20" s="135"/>
      <c r="K20" s="124"/>
      <c r="L20" s="126"/>
      <c r="M20" s="103"/>
      <c r="N20" s="85"/>
      <c r="O20" s="101"/>
      <c r="P20" s="85"/>
      <c r="Q20" s="85"/>
      <c r="R20" s="85"/>
    </row>
    <row r="21" spans="2:18" ht="39.950000000000003" customHeight="1" x14ac:dyDescent="0.25">
      <c r="B21" s="134"/>
      <c r="C21" s="109"/>
      <c r="D21" s="120"/>
      <c r="E21" s="110"/>
      <c r="F21" s="122"/>
      <c r="G21" s="121"/>
      <c r="H21" s="122"/>
      <c r="I21" s="111"/>
      <c r="J21" s="135"/>
      <c r="K21" s="124"/>
      <c r="L21" s="126"/>
      <c r="M21" s="103"/>
      <c r="N21" s="85"/>
      <c r="O21" s="101"/>
      <c r="P21" s="85"/>
      <c r="Q21" s="85"/>
      <c r="R21" s="85"/>
    </row>
    <row r="22" spans="2:18" ht="39.950000000000003" customHeight="1" x14ac:dyDescent="0.25">
      <c r="B22" s="128"/>
      <c r="C22" s="102"/>
      <c r="D22" s="104"/>
      <c r="E22" s="103"/>
      <c r="F22" s="85"/>
    </row>
    <row r="23" spans="2:18" x14ac:dyDescent="0.25">
      <c r="B23" s="129" t="s">
        <v>178</v>
      </c>
      <c r="C23" s="130"/>
      <c r="D23" s="130"/>
      <c r="E23" s="130"/>
      <c r="F23" s="130"/>
      <c r="G23" s="130"/>
      <c r="H23" s="130"/>
      <c r="I23" s="130"/>
      <c r="J23" s="131">
        <f>+SUM(J16:J21)</f>
        <v>3171316</v>
      </c>
      <c r="K23" s="130"/>
    </row>
  </sheetData>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45CB3-77B1-426F-8A60-19633AFB89BB}">
  <sheetPr>
    <tabColor rgb="FFFFFF00"/>
  </sheetPr>
  <dimension ref="A1:B21"/>
  <sheetViews>
    <sheetView showGridLines="0" workbookViewId="0"/>
  </sheetViews>
  <sheetFormatPr defaultRowHeight="15.75" x14ac:dyDescent="0.25"/>
  <cols>
    <col min="1" max="1" width="46.625" style="18" customWidth="1"/>
    <col min="2" max="16384" width="9" style="18"/>
  </cols>
  <sheetData>
    <row r="1" spans="1:1" x14ac:dyDescent="0.25">
      <c r="A1" s="69" t="s">
        <v>262</v>
      </c>
    </row>
    <row r="2" spans="1:1" x14ac:dyDescent="0.25">
      <c r="A2" s="69" t="s">
        <v>450</v>
      </c>
    </row>
    <row r="4" spans="1:1" x14ac:dyDescent="0.25">
      <c r="A4" s="299" t="s">
        <v>452</v>
      </c>
    </row>
    <row r="5" spans="1:1" x14ac:dyDescent="0.25">
      <c r="A5" s="295" t="s">
        <v>451</v>
      </c>
    </row>
    <row r="6" spans="1:1" x14ac:dyDescent="0.25">
      <c r="A6" s="296" t="s">
        <v>453</v>
      </c>
    </row>
    <row r="7" spans="1:1" x14ac:dyDescent="0.25">
      <c r="A7" s="296" t="s">
        <v>454</v>
      </c>
    </row>
    <row r="8" spans="1:1" x14ac:dyDescent="0.25">
      <c r="A8" s="296" t="s">
        <v>455</v>
      </c>
    </row>
    <row r="9" spans="1:1" x14ac:dyDescent="0.25">
      <c r="A9" s="296" t="s">
        <v>456</v>
      </c>
    </row>
    <row r="10" spans="1:1" x14ac:dyDescent="0.25">
      <c r="A10" s="296" t="s">
        <v>457</v>
      </c>
    </row>
    <row r="11" spans="1:1" x14ac:dyDescent="0.25">
      <c r="A11" s="297" t="s">
        <v>458</v>
      </c>
    </row>
    <row r="12" spans="1:1" x14ac:dyDescent="0.25">
      <c r="A12" s="296" t="s">
        <v>459</v>
      </c>
    </row>
    <row r="13" spans="1:1" x14ac:dyDescent="0.25">
      <c r="A13" s="297" t="s">
        <v>460</v>
      </c>
    </row>
    <row r="14" spans="1:1" x14ac:dyDescent="0.25">
      <c r="A14" s="297" t="s">
        <v>461</v>
      </c>
    </row>
    <row r="15" spans="1:1" x14ac:dyDescent="0.25">
      <c r="A15" s="297" t="s">
        <v>462</v>
      </c>
    </row>
    <row r="16" spans="1:1" x14ac:dyDescent="0.25">
      <c r="A16" s="297" t="s">
        <v>463</v>
      </c>
    </row>
    <row r="17" spans="1:2" x14ac:dyDescent="0.25">
      <c r="A17" s="298"/>
    </row>
    <row r="18" spans="1:2" x14ac:dyDescent="0.25">
      <c r="A18" s="298"/>
    </row>
    <row r="19" spans="1:2" x14ac:dyDescent="0.25">
      <c r="A19" s="296" t="s">
        <v>539</v>
      </c>
    </row>
    <row r="20" spans="1:2" x14ac:dyDescent="0.25">
      <c r="A20" s="297" t="s">
        <v>540</v>
      </c>
    </row>
    <row r="21" spans="1:2" x14ac:dyDescent="0.25">
      <c r="A21" s="367" t="s">
        <v>626</v>
      </c>
      <c r="B21" s="352"/>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F5BD9-2760-4008-BB03-1F952040B065}">
  <sheetPr>
    <tabColor rgb="FFFFFF00"/>
  </sheetPr>
  <dimension ref="A1:E38"/>
  <sheetViews>
    <sheetView showGridLines="0" view="pageBreakPreview" zoomScaleNormal="130" zoomScaleSheetLayoutView="100" workbookViewId="0">
      <selection activeCell="B31" sqref="B31"/>
    </sheetView>
  </sheetViews>
  <sheetFormatPr defaultRowHeight="12.75" outlineLevelRow="1" x14ac:dyDescent="0.2"/>
  <cols>
    <col min="1" max="1" width="72.375" style="236" bestFit="1" customWidth="1"/>
    <col min="2" max="2" width="10" style="236" bestFit="1" customWidth="1"/>
    <col min="3" max="3" width="9" style="236" customWidth="1"/>
    <col min="4" max="16384" width="9" style="236"/>
  </cols>
  <sheetData>
    <row r="1" spans="1:4" x14ac:dyDescent="0.2">
      <c r="A1" s="237" t="s">
        <v>262</v>
      </c>
    </row>
    <row r="2" spans="1:4" x14ac:dyDescent="0.2">
      <c r="A2" s="237" t="s">
        <v>263</v>
      </c>
      <c r="B2" s="300" t="s">
        <v>518</v>
      </c>
    </row>
    <row r="3" spans="1:4" x14ac:dyDescent="0.2">
      <c r="B3" s="300" t="s">
        <v>552</v>
      </c>
    </row>
    <row r="4" spans="1:4" x14ac:dyDescent="0.2">
      <c r="A4" s="236" t="s">
        <v>517</v>
      </c>
    </row>
    <row r="6" spans="1:4" x14ac:dyDescent="0.2">
      <c r="A6" s="236" t="s">
        <v>514</v>
      </c>
      <c r="B6" s="330">
        <f>ROUND('XS Rating Step A Inputs'!B8/('XS Rating Step A Inputs'!B10/1000000),0)</f>
        <v>62600</v>
      </c>
    </row>
    <row r="8" spans="1:4" x14ac:dyDescent="0.2">
      <c r="A8" s="236" t="s">
        <v>515</v>
      </c>
      <c r="B8" s="317">
        <f>'XS Rating Step A Inputs'!B34</f>
        <v>1</v>
      </c>
    </row>
    <row r="9" spans="1:4" x14ac:dyDescent="0.2">
      <c r="B9" s="318"/>
    </row>
    <row r="10" spans="1:4" x14ac:dyDescent="0.2">
      <c r="A10" s="236" t="s">
        <v>513</v>
      </c>
      <c r="B10" s="315">
        <f>'XS Rating Step A Inputs'!B38</f>
        <v>0.5</v>
      </c>
    </row>
    <row r="12" spans="1:4" x14ac:dyDescent="0.2">
      <c r="A12" s="236" t="s">
        <v>512</v>
      </c>
      <c r="B12" s="316">
        <f>'XS Rating Step G Inputs'!B17</f>
        <v>0.25</v>
      </c>
      <c r="D12" s="307"/>
    </row>
    <row r="14" spans="1:4" x14ac:dyDescent="0.2">
      <c r="A14" s="379" t="s">
        <v>638</v>
      </c>
      <c r="B14" s="333">
        <f>+B6</f>
        <v>62600</v>
      </c>
    </row>
    <row r="15" spans="1:4" x14ac:dyDescent="0.2">
      <c r="A15" s="379" t="s">
        <v>641</v>
      </c>
      <c r="B15" s="333">
        <f>+'XS Rating Step A Inputs'!B12/1000000</f>
        <v>20</v>
      </c>
    </row>
    <row r="16" spans="1:4" x14ac:dyDescent="0.2">
      <c r="A16" s="379" t="s">
        <v>635</v>
      </c>
      <c r="B16" s="376">
        <f>+B10</f>
        <v>0.5</v>
      </c>
    </row>
    <row r="17" spans="1:5" x14ac:dyDescent="0.2">
      <c r="A17" s="379" t="s">
        <v>636</v>
      </c>
      <c r="B17" s="377">
        <f>+'XS Rating Step B-F Inputs'!B15</f>
        <v>1</v>
      </c>
    </row>
    <row r="18" spans="1:5" x14ac:dyDescent="0.2">
      <c r="A18" s="379" t="s">
        <v>637</v>
      </c>
      <c r="B18" s="377">
        <f>+'XS Rating Step B-F Inputs'!B20</f>
        <v>1</v>
      </c>
    </row>
    <row r="19" spans="1:5" x14ac:dyDescent="0.2">
      <c r="A19" s="379" t="s">
        <v>639</v>
      </c>
      <c r="B19" s="377">
        <f>1-'XS Rating Step B-F Inputs'!B25</f>
        <v>1</v>
      </c>
    </row>
    <row r="20" spans="1:5" x14ac:dyDescent="0.2">
      <c r="A20" s="379" t="s">
        <v>642</v>
      </c>
      <c r="B20" s="377">
        <f>1+B12</f>
        <v>1.25</v>
      </c>
    </row>
    <row r="21" spans="1:5" x14ac:dyDescent="0.2">
      <c r="A21" s="383" t="s">
        <v>640</v>
      </c>
      <c r="B21" s="384">
        <f>B14*B15*B16*B17*B18*B19*B20</f>
        <v>782500</v>
      </c>
      <c r="C21" s="382" t="s">
        <v>643</v>
      </c>
    </row>
    <row r="22" spans="1:5" x14ac:dyDescent="0.2">
      <c r="A22" s="236" t="s">
        <v>511</v>
      </c>
      <c r="B22" s="380">
        <f>ROUND(B6*('XS Rating Step A Inputs'!B12/1000000)*B10*IF('XS Rating Step B-F Inputs'!B15="",1,'XS Rating Step B-F Inputs'!B15)*IF('XS Rating Step B-F Inputs'!B20="",1,'XS Rating Step B-F Inputs'!B20)*(1-'XS Rating Step B-F Inputs'!B25)*(1+'XS Final Premium Calculation'!B12),0)</f>
        <v>782500</v>
      </c>
      <c r="C22" s="381">
        <f>+B22-B21</f>
        <v>0</v>
      </c>
    </row>
    <row r="24" spans="1:5" x14ac:dyDescent="0.2">
      <c r="A24" s="236" t="s">
        <v>510</v>
      </c>
      <c r="B24" s="330">
        <f>IF('XS Rating Step A Inputs'!B6="Maryland","n/a",VLOOKUP('XS Rate Tables Sections A-F'!J122,'XS Rate Tables Sections A-F'!$I$96:$J$113,2,FALSE)*'XS Rating Step A Inputs'!B12/1000000)</f>
        <v>20000</v>
      </c>
    </row>
    <row r="25" spans="1:5" x14ac:dyDescent="0.2">
      <c r="B25" s="333"/>
    </row>
    <row r="26" spans="1:5" x14ac:dyDescent="0.2">
      <c r="A26" s="379" t="s">
        <v>648</v>
      </c>
      <c r="B26" s="377">
        <f>MAX('XS Rating Step B-F Inputs'!B9,'XS Rating Step B-F Inputs'!B10)</f>
        <v>1</v>
      </c>
    </row>
    <row r="27" spans="1:5" x14ac:dyDescent="0.2">
      <c r="A27" s="379" t="s">
        <v>644</v>
      </c>
      <c r="B27" s="333"/>
    </row>
    <row r="28" spans="1:5" x14ac:dyDescent="0.2">
      <c r="A28" s="379" t="s">
        <v>645</v>
      </c>
      <c r="B28" s="333" t="str">
        <f>IF(B22&lt;B24,B24*B26,"N/A")</f>
        <v>N/A</v>
      </c>
    </row>
    <row r="29" spans="1:5" x14ac:dyDescent="0.2">
      <c r="A29" s="379" t="s">
        <v>646</v>
      </c>
      <c r="B29" s="333"/>
      <c r="C29" s="385" t="s">
        <v>643</v>
      </c>
    </row>
    <row r="30" spans="1:5" x14ac:dyDescent="0.2">
      <c r="A30" s="386" t="s">
        <v>647</v>
      </c>
      <c r="B30" s="387">
        <f>IF(OR(B22&gt;B24,B22=B24),B22*B26,"N/A")</f>
        <v>782500</v>
      </c>
      <c r="C30" s="378">
        <f>+B30-B31</f>
        <v>0</v>
      </c>
    </row>
    <row r="31" spans="1:5" ht="15.75" x14ac:dyDescent="0.25">
      <c r="A31" s="237" t="s">
        <v>519</v>
      </c>
      <c r="B31" s="334">
        <f>IF(AND('XS Rating Step B-F Inputs'!B9="",'XS Rating Step B-F Inputs'!B10=""),ROUND(IF(B22&lt;B24,B24,B22),0),ROUND(IF(B22&lt;B24,B24*MAX('XS Rating Step B-F Inputs'!B9,'XS Rating Step B-F Inputs'!B10),B22*MAX('XS Rating Step B-F Inputs'!B9,'XS Rating Step B-F Inputs'!B10)),0))</f>
        <v>782500</v>
      </c>
      <c r="E31" s="368"/>
    </row>
    <row r="32" spans="1:5" ht="15.75" x14ac:dyDescent="0.25">
      <c r="B32" s="333"/>
      <c r="E32" s="368"/>
    </row>
    <row r="33" spans="1:3" outlineLevel="1" x14ac:dyDescent="0.2">
      <c r="A33" s="390" t="s">
        <v>652</v>
      </c>
      <c r="B33" s="373" t="s">
        <v>653</v>
      </c>
    </row>
    <row r="34" spans="1:3" outlineLevel="1" x14ac:dyDescent="0.2">
      <c r="A34" s="379" t="s">
        <v>649</v>
      </c>
      <c r="B34" s="388">
        <v>0.01</v>
      </c>
      <c r="C34" s="373" t="s">
        <v>672</v>
      </c>
    </row>
    <row r="35" spans="1:3" outlineLevel="1" x14ac:dyDescent="0.2">
      <c r="A35" s="379" t="s">
        <v>650</v>
      </c>
      <c r="B35" s="388">
        <v>0</v>
      </c>
    </row>
    <row r="36" spans="1:3" outlineLevel="1" x14ac:dyDescent="0.2">
      <c r="A36" s="237" t="s">
        <v>651</v>
      </c>
      <c r="B36" s="334">
        <f>+B31*(1+B34+B35)</f>
        <v>790325</v>
      </c>
    </row>
    <row r="37" spans="1:3" x14ac:dyDescent="0.2">
      <c r="A37" s="379"/>
      <c r="B37" s="389"/>
    </row>
    <row r="38" spans="1:3" x14ac:dyDescent="0.2">
      <c r="A38" s="379"/>
      <c r="B38" s="389"/>
    </row>
  </sheetData>
  <pageMargins left="0.7" right="0.7" top="0.75" bottom="0.75" header="0.3" footer="0.3"/>
  <pageSetup scale="65"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548B7-C59A-46F7-8063-C2DA9C3FA2BC}">
  <sheetPr>
    <tabColor rgb="FF00B0F0"/>
  </sheetPr>
  <dimension ref="A1:L122"/>
  <sheetViews>
    <sheetView showGridLines="0" zoomScaleNormal="100" workbookViewId="0">
      <selection activeCell="A98" sqref="A98"/>
    </sheetView>
  </sheetViews>
  <sheetFormatPr defaultRowHeight="12.75" x14ac:dyDescent="0.2"/>
  <cols>
    <col min="1" max="2" width="17.625" style="236" customWidth="1"/>
    <col min="3" max="3" width="19.75" style="236" customWidth="1"/>
    <col min="4" max="5" width="17.625" style="236" customWidth="1"/>
    <col min="6" max="6" width="7.75" style="306" customWidth="1"/>
    <col min="7" max="8" width="9" style="236"/>
    <col min="9" max="9" width="24.375" style="236" bestFit="1" customWidth="1"/>
    <col min="10" max="16384" width="9" style="236"/>
  </cols>
  <sheetData>
    <row r="1" spans="1:6" x14ac:dyDescent="0.2">
      <c r="A1" s="236" t="s">
        <v>262</v>
      </c>
      <c r="F1" s="302"/>
    </row>
    <row r="2" spans="1:6" x14ac:dyDescent="0.2">
      <c r="A2" s="236" t="s">
        <v>525</v>
      </c>
      <c r="F2" s="302"/>
    </row>
    <row r="3" spans="1:6" x14ac:dyDescent="0.2">
      <c r="F3" s="302"/>
    </row>
    <row r="4" spans="1:6" x14ac:dyDescent="0.2">
      <c r="A4" s="253" t="s">
        <v>264</v>
      </c>
      <c r="F4" s="302"/>
    </row>
    <row r="5" spans="1:6" x14ac:dyDescent="0.2">
      <c r="A5" s="254" t="s">
        <v>309</v>
      </c>
      <c r="F5" s="302"/>
    </row>
    <row r="6" spans="1:6" x14ac:dyDescent="0.2">
      <c r="A6" s="255" t="s">
        <v>265</v>
      </c>
      <c r="F6" s="302"/>
    </row>
    <row r="7" spans="1:6" x14ac:dyDescent="0.2">
      <c r="A7" s="255" t="s">
        <v>266</v>
      </c>
      <c r="F7" s="302"/>
    </row>
    <row r="8" spans="1:6" x14ac:dyDescent="0.2">
      <c r="A8" s="255"/>
      <c r="F8" s="302"/>
    </row>
    <row r="9" spans="1:6" x14ac:dyDescent="0.2">
      <c r="A9" s="256" t="s">
        <v>553</v>
      </c>
      <c r="F9" s="302"/>
    </row>
    <row r="10" spans="1:6" x14ac:dyDescent="0.2">
      <c r="A10" s="238">
        <v>1</v>
      </c>
      <c r="B10" s="238">
        <v>2</v>
      </c>
      <c r="C10" s="238">
        <v>3</v>
      </c>
      <c r="D10" s="238">
        <v>4</v>
      </c>
      <c r="E10" s="238">
        <v>5</v>
      </c>
      <c r="F10" s="303"/>
    </row>
    <row r="11" spans="1:6" x14ac:dyDescent="0.2">
      <c r="A11" s="238" t="s">
        <v>267</v>
      </c>
      <c r="B11" s="238" t="s">
        <v>268</v>
      </c>
      <c r="C11" s="238" t="s">
        <v>269</v>
      </c>
      <c r="D11" s="238" t="s">
        <v>270</v>
      </c>
      <c r="E11" s="238" t="s">
        <v>271</v>
      </c>
      <c r="F11" s="303"/>
    </row>
    <row r="12" spans="1:6" x14ac:dyDescent="0.2">
      <c r="A12" s="239" t="s">
        <v>272</v>
      </c>
      <c r="B12" s="239" t="s">
        <v>273</v>
      </c>
      <c r="C12" s="239" t="s">
        <v>274</v>
      </c>
      <c r="D12" s="239" t="s">
        <v>275</v>
      </c>
      <c r="E12" s="239" t="s">
        <v>276</v>
      </c>
      <c r="F12" s="304"/>
    </row>
    <row r="13" spans="1:6" x14ac:dyDescent="0.2">
      <c r="A13" s="257" t="s">
        <v>277</v>
      </c>
      <c r="F13" s="302"/>
    </row>
    <row r="14" spans="1:6" x14ac:dyDescent="0.2">
      <c r="A14" s="257"/>
      <c r="F14" s="302"/>
    </row>
    <row r="15" spans="1:6" x14ac:dyDescent="0.2">
      <c r="A15" s="256" t="s">
        <v>554</v>
      </c>
      <c r="F15" s="302"/>
    </row>
    <row r="16" spans="1:6" x14ac:dyDescent="0.2">
      <c r="A16" s="238">
        <v>1</v>
      </c>
      <c r="B16" s="238">
        <v>2</v>
      </c>
      <c r="C16" s="238">
        <v>3</v>
      </c>
      <c r="D16" s="238">
        <v>4</v>
      </c>
      <c r="E16" s="238">
        <v>5</v>
      </c>
      <c r="F16" s="302"/>
    </row>
    <row r="17" spans="1:12" x14ac:dyDescent="0.2">
      <c r="A17" s="238" t="s">
        <v>267</v>
      </c>
      <c r="B17" s="238" t="s">
        <v>268</v>
      </c>
      <c r="C17" s="238" t="s">
        <v>269</v>
      </c>
      <c r="D17" s="238" t="s">
        <v>270</v>
      </c>
      <c r="E17" s="238" t="s">
        <v>271</v>
      </c>
      <c r="F17" s="302"/>
    </row>
    <row r="18" spans="1:12" x14ac:dyDescent="0.2">
      <c r="A18" s="340">
        <v>0.48</v>
      </c>
      <c r="B18" s="340">
        <v>0.6</v>
      </c>
      <c r="C18" s="340">
        <v>0.7</v>
      </c>
      <c r="D18" s="340">
        <v>0.8</v>
      </c>
      <c r="E18" s="340">
        <v>0.93</v>
      </c>
      <c r="F18" s="302"/>
    </row>
    <row r="19" spans="1:12" x14ac:dyDescent="0.2">
      <c r="A19" s="257"/>
      <c r="F19" s="302"/>
    </row>
    <row r="20" spans="1:12" x14ac:dyDescent="0.2">
      <c r="A20" s="257"/>
      <c r="F20" s="302"/>
    </row>
    <row r="21" spans="1:12" x14ac:dyDescent="0.2">
      <c r="A21" s="256" t="s">
        <v>537</v>
      </c>
      <c r="F21" s="302"/>
    </row>
    <row r="22" spans="1:12" x14ac:dyDescent="0.2">
      <c r="A22" s="238">
        <v>1</v>
      </c>
      <c r="B22" s="238">
        <v>2</v>
      </c>
      <c r="C22" s="238">
        <v>3</v>
      </c>
      <c r="D22" s="238">
        <v>4</v>
      </c>
      <c r="E22" s="238">
        <v>5</v>
      </c>
      <c r="F22" s="302"/>
    </row>
    <row r="23" spans="1:12" x14ac:dyDescent="0.2">
      <c r="A23" s="238" t="s">
        <v>267</v>
      </c>
      <c r="B23" s="238" t="s">
        <v>268</v>
      </c>
      <c r="C23" s="238" t="s">
        <v>269</v>
      </c>
      <c r="D23" s="238" t="s">
        <v>270</v>
      </c>
      <c r="E23" s="238" t="s">
        <v>271</v>
      </c>
      <c r="F23" s="302"/>
    </row>
    <row r="24" spans="1:12" x14ac:dyDescent="0.2">
      <c r="A24" s="340">
        <v>0.7</v>
      </c>
      <c r="B24" s="340">
        <v>0.7</v>
      </c>
      <c r="C24" s="340">
        <v>0.7</v>
      </c>
      <c r="D24" s="340">
        <v>0.7</v>
      </c>
      <c r="E24" s="340">
        <v>0.7</v>
      </c>
      <c r="F24" s="302"/>
    </row>
    <row r="25" spans="1:12" x14ac:dyDescent="0.2">
      <c r="A25" s="351"/>
      <c r="B25" s="351"/>
      <c r="C25" s="351"/>
      <c r="D25" s="351"/>
      <c r="E25" s="351"/>
      <c r="F25" s="302"/>
    </row>
    <row r="26" spans="1:12" x14ac:dyDescent="0.2">
      <c r="A26" s="351"/>
      <c r="B26" s="351"/>
      <c r="C26" s="351"/>
      <c r="D26" s="351"/>
      <c r="E26" s="351"/>
      <c r="F26" s="302"/>
    </row>
    <row r="27" spans="1:12" x14ac:dyDescent="0.2">
      <c r="A27" s="240" t="s">
        <v>278</v>
      </c>
      <c r="F27" s="302"/>
    </row>
    <row r="28" spans="1:12" x14ac:dyDescent="0.2">
      <c r="A28" s="256"/>
      <c r="F28" s="302"/>
    </row>
    <row r="29" spans="1:12" x14ac:dyDescent="0.2">
      <c r="A29" s="258" t="s">
        <v>360</v>
      </c>
      <c r="B29" s="259"/>
      <c r="F29" s="302"/>
      <c r="H29" s="236">
        <v>1</v>
      </c>
      <c r="I29" s="236" t="s">
        <v>267</v>
      </c>
      <c r="J29" s="236" t="s">
        <v>272</v>
      </c>
      <c r="K29" s="236">
        <v>40</v>
      </c>
      <c r="L29" s="236">
        <v>55</v>
      </c>
    </row>
    <row r="30" spans="1:12" x14ac:dyDescent="0.2">
      <c r="A30" s="258" t="s">
        <v>361</v>
      </c>
      <c r="B30" s="259"/>
      <c r="F30" s="302"/>
      <c r="H30" s="236">
        <v>2</v>
      </c>
      <c r="I30" s="236" t="s">
        <v>268</v>
      </c>
      <c r="J30" s="236" t="s">
        <v>273</v>
      </c>
      <c r="K30" s="236">
        <v>55</v>
      </c>
      <c r="L30" s="236">
        <v>65</v>
      </c>
    </row>
    <row r="31" spans="1:12" x14ac:dyDescent="0.2">
      <c r="A31" s="258" t="s">
        <v>362</v>
      </c>
      <c r="B31" s="259"/>
      <c r="F31" s="302"/>
      <c r="H31" s="236">
        <v>3</v>
      </c>
      <c r="I31" s="236" t="s">
        <v>269</v>
      </c>
      <c r="J31" s="236" t="s">
        <v>274</v>
      </c>
      <c r="K31" s="236">
        <v>65</v>
      </c>
      <c r="L31" s="236">
        <v>75</v>
      </c>
    </row>
    <row r="32" spans="1:12" x14ac:dyDescent="0.2">
      <c r="A32" s="258" t="s">
        <v>363</v>
      </c>
      <c r="B32" s="259"/>
      <c r="F32" s="302"/>
      <c r="H32" s="236">
        <v>4</v>
      </c>
      <c r="I32" s="236" t="s">
        <v>270</v>
      </c>
      <c r="J32" s="236" t="s">
        <v>275</v>
      </c>
      <c r="K32" s="236">
        <v>75</v>
      </c>
      <c r="L32" s="236">
        <v>85</v>
      </c>
    </row>
    <row r="33" spans="1:12" x14ac:dyDescent="0.2">
      <c r="A33" s="258" t="s">
        <v>364</v>
      </c>
      <c r="B33" s="259"/>
      <c r="F33" s="302"/>
      <c r="H33" s="236">
        <v>5</v>
      </c>
      <c r="I33" s="236" t="s">
        <v>271</v>
      </c>
      <c r="J33" s="236" t="s">
        <v>276</v>
      </c>
      <c r="K33" s="236">
        <v>85</v>
      </c>
      <c r="L33" s="236">
        <v>150</v>
      </c>
    </row>
    <row r="34" spans="1:12" x14ac:dyDescent="0.2">
      <c r="A34" s="258" t="s">
        <v>365</v>
      </c>
      <c r="B34" s="259"/>
      <c r="F34" s="302"/>
    </row>
    <row r="35" spans="1:12" x14ac:dyDescent="0.2">
      <c r="A35" s="258" t="s">
        <v>366</v>
      </c>
      <c r="B35" s="259"/>
      <c r="F35" s="302"/>
    </row>
    <row r="36" spans="1:12" x14ac:dyDescent="0.2">
      <c r="A36" s="258"/>
      <c r="B36" s="259"/>
      <c r="F36" s="302"/>
      <c r="I36" s="236" t="s">
        <v>315</v>
      </c>
      <c r="J36" s="243">
        <f>LEFT('XS Rating Step A Inputs'!C38,2)/100</f>
        <v>0.4</v>
      </c>
    </row>
    <row r="37" spans="1:12" x14ac:dyDescent="0.2">
      <c r="A37" s="240" t="s">
        <v>304</v>
      </c>
      <c r="B37" s="259"/>
      <c r="F37" s="302"/>
      <c r="I37" s="236" t="s">
        <v>316</v>
      </c>
      <c r="J37" s="243">
        <f>MID('XS Rating Step A Inputs'!C38,4,2)/100</f>
        <v>0.55000000000000004</v>
      </c>
    </row>
    <row r="38" spans="1:12" x14ac:dyDescent="0.2">
      <c r="A38" s="240" t="s">
        <v>303</v>
      </c>
      <c r="F38" s="302"/>
    </row>
    <row r="39" spans="1:12" ht="65.25" customHeight="1" x14ac:dyDescent="0.2">
      <c r="A39" s="403" t="s">
        <v>326</v>
      </c>
      <c r="B39" s="404"/>
      <c r="C39" s="404"/>
      <c r="D39" s="404"/>
      <c r="E39" s="405"/>
      <c r="F39" s="305"/>
    </row>
    <row r="40" spans="1:12" ht="70.5" customHeight="1" x14ac:dyDescent="0.2">
      <c r="A40" s="403" t="s">
        <v>327</v>
      </c>
      <c r="B40" s="404"/>
      <c r="C40" s="404"/>
      <c r="D40" s="404"/>
      <c r="E40" s="405"/>
      <c r="F40" s="305"/>
    </row>
    <row r="41" spans="1:12" ht="69" customHeight="1" x14ac:dyDescent="0.2">
      <c r="A41" s="403" t="s">
        <v>328</v>
      </c>
      <c r="B41" s="404"/>
      <c r="C41" s="404"/>
      <c r="D41" s="404"/>
      <c r="E41" s="405"/>
      <c r="F41" s="305"/>
    </row>
    <row r="42" spans="1:12" ht="65.25" customHeight="1" x14ac:dyDescent="0.2">
      <c r="A42" s="403" t="s">
        <v>329</v>
      </c>
      <c r="B42" s="404"/>
      <c r="C42" s="404"/>
      <c r="D42" s="404"/>
      <c r="E42" s="405"/>
      <c r="F42" s="305"/>
    </row>
    <row r="43" spans="1:12" ht="55.5" customHeight="1" x14ac:dyDescent="0.2">
      <c r="A43" s="403" t="s">
        <v>330</v>
      </c>
      <c r="B43" s="404"/>
      <c r="C43" s="404"/>
      <c r="D43" s="404"/>
      <c r="E43" s="405"/>
      <c r="F43" s="305"/>
    </row>
    <row r="44" spans="1:12" x14ac:dyDescent="0.2">
      <c r="F44" s="302"/>
    </row>
    <row r="45" spans="1:12" x14ac:dyDescent="0.2">
      <c r="A45" s="256"/>
      <c r="F45" s="302"/>
    </row>
    <row r="46" spans="1:12" x14ac:dyDescent="0.2">
      <c r="A46" s="254" t="s">
        <v>310</v>
      </c>
      <c r="F46" s="302"/>
    </row>
    <row r="47" spans="1:12" x14ac:dyDescent="0.2">
      <c r="A47" s="370" t="s">
        <v>630</v>
      </c>
      <c r="F47" s="302"/>
    </row>
    <row r="48" spans="1:12" ht="15.75" customHeight="1" x14ac:dyDescent="0.2">
      <c r="A48" s="266"/>
      <c r="B48" s="238" t="s">
        <v>526</v>
      </c>
      <c r="C48" s="238" t="s">
        <v>527</v>
      </c>
      <c r="F48" s="302"/>
    </row>
    <row r="49" spans="1:8" ht="25.5" x14ac:dyDescent="0.2">
      <c r="A49" s="266" t="s">
        <v>279</v>
      </c>
      <c r="B49" s="335" t="s">
        <v>280</v>
      </c>
      <c r="C49" s="341">
        <v>0.8</v>
      </c>
      <c r="F49" s="302"/>
      <c r="G49" s="236">
        <v>0.599999999999</v>
      </c>
      <c r="H49" s="236">
        <v>0.90000000000001001</v>
      </c>
    </row>
    <row r="50" spans="1:8" ht="25.5" x14ac:dyDescent="0.2">
      <c r="A50" s="266" t="s">
        <v>281</v>
      </c>
      <c r="B50" s="335" t="s">
        <v>282</v>
      </c>
      <c r="C50" s="341">
        <v>0.65</v>
      </c>
      <c r="F50" s="302"/>
      <c r="G50" s="236">
        <v>0.54999999999999005</v>
      </c>
      <c r="H50" s="236">
        <v>0.75</v>
      </c>
    </row>
    <row r="51" spans="1:8" x14ac:dyDescent="0.2">
      <c r="A51" s="261"/>
      <c r="B51" s="262"/>
      <c r="F51" s="302"/>
    </row>
    <row r="52" spans="1:8" x14ac:dyDescent="0.2">
      <c r="A52" s="261"/>
      <c r="B52" s="262"/>
      <c r="F52" s="302"/>
    </row>
    <row r="53" spans="1:8" x14ac:dyDescent="0.2">
      <c r="A53" s="254" t="s">
        <v>311</v>
      </c>
      <c r="F53" s="302"/>
    </row>
    <row r="54" spans="1:8" x14ac:dyDescent="0.2">
      <c r="A54" s="254"/>
      <c r="F54" s="302"/>
    </row>
    <row r="55" spans="1:8" x14ac:dyDescent="0.2">
      <c r="A55" s="240" t="s">
        <v>525</v>
      </c>
      <c r="F55" s="302"/>
    </row>
    <row r="56" spans="1:8" x14ac:dyDescent="0.2">
      <c r="A56" s="347" t="s">
        <v>84</v>
      </c>
      <c r="B56" s="347" t="s">
        <v>550</v>
      </c>
      <c r="C56" s="355"/>
      <c r="F56" s="302"/>
      <c r="G56" s="236" t="s">
        <v>84</v>
      </c>
    </row>
    <row r="57" spans="1:8" x14ac:dyDescent="0.2">
      <c r="A57" s="347" t="s">
        <v>85</v>
      </c>
      <c r="B57" s="347" t="s">
        <v>550</v>
      </c>
      <c r="C57" s="355"/>
      <c r="F57" s="302"/>
      <c r="G57" s="236" t="s">
        <v>345</v>
      </c>
    </row>
    <row r="58" spans="1:8" x14ac:dyDescent="0.2">
      <c r="A58" s="347" t="s">
        <v>86</v>
      </c>
      <c r="B58" s="347" t="s">
        <v>550</v>
      </c>
      <c r="C58" s="355"/>
      <c r="F58" s="302"/>
      <c r="G58" s="236" t="s">
        <v>346</v>
      </c>
    </row>
    <row r="59" spans="1:8" x14ac:dyDescent="0.2">
      <c r="A59" s="347" t="s">
        <v>541</v>
      </c>
      <c r="B59" s="347" t="s">
        <v>550</v>
      </c>
      <c r="C59" s="355"/>
      <c r="F59" s="302"/>
      <c r="G59" s="236" t="s">
        <v>347</v>
      </c>
    </row>
    <row r="60" spans="1:8" x14ac:dyDescent="0.2">
      <c r="A60" s="347" t="s">
        <v>542</v>
      </c>
      <c r="B60" s="347" t="s">
        <v>550</v>
      </c>
      <c r="C60" s="355"/>
      <c r="F60" s="302"/>
      <c r="G60" s="236" t="s">
        <v>348</v>
      </c>
    </row>
    <row r="61" spans="1:8" x14ac:dyDescent="0.2">
      <c r="A61" s="347" t="s">
        <v>543</v>
      </c>
      <c r="B61" s="347" t="s">
        <v>550</v>
      </c>
      <c r="C61" s="355"/>
      <c r="F61" s="302"/>
      <c r="G61" s="236" t="s">
        <v>349</v>
      </c>
    </row>
    <row r="62" spans="1:8" x14ac:dyDescent="0.2">
      <c r="A62" s="263"/>
      <c r="F62" s="302"/>
    </row>
    <row r="63" spans="1:8" x14ac:dyDescent="0.2">
      <c r="A63" s="240" t="s">
        <v>628</v>
      </c>
      <c r="F63" s="302"/>
    </row>
    <row r="64" spans="1:8" x14ac:dyDescent="0.2">
      <c r="A64" s="347" t="s">
        <v>84</v>
      </c>
      <c r="B64" s="347" t="s">
        <v>544</v>
      </c>
      <c r="C64" s="355"/>
      <c r="F64" s="302"/>
    </row>
    <row r="65" spans="1:7" x14ac:dyDescent="0.2">
      <c r="A65" s="347" t="s">
        <v>85</v>
      </c>
      <c r="B65" s="347" t="s">
        <v>545</v>
      </c>
      <c r="C65" s="355"/>
      <c r="F65" s="302"/>
    </row>
    <row r="66" spans="1:7" x14ac:dyDescent="0.2">
      <c r="A66" s="347" t="s">
        <v>86</v>
      </c>
      <c r="B66" s="347" t="s">
        <v>546</v>
      </c>
      <c r="C66" s="355"/>
      <c r="F66" s="302"/>
    </row>
    <row r="67" spans="1:7" x14ac:dyDescent="0.2">
      <c r="A67" s="347" t="s">
        <v>541</v>
      </c>
      <c r="B67" s="347" t="s">
        <v>547</v>
      </c>
      <c r="C67" s="355"/>
      <c r="F67" s="302"/>
    </row>
    <row r="68" spans="1:7" x14ac:dyDescent="0.2">
      <c r="A68" s="347" t="s">
        <v>542</v>
      </c>
      <c r="B68" s="347" t="s">
        <v>548</v>
      </c>
      <c r="C68" s="355"/>
      <c r="F68" s="302"/>
    </row>
    <row r="69" spans="1:7" x14ac:dyDescent="0.2">
      <c r="A69" s="347" t="s">
        <v>543</v>
      </c>
      <c r="B69" s="347" t="s">
        <v>549</v>
      </c>
      <c r="C69" s="355"/>
      <c r="F69" s="302"/>
    </row>
    <row r="70" spans="1:7" x14ac:dyDescent="0.2">
      <c r="A70" s="263"/>
      <c r="F70" s="302"/>
    </row>
    <row r="71" spans="1:7" x14ac:dyDescent="0.2">
      <c r="A71" s="263"/>
      <c r="F71" s="302"/>
    </row>
    <row r="72" spans="1:7" x14ac:dyDescent="0.2">
      <c r="A72" s="254" t="s">
        <v>312</v>
      </c>
      <c r="F72" s="302"/>
    </row>
    <row r="73" spans="1:7" x14ac:dyDescent="0.2">
      <c r="A73" s="254"/>
      <c r="F73" s="302"/>
    </row>
    <row r="74" spans="1:7" x14ac:dyDescent="0.2">
      <c r="A74" s="236" t="s">
        <v>525</v>
      </c>
      <c r="F74" s="302"/>
      <c r="G74" s="236" t="s">
        <v>355</v>
      </c>
    </row>
    <row r="75" spans="1:7" x14ac:dyDescent="0.2">
      <c r="A75" s="358" t="s">
        <v>354</v>
      </c>
      <c r="B75" s="359"/>
      <c r="C75" s="359"/>
      <c r="D75" s="323"/>
      <c r="F75" s="302"/>
      <c r="G75" s="236" t="s">
        <v>195</v>
      </c>
    </row>
    <row r="76" spans="1:7" x14ac:dyDescent="0.2">
      <c r="A76" s="360" t="s">
        <v>353</v>
      </c>
      <c r="B76" s="285"/>
      <c r="C76" s="285"/>
      <c r="D76" s="286"/>
      <c r="F76" s="302"/>
    </row>
    <row r="77" spans="1:7" x14ac:dyDescent="0.2">
      <c r="A77" s="255"/>
      <c r="F77" s="302"/>
    </row>
    <row r="78" spans="1:7" x14ac:dyDescent="0.2">
      <c r="A78" s="256" t="s">
        <v>628</v>
      </c>
      <c r="F78" s="302"/>
    </row>
    <row r="79" spans="1:7" x14ac:dyDescent="0.2">
      <c r="A79" s="347" t="s">
        <v>84</v>
      </c>
      <c r="B79" s="347" t="s">
        <v>544</v>
      </c>
      <c r="C79" s="355"/>
      <c r="F79" s="302"/>
    </row>
    <row r="80" spans="1:7" x14ac:dyDescent="0.2">
      <c r="A80" s="347" t="s">
        <v>85</v>
      </c>
      <c r="B80" s="347" t="s">
        <v>545</v>
      </c>
      <c r="C80" s="355"/>
      <c r="F80" s="302"/>
    </row>
    <row r="81" spans="1:12" x14ac:dyDescent="0.2">
      <c r="A81" s="347" t="s">
        <v>86</v>
      </c>
      <c r="B81" s="347" t="s">
        <v>546</v>
      </c>
      <c r="C81" s="355"/>
      <c r="F81" s="302"/>
    </row>
    <row r="82" spans="1:12" x14ac:dyDescent="0.2">
      <c r="A82" s="347" t="s">
        <v>541</v>
      </c>
      <c r="B82" s="347" t="s">
        <v>547</v>
      </c>
      <c r="C82" s="355"/>
      <c r="F82" s="302"/>
    </row>
    <row r="83" spans="1:12" x14ac:dyDescent="0.2">
      <c r="A83" s="347" t="s">
        <v>542</v>
      </c>
      <c r="B83" s="347" t="s">
        <v>548</v>
      </c>
      <c r="C83" s="355"/>
      <c r="F83" s="302"/>
    </row>
    <row r="84" spans="1:12" x14ac:dyDescent="0.2">
      <c r="A84" s="347" t="s">
        <v>543</v>
      </c>
      <c r="B84" s="347" t="s">
        <v>549</v>
      </c>
      <c r="C84" s="355"/>
      <c r="F84" s="302"/>
    </row>
    <row r="85" spans="1:12" x14ac:dyDescent="0.2">
      <c r="A85" s="255"/>
      <c r="F85" s="302"/>
    </row>
    <row r="86" spans="1:12" x14ac:dyDescent="0.2">
      <c r="A86" s="236" t="s">
        <v>629</v>
      </c>
      <c r="F86" s="302"/>
    </row>
    <row r="87" spans="1:12" x14ac:dyDescent="0.2">
      <c r="A87" s="356" t="s">
        <v>555</v>
      </c>
      <c r="B87" s="361"/>
      <c r="C87" s="361"/>
      <c r="D87" s="357"/>
      <c r="F87" s="302"/>
    </row>
    <row r="88" spans="1:12" x14ac:dyDescent="0.2">
      <c r="A88" s="255"/>
      <c r="F88" s="302"/>
    </row>
    <row r="89" spans="1:12" x14ac:dyDescent="0.2">
      <c r="A89" s="255"/>
      <c r="F89" s="302"/>
    </row>
    <row r="90" spans="1:12" x14ac:dyDescent="0.2">
      <c r="A90" s="254" t="s">
        <v>313</v>
      </c>
      <c r="F90" s="302"/>
    </row>
    <row r="91" spans="1:12" x14ac:dyDescent="0.2">
      <c r="A91" s="240" t="s">
        <v>283</v>
      </c>
      <c r="F91" s="302"/>
    </row>
    <row r="92" spans="1:12" x14ac:dyDescent="0.2">
      <c r="A92" s="260" t="s">
        <v>551</v>
      </c>
      <c r="F92" s="302"/>
    </row>
    <row r="93" spans="1:12" ht="25.5" customHeight="1" x14ac:dyDescent="0.2">
      <c r="A93" s="400" t="s">
        <v>284</v>
      </c>
      <c r="B93" s="401"/>
      <c r="C93" s="401"/>
      <c r="D93" s="401"/>
      <c r="F93" s="302"/>
    </row>
    <row r="94" spans="1:12" x14ac:dyDescent="0.2">
      <c r="A94" s="402" t="s">
        <v>285</v>
      </c>
      <c r="B94" s="264" t="s">
        <v>286</v>
      </c>
      <c r="C94" s="264" t="s">
        <v>288</v>
      </c>
      <c r="D94" s="264" t="s">
        <v>290</v>
      </c>
      <c r="F94" s="302"/>
      <c r="I94" s="322" t="s">
        <v>507</v>
      </c>
      <c r="J94" s="323"/>
    </row>
    <row r="95" spans="1:12" x14ac:dyDescent="0.2">
      <c r="A95" s="402"/>
      <c r="B95" s="265" t="s">
        <v>287</v>
      </c>
      <c r="C95" s="265" t="s">
        <v>289</v>
      </c>
      <c r="D95" s="265" t="s">
        <v>291</v>
      </c>
      <c r="F95" s="302"/>
      <c r="I95" s="324"/>
      <c r="J95" s="325"/>
    </row>
    <row r="96" spans="1:12" x14ac:dyDescent="0.2">
      <c r="A96" s="266" t="s">
        <v>292</v>
      </c>
      <c r="B96" s="267">
        <v>5000</v>
      </c>
      <c r="C96" s="267">
        <v>3000</v>
      </c>
      <c r="D96" s="267">
        <v>2000</v>
      </c>
      <c r="F96" s="302"/>
      <c r="I96" s="326" t="s">
        <v>485</v>
      </c>
      <c r="J96" s="327">
        <f>B96</f>
        <v>5000</v>
      </c>
      <c r="L96" s="236">
        <v>1</v>
      </c>
    </row>
    <row r="97" spans="1:12" ht="25.5" x14ac:dyDescent="0.2">
      <c r="A97" s="266" t="s">
        <v>293</v>
      </c>
      <c r="B97" s="268">
        <v>2000</v>
      </c>
      <c r="C97" s="268">
        <v>1000</v>
      </c>
      <c r="D97" s="268">
        <v>1000</v>
      </c>
      <c r="F97" s="302"/>
      <c r="I97" s="326" t="s">
        <v>486</v>
      </c>
      <c r="J97" s="327">
        <f>C96</f>
        <v>3000</v>
      </c>
      <c r="L97" s="236">
        <v>10</v>
      </c>
    </row>
    <row r="98" spans="1:12" ht="25.5" x14ac:dyDescent="0.2">
      <c r="A98" s="266" t="s">
        <v>294</v>
      </c>
      <c r="B98" s="268">
        <v>2000</v>
      </c>
      <c r="C98" s="268">
        <v>2000</v>
      </c>
      <c r="D98" s="268">
        <v>2000</v>
      </c>
      <c r="F98" s="302"/>
      <c r="I98" s="326" t="s">
        <v>487</v>
      </c>
      <c r="J98" s="327">
        <f>D96</f>
        <v>2000</v>
      </c>
      <c r="L98" s="236">
        <v>25</v>
      </c>
    </row>
    <row r="99" spans="1:12" x14ac:dyDescent="0.2">
      <c r="A99" s="266" t="s">
        <v>295</v>
      </c>
      <c r="B99" s="268">
        <v>2500</v>
      </c>
      <c r="C99" s="268">
        <v>2000</v>
      </c>
      <c r="D99" s="268">
        <v>1500</v>
      </c>
      <c r="F99" s="302"/>
      <c r="I99" s="328" t="s">
        <v>488</v>
      </c>
      <c r="J99" s="327">
        <f>B97</f>
        <v>2000</v>
      </c>
    </row>
    <row r="100" spans="1:12" ht="25.5" x14ac:dyDescent="0.2">
      <c r="A100" s="266" t="s">
        <v>296</v>
      </c>
      <c r="B100" s="268">
        <v>750</v>
      </c>
      <c r="C100" s="268">
        <v>750</v>
      </c>
      <c r="D100" s="268">
        <v>750</v>
      </c>
      <c r="F100" s="302"/>
      <c r="I100" s="328" t="s">
        <v>489</v>
      </c>
      <c r="J100" s="327">
        <f>C97</f>
        <v>1000</v>
      </c>
    </row>
    <row r="101" spans="1:12" x14ac:dyDescent="0.2">
      <c r="A101" s="266" t="s">
        <v>297</v>
      </c>
      <c r="B101" s="268">
        <v>2000</v>
      </c>
      <c r="C101" s="268">
        <v>1000</v>
      </c>
      <c r="D101" s="268">
        <v>1000</v>
      </c>
      <c r="F101" s="302"/>
      <c r="I101" s="328" t="s">
        <v>490</v>
      </c>
      <c r="J101" s="327">
        <f>D97</f>
        <v>1000</v>
      </c>
    </row>
    <row r="102" spans="1:12" x14ac:dyDescent="0.2">
      <c r="A102" s="240" t="s">
        <v>298</v>
      </c>
      <c r="F102" s="302"/>
      <c r="I102" s="328" t="s">
        <v>491</v>
      </c>
      <c r="J102" s="327">
        <f>B98</f>
        <v>2000</v>
      </c>
    </row>
    <row r="103" spans="1:12" x14ac:dyDescent="0.2">
      <c r="F103" s="302"/>
      <c r="I103" s="328" t="s">
        <v>492</v>
      </c>
      <c r="J103" s="327">
        <f>C98</f>
        <v>2000</v>
      </c>
    </row>
    <row r="104" spans="1:12" x14ac:dyDescent="0.2">
      <c r="A104" s="254" t="s">
        <v>314</v>
      </c>
      <c r="F104" s="302"/>
      <c r="I104" s="328" t="s">
        <v>493</v>
      </c>
      <c r="J104" s="327">
        <f>D98</f>
        <v>2000</v>
      </c>
    </row>
    <row r="105" spans="1:12" x14ac:dyDescent="0.2">
      <c r="A105" s="240" t="s">
        <v>474</v>
      </c>
      <c r="F105" s="302"/>
      <c r="G105" s="236">
        <v>0</v>
      </c>
      <c r="H105" s="236">
        <v>0.02</v>
      </c>
      <c r="I105" s="328" t="s">
        <v>494</v>
      </c>
      <c r="J105" s="327">
        <f>B99</f>
        <v>2500</v>
      </c>
    </row>
    <row r="106" spans="1:12" ht="28.5" customHeight="1" x14ac:dyDescent="0.2">
      <c r="A106" s="399" t="s">
        <v>299</v>
      </c>
      <c r="B106" s="399"/>
      <c r="C106" s="399"/>
      <c r="D106" s="399"/>
      <c r="F106" s="302"/>
      <c r="I106" s="328" t="s">
        <v>495</v>
      </c>
      <c r="J106" s="327">
        <f>C99</f>
        <v>2000</v>
      </c>
    </row>
    <row r="107" spans="1:12" x14ac:dyDescent="0.2">
      <c r="A107" s="240"/>
      <c r="I107" s="328" t="s">
        <v>496</v>
      </c>
      <c r="J107" s="327">
        <f>D99</f>
        <v>1500</v>
      </c>
    </row>
    <row r="108" spans="1:12" x14ac:dyDescent="0.2">
      <c r="A108" s="266"/>
      <c r="B108" s="238" t="s">
        <v>530</v>
      </c>
      <c r="C108" s="238" t="s">
        <v>531</v>
      </c>
      <c r="I108" s="328" t="s">
        <v>497</v>
      </c>
      <c r="J108" s="327">
        <f>B100</f>
        <v>750</v>
      </c>
    </row>
    <row r="109" spans="1:12" x14ac:dyDescent="0.2">
      <c r="A109" s="266" t="s">
        <v>528</v>
      </c>
      <c r="B109" s="335" t="s">
        <v>529</v>
      </c>
      <c r="C109" s="345">
        <v>0.01</v>
      </c>
      <c r="I109" s="328" t="s">
        <v>498</v>
      </c>
      <c r="J109" s="327">
        <f>C100</f>
        <v>750</v>
      </c>
    </row>
    <row r="110" spans="1:12" x14ac:dyDescent="0.2">
      <c r="I110" s="328" t="s">
        <v>499</v>
      </c>
      <c r="J110" s="327">
        <f>D100</f>
        <v>750</v>
      </c>
    </row>
    <row r="111" spans="1:12" x14ac:dyDescent="0.2">
      <c r="I111" s="328" t="s">
        <v>500</v>
      </c>
      <c r="J111" s="327">
        <f>B101</f>
        <v>2000</v>
      </c>
    </row>
    <row r="112" spans="1:12" x14ac:dyDescent="0.2">
      <c r="I112" s="328" t="s">
        <v>501</v>
      </c>
      <c r="J112" s="327">
        <f>C101</f>
        <v>1000</v>
      </c>
    </row>
    <row r="113" spans="9:10" x14ac:dyDescent="0.2">
      <c r="I113" s="328" t="s">
        <v>502</v>
      </c>
      <c r="J113" s="327">
        <f>D101</f>
        <v>1000</v>
      </c>
    </row>
    <row r="114" spans="9:10" x14ac:dyDescent="0.2">
      <c r="I114" s="324"/>
      <c r="J114" s="325"/>
    </row>
    <row r="115" spans="9:10" x14ac:dyDescent="0.2">
      <c r="I115" s="324" t="s">
        <v>508</v>
      </c>
      <c r="J115" s="325"/>
    </row>
    <row r="116" spans="9:10" x14ac:dyDescent="0.2">
      <c r="I116" s="332">
        <v>1</v>
      </c>
      <c r="J116" s="331" t="s">
        <v>504</v>
      </c>
    </row>
    <row r="117" spans="9:10" x14ac:dyDescent="0.2">
      <c r="I117" s="332">
        <v>10</v>
      </c>
      <c r="J117" s="331" t="s">
        <v>505</v>
      </c>
    </row>
    <row r="118" spans="9:10" x14ac:dyDescent="0.2">
      <c r="I118" s="332">
        <v>25</v>
      </c>
      <c r="J118" s="331" t="s">
        <v>506</v>
      </c>
    </row>
    <row r="119" spans="9:10" x14ac:dyDescent="0.2">
      <c r="I119" s="324"/>
      <c r="J119" s="325"/>
    </row>
    <row r="120" spans="9:10" x14ac:dyDescent="0.2">
      <c r="I120" s="324" t="s">
        <v>503</v>
      </c>
      <c r="J120" s="331" t="str">
        <f>VLOOKUP('XS Rating Step A Inputs'!B14/1000000,'XS Rate Tables Sections A-F'!$I$116:$J$118,2)</f>
        <v>25M</v>
      </c>
    </row>
    <row r="121" spans="9:10" x14ac:dyDescent="0.2">
      <c r="I121" s="324"/>
      <c r="J121" s="325"/>
    </row>
    <row r="122" spans="9:10" x14ac:dyDescent="0.2">
      <c r="I122" s="329" t="s">
        <v>509</v>
      </c>
      <c r="J122" s="286" t="str">
        <f>'XS Rating Step A Inputs'!B16&amp;J120</f>
        <v>Private Organizations25M</v>
      </c>
    </row>
  </sheetData>
  <mergeCells count="8">
    <mergeCell ref="A106:D106"/>
    <mergeCell ref="A93:D93"/>
    <mergeCell ref="A94:A95"/>
    <mergeCell ref="A39:E39"/>
    <mergeCell ref="A40:E40"/>
    <mergeCell ref="A41:E41"/>
    <mergeCell ref="A42:E42"/>
    <mergeCell ref="A43:E43"/>
  </mergeCell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69636-97E1-4856-8A4B-05597D9CA0EA}">
  <sheetPr>
    <tabColor rgb="FF00B0F0"/>
  </sheetPr>
  <dimension ref="A1:L66"/>
  <sheetViews>
    <sheetView showGridLines="0" zoomScale="85" zoomScaleNormal="85" workbookViewId="0"/>
  </sheetViews>
  <sheetFormatPr defaultRowHeight="12.75" x14ac:dyDescent="0.2"/>
  <cols>
    <col min="1" max="2" width="17.625" style="236" customWidth="1"/>
    <col min="3" max="3" width="19.75" style="236" customWidth="1"/>
    <col min="4" max="5" width="17.625" style="236" customWidth="1"/>
    <col min="6" max="6" width="7.75" style="306" customWidth="1"/>
    <col min="7" max="8" width="9" style="236"/>
    <col min="9" max="9" width="24.375" style="236" bestFit="1" customWidth="1"/>
    <col min="10" max="16384" width="9" style="236"/>
  </cols>
  <sheetData>
    <row r="1" spans="1:12" x14ac:dyDescent="0.2">
      <c r="A1" s="236" t="s">
        <v>262</v>
      </c>
      <c r="F1" s="302"/>
    </row>
    <row r="2" spans="1:12" x14ac:dyDescent="0.2">
      <c r="A2" s="236" t="s">
        <v>467</v>
      </c>
      <c r="F2" s="302"/>
    </row>
    <row r="3" spans="1:12" x14ac:dyDescent="0.2">
      <c r="F3" s="302"/>
    </row>
    <row r="4" spans="1:12" x14ac:dyDescent="0.2">
      <c r="A4" s="253" t="s">
        <v>264</v>
      </c>
      <c r="F4" s="302"/>
    </row>
    <row r="5" spans="1:12" x14ac:dyDescent="0.2">
      <c r="A5" s="254" t="s">
        <v>309</v>
      </c>
      <c r="F5" s="302"/>
    </row>
    <row r="6" spans="1:12" x14ac:dyDescent="0.2">
      <c r="A6" s="255" t="s">
        <v>556</v>
      </c>
      <c r="F6" s="302"/>
    </row>
    <row r="7" spans="1:12" x14ac:dyDescent="0.2">
      <c r="A7" s="255" t="s">
        <v>557</v>
      </c>
      <c r="F7" s="302"/>
    </row>
    <row r="8" spans="1:12" x14ac:dyDescent="0.2">
      <c r="A8" s="255"/>
      <c r="F8" s="302"/>
    </row>
    <row r="9" spans="1:12" x14ac:dyDescent="0.2">
      <c r="A9" s="256" t="s">
        <v>467</v>
      </c>
      <c r="F9" s="302"/>
    </row>
    <row r="10" spans="1:12" x14ac:dyDescent="0.2">
      <c r="A10" s="238" t="s">
        <v>558</v>
      </c>
      <c r="B10" s="238" t="s">
        <v>559</v>
      </c>
      <c r="C10" s="238" t="s">
        <v>560</v>
      </c>
      <c r="D10" s="238" t="s">
        <v>561</v>
      </c>
      <c r="E10" s="238" t="s">
        <v>562</v>
      </c>
      <c r="F10" s="302"/>
    </row>
    <row r="11" spans="1:12" x14ac:dyDescent="0.2">
      <c r="A11" s="341">
        <v>0.48</v>
      </c>
      <c r="B11" s="341">
        <v>0.6</v>
      </c>
      <c r="C11" s="341">
        <v>0.7</v>
      </c>
      <c r="D11" s="341">
        <v>0.8</v>
      </c>
      <c r="E11" s="341">
        <v>0.93</v>
      </c>
      <c r="F11" s="302"/>
    </row>
    <row r="12" spans="1:12" x14ac:dyDescent="0.2">
      <c r="A12" s="351"/>
      <c r="B12" s="351"/>
      <c r="C12" s="351"/>
      <c r="D12" s="351"/>
      <c r="E12" s="351"/>
      <c r="F12" s="302"/>
    </row>
    <row r="13" spans="1:12" x14ac:dyDescent="0.2">
      <c r="A13" s="351"/>
      <c r="B13" s="351"/>
      <c r="C13" s="351"/>
      <c r="D13" s="351"/>
      <c r="E13" s="351"/>
      <c r="F13" s="302"/>
    </row>
    <row r="14" spans="1:12" x14ac:dyDescent="0.2">
      <c r="A14" s="240" t="s">
        <v>563</v>
      </c>
      <c r="F14" s="302"/>
    </row>
    <row r="15" spans="1:12" x14ac:dyDescent="0.2">
      <c r="A15" s="256"/>
      <c r="F15" s="302"/>
    </row>
    <row r="16" spans="1:12" x14ac:dyDescent="0.2">
      <c r="A16" s="258" t="s">
        <v>360</v>
      </c>
      <c r="B16" s="375"/>
      <c r="C16" s="374" t="s">
        <v>633</v>
      </c>
      <c r="D16" s="373" t="s">
        <v>632</v>
      </c>
      <c r="F16" s="302"/>
      <c r="H16" s="236">
        <v>1</v>
      </c>
      <c r="I16" s="236" t="s">
        <v>558</v>
      </c>
      <c r="J16" s="307">
        <v>0.48</v>
      </c>
      <c r="K16" s="307">
        <v>0.48</v>
      </c>
      <c r="L16" s="307">
        <v>0.48</v>
      </c>
    </row>
    <row r="17" spans="1:12" x14ac:dyDescent="0.2">
      <c r="A17" s="258" t="s">
        <v>564</v>
      </c>
      <c r="B17" s="375"/>
      <c r="C17" s="374" t="s">
        <v>633</v>
      </c>
      <c r="D17" s="373" t="s">
        <v>632</v>
      </c>
      <c r="F17" s="302"/>
      <c r="H17" s="236">
        <v>2</v>
      </c>
      <c r="I17" s="236" t="s">
        <v>559</v>
      </c>
      <c r="J17" s="307">
        <v>0.6</v>
      </c>
      <c r="K17" s="307">
        <v>0.6</v>
      </c>
      <c r="L17" s="307">
        <v>0.6</v>
      </c>
    </row>
    <row r="18" spans="1:12" x14ac:dyDescent="0.2">
      <c r="A18" s="258" t="s">
        <v>565</v>
      </c>
      <c r="B18" s="375"/>
      <c r="C18" s="374" t="s">
        <v>633</v>
      </c>
      <c r="F18" s="302"/>
      <c r="H18" s="236">
        <v>3</v>
      </c>
      <c r="I18" s="236" t="s">
        <v>560</v>
      </c>
      <c r="J18" s="307">
        <v>0.7</v>
      </c>
      <c r="K18" s="307">
        <v>0.7</v>
      </c>
      <c r="L18" s="307">
        <v>0.7</v>
      </c>
    </row>
    <row r="19" spans="1:12" x14ac:dyDescent="0.2">
      <c r="A19" s="258" t="s">
        <v>566</v>
      </c>
      <c r="B19" s="375"/>
      <c r="C19" s="374" t="s">
        <v>633</v>
      </c>
      <c r="F19" s="302"/>
      <c r="H19" s="236">
        <v>4</v>
      </c>
      <c r="I19" s="236" t="s">
        <v>561</v>
      </c>
      <c r="J19" s="307">
        <v>0.8</v>
      </c>
      <c r="K19" s="307">
        <v>0.8</v>
      </c>
      <c r="L19" s="307">
        <v>0.8</v>
      </c>
    </row>
    <row r="20" spans="1:12" x14ac:dyDescent="0.2">
      <c r="A20" s="258"/>
      <c r="B20" s="259"/>
      <c r="C20" s="372" t="s">
        <v>634</v>
      </c>
      <c r="F20" s="302"/>
      <c r="H20" s="236">
        <v>5</v>
      </c>
      <c r="I20" s="236" t="s">
        <v>562</v>
      </c>
      <c r="J20" s="307">
        <v>0.93</v>
      </c>
      <c r="K20" s="307">
        <v>0.93</v>
      </c>
      <c r="L20" s="307">
        <v>0.93</v>
      </c>
    </row>
    <row r="21" spans="1:12" x14ac:dyDescent="0.2">
      <c r="A21" s="258"/>
      <c r="B21" s="259"/>
      <c r="C21" s="310"/>
      <c r="F21" s="302"/>
      <c r="J21" s="307"/>
      <c r="K21" s="307"/>
      <c r="L21" s="307"/>
    </row>
    <row r="22" spans="1:12" x14ac:dyDescent="0.2">
      <c r="A22" s="240" t="s">
        <v>572</v>
      </c>
      <c r="B22" s="259"/>
      <c r="F22" s="302"/>
    </row>
    <row r="23" spans="1:12" x14ac:dyDescent="0.2">
      <c r="A23" s="240" t="s">
        <v>573</v>
      </c>
      <c r="B23" s="259"/>
      <c r="F23" s="302"/>
      <c r="I23" s="236" t="s">
        <v>315</v>
      </c>
      <c r="J23" s="243">
        <f>LEFT('XS Rating Step A Inputs'!C38,2)/100</f>
        <v>0.4</v>
      </c>
    </row>
    <row r="24" spans="1:12" x14ac:dyDescent="0.2">
      <c r="A24" s="240"/>
      <c r="F24" s="302"/>
      <c r="I24" s="236" t="s">
        <v>316</v>
      </c>
      <c r="J24" s="243">
        <f>MID('XS Rating Step A Inputs'!C38,4,2)/100</f>
        <v>0.55000000000000004</v>
      </c>
    </row>
    <row r="25" spans="1:12" x14ac:dyDescent="0.2">
      <c r="A25" s="407" t="s">
        <v>567</v>
      </c>
      <c r="B25" s="408"/>
      <c r="C25" s="408"/>
      <c r="D25" s="408"/>
      <c r="E25" s="409"/>
      <c r="F25" s="302"/>
    </row>
    <row r="26" spans="1:12" ht="45" customHeight="1" x14ac:dyDescent="0.2">
      <c r="A26" s="407" t="s">
        <v>568</v>
      </c>
      <c r="B26" s="408"/>
      <c r="C26" s="408"/>
      <c r="D26" s="408"/>
      <c r="E26" s="409"/>
      <c r="F26" s="302"/>
    </row>
    <row r="27" spans="1:12" ht="45" customHeight="1" x14ac:dyDescent="0.2">
      <c r="A27" s="407" t="s">
        <v>569</v>
      </c>
      <c r="B27" s="408"/>
      <c r="C27" s="408"/>
      <c r="D27" s="408"/>
      <c r="E27" s="409"/>
      <c r="F27" s="302"/>
    </row>
    <row r="28" spans="1:12" ht="45" customHeight="1" x14ac:dyDescent="0.2">
      <c r="A28" s="407" t="s">
        <v>570</v>
      </c>
      <c r="B28" s="408"/>
      <c r="C28" s="408"/>
      <c r="D28" s="408"/>
      <c r="E28" s="409"/>
      <c r="F28" s="305"/>
    </row>
    <row r="29" spans="1:12" ht="45" customHeight="1" x14ac:dyDescent="0.2">
      <c r="A29" s="407" t="s">
        <v>571</v>
      </c>
      <c r="B29" s="408"/>
      <c r="C29" s="408"/>
      <c r="D29" s="408"/>
      <c r="E29" s="409"/>
      <c r="F29" s="305"/>
    </row>
    <row r="30" spans="1:12" ht="45" customHeight="1" x14ac:dyDescent="0.2">
      <c r="A30" s="244"/>
      <c r="B30" s="244"/>
      <c r="C30" s="244"/>
      <c r="D30" s="244"/>
      <c r="E30" s="244"/>
      <c r="F30" s="305"/>
    </row>
    <row r="31" spans="1:12" x14ac:dyDescent="0.2">
      <c r="A31" s="371" t="s">
        <v>631</v>
      </c>
      <c r="F31" s="305"/>
    </row>
    <row r="32" spans="1:12" ht="15" x14ac:dyDescent="0.2">
      <c r="A32" s="362"/>
      <c r="B32" s="363" t="s">
        <v>574</v>
      </c>
      <c r="C32" s="363" t="s">
        <v>575</v>
      </c>
      <c r="D32" s="363" t="s">
        <v>576</v>
      </c>
      <c r="F32" s="305"/>
    </row>
    <row r="33" spans="1:6" ht="15" x14ac:dyDescent="0.2">
      <c r="A33" s="363" t="s">
        <v>558</v>
      </c>
      <c r="B33" s="363" t="s">
        <v>577</v>
      </c>
      <c r="C33" s="363" t="s">
        <v>578</v>
      </c>
      <c r="D33" s="363" t="s">
        <v>577</v>
      </c>
      <c r="F33" s="302"/>
    </row>
    <row r="34" spans="1:6" ht="15" x14ac:dyDescent="0.2">
      <c r="A34" s="363" t="s">
        <v>558</v>
      </c>
      <c r="B34" s="363" t="s">
        <v>579</v>
      </c>
      <c r="C34" s="363" t="s">
        <v>580</v>
      </c>
      <c r="D34" s="363" t="s">
        <v>579</v>
      </c>
    </row>
    <row r="35" spans="1:6" ht="15" x14ac:dyDescent="0.2">
      <c r="A35" s="363" t="s">
        <v>558</v>
      </c>
      <c r="B35" s="363" t="s">
        <v>581</v>
      </c>
      <c r="C35" s="363" t="s">
        <v>582</v>
      </c>
      <c r="D35" s="363" t="s">
        <v>581</v>
      </c>
    </row>
    <row r="36" spans="1:6" ht="15" x14ac:dyDescent="0.2">
      <c r="A36" s="363" t="s">
        <v>559</v>
      </c>
      <c r="B36" s="363" t="s">
        <v>583</v>
      </c>
      <c r="C36" s="363" t="s">
        <v>584</v>
      </c>
      <c r="D36" s="363" t="s">
        <v>583</v>
      </c>
    </row>
    <row r="37" spans="1:6" ht="15" x14ac:dyDescent="0.2">
      <c r="A37" s="363" t="s">
        <v>559</v>
      </c>
      <c r="B37" s="363" t="s">
        <v>131</v>
      </c>
      <c r="C37" s="363" t="s">
        <v>585</v>
      </c>
      <c r="D37" s="363" t="s">
        <v>131</v>
      </c>
    </row>
    <row r="38" spans="1:6" ht="15" x14ac:dyDescent="0.2">
      <c r="A38" s="363" t="s">
        <v>559</v>
      </c>
      <c r="B38" s="363" t="s">
        <v>586</v>
      </c>
      <c r="C38" s="363" t="s">
        <v>587</v>
      </c>
      <c r="D38" s="363" t="s">
        <v>586</v>
      </c>
    </row>
    <row r="39" spans="1:6" ht="15" x14ac:dyDescent="0.2">
      <c r="A39" s="363" t="s">
        <v>560</v>
      </c>
      <c r="B39" s="363" t="s">
        <v>588</v>
      </c>
      <c r="C39" s="363" t="s">
        <v>589</v>
      </c>
      <c r="D39" s="363" t="s">
        <v>588</v>
      </c>
    </row>
    <row r="40" spans="1:6" ht="15" x14ac:dyDescent="0.2">
      <c r="A40" s="363" t="s">
        <v>560</v>
      </c>
      <c r="B40" s="363" t="s">
        <v>590</v>
      </c>
      <c r="C40" s="363" t="s">
        <v>591</v>
      </c>
      <c r="D40" s="363" t="s">
        <v>590</v>
      </c>
    </row>
    <row r="41" spans="1:6" ht="15" x14ac:dyDescent="0.2">
      <c r="A41" s="363" t="s">
        <v>560</v>
      </c>
      <c r="B41" s="363" t="s">
        <v>592</v>
      </c>
      <c r="C41" s="363" t="s">
        <v>593</v>
      </c>
      <c r="D41" s="363" t="s">
        <v>592</v>
      </c>
    </row>
    <row r="42" spans="1:6" ht="15" x14ac:dyDescent="0.2">
      <c r="A42" s="363" t="s">
        <v>561</v>
      </c>
      <c r="B42" s="363" t="s">
        <v>594</v>
      </c>
      <c r="C42" s="363" t="s">
        <v>595</v>
      </c>
      <c r="D42" s="363" t="s">
        <v>594</v>
      </c>
    </row>
    <row r="43" spans="1:6" ht="15" x14ac:dyDescent="0.2">
      <c r="A43" s="363" t="s">
        <v>561</v>
      </c>
      <c r="B43" s="363" t="s">
        <v>596</v>
      </c>
      <c r="C43" s="363" t="s">
        <v>597</v>
      </c>
      <c r="D43" s="363" t="s">
        <v>596</v>
      </c>
    </row>
    <row r="44" spans="1:6" ht="15" x14ac:dyDescent="0.2">
      <c r="A44" s="363" t="s">
        <v>561</v>
      </c>
      <c r="B44" s="363" t="s">
        <v>598</v>
      </c>
      <c r="C44" s="363" t="s">
        <v>599</v>
      </c>
      <c r="D44" s="363" t="s">
        <v>598</v>
      </c>
    </row>
    <row r="45" spans="1:6" ht="15" x14ac:dyDescent="0.2">
      <c r="A45" s="363" t="s">
        <v>562</v>
      </c>
      <c r="B45" s="363" t="s">
        <v>600</v>
      </c>
      <c r="C45" s="363" t="s">
        <v>601</v>
      </c>
      <c r="D45" s="363" t="s">
        <v>600</v>
      </c>
    </row>
    <row r="46" spans="1:6" ht="15" x14ac:dyDescent="0.2">
      <c r="A46" s="363" t="s">
        <v>562</v>
      </c>
      <c r="B46" s="363" t="s">
        <v>133</v>
      </c>
      <c r="C46" s="363" t="s">
        <v>602</v>
      </c>
      <c r="D46" s="363" t="s">
        <v>133</v>
      </c>
    </row>
    <row r="47" spans="1:6" ht="15" x14ac:dyDescent="0.2">
      <c r="A47" s="363" t="s">
        <v>562</v>
      </c>
      <c r="B47" s="363" t="s">
        <v>603</v>
      </c>
      <c r="C47" s="363" t="s">
        <v>604</v>
      </c>
      <c r="D47" s="363" t="s">
        <v>603</v>
      </c>
    </row>
    <row r="48" spans="1:6" ht="15" x14ac:dyDescent="0.2">
      <c r="A48" s="363" t="s">
        <v>562</v>
      </c>
      <c r="B48" s="363" t="s">
        <v>605</v>
      </c>
      <c r="C48" s="363" t="s">
        <v>606</v>
      </c>
      <c r="D48" s="363" t="s">
        <v>607</v>
      </c>
    </row>
    <row r="49" spans="1:4" ht="15" x14ac:dyDescent="0.2">
      <c r="A49" s="363" t="s">
        <v>562</v>
      </c>
      <c r="B49" s="363" t="s">
        <v>607</v>
      </c>
      <c r="C49" s="363" t="s">
        <v>608</v>
      </c>
      <c r="D49" s="363" t="s">
        <v>609</v>
      </c>
    </row>
    <row r="50" spans="1:4" ht="15" x14ac:dyDescent="0.2">
      <c r="A50" s="363" t="s">
        <v>562</v>
      </c>
      <c r="B50" s="363" t="s">
        <v>610</v>
      </c>
      <c r="C50" s="363" t="s">
        <v>611</v>
      </c>
      <c r="D50" s="363" t="s">
        <v>612</v>
      </c>
    </row>
    <row r="51" spans="1:4" ht="15" x14ac:dyDescent="0.2">
      <c r="A51" s="363" t="s">
        <v>562</v>
      </c>
      <c r="B51" s="363" t="s">
        <v>613</v>
      </c>
      <c r="C51" s="363" t="s">
        <v>614</v>
      </c>
      <c r="D51" s="363" t="s">
        <v>615</v>
      </c>
    </row>
    <row r="52" spans="1:4" ht="15" x14ac:dyDescent="0.2">
      <c r="A52" s="363" t="s">
        <v>562</v>
      </c>
      <c r="B52" s="363" t="s">
        <v>132</v>
      </c>
      <c r="C52" s="363" t="s">
        <v>132</v>
      </c>
      <c r="D52" s="362"/>
    </row>
    <row r="53" spans="1:4" ht="15" x14ac:dyDescent="0.2">
      <c r="A53" s="363" t="s">
        <v>562</v>
      </c>
      <c r="B53" s="363" t="s">
        <v>615</v>
      </c>
      <c r="C53" s="362"/>
      <c r="D53" s="362"/>
    </row>
    <row r="56" spans="1:4" x14ac:dyDescent="0.2">
      <c r="A56" s="366" t="s">
        <v>616</v>
      </c>
    </row>
    <row r="57" spans="1:4" x14ac:dyDescent="0.2">
      <c r="A57" s="365"/>
    </row>
    <row r="58" spans="1:4" ht="15" x14ac:dyDescent="0.2">
      <c r="A58" s="364" t="s">
        <v>617</v>
      </c>
    </row>
    <row r="59" spans="1:4" ht="15" x14ac:dyDescent="0.2">
      <c r="A59" s="406" t="s">
        <v>618</v>
      </c>
      <c r="B59" s="406"/>
      <c r="C59" s="406"/>
      <c r="D59" s="406"/>
    </row>
    <row r="60" spans="1:4" ht="198.75" customHeight="1" x14ac:dyDescent="0.2">
      <c r="A60" s="406" t="s">
        <v>619</v>
      </c>
      <c r="B60" s="406"/>
      <c r="C60" s="406"/>
      <c r="D60" s="406"/>
    </row>
    <row r="61" spans="1:4" ht="64.5" customHeight="1" x14ac:dyDescent="0.25">
      <c r="A61" s="342"/>
    </row>
    <row r="62" spans="1:4" ht="15" x14ac:dyDescent="0.2">
      <c r="A62" s="406" t="s">
        <v>620</v>
      </c>
      <c r="B62" s="406"/>
      <c r="C62" s="406"/>
      <c r="D62" s="406"/>
    </row>
    <row r="63" spans="1:4" ht="323.25" customHeight="1" x14ac:dyDescent="0.2">
      <c r="A63" s="364"/>
    </row>
    <row r="64" spans="1:4" ht="15" x14ac:dyDescent="0.2">
      <c r="A64" s="406" t="s">
        <v>621</v>
      </c>
      <c r="B64" s="406"/>
      <c r="C64" s="406"/>
      <c r="D64" s="406"/>
    </row>
    <row r="65" spans="1:1" ht="101.25" customHeight="1" x14ac:dyDescent="0.2">
      <c r="A65" s="364"/>
    </row>
    <row r="66" spans="1:1" ht="15" x14ac:dyDescent="0.2">
      <c r="A66" s="364" t="s">
        <v>622</v>
      </c>
    </row>
  </sheetData>
  <mergeCells count="9">
    <mergeCell ref="A59:D59"/>
    <mergeCell ref="A60:D60"/>
    <mergeCell ref="A62:D62"/>
    <mergeCell ref="A64:D64"/>
    <mergeCell ref="A25:E25"/>
    <mergeCell ref="A26:E26"/>
    <mergeCell ref="A27:E27"/>
    <mergeCell ref="A28:E28"/>
    <mergeCell ref="A29:E29"/>
  </mergeCell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294F5-E2DF-411F-99C7-CF8D11E56FDA}">
  <sheetPr>
    <tabColor rgb="FF00B0F0"/>
  </sheetPr>
  <dimension ref="A1:L98"/>
  <sheetViews>
    <sheetView showGridLines="0" workbookViewId="0">
      <selection activeCell="A11" sqref="A11"/>
    </sheetView>
  </sheetViews>
  <sheetFormatPr defaultRowHeight="12.75" x14ac:dyDescent="0.2"/>
  <cols>
    <col min="1" max="1" width="20" style="236" customWidth="1"/>
    <col min="2" max="2" width="16.875" style="236" customWidth="1"/>
    <col min="3" max="3" width="12.25" style="236" customWidth="1"/>
    <col min="4" max="4" width="16" style="236" customWidth="1"/>
    <col min="5" max="5" width="13" style="236" customWidth="1"/>
    <col min="6" max="6" width="10.5" style="236" customWidth="1"/>
    <col min="7" max="7" width="9" style="236"/>
    <col min="8" max="8" width="16" style="236" bestFit="1" customWidth="1"/>
    <col min="9" max="16384" width="9" style="236"/>
  </cols>
  <sheetData>
    <row r="1" spans="1:12" x14ac:dyDescent="0.2">
      <c r="A1" s="236" t="s">
        <v>262</v>
      </c>
    </row>
    <row r="2" spans="1:12" x14ac:dyDescent="0.2">
      <c r="A2" s="236" t="s">
        <v>263</v>
      </c>
    </row>
    <row r="4" spans="1:12" x14ac:dyDescent="0.2">
      <c r="A4" s="254" t="s">
        <v>359</v>
      </c>
    </row>
    <row r="5" spans="1:12" x14ac:dyDescent="0.2">
      <c r="A5" s="269" t="s">
        <v>368</v>
      </c>
    </row>
    <row r="6" spans="1:12" x14ac:dyDescent="0.2">
      <c r="A6" s="269" t="s">
        <v>369</v>
      </c>
    </row>
    <row r="7" spans="1:12" x14ac:dyDescent="0.2">
      <c r="A7" s="269"/>
    </row>
    <row r="8" spans="1:12" x14ac:dyDescent="0.2">
      <c r="A8" s="240" t="s">
        <v>300</v>
      </c>
    </row>
    <row r="9" spans="1:12" x14ac:dyDescent="0.2">
      <c r="A9" s="256"/>
    </row>
    <row r="10" spans="1:12" x14ac:dyDescent="0.2">
      <c r="A10" s="236" t="s">
        <v>335</v>
      </c>
      <c r="C10" s="242" t="s">
        <v>443</v>
      </c>
      <c r="D10" s="242" t="s">
        <v>374</v>
      </c>
      <c r="E10" s="242" t="s">
        <v>402</v>
      </c>
      <c r="F10" s="242" t="s">
        <v>624</v>
      </c>
      <c r="H10" s="236" t="s">
        <v>536</v>
      </c>
    </row>
    <row r="11" spans="1:12" x14ac:dyDescent="0.2">
      <c r="A11" s="240" t="s">
        <v>339</v>
      </c>
      <c r="B11" s="261"/>
      <c r="C11" s="290" t="s">
        <v>442</v>
      </c>
      <c r="D11" s="290" t="s">
        <v>301</v>
      </c>
      <c r="E11" s="290" t="s">
        <v>444</v>
      </c>
      <c r="F11" s="290" t="s">
        <v>442</v>
      </c>
      <c r="H11" s="236" t="s">
        <v>375</v>
      </c>
      <c r="I11" s="290" t="s">
        <v>301</v>
      </c>
      <c r="K11" s="243">
        <f>IF('XS Rating Step A Inputs'!$B$6="California",-0.15, IF('XS Rating Step A Inputs'!$B$6="New York",-0.1,-0.25))</f>
        <v>-0.25</v>
      </c>
      <c r="L11" s="243">
        <f>IF('XS Rating Step A Inputs'!$B$6="California",0.15, IF('XS Rating Step A Inputs'!$B$6="New York",0.1,0.25))</f>
        <v>0.25</v>
      </c>
    </row>
    <row r="12" spans="1:12" x14ac:dyDescent="0.2">
      <c r="A12" s="240" t="s">
        <v>338</v>
      </c>
      <c r="B12" s="261"/>
      <c r="C12" s="290" t="s">
        <v>442</v>
      </c>
      <c r="D12" s="290" t="s">
        <v>301</v>
      </c>
      <c r="E12" s="290" t="s">
        <v>444</v>
      </c>
      <c r="F12" s="290" t="s">
        <v>442</v>
      </c>
      <c r="H12" s="236" t="s">
        <v>379</v>
      </c>
      <c r="I12" s="236" t="s">
        <v>523</v>
      </c>
    </row>
    <row r="13" spans="1:12" x14ac:dyDescent="0.2">
      <c r="A13" s="240" t="s">
        <v>337</v>
      </c>
      <c r="B13" s="261"/>
      <c r="C13" s="290" t="s">
        <v>442</v>
      </c>
      <c r="D13" s="290" t="s">
        <v>301</v>
      </c>
      <c r="E13" s="290" t="s">
        <v>444</v>
      </c>
      <c r="F13" s="290" t="s">
        <v>625</v>
      </c>
      <c r="H13" s="236" t="s">
        <v>397</v>
      </c>
      <c r="I13" s="280" t="s">
        <v>524</v>
      </c>
    </row>
    <row r="14" spans="1:12" x14ac:dyDescent="0.2">
      <c r="A14" s="240" t="s">
        <v>336</v>
      </c>
      <c r="B14" s="261"/>
      <c r="C14" s="290" t="s">
        <v>442</v>
      </c>
      <c r="D14" s="290" t="s">
        <v>301</v>
      </c>
      <c r="E14" s="290" t="s">
        <v>444</v>
      </c>
      <c r="F14" s="290" t="s">
        <v>442</v>
      </c>
      <c r="H14" s="236" t="s">
        <v>403</v>
      </c>
      <c r="I14" s="290" t="s">
        <v>444</v>
      </c>
    </row>
    <row r="15" spans="1:12" x14ac:dyDescent="0.2">
      <c r="A15" s="240"/>
      <c r="B15" s="261"/>
      <c r="C15" s="262"/>
    </row>
    <row r="16" spans="1:12" ht="27.75" customHeight="1" x14ac:dyDescent="0.2">
      <c r="A16" s="410" t="s">
        <v>367</v>
      </c>
      <c r="B16" s="411"/>
      <c r="C16" s="411"/>
      <c r="D16" s="411"/>
      <c r="E16" s="412"/>
      <c r="G16" s="280" t="s">
        <v>522</v>
      </c>
    </row>
    <row r="17" spans="1:8" ht="48" customHeight="1" x14ac:dyDescent="0.2">
      <c r="A17" s="413" t="s">
        <v>302</v>
      </c>
      <c r="B17" s="414"/>
      <c r="C17" s="414"/>
      <c r="D17" s="414"/>
      <c r="E17" s="415"/>
    </row>
    <row r="18" spans="1:8" ht="63" customHeight="1" x14ac:dyDescent="0.2">
      <c r="A18" s="403" t="s">
        <v>418</v>
      </c>
      <c r="B18" s="404"/>
      <c r="C18" s="404"/>
      <c r="D18" s="404"/>
      <c r="E18" s="405"/>
    </row>
    <row r="19" spans="1:8" ht="69.75" customHeight="1" x14ac:dyDescent="0.2">
      <c r="A19" s="410" t="s">
        <v>419</v>
      </c>
      <c r="B19" s="411"/>
      <c r="C19" s="411"/>
      <c r="D19" s="411"/>
      <c r="E19" s="412"/>
    </row>
    <row r="20" spans="1:8" ht="105" customHeight="1" x14ac:dyDescent="0.2">
      <c r="A20" s="281"/>
      <c r="B20" s="282"/>
      <c r="C20" s="282"/>
      <c r="D20" s="282"/>
      <c r="E20" s="283"/>
    </row>
    <row r="21" spans="1:8" ht="110.25" customHeight="1" x14ac:dyDescent="0.2">
      <c r="A21" s="284"/>
      <c r="B21" s="285"/>
      <c r="C21" s="285"/>
      <c r="D21" s="285"/>
      <c r="E21" s="286"/>
    </row>
    <row r="22" spans="1:8" ht="53.25" customHeight="1" x14ac:dyDescent="0.2">
      <c r="A22" s="403" t="s">
        <v>420</v>
      </c>
      <c r="B22" s="404"/>
      <c r="C22" s="404"/>
      <c r="D22" s="404"/>
      <c r="E22" s="405"/>
    </row>
    <row r="25" spans="1:8" x14ac:dyDescent="0.2">
      <c r="A25" s="237" t="s">
        <v>471</v>
      </c>
    </row>
    <row r="26" spans="1:8" x14ac:dyDescent="0.2">
      <c r="A26" s="237"/>
      <c r="F26" s="292">
        <f>VLOOKUP('XS Rating Step A Inputs'!$B$6,'XS Rate Tables Section G'!$A$29:$G$79,6,FALSE)</f>
        <v>-0.25</v>
      </c>
      <c r="G26" s="292">
        <f>VLOOKUP('XS Rating Step A Inputs'!$B$6,'XS Rate Tables Section G'!$A$29:$G$79,7,FALSE)</f>
        <v>0.25</v>
      </c>
      <c r="H26" s="236" t="str">
        <f>'XS Rating Step A Inputs'!B6</f>
        <v>Michigan</v>
      </c>
    </row>
    <row r="27" spans="1:8" x14ac:dyDescent="0.2">
      <c r="A27" s="270"/>
      <c r="B27" s="271" t="s">
        <v>438</v>
      </c>
    </row>
    <row r="28" spans="1:8" x14ac:dyDescent="0.2">
      <c r="A28" s="272" t="s">
        <v>422</v>
      </c>
      <c r="B28" s="273" t="s">
        <v>439</v>
      </c>
      <c r="F28" s="242" t="s">
        <v>315</v>
      </c>
      <c r="G28" s="242" t="s">
        <v>316</v>
      </c>
    </row>
    <row r="29" spans="1:8" x14ac:dyDescent="0.2">
      <c r="A29" s="274" t="s">
        <v>371</v>
      </c>
      <c r="B29" s="275" t="s">
        <v>423</v>
      </c>
      <c r="C29" s="290" t="s">
        <v>442</v>
      </c>
      <c r="F29" s="292">
        <v>-0.25</v>
      </c>
      <c r="G29" s="292">
        <v>0.25</v>
      </c>
      <c r="H29" s="307"/>
    </row>
    <row r="30" spans="1:8" x14ac:dyDescent="0.2">
      <c r="A30" s="274" t="s">
        <v>370</v>
      </c>
      <c r="B30" s="275" t="s">
        <v>424</v>
      </c>
      <c r="C30" s="290" t="s">
        <v>445</v>
      </c>
      <c r="F30" s="292">
        <v>-0.4</v>
      </c>
      <c r="G30" s="292">
        <v>0.4</v>
      </c>
      <c r="H30" s="307"/>
    </row>
    <row r="31" spans="1:8" x14ac:dyDescent="0.2">
      <c r="A31" s="274" t="s">
        <v>373</v>
      </c>
      <c r="B31" s="275" t="s">
        <v>423</v>
      </c>
      <c r="C31" s="290" t="s">
        <v>442</v>
      </c>
      <c r="F31" s="292">
        <v>-0.25</v>
      </c>
      <c r="G31" s="292">
        <v>0.25</v>
      </c>
      <c r="H31" s="307"/>
    </row>
    <row r="32" spans="1:8" x14ac:dyDescent="0.2">
      <c r="A32" s="274" t="s">
        <v>372</v>
      </c>
      <c r="B32" s="275" t="s">
        <v>424</v>
      </c>
      <c r="C32" s="290" t="s">
        <v>445</v>
      </c>
      <c r="F32" s="292">
        <v>-0.4</v>
      </c>
      <c r="G32" s="292">
        <v>0.4</v>
      </c>
      <c r="H32" s="307"/>
    </row>
    <row r="33" spans="1:8" ht="13.5" thickBot="1" x14ac:dyDescent="0.25">
      <c r="A33" s="277" t="s">
        <v>375</v>
      </c>
      <c r="B33" s="278" t="s">
        <v>423</v>
      </c>
      <c r="C33" s="290" t="s">
        <v>442</v>
      </c>
      <c r="F33" s="292">
        <v>-0.25</v>
      </c>
      <c r="G33" s="292">
        <v>0.25</v>
      </c>
      <c r="H33" s="307"/>
    </row>
    <row r="34" spans="1:8" x14ac:dyDescent="0.2">
      <c r="A34" s="274" t="s">
        <v>376</v>
      </c>
      <c r="B34" s="275" t="s">
        <v>423</v>
      </c>
      <c r="C34" s="290" t="s">
        <v>442</v>
      </c>
      <c r="F34" s="292">
        <v>-0.25</v>
      </c>
      <c r="G34" s="292">
        <v>0.25</v>
      </c>
      <c r="H34" s="307"/>
    </row>
    <row r="35" spans="1:8" x14ac:dyDescent="0.2">
      <c r="A35" s="274" t="s">
        <v>377</v>
      </c>
      <c r="B35" s="275" t="s">
        <v>423</v>
      </c>
      <c r="C35" s="290" t="s">
        <v>442</v>
      </c>
      <c r="F35" s="292">
        <v>-0.25</v>
      </c>
      <c r="G35" s="292">
        <v>0.25</v>
      </c>
      <c r="H35" s="307"/>
    </row>
    <row r="36" spans="1:8" x14ac:dyDescent="0.2">
      <c r="A36" s="274" t="s">
        <v>378</v>
      </c>
      <c r="B36" s="275" t="s">
        <v>423</v>
      </c>
      <c r="C36" s="290" t="s">
        <v>442</v>
      </c>
      <c r="F36" s="292">
        <v>-0.25</v>
      </c>
      <c r="G36" s="292">
        <v>0.25</v>
      </c>
      <c r="H36" s="307"/>
    </row>
    <row r="37" spans="1:8" x14ac:dyDescent="0.2">
      <c r="A37" s="274" t="s">
        <v>426</v>
      </c>
      <c r="B37" s="275" t="s">
        <v>423</v>
      </c>
      <c r="C37" s="290" t="s">
        <v>442</v>
      </c>
      <c r="F37" s="292">
        <v>-0.25</v>
      </c>
      <c r="G37" s="292">
        <v>0.25</v>
      </c>
      <c r="H37" s="307"/>
    </row>
    <row r="38" spans="1:8" ht="13.5" thickBot="1" x14ac:dyDescent="0.25">
      <c r="A38" s="277" t="s">
        <v>538</v>
      </c>
      <c r="B38" s="278" t="s">
        <v>423</v>
      </c>
      <c r="C38" s="290" t="s">
        <v>442</v>
      </c>
      <c r="F38" s="292">
        <v>-0.25</v>
      </c>
      <c r="G38" s="292">
        <v>0.25</v>
      </c>
      <c r="H38" s="307"/>
    </row>
    <row r="39" spans="1:8" x14ac:dyDescent="0.2">
      <c r="A39" s="274" t="s">
        <v>467</v>
      </c>
      <c r="B39" s="287" t="s">
        <v>424</v>
      </c>
      <c r="C39" s="290" t="s">
        <v>445</v>
      </c>
      <c r="D39" s="280"/>
      <c r="E39" s="289"/>
      <c r="F39" s="292">
        <v>-0.4</v>
      </c>
      <c r="G39" s="292">
        <v>0.4</v>
      </c>
      <c r="H39" s="307"/>
    </row>
    <row r="40" spans="1:8" x14ac:dyDescent="0.2">
      <c r="A40" s="274" t="s">
        <v>379</v>
      </c>
      <c r="B40" s="275" t="s">
        <v>421</v>
      </c>
      <c r="C40" s="236" t="s">
        <v>447</v>
      </c>
      <c r="F40" s="292" t="s">
        <v>198</v>
      </c>
      <c r="G40" s="292" t="s">
        <v>198</v>
      </c>
      <c r="H40" s="307"/>
    </row>
    <row r="41" spans="1:8" x14ac:dyDescent="0.2">
      <c r="A41" s="274" t="s">
        <v>381</v>
      </c>
      <c r="B41" s="275" t="s">
        <v>423</v>
      </c>
      <c r="C41" s="290" t="s">
        <v>442</v>
      </c>
      <c r="F41" s="292">
        <v>-0.25</v>
      </c>
      <c r="G41" s="292">
        <v>0.25</v>
      </c>
      <c r="H41" s="307"/>
    </row>
    <row r="42" spans="1:8" x14ac:dyDescent="0.2">
      <c r="A42" s="274" t="s">
        <v>382</v>
      </c>
      <c r="B42" s="275" t="s">
        <v>428</v>
      </c>
      <c r="C42" s="290" t="s">
        <v>446</v>
      </c>
      <c r="F42" s="292">
        <v>-0.5</v>
      </c>
      <c r="G42" s="292">
        <v>0.5</v>
      </c>
      <c r="H42" s="307"/>
    </row>
    <row r="43" spans="1:8" ht="13.5" thickBot="1" x14ac:dyDescent="0.25">
      <c r="A43" s="277" t="s">
        <v>383</v>
      </c>
      <c r="B43" s="288" t="s">
        <v>428</v>
      </c>
      <c r="C43" s="290" t="s">
        <v>446</v>
      </c>
      <c r="D43" s="280"/>
      <c r="F43" s="292">
        <v>-0.5</v>
      </c>
      <c r="G43" s="292">
        <v>0.5</v>
      </c>
      <c r="H43" s="307"/>
    </row>
    <row r="44" spans="1:8" x14ac:dyDescent="0.2">
      <c r="A44" s="274" t="s">
        <v>380</v>
      </c>
      <c r="B44" s="275" t="s">
        <v>423</v>
      </c>
      <c r="C44" s="290" t="s">
        <v>442</v>
      </c>
      <c r="F44" s="292">
        <v>-0.25</v>
      </c>
      <c r="G44" s="292">
        <v>0.25</v>
      </c>
      <c r="H44" s="307"/>
    </row>
    <row r="45" spans="1:8" x14ac:dyDescent="0.2">
      <c r="A45" s="274" t="s">
        <v>384</v>
      </c>
      <c r="B45" s="275" t="s">
        <v>424</v>
      </c>
      <c r="C45" s="290" t="s">
        <v>445</v>
      </c>
      <c r="F45" s="292">
        <v>-0.4</v>
      </c>
      <c r="G45" s="292">
        <v>0.4</v>
      </c>
      <c r="H45" s="307"/>
    </row>
    <row r="46" spans="1:8" x14ac:dyDescent="0.2">
      <c r="A46" s="274" t="s">
        <v>385</v>
      </c>
      <c r="B46" s="275" t="s">
        <v>428</v>
      </c>
      <c r="C46" s="290" t="s">
        <v>446</v>
      </c>
      <c r="D46" s="280"/>
      <c r="F46" s="292">
        <v>-0.5</v>
      </c>
      <c r="G46" s="292">
        <v>0.5</v>
      </c>
      <c r="H46" s="307"/>
    </row>
    <row r="47" spans="1:8" x14ac:dyDescent="0.2">
      <c r="A47" s="274" t="s">
        <v>386</v>
      </c>
      <c r="B47" s="275" t="s">
        <v>423</v>
      </c>
      <c r="C47" s="290" t="s">
        <v>442</v>
      </c>
      <c r="F47" s="292">
        <v>-0.25</v>
      </c>
      <c r="G47" s="292">
        <v>0.25</v>
      </c>
      <c r="H47" s="307"/>
    </row>
    <row r="48" spans="1:8" ht="13.5" thickBot="1" x14ac:dyDescent="0.25">
      <c r="A48" s="277" t="s">
        <v>389</v>
      </c>
      <c r="B48" s="278" t="s">
        <v>424</v>
      </c>
      <c r="C48" s="290" t="s">
        <v>445</v>
      </c>
      <c r="F48" s="292">
        <v>-0.4</v>
      </c>
      <c r="G48" s="292">
        <v>0.4</v>
      </c>
      <c r="H48" s="307"/>
    </row>
    <row r="49" spans="1:8" x14ac:dyDescent="0.2">
      <c r="A49" s="274" t="s">
        <v>388</v>
      </c>
      <c r="B49" s="275" t="s">
        <v>424</v>
      </c>
      <c r="C49" s="290" t="s">
        <v>445</v>
      </c>
      <c r="F49" s="292">
        <v>-0.4</v>
      </c>
      <c r="G49" s="292">
        <v>0.4</v>
      </c>
      <c r="H49" s="307"/>
    </row>
    <row r="50" spans="1:8" x14ac:dyDescent="0.2">
      <c r="A50" s="274" t="s">
        <v>387</v>
      </c>
      <c r="B50" s="287" t="s">
        <v>429</v>
      </c>
      <c r="C50" s="249" t="s">
        <v>466</v>
      </c>
      <c r="D50" s="301"/>
      <c r="F50" s="292">
        <v>-0.4</v>
      </c>
      <c r="G50" s="292">
        <v>0.25</v>
      </c>
      <c r="H50" s="307"/>
    </row>
    <row r="51" spans="1:8" x14ac:dyDescent="0.2">
      <c r="A51" s="274" t="s">
        <v>390</v>
      </c>
      <c r="B51" s="275" t="s">
        <v>423</v>
      </c>
      <c r="C51" s="290" t="s">
        <v>442</v>
      </c>
      <c r="F51" s="292">
        <v>-0.25</v>
      </c>
      <c r="G51" s="292">
        <v>0.25</v>
      </c>
      <c r="H51" s="307"/>
    </row>
    <row r="52" spans="1:8" x14ac:dyDescent="0.2">
      <c r="A52" s="274" t="s">
        <v>391</v>
      </c>
      <c r="B52" s="275" t="s">
        <v>424</v>
      </c>
      <c r="C52" s="290" t="s">
        <v>445</v>
      </c>
      <c r="F52" s="292">
        <v>-0.4</v>
      </c>
      <c r="G52" s="292">
        <v>0.4</v>
      </c>
      <c r="H52" s="307"/>
    </row>
    <row r="53" spans="1:8" x14ac:dyDescent="0.2">
      <c r="A53" s="276" t="s">
        <v>393</v>
      </c>
      <c r="B53" s="275" t="s">
        <v>424</v>
      </c>
      <c r="C53" s="290" t="s">
        <v>445</v>
      </c>
      <c r="F53" s="292">
        <v>-0.4</v>
      </c>
      <c r="G53" s="292">
        <v>0.4</v>
      </c>
      <c r="H53" s="307"/>
    </row>
    <row r="54" spans="1:8" ht="13.5" thickBot="1" x14ac:dyDescent="0.25">
      <c r="A54" s="277" t="s">
        <v>392</v>
      </c>
      <c r="B54" s="278" t="s">
        <v>423</v>
      </c>
      <c r="C54" s="290" t="s">
        <v>442</v>
      </c>
      <c r="F54" s="292">
        <v>-0.25</v>
      </c>
      <c r="G54" s="292">
        <v>0.25</v>
      </c>
      <c r="H54" s="307"/>
    </row>
    <row r="55" spans="1:8" x14ac:dyDescent="0.2">
      <c r="A55" s="274" t="s">
        <v>394</v>
      </c>
      <c r="B55" s="275" t="s">
        <v>424</v>
      </c>
      <c r="C55" s="290" t="s">
        <v>445</v>
      </c>
      <c r="F55" s="292">
        <v>-0.4</v>
      </c>
      <c r="G55" s="292">
        <v>0.4</v>
      </c>
      <c r="H55" s="307"/>
    </row>
    <row r="56" spans="1:8" x14ac:dyDescent="0.2">
      <c r="A56" s="274" t="s">
        <v>397</v>
      </c>
      <c r="B56" s="275" t="s">
        <v>424</v>
      </c>
      <c r="C56" s="290" t="s">
        <v>445</v>
      </c>
      <c r="D56" s="289"/>
      <c r="F56" s="292">
        <v>-0.4</v>
      </c>
      <c r="G56" s="292">
        <v>0.4</v>
      </c>
      <c r="H56" s="307"/>
    </row>
    <row r="57" spans="1:8" x14ac:dyDescent="0.2">
      <c r="A57" s="274" t="s">
        <v>401</v>
      </c>
      <c r="B57" s="275" t="s">
        <v>424</v>
      </c>
      <c r="C57" s="290" t="s">
        <v>445</v>
      </c>
      <c r="D57" s="309"/>
      <c r="F57" s="292">
        <v>-0.4</v>
      </c>
      <c r="G57" s="292">
        <v>0.4</v>
      </c>
      <c r="H57" s="307"/>
    </row>
    <row r="58" spans="1:8" x14ac:dyDescent="0.2">
      <c r="A58" s="276" t="s">
        <v>398</v>
      </c>
      <c r="B58" s="275" t="s">
        <v>424</v>
      </c>
      <c r="C58" s="290" t="s">
        <v>445</v>
      </c>
      <c r="D58" s="289"/>
      <c r="F58" s="292">
        <v>-0.4</v>
      </c>
      <c r="G58" s="292">
        <v>0.4</v>
      </c>
      <c r="H58" s="307"/>
    </row>
    <row r="59" spans="1:8" ht="13.5" thickBot="1" x14ac:dyDescent="0.25">
      <c r="A59" s="277" t="s">
        <v>399</v>
      </c>
      <c r="B59" s="278" t="s">
        <v>423</v>
      </c>
      <c r="C59" s="290" t="s">
        <v>442</v>
      </c>
      <c r="D59" s="309"/>
      <c r="F59" s="292">
        <v>-0.25</v>
      </c>
      <c r="G59" s="292">
        <v>0.25</v>
      </c>
      <c r="H59" s="307"/>
    </row>
    <row r="60" spans="1:8" x14ac:dyDescent="0.2">
      <c r="A60" s="274" t="s">
        <v>400</v>
      </c>
      <c r="B60" s="275" t="s">
        <v>423</v>
      </c>
      <c r="C60" s="290" t="s">
        <v>442</v>
      </c>
      <c r="D60" s="309"/>
      <c r="F60" s="292">
        <v>-0.25</v>
      </c>
      <c r="G60" s="292">
        <v>0.25</v>
      </c>
      <c r="H60" s="307"/>
    </row>
    <row r="61" spans="1:8" x14ac:dyDescent="0.2">
      <c r="A61" s="274" t="s">
        <v>403</v>
      </c>
      <c r="B61" s="275" t="s">
        <v>425</v>
      </c>
      <c r="C61" s="290" t="s">
        <v>301</v>
      </c>
      <c r="D61" s="309"/>
      <c r="F61" s="292">
        <v>-0.15</v>
      </c>
      <c r="G61" s="292">
        <v>0.15</v>
      </c>
      <c r="H61" s="307"/>
    </row>
    <row r="62" spans="1:8" x14ac:dyDescent="0.2">
      <c r="A62" s="274" t="s">
        <v>395</v>
      </c>
      <c r="B62" s="275" t="s">
        <v>424</v>
      </c>
      <c r="C62" s="290" t="s">
        <v>445</v>
      </c>
      <c r="D62" s="309"/>
      <c r="F62" s="292">
        <v>-0.4</v>
      </c>
      <c r="G62" s="292">
        <v>0.4</v>
      </c>
      <c r="H62" s="307"/>
    </row>
    <row r="63" spans="1:8" x14ac:dyDescent="0.2">
      <c r="A63" s="276" t="s">
        <v>396</v>
      </c>
      <c r="B63" s="279" t="s">
        <v>423</v>
      </c>
      <c r="C63" s="290" t="s">
        <v>442</v>
      </c>
      <c r="D63" s="309"/>
      <c r="F63" s="292">
        <v>-0.25</v>
      </c>
      <c r="G63" s="292">
        <v>0.25</v>
      </c>
      <c r="H63" s="307"/>
    </row>
    <row r="64" spans="1:8" ht="13.5" thickBot="1" x14ac:dyDescent="0.25">
      <c r="A64" s="277" t="s">
        <v>404</v>
      </c>
      <c r="B64" s="278" t="s">
        <v>423</v>
      </c>
      <c r="C64" s="290" t="s">
        <v>442</v>
      </c>
      <c r="D64" s="309"/>
      <c r="F64" s="292">
        <v>-0.25</v>
      </c>
      <c r="G64" s="292">
        <v>0.25</v>
      </c>
      <c r="H64" s="307"/>
    </row>
    <row r="65" spans="1:8" x14ac:dyDescent="0.2">
      <c r="A65" s="274" t="s">
        <v>405</v>
      </c>
      <c r="B65" s="275" t="s">
        <v>424</v>
      </c>
      <c r="C65" s="290" t="s">
        <v>445</v>
      </c>
      <c r="D65" s="289"/>
      <c r="F65" s="292">
        <v>-0.4</v>
      </c>
      <c r="G65" s="292">
        <v>0.4</v>
      </c>
      <c r="H65" s="307"/>
    </row>
    <row r="66" spans="1:8" x14ac:dyDescent="0.2">
      <c r="A66" s="274" t="s">
        <v>406</v>
      </c>
      <c r="B66" s="279" t="s">
        <v>424</v>
      </c>
      <c r="C66" s="290" t="s">
        <v>445</v>
      </c>
      <c r="D66" s="310"/>
      <c r="F66" s="292">
        <v>-0.4</v>
      </c>
      <c r="G66" s="292">
        <v>0.4</v>
      </c>
      <c r="H66" s="307"/>
    </row>
    <row r="67" spans="1:8" x14ac:dyDescent="0.2">
      <c r="A67" s="274" t="s">
        <v>407</v>
      </c>
      <c r="B67" s="279" t="s">
        <v>424</v>
      </c>
      <c r="C67" s="290" t="s">
        <v>445</v>
      </c>
      <c r="D67" s="309"/>
      <c r="F67" s="292">
        <v>-0.4</v>
      </c>
      <c r="G67" s="292">
        <v>0.4</v>
      </c>
      <c r="H67" s="307"/>
    </row>
    <row r="68" spans="1:8" x14ac:dyDescent="0.2">
      <c r="A68" s="276" t="s">
        <v>408</v>
      </c>
      <c r="B68" s="279" t="s">
        <v>424</v>
      </c>
      <c r="C68" s="290" t="s">
        <v>445</v>
      </c>
      <c r="D68" s="309"/>
      <c r="F68" s="292">
        <v>-0.4</v>
      </c>
      <c r="G68" s="292">
        <v>0.4</v>
      </c>
      <c r="H68" s="307"/>
    </row>
    <row r="69" spans="1:8" ht="13.5" thickBot="1" x14ac:dyDescent="0.25">
      <c r="A69" s="277" t="s">
        <v>409</v>
      </c>
      <c r="B69" s="278" t="s">
        <v>424</v>
      </c>
      <c r="C69" s="290" t="s">
        <v>445</v>
      </c>
      <c r="D69" s="309"/>
      <c r="F69" s="292">
        <v>-0.4</v>
      </c>
      <c r="G69" s="292">
        <v>0.4</v>
      </c>
      <c r="H69" s="307"/>
    </row>
    <row r="70" spans="1:8" x14ac:dyDescent="0.2">
      <c r="A70" s="274" t="s">
        <v>410</v>
      </c>
      <c r="B70" s="275" t="s">
        <v>423</v>
      </c>
      <c r="C70" s="290" t="s">
        <v>442</v>
      </c>
      <c r="D70" s="309"/>
      <c r="F70" s="292">
        <v>-0.25</v>
      </c>
      <c r="G70" s="292">
        <v>0.25</v>
      </c>
      <c r="H70" s="307"/>
    </row>
    <row r="71" spans="1:8" x14ac:dyDescent="0.2">
      <c r="A71" s="274" t="s">
        <v>411</v>
      </c>
      <c r="B71" s="275" t="s">
        <v>428</v>
      </c>
      <c r="C71" s="290" t="s">
        <v>446</v>
      </c>
      <c r="D71" s="310"/>
      <c r="F71" s="292">
        <v>-0.5</v>
      </c>
      <c r="G71" s="292">
        <v>0.5</v>
      </c>
      <c r="H71" s="307"/>
    </row>
    <row r="72" spans="1:8" x14ac:dyDescent="0.2">
      <c r="A72" s="274" t="s">
        <v>412</v>
      </c>
      <c r="B72" s="275" t="s">
        <v>424</v>
      </c>
      <c r="C72" s="290" t="s">
        <v>445</v>
      </c>
      <c r="D72" s="309"/>
      <c r="F72" s="292">
        <v>-0.4</v>
      </c>
      <c r="G72" s="292">
        <v>0.4</v>
      </c>
      <c r="H72" s="307"/>
    </row>
    <row r="73" spans="1:8" x14ac:dyDescent="0.2">
      <c r="A73" s="276" t="s">
        <v>413</v>
      </c>
      <c r="B73" s="279" t="s">
        <v>423</v>
      </c>
      <c r="C73" s="290" t="s">
        <v>442</v>
      </c>
      <c r="D73" s="309"/>
      <c r="F73" s="292">
        <v>-0.25</v>
      </c>
      <c r="G73" s="292">
        <v>0.25</v>
      </c>
      <c r="H73" s="307"/>
    </row>
    <row r="74" spans="1:8" ht="13.5" thickBot="1" x14ac:dyDescent="0.25">
      <c r="A74" s="277" t="s">
        <v>414</v>
      </c>
      <c r="B74" s="278" t="s">
        <v>428</v>
      </c>
      <c r="C74" s="290" t="s">
        <v>446</v>
      </c>
      <c r="D74" s="310"/>
      <c r="F74" s="292">
        <v>-0.5</v>
      </c>
      <c r="G74" s="292">
        <v>0.5</v>
      </c>
      <c r="H74" s="307"/>
    </row>
    <row r="75" spans="1:8" x14ac:dyDescent="0.2">
      <c r="A75" s="274" t="s">
        <v>469</v>
      </c>
      <c r="B75" s="275" t="s">
        <v>428</v>
      </c>
      <c r="C75" s="290" t="s">
        <v>446</v>
      </c>
      <c r="D75" s="289"/>
      <c r="F75" s="292">
        <v>-0.5</v>
      </c>
      <c r="G75" s="292">
        <v>0.5</v>
      </c>
      <c r="H75" s="307"/>
    </row>
    <row r="76" spans="1:8" x14ac:dyDescent="0.2">
      <c r="A76" s="274" t="s">
        <v>468</v>
      </c>
      <c r="B76" s="275" t="s">
        <v>423</v>
      </c>
      <c r="C76" s="290" t="s">
        <v>442</v>
      </c>
      <c r="D76" s="289"/>
      <c r="F76" s="292">
        <v>-0.25</v>
      </c>
      <c r="G76" s="292">
        <v>0.25</v>
      </c>
      <c r="H76" s="307"/>
    </row>
    <row r="77" spans="1:8" x14ac:dyDescent="0.2">
      <c r="A77" s="274" t="s">
        <v>416</v>
      </c>
      <c r="B77" s="275" t="s">
        <v>424</v>
      </c>
      <c r="C77" s="290" t="s">
        <v>445</v>
      </c>
      <c r="D77" s="309"/>
      <c r="F77" s="292">
        <v>-0.4</v>
      </c>
      <c r="G77" s="292">
        <v>0.4</v>
      </c>
      <c r="H77" s="307"/>
    </row>
    <row r="78" spans="1:8" x14ac:dyDescent="0.2">
      <c r="A78" s="274" t="s">
        <v>415</v>
      </c>
      <c r="B78" s="275" t="s">
        <v>428</v>
      </c>
      <c r="C78" s="290" t="s">
        <v>446</v>
      </c>
      <c r="D78" s="309"/>
      <c r="F78" s="292">
        <v>-0.5</v>
      </c>
      <c r="G78" s="292">
        <v>0.5</v>
      </c>
      <c r="H78" s="307"/>
    </row>
    <row r="79" spans="1:8" ht="13.5" thickBot="1" x14ac:dyDescent="0.25">
      <c r="A79" s="277" t="s">
        <v>417</v>
      </c>
      <c r="B79" s="278" t="s">
        <v>428</v>
      </c>
      <c r="C79" s="290" t="s">
        <v>446</v>
      </c>
      <c r="F79" s="292">
        <v>-0.5</v>
      </c>
      <c r="G79" s="292">
        <v>0.5</v>
      </c>
      <c r="H79" s="307"/>
    </row>
    <row r="82" spans="1:1" x14ac:dyDescent="0.2">
      <c r="A82" s="311" t="s">
        <v>430</v>
      </c>
    </row>
    <row r="84" spans="1:1" x14ac:dyDescent="0.2">
      <c r="A84" s="236" t="s">
        <v>431</v>
      </c>
    </row>
    <row r="85" spans="1:1" x14ac:dyDescent="0.2">
      <c r="A85" s="236" t="s">
        <v>432</v>
      </c>
    </row>
    <row r="86" spans="1:1" x14ac:dyDescent="0.2">
      <c r="A86" s="236" t="s">
        <v>433</v>
      </c>
    </row>
    <row r="88" spans="1:1" x14ac:dyDescent="0.2">
      <c r="A88" s="236" t="s">
        <v>434</v>
      </c>
    </row>
    <row r="89" spans="1:1" x14ac:dyDescent="0.2">
      <c r="A89" s="236" t="s">
        <v>435</v>
      </c>
    </row>
    <row r="91" spans="1:1" x14ac:dyDescent="0.2">
      <c r="A91" s="236" t="s">
        <v>441</v>
      </c>
    </row>
    <row r="93" spans="1:1" x14ac:dyDescent="0.2">
      <c r="A93" s="236" t="s">
        <v>436</v>
      </c>
    </row>
    <row r="95" spans="1:1" x14ac:dyDescent="0.2">
      <c r="A95" s="312" t="s">
        <v>472</v>
      </c>
    </row>
    <row r="97" spans="1:1" x14ac:dyDescent="0.2">
      <c r="A97" s="236" t="s">
        <v>473</v>
      </c>
    </row>
    <row r="98" spans="1:1" x14ac:dyDescent="0.2">
      <c r="A98" s="236" t="s">
        <v>437</v>
      </c>
    </row>
  </sheetData>
  <mergeCells count="5">
    <mergeCell ref="A16:E16"/>
    <mergeCell ref="A17:E17"/>
    <mergeCell ref="A18:E18"/>
    <mergeCell ref="A19:E19"/>
    <mergeCell ref="A22:E22"/>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Legend</vt:lpstr>
      <vt:lpstr>Step 1</vt:lpstr>
      <vt:lpstr>Step 2</vt:lpstr>
      <vt:lpstr>Step 3</vt:lpstr>
      <vt:lpstr>XS Rating Algorithm</vt:lpstr>
      <vt:lpstr>XS Final Premium Calculation</vt:lpstr>
      <vt:lpstr>XS Rate Tables Sections A-F</vt:lpstr>
      <vt:lpstr>XS RateTables SectionA-Georgia</vt:lpstr>
      <vt:lpstr>XS Rate Tables Section G</vt:lpstr>
      <vt:lpstr>XS Rate Tables State Exceptions</vt:lpstr>
      <vt:lpstr>XS Rating Step A Inputs</vt:lpstr>
      <vt:lpstr>XS Rating Step B-F Inputs</vt:lpstr>
      <vt:lpstr>XS Rating Step G Inputs</vt:lpstr>
      <vt:lpstr>Rating Plan Support --&gt;</vt:lpstr>
      <vt:lpstr>Page 1</vt:lpstr>
      <vt:lpstr>Page 2</vt:lpstr>
      <vt:lpstr>Page 4</vt:lpstr>
      <vt:lpstr>Page 5</vt:lpstr>
      <vt:lpstr>Step 2a</vt:lpstr>
      <vt:lpstr>'XS Final Premium Calculation'!Print_Area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Cameron Poe</dc:creator>
  <cp:lastModifiedBy>Niraja Alluri</cp:lastModifiedBy>
  <cp:lastPrinted>2021-07-28T17:15:19Z</cp:lastPrinted>
  <dcterms:created xsi:type="dcterms:W3CDTF">2021-07-06T14:28:42Z</dcterms:created>
  <dcterms:modified xsi:type="dcterms:W3CDTF">2021-11-10T19:00:13Z</dcterms:modified>
</cp:coreProperties>
</file>